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uol.le.ac.uk\root\staff\home\m\ms1001\My Documents\AAA\AAA_DES_model\input\"/>
    </mc:Choice>
  </mc:AlternateContent>
  <bookViews>
    <workbookView xWindow="876" yWindow="1152" windowWidth="19620" windowHeight="6600" activeTab="3"/>
  </bookViews>
  <sheets>
    <sheet name="Main Data Items" sheetId="1" r:id="rId1"/>
    <sheet name="Growth and Rupture Rates" sheetId="20" r:id="rId2"/>
    <sheet name="AAA Size Distribution" sheetId="15" r:id="rId3"/>
    <sheet name="Model Parameters" sheetId="21" r:id="rId4"/>
    <sheet name="Other cause mortality" sheetId="17" r:id="rId5"/>
    <sheet name="Notes" sheetId="19" r:id="rId6"/>
  </sheets>
  <definedNames>
    <definedName name="_xlnm._FilterDatabase" localSheetId="0" hidden="1">'Main Data Items'!$E$7:$G$178</definedName>
    <definedName name="blah" localSheetId="3">#REF!</definedName>
    <definedName name="blah">#REF!</definedName>
    <definedName name="YearsNeeded" localSheetId="3">#REF!</definedName>
    <definedName name="YearsNeeded">#REF!</definedName>
  </definedNames>
  <calcPr calcId="162913"/>
</workbook>
</file>

<file path=xl/calcChain.xml><?xml version="1.0" encoding="utf-8"?>
<calcChain xmlns="http://schemas.openxmlformats.org/spreadsheetml/2006/main">
  <c r="D29" i="20" l="1"/>
  <c r="G29" i="20" s="1"/>
  <c r="D28" i="20"/>
  <c r="G28" i="20" s="1"/>
  <c r="D26" i="20"/>
  <c r="G26" i="20" s="1"/>
  <c r="D25" i="20"/>
  <c r="D24" i="20"/>
  <c r="G24" i="20" s="1"/>
  <c r="D23" i="20"/>
  <c r="G21" i="20" s="1"/>
  <c r="G23" i="20" l="1"/>
  <c r="G25" i="20" s="1"/>
  <c r="G22" i="20"/>
  <c r="F16" i="1"/>
  <c r="N55" i="1"/>
  <c r="N56" i="1"/>
  <c r="N57" i="1"/>
  <c r="N58" i="1"/>
  <c r="N59" i="1"/>
  <c r="N60" i="1"/>
  <c r="N61" i="1"/>
  <c r="N62" i="1"/>
  <c r="N63" i="1"/>
  <c r="N68" i="1"/>
  <c r="N69" i="1"/>
  <c r="N64" i="1"/>
  <c r="N65" i="1"/>
  <c r="N66" i="1"/>
  <c r="N67" i="1"/>
  <c r="N54" i="1"/>
  <c r="M54" i="1"/>
  <c r="D55" i="1" s="1"/>
  <c r="M55" i="1"/>
  <c r="M56" i="1"/>
  <c r="M57" i="1"/>
  <c r="M58" i="1"/>
  <c r="M59" i="1"/>
  <c r="M60" i="1"/>
  <c r="M61" i="1"/>
  <c r="M62" i="1"/>
  <c r="M63" i="1"/>
  <c r="M68" i="1"/>
  <c r="M69" i="1"/>
  <c r="M64" i="1"/>
  <c r="M65" i="1"/>
  <c r="M66" i="1"/>
  <c r="M67" i="1"/>
  <c r="R52" i="1"/>
  <c r="F52" i="1"/>
  <c r="D52" i="1"/>
  <c r="F51" i="1"/>
  <c r="D51" i="1"/>
  <c r="R50" i="1"/>
  <c r="F50" i="1"/>
  <c r="D50" i="1"/>
  <c r="D39" i="1"/>
  <c r="D48" i="1"/>
  <c r="R48" i="1"/>
  <c r="F48" i="1"/>
  <c r="D46" i="1"/>
  <c r="B46" i="1"/>
  <c r="D45" i="1"/>
  <c r="B45" i="1"/>
  <c r="D44" i="1"/>
  <c r="B44" i="1"/>
  <c r="D43" i="1"/>
  <c r="D35" i="1"/>
  <c r="D33" i="1"/>
  <c r="D30" i="1"/>
  <c r="D19" i="1"/>
  <c r="D20" i="1"/>
  <c r="D21" i="1"/>
  <c r="D22" i="1"/>
  <c r="R41" i="1"/>
  <c r="F41" i="1"/>
  <c r="D41" i="1"/>
  <c r="F40" i="1"/>
  <c r="R40" i="1"/>
  <c r="D40" i="1"/>
  <c r="F36" i="1"/>
  <c r="D37" i="1" s="1"/>
  <c r="D65" i="1" l="1"/>
  <c r="D68" i="1"/>
  <c r="D59" i="1"/>
  <c r="D63" i="1"/>
  <c r="D66" i="1"/>
  <c r="D60" i="1"/>
  <c r="D54" i="1"/>
  <c r="D64" i="1"/>
  <c r="D62" i="1"/>
  <c r="D58" i="1"/>
  <c r="D67" i="1"/>
  <c r="D69" i="1"/>
  <c r="D61" i="1"/>
  <c r="D57" i="1"/>
  <c r="D56" i="1"/>
  <c r="H35" i="1"/>
  <c r="B35" i="1" s="1"/>
  <c r="S34" i="1"/>
  <c r="D34" i="1" s="1"/>
  <c r="H34" i="1"/>
  <c r="B34" i="1" s="1"/>
  <c r="B33" i="1"/>
  <c r="F31" i="1"/>
  <c r="D29" i="1"/>
  <c r="D28" i="1"/>
  <c r="V30" i="1"/>
  <c r="B30" i="1"/>
  <c r="B22" i="1"/>
  <c r="F19" i="1"/>
  <c r="B19" i="1" s="1"/>
  <c r="F27" i="1"/>
  <c r="R26" i="1"/>
  <c r="F26" i="1"/>
  <c r="B26" i="1" s="1"/>
  <c r="D26" i="1"/>
  <c r="D25" i="1"/>
  <c r="R25" i="1"/>
  <c r="F25" i="1"/>
  <c r="B25" i="1" s="1"/>
  <c r="L20" i="1" l="1"/>
  <c r="F21" i="1"/>
  <c r="B21" i="1" s="1"/>
  <c r="F20" i="1"/>
  <c r="B20" i="1" s="1"/>
</calcChain>
</file>

<file path=xl/sharedStrings.xml><?xml version="1.0" encoding="utf-8"?>
<sst xmlns="http://schemas.openxmlformats.org/spreadsheetml/2006/main" count="403" uniqueCount="301">
  <si>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</si>
  <si>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</si>
  <si>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</si>
  <si>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</si>
  <si>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</si>
  <si>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</si>
  <si>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</si>
  <si>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</si>
  <si>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</si>
  <si>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</si>
  <si>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</si>
  <si>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</si>
  <si>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</si>
  <si>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</si>
  <si>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</si>
  <si>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</si>
  <si>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</si>
  <si>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</si>
  <si>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</si>
  <si>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</si>
  <si>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</si>
  <si>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</si>
  <si>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</si>
  <si>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</si>
  <si>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</si>
  <si>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</si>
  <si>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</si>
  <si>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</si>
  <si>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</si>
  <si>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</si>
  <si>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</si>
  <si>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</si>
  <si>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</si>
  <si>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</si>
  <si>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</si>
  <si>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</si>
  <si>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</si>
  <si>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</si>
  <si>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</si>
  <si>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</si>
  <si>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</si>
  <si>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</si>
  <si>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</si>
  <si>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</si>
  <si>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</si>
  <si>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</si>
  <si>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</si>
  <si>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</si>
  <si>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</si>
  <si>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</si>
  <si>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</si>
  <si>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</si>
  <si>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</si>
  <si>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</si>
  <si>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</si>
  <si>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</si>
  <si>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</si>
  <si>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</si>
  <si>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</si>
  <si>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</si>
  <si>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</si>
  <si>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</si>
  <si>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</si>
  <si>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</si>
  <si>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</si>
  <si>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</si>
  <si>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</si>
  <si>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</si>
  <si>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</si>
  <si>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</si>
  <si>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</si>
  <si>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</si>
  <si>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</si>
  <si>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</si>
  <si>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</si>
  <si>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</si>
  <si>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</si>
  <si>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</si>
  <si>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</si>
  <si>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</si>
  <si>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</si>
  <si>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</si>
  <si>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</si>
  <si>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</si>
  <si>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</si>
  <si>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c(0.203, 0.064)</t>
  </si>
  <si>
    <t>Proportion receiving elective open vs. EVAR repair</t>
  </si>
  <si>
    <t>Elective EVAR 30-day operative mortality</t>
  </si>
  <si>
    <t>Elective Open repair 30-day operative mortality</t>
  </si>
  <si>
    <t>Cut-points (time in years) for piecewise-constant rates following elective EVAR</t>
  </si>
  <si>
    <t>v1other$reinterventionTimeBoundariesAfterElectiveEvar</t>
  </si>
  <si>
    <t>c(3, 27)</t>
  </si>
  <si>
    <t>c(0.066667, 0.0023753)</t>
  </si>
  <si>
    <t>v1other$reinterventionTimeBoundariesAfterElectiveOpen</t>
  </si>
  <si>
    <t>Cut-points (time in years) for piecewise-constant rates following elective Open repair</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</si>
  <si>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</si>
  <si>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</si>
  <si>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</si>
  <si>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</si>
  <si>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</si>
  <si>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</si>
  <si>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</si>
  <si>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</si>
  <si>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</si>
  <si>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</si>
  <si>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</si>
  <si>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</si>
  <si>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</si>
  <si>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</si>
  <si>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</si>
  <si>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</si>
  <si>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Literature review (unpublished), IMPROVE RCT</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</si>
  <si>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</si>
  <si>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</si>
  <si>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</si>
  <si>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</si>
  <si>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</si>
  <si>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</si>
  <si>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</si>
  <si>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</si>
  <si>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</si>
  <si>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</si>
  <si>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</si>
  <si>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</si>
  <si>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</si>
  <si>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</si>
  <si>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</si>
  <si>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</si>
  <si>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</si>
  <si>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</si>
  <si>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Cut-points (time in years) for piecewise-constant rates following emergency EVAR</t>
  </si>
  <si>
    <t>v1other$reinterventionTimeBoundariesAfterEmergencyOpen</t>
  </si>
  <si>
    <t>Cut-points (time in years) for piecewise-constant rates following emergency Open repair</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</si>
  <si>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</si>
  <si>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</si>
  <si>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</si>
  <si>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</si>
  <si>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</si>
  <si>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</si>
  <si>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</si>
  <si>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</si>
  <si>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</si>
  <si>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</si>
  <si>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</si>
  <si>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</si>
  <si>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</si>
  <si>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</si>
  <si>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</si>
  <si>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</si>
  <si>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</si>
  <si>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</si>
  <si>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</si>
  <si>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</si>
  <si>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</si>
  <si>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</si>
  <si>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</si>
  <si>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</si>
  <si>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</si>
  <si>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</si>
  <si>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</si>
  <si>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</si>
  <si>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</si>
  <si>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</si>
  <si>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</si>
  <si>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</si>
  <si>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</si>
  <si>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</si>
  <si>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</si>
  <si>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</si>
  <si>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</si>
  <si>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</si>
  <si>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</si>
  <si>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</si>
  <si>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</si>
  <si>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</si>
  <si>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</si>
  <si>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</si>
  <si>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</si>
  <si>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</si>
  <si>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</si>
  <si>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</si>
  <si>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</si>
  <si>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</si>
  <si>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</si>
  <si>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</si>
  <si>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</si>
  <si>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</si>
  <si>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</si>
  <si>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</si>
  <si>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</si>
  <si>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</si>
  <si>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</si>
  <si>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</si>
  <si>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</si>
  <si>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</si>
  <si>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</si>
  <si>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</si>
  <si>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</si>
  <si>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</si>
  <si>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c(65, 75)</t>
  </si>
  <si>
    <t>Age category boundaries for changes in Quality of Life utlities</t>
  </si>
  <si>
    <t>Quality of Life utilities (0, a1], (a1, a2], …, (an, 99]</t>
  </si>
  <si>
    <t>c(0.81, 0.78, 0.71)</t>
  </si>
  <si>
    <t>qalyFactorBoundariesAsAges</t>
  </si>
  <si>
    <t>qalyFactorsForAges</t>
  </si>
  <si>
    <t>EuroQol-5D</t>
  </si>
  <si>
    <t>Discounting for life-years (per-year)</t>
  </si>
  <si>
    <t>Discounting for costs (per-year)</t>
  </si>
  <si>
    <t>v1other$lifeYearDiscountRate</t>
  </si>
  <si>
    <t>v1other$costDiscountRate</t>
  </si>
  <si>
    <t>v1other$startAge</t>
  </si>
  <si>
    <t>Population</t>
  </si>
  <si>
    <t>Age of invitation to screening</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</si>
  <si>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</si>
  <si>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</si>
  <si>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</si>
  <si>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</si>
  <si>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</si>
  <si>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</si>
  <si>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</si>
  <si>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</si>
  <si>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</si>
  <si>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t>c(3.0, 4.5, 5.5)</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</si>
  <si>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</si>
  <si>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</si>
  <si>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</si>
  <si>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</si>
  <si>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</si>
  <si>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</si>
  <si>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t>
    </r>
  </si>
  <si>
    <t>v1other$monitoringIntervals</t>
  </si>
  <si>
    <r>
      <t xml:space="preserve">Surveillance intervals (years) for aortic sizes (0, A1], (A1, A2], …, (An, Infinity] </t>
    </r>
    <r>
      <rPr>
        <b/>
        <sz val="11"/>
        <color rgb="FF322E2C"/>
        <rFont val="Calibri"/>
        <family val="2"/>
        <scheme val="minor"/>
      </rPr>
      <t>[See Note 3]</t>
    </r>
  </si>
  <si>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</si>
  <si>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</si>
  <si>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</si>
  <si>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</si>
  <si>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</si>
  <si>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c(1, 1, 0.25, 0.5)</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</si>
  <si>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</si>
  <si>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</si>
  <si>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</si>
  <si>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</si>
  <si>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</si>
  <si>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</si>
  <si>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</si>
  <si>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</si>
  <si>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</si>
  <si>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</si>
  <si>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</si>
  <si>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</si>
  <si>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</si>
  <si>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</si>
  <si>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</si>
  <si>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</si>
  <si>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</si>
  <si>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</si>
  <si>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</si>
  <si>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Standard deviation of percentage increase in diameter per year</t>
  </si>
  <si>
    <t>Mean percentage increase in diameter per year</t>
  </si>
  <si>
    <t>v2$rho</t>
  </si>
  <si>
    <t>mean log diameter at screening (beta0)</t>
  </si>
  <si>
    <t>Correlation between diameter at screening and growth rate</t>
  </si>
  <si>
    <t>v2$sigmaW</t>
  </si>
  <si>
    <t>Measurement error SD for diameter at screening (cm)</t>
  </si>
  <si>
    <t>Growth rate parameters</t>
  </si>
  <si>
    <t>Rupture rate parameters</t>
  </si>
  <si>
    <t>v2$gamma</t>
  </si>
  <si>
    <t>v2$alpha</t>
  </si>
  <si>
    <t>Rupture rate (per 100 person-years) for a 4.0cm AAA</t>
  </si>
  <si>
    <t>Hazard ratio per 2% increase in diameter</t>
  </si>
  <si>
    <t>AAA Discrete Event Simulation Model - Model Parameters</t>
  </si>
  <si>
    <t>v1other$zeroGrowthDiameterThreshold</t>
  </si>
  <si>
    <t>Zero growth below this threshold (cm)</t>
  </si>
  <si>
    <r>
      <t xml:space="preserve">Prevalence proportion </t>
    </r>
    <r>
      <rPr>
        <b/>
        <sz val="11"/>
        <color rgb="FF322E2C"/>
        <rFont val="Calibri"/>
        <family val="2"/>
        <scheme val="minor"/>
      </rPr>
      <t>[see Note 5]</t>
    </r>
  </si>
  <si>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</si>
  <si>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</si>
  <si>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AAA size (cm)</t>
  </si>
  <si>
    <t>Probability weight</t>
  </si>
  <si>
    <t>AAA Discrete Event Simulation Model - AAA Size Distribution</t>
  </si>
  <si>
    <t>AAA Discrete Event Simulation Model - Other cause mortality</t>
  </si>
  <si>
    <t>SD of growth rate in log diameter (sigma1)</t>
  </si>
  <si>
    <t>Correlation between log diameter at screening at log diameter growth rate (rho)</t>
  </si>
  <si>
    <t>Measurement error SD for log diameter (sigma_w)</t>
  </si>
  <si>
    <t>PSA Parameters [see Note 6]</t>
  </si>
  <si>
    <t>6)</t>
  </si>
  <si>
    <t>log rupture rate (per person year) (gamma)</t>
  </si>
  <si>
    <t>log hazard ratio (per log increase in diameter) (alpha)</t>
  </si>
  <si>
    <t>Time-to-AAA rupture is modelled using a joint longitudinal and time-to-event model. The longitudinal component is as specified for the AAA growth model whilst the time-to-event model is as follows:</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</si>
  <si>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</si>
  <si>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Variance-covariance matrix for growth parameters</t>
  </si>
  <si>
    <t>beta1</t>
  </si>
  <si>
    <t>beta0</t>
  </si>
  <si>
    <t>log(sigma1)</t>
  </si>
  <si>
    <t>log(sigma0)</t>
  </si>
  <si>
    <t>arctanh(rho)</t>
  </si>
  <si>
    <t>log(sigmaw)</t>
  </si>
  <si>
    <t>"hyperpars for aorta model"</t>
  </si>
  <si>
    <t>v1distributions$covarianceForGrowthParameters</t>
  </si>
  <si>
    <t>Variance-covariance matrix for rupture parameters</t>
  </si>
  <si>
    <t>gamma</t>
  </si>
  <si>
    <t>v1distributions$covarianceForRuptureParameters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</si>
</sst>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4"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s>
  <borders count="48">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
      <left style="medium">
        <color indexed="64"/>
      </left>
      <right/>
      <top style="thin">
        <color rgb="FFDCDCDC"/>
      </top>
      <bottom/>
      <diagonal/>
    </border>
    <border>
      <left style="thin">
        <color rgb="FFDCDCDC"/>
      </left>
      <right style="medium">
        <color rgb="FF322E2C"/>
      </right>
      <top style="medium">
        <color rgb="FF322E2C"/>
      </top>
      <bottom/>
      <diagonal/>
    </border>
    <border>
      <left/>
      <right style="medium">
        <color rgb="FF322E2C"/>
      </right>
      <top/>
      <bottom/>
      <diagonal/>
    </border>
    <border>
      <left style="medium">
        <color rgb="FF322E2C"/>
      </left>
      <right/>
      <top/>
      <bottom style="medium">
        <color rgb="FF322E2C"/>
      </bottom>
      <diagonal/>
    </border>
    <border>
      <left/>
      <right/>
      <top/>
      <bottom style="medium">
        <color rgb="FF322E2C"/>
      </bottom>
      <diagonal/>
    </border>
  </borders>
  <cellStyleXfs count="2">
    <xf numFmtId="0" fontId="0" fillId="0" borderId="0"/>
    <xf numFmtId="0" fontId="4" fillId="0" borderId="0"/>
  </cellStyleXfs>
  <cellXfs count="127">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8" fillId="9" borderId="27" xfId="0" applyFont="1" applyFill="1" applyBorder="1" applyAlignment="1">
      <alignment horizontal="center" vertical="center" wrapText="1"/>
    </xf>
    <xf numFmtId="0" fontId="8" fillId="9" borderId="27" xfId="0" applyFont="1" applyFill="1" applyBorder="1" applyAlignment="1" applyProtection="1">
      <alignment horizontal="left" vertical="center" wrapText="1"/>
      <protection locked="0"/>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8" fillId="9" borderId="0" xfId="0" applyFont="1" applyFill="1" applyBorder="1" applyAlignment="1" applyProtection="1">
      <alignment horizontal="left" vertical="center" wrapText="1"/>
      <protection locked="0"/>
    </xf>
    <xf numFmtId="0" fontId="8" fillId="9" borderId="0" xfId="0" applyFont="1" applyFill="1" applyBorder="1" applyAlignment="1">
      <alignment horizontal="center" vertical="center" wrapText="1"/>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165" fontId="0" fillId="0" borderId="0" xfId="0" applyNumberFormat="1" applyFont="1" applyFill="1" applyAlignment="1">
      <alignment horizontal="left" wrapText="1"/>
    </xf>
    <xf numFmtId="0" fontId="0" fillId="0" borderId="43" xfId="0" applyBorder="1"/>
    <xf numFmtId="0" fontId="9" fillId="3" borderId="44" xfId="0" applyFont="1" applyFill="1" applyBorder="1" applyAlignment="1">
      <alignment horizontal="center" vertical="center" wrapText="1"/>
    </xf>
    <xf numFmtId="164" fontId="0" fillId="0" borderId="45" xfId="0" applyNumberFormat="1" applyBorder="1" applyAlignment="1">
      <alignment horizontal="center"/>
    </xf>
    <xf numFmtId="164" fontId="0" fillId="0" borderId="45" xfId="0" applyNumberFormat="1" applyFont="1" applyFill="1" applyBorder="1" applyAlignment="1">
      <alignment horizontal="center" wrapText="1"/>
    </xf>
    <xf numFmtId="11" fontId="0" fillId="0" borderId="0" xfId="0" applyNumberFormat="1"/>
    <xf numFmtId="0" fontId="8" fillId="0" borderId="46" xfId="0" applyFont="1" applyFill="1" applyBorder="1" applyAlignment="1">
      <alignment horizontal="left" vertical="center" wrapText="1"/>
    </xf>
    <xf numFmtId="0" fontId="0" fillId="0" borderId="47" xfId="0" applyNumberFormat="1" applyFont="1" applyFill="1" applyBorder="1" applyAlignment="1">
      <alignment horizontal="left" wrapText="1"/>
    </xf>
    <xf numFmtId="0" fontId="8" fillId="0" borderId="47" xfId="0" applyFont="1" applyFill="1" applyBorder="1" applyAlignment="1" applyProtection="1">
      <alignment horizontal="left" vertical="center" wrapText="1"/>
      <protection locked="0"/>
    </xf>
    <xf numFmtId="0" fontId="0" fillId="0" borderId="47" xfId="0" applyFont="1" applyFill="1" applyBorder="1" applyAlignment="1">
      <alignment horizontal="center" wrapText="1"/>
    </xf>
    <xf numFmtId="0" fontId="7" fillId="4" borderId="8" xfId="0" applyFont="1" applyFill="1" applyBorder="1" applyAlignment="1">
      <alignment horizontal="center" vertical="center" wrapText="1"/>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0" fontId="0" fillId="0" borderId="0" xfId="0" applyAlignment="1">
      <alignment horizontal="center" wrapText="1"/>
    </xf>
  </cellXfs>
  <cellStyles count="2">
    <cellStyle name="Normal" xfId="0" builtinId="0"/>
    <cellStyle name="Normal 2" xfId="1"/>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5</xdr:row>
      <xdr:rowOff>144779</xdr:rowOff>
    </xdr:from>
    <xdr:to>
      <xdr:col>3</xdr:col>
      <xdr:colOff>449580</xdr:colOff>
      <xdr:row>16</xdr:row>
      <xdr:rowOff>25526</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409699"/>
          <a:ext cx="2522220" cy="2143887"/>
        </a:xfrm>
        <a:prstGeom prst="rect">
          <a:avLst/>
        </a:prstGeom>
      </xdr:spPr>
    </xdr:pic>
    <xdr:clientData/>
  </xdr:twoCellAnchor>
  <xdr:twoCellAnchor editAs="oneCell">
    <xdr:from>
      <xdr:col>4</xdr:col>
      <xdr:colOff>152399</xdr:colOff>
      <xdr:row>5</xdr:row>
      <xdr:rowOff>83820</xdr:rowOff>
    </xdr:from>
    <xdr:to>
      <xdr:col>6</xdr:col>
      <xdr:colOff>78994</xdr:colOff>
      <xdr:row>8</xdr:row>
      <xdr:rowOff>144780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63539" y="1882140"/>
          <a:ext cx="3142235"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78"/>
  <sheetViews>
    <sheetView showGridLines="0" zoomScaleNormal="100" workbookViewId="0">
      <pane ySplit="7" topLeftCell="A8" activePane="bottomLeft" state="frozen"/>
      <selection activeCell="B2" sqref="B2:F2"/>
      <selection pane="bottomLeft" activeCell="E12" sqref="E12"/>
    </sheetView>
  </sheetViews>
  <sheetFormatPr defaultColWidth="9.109375" defaultRowHeight="14.4" x14ac:dyDescent="0.3"/>
  <cols>
    <col min="1" max="1" width="29.6640625" style="3" hidden="1" customWidth="1"/>
    <col min="2" max="2" width="14.88671875" style="6" hidden="1" customWidth="1"/>
    <col min="3" max="3" width="24.5546875" style="6" hidden="1" customWidth="1"/>
    <col min="4" max="4" width="39" style="6" hidden="1" customWidth="1"/>
    <col min="5" max="5" width="48.6640625" style="3" bestFit="1" customWidth="1"/>
    <col min="6" max="6" width="14.6640625" style="3" customWidth="1"/>
    <col min="7" max="7" width="37.6640625" style="3" customWidth="1"/>
    <col min="8" max="8" width="14.33203125" style="43" customWidth="1"/>
    <col min="9" max="9" width="13.33203125" style="6" customWidth="1"/>
    <col min="10" max="10" width="12.44140625" style="6" customWidth="1"/>
    <col min="11" max="11" width="16.5546875" style="43" customWidth="1"/>
    <col min="12" max="12" width="12.6640625" style="3" customWidth="1"/>
    <col min="13" max="14" width="11.88671875" style="3" customWidth="1"/>
    <col min="15" max="16" width="11.88671875" style="6" customWidth="1"/>
    <col min="17" max="17" width="12.33203125" style="3" customWidth="1"/>
    <col min="18" max="18" width="10.5546875" style="3" customWidth="1"/>
    <col min="19" max="19" width="12.33203125" style="3" bestFit="1" customWidth="1"/>
    <col min="20" max="20" width="9.33203125" style="3" bestFit="1" customWidth="1"/>
    <col min="21" max="21" width="10" style="3" bestFit="1" customWidth="1"/>
    <col min="22" max="22" width="10.5546875" style="3" bestFit="1" customWidth="1"/>
    <col min="23" max="23" width="9.109375" style="3"/>
    <col min="24" max="24" width="10" style="3" bestFit="1" customWidth="1"/>
    <col min="25" max="25" width="14.5546875" style="3" bestFit="1" customWidth="1"/>
    <col min="26" max="27" width="20.33203125" style="3" bestFit="1" customWidth="1"/>
    <col min="28" max="16384" width="9.109375" style="3"/>
  </cols>
  <sheetData>
    <row r="1" spans="1:16374" s="25" customFormat="1" ht="24.9" customHeight="1" x14ac:dyDescent="0.3">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 customHeight="1" x14ac:dyDescent="0.35">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90"/>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 customHeight="1" x14ac:dyDescent="0.3">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3">
      <c r="E4" s="4"/>
      <c r="F4" s="4"/>
      <c r="G4" s="4"/>
      <c r="H4" s="65"/>
      <c r="I4" s="4"/>
      <c r="J4" s="4"/>
      <c r="K4" s="40"/>
    </row>
    <row r="5" spans="1:16374" s="5" customFormat="1" ht="10.199999999999999" customHeight="1" x14ac:dyDescent="0.3">
      <c r="E5" s="4"/>
      <c r="F5" s="4"/>
      <c r="G5" s="4"/>
      <c r="K5" s="121" t="s">
        <v>13</v>
      </c>
      <c r="L5" s="122"/>
      <c r="M5" s="122"/>
      <c r="N5" s="122"/>
      <c r="O5" s="122"/>
      <c r="P5" s="122"/>
      <c r="Q5" s="122"/>
      <c r="R5" s="122"/>
      <c r="S5" s="122"/>
      <c r="T5" s="122"/>
      <c r="U5" s="122"/>
      <c r="V5" s="122"/>
      <c r="W5" s="122"/>
      <c r="X5" s="122"/>
      <c r="Y5" s="122"/>
      <c r="Z5" s="122"/>
      <c r="AA5" s="122"/>
    </row>
    <row r="6" spans="1:16374" s="5" customFormat="1" ht="69" customHeight="1" thickBot="1" x14ac:dyDescent="0.35">
      <c r="E6" s="4"/>
      <c r="F6" s="4"/>
      <c r="G6" s="4"/>
      <c r="H6" s="117" t="s">
        <v>217</v>
      </c>
      <c r="I6" s="117"/>
      <c r="J6" s="118"/>
      <c r="K6" s="119" t="s">
        <v>23</v>
      </c>
      <c r="L6" s="120"/>
      <c r="M6" s="115" t="s">
        <v>179</v>
      </c>
      <c r="N6" s="116"/>
      <c r="O6" s="115" t="s">
        <v>110</v>
      </c>
      <c r="P6" s="116"/>
      <c r="Q6" s="125" t="s">
        <v>29</v>
      </c>
      <c r="R6" s="125"/>
      <c r="S6" s="123" t="s">
        <v>58</v>
      </c>
      <c r="T6" s="124"/>
      <c r="U6" s="124"/>
      <c r="V6" s="124"/>
      <c r="W6" s="124"/>
      <c r="X6" s="124"/>
      <c r="Y6" s="124"/>
      <c r="Z6" s="124"/>
      <c r="AA6" s="124"/>
    </row>
    <row r="7" spans="1:16374" s="35" customFormat="1" ht="31.5" customHeight="1" thickBot="1" x14ac:dyDescent="0.35">
      <c r="A7" s="34" t="s">
        <v>18</v>
      </c>
      <c r="B7" s="34" t="s">
        <v>19</v>
      </c>
      <c r="C7" s="34" t="s">
        <v>20</v>
      </c>
      <c r="D7" s="34" t="s">
        <v>22</v>
      </c>
      <c r="E7" s="32" t="s">
        <v>0</v>
      </c>
      <c r="F7" s="33" t="s">
        <v>5</v>
      </c>
      <c r="G7" s="36" t="s">
        <v>6</v>
      </c>
      <c r="H7" s="66" t="s">
        <v>59</v>
      </c>
      <c r="I7" s="63" t="s">
        <v>60</v>
      </c>
      <c r="J7" s="63" t="s">
        <v>61</v>
      </c>
      <c r="K7" s="83" t="s">
        <v>24</v>
      </c>
      <c r="L7" s="84" t="s">
        <v>25</v>
      </c>
      <c r="M7" s="85" t="s">
        <v>31</v>
      </c>
      <c r="N7" s="86" t="s">
        <v>32</v>
      </c>
      <c r="O7" s="85" t="s">
        <v>115</v>
      </c>
      <c r="P7" s="86" t="s">
        <v>116</v>
      </c>
      <c r="Q7" s="87" t="s">
        <v>39</v>
      </c>
      <c r="R7" s="87" t="s">
        <v>40</v>
      </c>
      <c r="S7" s="88" t="s">
        <v>62</v>
      </c>
      <c r="T7" s="89" t="s">
        <v>63</v>
      </c>
      <c r="U7" s="89" t="s">
        <v>64</v>
      </c>
      <c r="V7" s="89" t="s">
        <v>65</v>
      </c>
      <c r="W7" s="89" t="s">
        <v>66</v>
      </c>
      <c r="X7" s="89" t="s">
        <v>67</v>
      </c>
      <c r="Y7" s="89" t="s">
        <v>68</v>
      </c>
      <c r="Z7" s="89" t="s">
        <v>69</v>
      </c>
      <c r="AA7" s="89" t="s">
        <v>70</v>
      </c>
    </row>
    <row r="8" spans="1:16374" s="2" customFormat="1" x14ac:dyDescent="0.3">
      <c r="E8" s="44" t="s">
        <v>211</v>
      </c>
      <c r="F8" s="114"/>
      <c r="G8" s="114"/>
      <c r="H8" s="114"/>
      <c r="I8" s="114"/>
      <c r="J8" s="114"/>
      <c r="K8" s="114"/>
      <c r="L8" s="114"/>
      <c r="M8" s="31"/>
      <c r="N8" s="31"/>
      <c r="O8" s="31"/>
      <c r="P8" s="31"/>
      <c r="Q8" s="31"/>
      <c r="R8" s="31"/>
      <c r="S8" s="114"/>
      <c r="T8" s="114"/>
      <c r="U8" s="114"/>
      <c r="V8" s="114"/>
      <c r="W8" s="114"/>
      <c r="X8" s="114"/>
      <c r="Y8" s="114"/>
      <c r="Z8" s="31"/>
      <c r="AA8" s="31"/>
    </row>
    <row r="9" spans="1:16374" s="2" customFormat="1" x14ac:dyDescent="0.3">
      <c r="A9" s="2" t="s">
        <v>210</v>
      </c>
      <c r="D9" s="2" t="s">
        <v>30</v>
      </c>
      <c r="E9" s="12" t="s">
        <v>212</v>
      </c>
      <c r="F9" s="46">
        <v>65</v>
      </c>
      <c r="G9" s="53"/>
      <c r="H9" s="67"/>
      <c r="I9" s="53"/>
      <c r="J9" s="53"/>
      <c r="K9" s="53"/>
      <c r="L9" s="53"/>
      <c r="M9" s="53"/>
      <c r="N9" s="53"/>
      <c r="O9" s="53"/>
      <c r="P9" s="53"/>
      <c r="Q9" s="54"/>
      <c r="R9" s="55"/>
      <c r="S9" s="54"/>
      <c r="T9" s="54"/>
      <c r="U9" s="54"/>
      <c r="V9" s="55"/>
      <c r="W9" s="54"/>
      <c r="X9" s="54"/>
      <c r="Y9" s="55"/>
      <c r="Z9" s="54"/>
      <c r="AA9" s="70"/>
    </row>
    <row r="10" spans="1:16374" s="2" customFormat="1" ht="15" thickBot="1" x14ac:dyDescent="0.35">
      <c r="A10" s="2" t="s">
        <v>218</v>
      </c>
      <c r="B10" s="2" t="s">
        <v>220</v>
      </c>
      <c r="D10" s="2" t="s">
        <v>30</v>
      </c>
      <c r="E10" s="95" t="s">
        <v>219</v>
      </c>
      <c r="F10" s="46">
        <v>30</v>
      </c>
      <c r="G10" s="82"/>
      <c r="H10" s="82"/>
      <c r="I10" s="82"/>
      <c r="J10" s="82"/>
      <c r="K10" s="82"/>
      <c r="L10" s="82"/>
      <c r="M10" s="91"/>
      <c r="N10" s="91"/>
      <c r="O10" s="91"/>
      <c r="P10" s="91"/>
      <c r="Q10" s="92"/>
      <c r="R10" s="92"/>
      <c r="S10" s="81"/>
      <c r="T10" s="81"/>
      <c r="U10" s="81"/>
      <c r="V10" s="81"/>
      <c r="W10" s="81"/>
      <c r="X10" s="81"/>
      <c r="Y10" s="81"/>
      <c r="Z10" s="92"/>
      <c r="AA10" s="92"/>
    </row>
    <row r="11" spans="1:16374" s="2" customFormat="1" x14ac:dyDescent="0.3">
      <c r="E11" s="44" t="s">
        <v>221</v>
      </c>
      <c r="F11" s="114"/>
      <c r="G11" s="114"/>
      <c r="H11" s="114"/>
      <c r="I11" s="114"/>
      <c r="J11" s="114"/>
      <c r="K11" s="114"/>
      <c r="L11" s="114"/>
      <c r="M11" s="31"/>
      <c r="N11" s="31"/>
      <c r="O11" s="31"/>
      <c r="P11" s="31"/>
      <c r="Q11" s="31"/>
      <c r="R11" s="31"/>
      <c r="S11" s="114"/>
      <c r="T11" s="114"/>
      <c r="U11" s="114"/>
      <c r="V11" s="114"/>
      <c r="W11" s="114"/>
      <c r="X11" s="114"/>
      <c r="Y11" s="114"/>
      <c r="Z11" s="31"/>
      <c r="AA11" s="31"/>
    </row>
    <row r="12" spans="1:16374" s="2" customFormat="1" ht="28.8" x14ac:dyDescent="0.3">
      <c r="A12" s="2" t="s">
        <v>227</v>
      </c>
      <c r="D12" s="2" t="s">
        <v>30</v>
      </c>
      <c r="E12" s="12" t="s">
        <v>223</v>
      </c>
      <c r="F12" s="10" t="s">
        <v>222</v>
      </c>
      <c r="G12" s="53"/>
      <c r="H12" s="67"/>
      <c r="I12" s="53"/>
      <c r="J12" s="53"/>
      <c r="K12" s="53"/>
      <c r="L12" s="53"/>
      <c r="M12" s="53"/>
      <c r="N12" s="53"/>
      <c r="O12" s="53"/>
      <c r="P12" s="53"/>
      <c r="Q12" s="54"/>
      <c r="R12" s="55"/>
      <c r="S12" s="54"/>
      <c r="T12" s="54"/>
      <c r="U12" s="54"/>
      <c r="V12" s="55"/>
      <c r="W12" s="54"/>
      <c r="X12" s="54"/>
      <c r="Y12" s="55"/>
      <c r="Z12" s="54"/>
      <c r="AA12" s="70"/>
    </row>
    <row r="13" spans="1:16374" s="2" customFormat="1" ht="28.8" x14ac:dyDescent="0.3">
      <c r="A13" s="2" t="s">
        <v>230</v>
      </c>
      <c r="D13" s="2" t="s">
        <v>30</v>
      </c>
      <c r="E13" s="12" t="s">
        <v>231</v>
      </c>
      <c r="F13" s="10" t="s">
        <v>237</v>
      </c>
      <c r="G13" s="53"/>
      <c r="H13" s="53"/>
      <c r="I13" s="53"/>
      <c r="J13" s="53"/>
      <c r="K13" s="53"/>
      <c r="L13" s="53"/>
      <c r="M13" s="53"/>
      <c r="N13" s="53"/>
      <c r="O13" s="53"/>
      <c r="P13" s="53"/>
      <c r="Q13" s="53"/>
      <c r="R13" s="53"/>
      <c r="S13" s="53"/>
      <c r="T13" s="53"/>
      <c r="U13" s="53"/>
      <c r="V13" s="53"/>
      <c r="W13" s="53"/>
      <c r="X13" s="53"/>
      <c r="Y13" s="53"/>
      <c r="Z13" s="53"/>
      <c r="AA13" s="53"/>
    </row>
    <row r="14" spans="1:16374" s="2" customFormat="1" ht="43.2" x14ac:dyDescent="0.3">
      <c r="A14" s="2" t="s">
        <v>236</v>
      </c>
      <c r="D14" s="2" t="s">
        <v>30</v>
      </c>
      <c r="E14" s="95" t="s">
        <v>232</v>
      </c>
      <c r="F14" s="60" t="s">
        <v>235</v>
      </c>
      <c r="G14" s="53"/>
      <c r="H14" s="67"/>
      <c r="I14" s="53"/>
      <c r="J14" s="53"/>
      <c r="K14" s="53"/>
      <c r="L14" s="53"/>
      <c r="M14" s="53"/>
      <c r="N14" s="53"/>
      <c r="O14" s="53"/>
      <c r="P14" s="53"/>
      <c r="Q14" s="54"/>
      <c r="R14" s="55"/>
      <c r="S14" s="54"/>
      <c r="T14" s="54"/>
      <c r="U14" s="54"/>
      <c r="V14" s="55"/>
      <c r="W14" s="54"/>
      <c r="X14" s="54"/>
      <c r="Y14" s="55"/>
      <c r="Z14" s="54"/>
      <c r="AA14" s="70"/>
    </row>
    <row r="15" spans="1:16374" s="2" customFormat="1" ht="28.8" x14ac:dyDescent="0.3">
      <c r="A15" s="2" t="s">
        <v>226</v>
      </c>
      <c r="D15" s="2" t="s">
        <v>30</v>
      </c>
      <c r="E15" s="95" t="s">
        <v>225</v>
      </c>
      <c r="F15" s="96">
        <v>3</v>
      </c>
      <c r="G15" s="53"/>
      <c r="H15" s="67"/>
      <c r="I15" s="53"/>
      <c r="J15" s="53"/>
      <c r="K15" s="53"/>
      <c r="L15" s="53"/>
      <c r="M15" s="53"/>
      <c r="N15" s="53"/>
      <c r="O15" s="53"/>
      <c r="P15" s="53"/>
      <c r="Q15" s="54"/>
      <c r="R15" s="55"/>
      <c r="S15" s="54"/>
      <c r="T15" s="54"/>
      <c r="U15" s="54"/>
      <c r="V15" s="55"/>
      <c r="W15" s="54"/>
      <c r="X15" s="54"/>
      <c r="Y15" s="55"/>
      <c r="Z15" s="54"/>
      <c r="AA15" s="70"/>
    </row>
    <row r="16" spans="1:16374" s="2" customFormat="1" ht="28.8" x14ac:dyDescent="0.3">
      <c r="A16" s="2" t="s">
        <v>238</v>
      </c>
      <c r="D16" s="2" t="s">
        <v>30</v>
      </c>
      <c r="E16" s="95" t="s">
        <v>239</v>
      </c>
      <c r="F16" s="97">
        <f>42/365.25</f>
        <v>0.11498973305954825</v>
      </c>
      <c r="G16" s="53"/>
      <c r="H16" s="67"/>
      <c r="I16" s="53"/>
      <c r="J16" s="53"/>
      <c r="K16" s="53"/>
      <c r="L16" s="53"/>
      <c r="M16" s="53"/>
      <c r="N16" s="53"/>
      <c r="O16" s="53"/>
      <c r="P16" s="53"/>
      <c r="Q16" s="54"/>
      <c r="R16" s="55"/>
      <c r="S16" s="54"/>
      <c r="T16" s="54"/>
      <c r="U16" s="54"/>
      <c r="V16" s="55"/>
      <c r="W16" s="54"/>
      <c r="X16" s="54"/>
      <c r="Y16" s="55"/>
      <c r="Z16" s="54"/>
      <c r="AA16" s="70"/>
    </row>
    <row r="17" spans="1:27" s="2" customFormat="1" ht="29.4" thickBot="1" x14ac:dyDescent="0.35">
      <c r="A17" s="2" t="s">
        <v>241</v>
      </c>
      <c r="D17" s="2" t="s">
        <v>30</v>
      </c>
      <c r="E17" s="95" t="s">
        <v>240</v>
      </c>
      <c r="F17" s="97">
        <v>1</v>
      </c>
      <c r="G17" s="53"/>
      <c r="H17" s="67"/>
      <c r="I17" s="53"/>
      <c r="J17" s="53"/>
      <c r="K17" s="53"/>
      <c r="L17" s="53"/>
      <c r="M17" s="53"/>
      <c r="N17" s="53"/>
      <c r="O17" s="53"/>
      <c r="P17" s="53"/>
      <c r="Q17" s="54"/>
      <c r="R17" s="55"/>
      <c r="S17" s="54"/>
      <c r="T17" s="54"/>
      <c r="U17" s="54"/>
      <c r="V17" s="55"/>
      <c r="W17" s="54"/>
      <c r="X17" s="54"/>
      <c r="Y17" s="55"/>
      <c r="Z17" s="54"/>
      <c r="AA17" s="70"/>
    </row>
    <row r="18" spans="1:27" s="2" customFormat="1" x14ac:dyDescent="0.3">
      <c r="E18" s="44" t="s">
        <v>2</v>
      </c>
      <c r="F18" s="114"/>
      <c r="G18" s="114"/>
      <c r="H18" s="114"/>
      <c r="I18" s="114"/>
      <c r="J18" s="114"/>
      <c r="K18" s="114"/>
      <c r="L18" s="114"/>
      <c r="M18" s="31"/>
      <c r="N18" s="31"/>
      <c r="O18" s="31"/>
      <c r="P18" s="31"/>
      <c r="Q18" s="31"/>
      <c r="R18" s="31"/>
      <c r="S18" s="114"/>
      <c r="T18" s="114"/>
      <c r="U18" s="114"/>
      <c r="V18" s="114"/>
      <c r="W18" s="114"/>
      <c r="X18" s="114"/>
      <c r="Y18" s="114"/>
      <c r="Z18" s="31"/>
      <c r="AA18" s="31"/>
    </row>
    <row r="19" spans="1:27" s="2" customFormat="1" ht="28.8" x14ac:dyDescent="0.3">
      <c r="A19" s="2" t="s">
        <v>3</v>
      </c>
      <c r="B19" s="2" t="str">
        <f>IF(F19&lt;&gt;"",CHAR(34) &amp; "probability" &amp; CHAR(34),IF(H19&lt;&gt;"", CHAR(34) &amp; "logistic model for probability" &amp; CHAR(34), ""))</f>
        <v>"probability"</v>
      </c>
      <c r="C19" s="2" t="s">
        <v>21</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"fixed value for probability"</v>
      </c>
      <c r="E19" s="14" t="s">
        <v>4</v>
      </c>
      <c r="F19" s="15">
        <f>142127/594376</f>
        <v>0.23911968181757001</v>
      </c>
      <c r="G19" s="19" t="s">
        <v>7</v>
      </c>
      <c r="H19" s="12"/>
      <c r="I19" s="10"/>
      <c r="J19" s="22"/>
      <c r="K19" s="47"/>
      <c r="L19" s="48"/>
      <c r="M19" s="47"/>
      <c r="N19" s="48"/>
      <c r="O19" s="47"/>
      <c r="P19" s="48"/>
      <c r="Q19" s="56"/>
      <c r="R19" s="57"/>
      <c r="S19" s="72"/>
      <c r="T19" s="73"/>
      <c r="U19" s="73"/>
      <c r="V19" s="73"/>
      <c r="W19" s="73"/>
      <c r="X19" s="73"/>
      <c r="Y19" s="73"/>
      <c r="Z19" s="73"/>
      <c r="AA19" s="74"/>
    </row>
    <row r="20" spans="1:27" s="2" customFormat="1" ht="28.8" x14ac:dyDescent="0.3">
      <c r="A20" s="2" t="s">
        <v>10</v>
      </c>
      <c r="B20" s="2" t="str">
        <f t="shared" ref="B20:B22" si="0">IF(F20&lt;&gt;"",CHAR(34) &amp; "probability" &amp; CHAR(34),IF(H20&lt;&gt;"", CHAR(34) &amp; "logistic model for probability" &amp; CHAR(34), ""))</f>
        <v>"probability"</v>
      </c>
      <c r="C20" s="2" t="s">
        <v>26</v>
      </c>
      <c r="D20" s="2" t="str">
        <f>IF(K20&lt;&gt;"",CHAR(34)&amp;"beta pars for probability"&amp;CHAR(34),IF(M20&lt;&gt;"",CHAR(34)&amp;"normal distribution for logit prevalence"&amp;CHAR(34),IF(O20&lt;&gt;"",CHAR(34)&amp;"truncated normal distribution"&amp;CHAR(34),IF(S20&lt;&gt;"",CHAR(34)&amp;"hyperpars for logistic model for probability"&amp; CHAR(34),CHAR(34)&amp;"fixed value for probability"&amp;CHAR(34)))))</f>
        <v>"beta pars for probability"</v>
      </c>
      <c r="E20" s="12" t="s">
        <v>8</v>
      </c>
      <c r="F20" s="10">
        <f>218/300</f>
        <v>0.72666666666666668</v>
      </c>
      <c r="G20" s="20" t="s">
        <v>9</v>
      </c>
      <c r="H20" s="12"/>
      <c r="I20" s="10"/>
      <c r="J20" s="22"/>
      <c r="K20" s="49">
        <v>218</v>
      </c>
      <c r="L20" s="50">
        <f>300-218</f>
        <v>82</v>
      </c>
      <c r="M20" s="49"/>
      <c r="N20" s="50"/>
      <c r="O20" s="49"/>
      <c r="P20" s="50"/>
      <c r="Q20" s="54"/>
      <c r="R20" s="55"/>
      <c r="S20" s="75"/>
      <c r="T20" s="76"/>
      <c r="U20" s="76"/>
      <c r="V20" s="76"/>
      <c r="W20" s="76"/>
      <c r="X20" s="76"/>
      <c r="Y20" s="76"/>
      <c r="Z20" s="76"/>
      <c r="AA20" s="77"/>
    </row>
    <row r="21" spans="1:27" s="2" customFormat="1" ht="28.8" x14ac:dyDescent="0.3">
      <c r="A21" s="2" t="s">
        <v>12</v>
      </c>
      <c r="B21" s="2" t="str">
        <f t="shared" si="0"/>
        <v>"probability"</v>
      </c>
      <c r="C21" s="2" t="s">
        <v>27</v>
      </c>
      <c r="D21" s="2" t="str">
        <f>IF(K21&lt;&gt;"",CHAR(34)&amp;"beta pars for probability"&amp;CHAR(34),IF(M21&lt;&gt;"",CHAR(34)&amp;"normal distribution for logit prevalence"&amp;CHAR(34),IF(O21&lt;&gt;"",CHAR(34)&amp;"truncated normal distribution"&amp;CHAR(34),IF(S21&lt;&gt;"",CHAR(34)&amp;"hyperpars for logistic model for probability"&amp; CHAR(34),CHAR(34)&amp;"fixed value for probability"&amp;CHAR(34)))))</f>
        <v>"fixed value for probability"</v>
      </c>
      <c r="E21" s="12" t="s">
        <v>11</v>
      </c>
      <c r="F21" s="10">
        <f>1652/470531</f>
        <v>3.5109270164983817E-3</v>
      </c>
      <c r="G21" s="20" t="s">
        <v>7</v>
      </c>
      <c r="H21" s="12"/>
      <c r="I21" s="10"/>
      <c r="J21" s="22"/>
      <c r="K21" s="49"/>
      <c r="L21" s="50"/>
      <c r="M21" s="49"/>
      <c r="N21" s="50"/>
      <c r="O21" s="49"/>
      <c r="P21" s="50"/>
      <c r="Q21" s="54"/>
      <c r="R21" s="55"/>
      <c r="S21" s="75"/>
      <c r="T21" s="76"/>
      <c r="U21" s="76"/>
      <c r="V21" s="76"/>
      <c r="W21" s="76"/>
      <c r="X21" s="76"/>
      <c r="Y21" s="76"/>
      <c r="Z21" s="76"/>
      <c r="AA21" s="77"/>
    </row>
    <row r="22" spans="1:27" s="2" customFormat="1" ht="15" customHeight="1" x14ac:dyDescent="0.3">
      <c r="A22" s="2" t="s">
        <v>15</v>
      </c>
      <c r="B22" s="2" t="str">
        <f t="shared" si="0"/>
        <v>"probability"</v>
      </c>
      <c r="C22" s="2" t="s">
        <v>28</v>
      </c>
      <c r="D22" s="2" t="str">
        <f>IF(K22&lt;&gt;"",CHAR(34)&amp;"beta pars for probability"&amp;CHAR(34),IF(M22&lt;&gt;"",CHAR(34)&amp;"normal distribution for logit prevalence"&amp;CHAR(34),IF(O22&lt;&gt;"",CHAR(34)&amp;"truncated normal distribution"&amp;CHAR(34),IF(S22&lt;&gt;"",CHAR(34)&amp;"hyperpars for logistic model for probability"&amp; CHAR(34),CHAR(34)&amp;"fixed value for probability"&amp;CHAR(34)))))</f>
        <v>"normal distribution for logit prevalence"</v>
      </c>
      <c r="E22" s="12" t="s">
        <v>273</v>
      </c>
      <c r="F22" s="10">
        <v>4.2756000000000001E-3</v>
      </c>
      <c r="G22" s="20" t="s">
        <v>17</v>
      </c>
      <c r="H22" s="12"/>
      <c r="I22" s="10"/>
      <c r="J22" s="22"/>
      <c r="K22" s="49"/>
      <c r="L22" s="50"/>
      <c r="M22" s="49">
        <v>-5.4505400000000002</v>
      </c>
      <c r="N22" s="50">
        <v>0.32321</v>
      </c>
      <c r="O22" s="49"/>
      <c r="P22" s="50"/>
      <c r="Q22" s="54"/>
      <c r="R22" s="55"/>
      <c r="S22" s="78"/>
      <c r="T22" s="79"/>
      <c r="U22" s="79"/>
      <c r="V22" s="79"/>
      <c r="W22" s="79"/>
      <c r="X22" s="79"/>
      <c r="Y22" s="79"/>
      <c r="Z22" s="79"/>
      <c r="AA22" s="80"/>
    </row>
    <row r="23" spans="1:27" s="2" customFormat="1" ht="15" thickBot="1" x14ac:dyDescent="0.35">
      <c r="A23" s="2" t="s">
        <v>16</v>
      </c>
      <c r="D23" s="2" t="s">
        <v>30</v>
      </c>
      <c r="E23" s="12" t="s">
        <v>14</v>
      </c>
      <c r="F23" s="46">
        <v>3</v>
      </c>
      <c r="G23" s="53"/>
      <c r="H23" s="67"/>
      <c r="I23" s="53"/>
      <c r="J23" s="53"/>
      <c r="K23" s="53"/>
      <c r="L23" s="53"/>
      <c r="M23" s="53"/>
      <c r="N23" s="53"/>
      <c r="O23" s="53"/>
      <c r="P23" s="53"/>
      <c r="Q23" s="54"/>
      <c r="R23" s="55"/>
      <c r="S23" s="54"/>
      <c r="T23" s="54"/>
      <c r="U23" s="54"/>
      <c r="V23" s="55"/>
      <c r="W23" s="54"/>
      <c r="X23" s="54"/>
      <c r="Y23" s="55"/>
      <c r="Z23" s="54"/>
      <c r="AA23" s="70"/>
    </row>
    <row r="24" spans="1:27" s="2" customFormat="1" x14ac:dyDescent="0.3">
      <c r="E24" s="44" t="s">
        <v>33</v>
      </c>
      <c r="F24" s="114"/>
      <c r="G24" s="114"/>
      <c r="H24" s="114"/>
      <c r="I24" s="114"/>
      <c r="J24" s="114"/>
      <c r="K24" s="114"/>
      <c r="L24" s="114"/>
      <c r="M24" s="114"/>
      <c r="N24" s="114"/>
      <c r="O24" s="114"/>
      <c r="P24" s="114"/>
      <c r="Q24" s="114"/>
      <c r="R24" s="114"/>
      <c r="S24" s="114"/>
      <c r="T24" s="114"/>
      <c r="U24" s="114"/>
      <c r="V24" s="114"/>
      <c r="W24" s="114"/>
      <c r="X24" s="114"/>
      <c r="Y24" s="114"/>
      <c r="Z24" s="114"/>
      <c r="AA24" s="59"/>
    </row>
    <row r="25" spans="1:27" s="2" customFormat="1" ht="28.8" x14ac:dyDescent="0.3">
      <c r="A25" s="2" t="s">
        <v>37</v>
      </c>
      <c r="B25" s="2" t="str">
        <f>IF(F25&lt;&gt;"",CHAR(34) &amp; "rate" &amp; CHAR(34),IF(H25&lt;&gt;"", CHAR(34) &amp; "log model for rate" &amp; CHAR(34), ""))</f>
        <v>"rate"</v>
      </c>
      <c r="C25" s="2" t="s">
        <v>38</v>
      </c>
      <c r="D25" s="2" t="str">
        <f>IF(Q25&lt;&gt;"",CHAR(34)&amp;"gamma pars for rate"&amp;CHAR(34),CHAR(34) &amp; "fixed value for rate"&amp;CHAR(34))</f>
        <v>"gamma pars for rate"</v>
      </c>
      <c r="E25" s="12" t="s">
        <v>34</v>
      </c>
      <c r="F25" s="10">
        <f>1072/19650</f>
        <v>5.4554707379134863E-2</v>
      </c>
      <c r="G25" s="20" t="s">
        <v>7</v>
      </c>
      <c r="H25" s="67"/>
      <c r="I25" s="53"/>
      <c r="J25" s="53"/>
      <c r="K25" s="56"/>
      <c r="L25" s="58"/>
      <c r="M25" s="56"/>
      <c r="N25" s="58"/>
      <c r="O25" s="56"/>
      <c r="P25" s="58"/>
      <c r="Q25" s="47">
        <v>1072</v>
      </c>
      <c r="R25" s="51">
        <f>1/19650</f>
        <v>5.0890585241730277E-5</v>
      </c>
      <c r="S25" s="67"/>
      <c r="T25" s="53"/>
      <c r="U25" s="53"/>
      <c r="V25" s="67"/>
      <c r="W25" s="53"/>
      <c r="X25" s="53"/>
      <c r="Y25" s="67"/>
      <c r="Z25" s="53"/>
      <c r="AA25" s="53"/>
    </row>
    <row r="26" spans="1:27" s="2" customFormat="1" ht="28.8" x14ac:dyDescent="0.3">
      <c r="A26" s="2" t="s">
        <v>41</v>
      </c>
      <c r="B26" s="2" t="str">
        <f>IF(F26&lt;&gt;"",CHAR(34) &amp; "rate" &amp; CHAR(34),IF(H26&lt;&gt;"", CHAR(34) &amp; "log model for rate" &amp; CHAR(34), ""))</f>
        <v>"rate"</v>
      </c>
      <c r="C26" s="2" t="s">
        <v>42</v>
      </c>
      <c r="D26" s="2" t="str">
        <f>IF(Q26&lt;&gt;"",CHAR(34)&amp;"gamma pars for rate"&amp;CHAR(34),CHAR(34) &amp; "fixed value for rate"&amp;CHAR(34))</f>
        <v>"gamma pars for rate"</v>
      </c>
      <c r="E26" s="12" t="s">
        <v>35</v>
      </c>
      <c r="F26" s="10">
        <f>40/1364.25</f>
        <v>2.9320139270661537E-2</v>
      </c>
      <c r="G26" s="22" t="s">
        <v>43</v>
      </c>
      <c r="H26" s="67"/>
      <c r="I26" s="53"/>
      <c r="J26" s="53"/>
      <c r="K26" s="56"/>
      <c r="L26" s="58"/>
      <c r="M26" s="56"/>
      <c r="N26" s="58"/>
      <c r="O26" s="56"/>
      <c r="P26" s="58"/>
      <c r="Q26" s="49">
        <v>40</v>
      </c>
      <c r="R26" s="52">
        <f>1/(321*4.25)</f>
        <v>7.3300348176653842E-4</v>
      </c>
      <c r="S26" s="67"/>
      <c r="T26" s="53"/>
      <c r="U26" s="53"/>
      <c r="V26" s="67"/>
      <c r="W26" s="53"/>
      <c r="X26" s="53"/>
      <c r="Y26" s="67"/>
      <c r="Z26" s="53"/>
      <c r="AA26" s="53"/>
    </row>
    <row r="27" spans="1:27" s="2" customFormat="1" ht="28.8" x14ac:dyDescent="0.3">
      <c r="A27" s="2" t="s">
        <v>44</v>
      </c>
      <c r="D27" s="2" t="s">
        <v>30</v>
      </c>
      <c r="E27" s="16" t="s">
        <v>36</v>
      </c>
      <c r="F27" s="17">
        <f>10.6/365.25</f>
        <v>2.9021218343600271E-2</v>
      </c>
      <c r="G27" s="21" t="s">
        <v>7</v>
      </c>
      <c r="H27" s="67"/>
      <c r="I27" s="53"/>
      <c r="J27" s="53"/>
      <c r="K27" s="56"/>
      <c r="L27" s="58"/>
      <c r="M27" s="56"/>
      <c r="N27" s="58"/>
      <c r="O27" s="56"/>
      <c r="P27" s="58"/>
      <c r="Q27" s="56"/>
      <c r="R27" s="58"/>
      <c r="S27" s="58"/>
      <c r="T27" s="56"/>
      <c r="U27" s="58"/>
      <c r="V27" s="54"/>
      <c r="W27" s="58"/>
      <c r="X27" s="56"/>
      <c r="Y27" s="58"/>
      <c r="Z27" s="54"/>
      <c r="AA27" s="70"/>
    </row>
    <row r="28" spans="1:27" s="2" customFormat="1" ht="28.8" x14ac:dyDescent="0.3">
      <c r="A28" s="2" t="s">
        <v>47</v>
      </c>
      <c r="B28" s="2" t="s">
        <v>49</v>
      </c>
      <c r="C28" s="2" t="s">
        <v>48</v>
      </c>
      <c r="D28" s="2" t="str">
        <f>IF(M28&lt;&gt;"",CHAR(34)&amp;"normal distribution for value"&amp;CHAR(34),CHAR(34)&amp;"fixed value"&amp;CHAR(34))</f>
        <v>"fixed value"</v>
      </c>
      <c r="E28" s="12" t="s">
        <v>45</v>
      </c>
      <c r="F28" s="10">
        <v>0.24399999999999999</v>
      </c>
      <c r="G28" s="22" t="s">
        <v>46</v>
      </c>
      <c r="H28" s="67"/>
      <c r="I28" s="53"/>
      <c r="J28" s="53"/>
      <c r="K28" s="56"/>
      <c r="L28" s="58"/>
      <c r="M28" s="47"/>
      <c r="N28" s="48"/>
      <c r="O28" s="47"/>
      <c r="P28" s="48"/>
      <c r="Q28" s="56"/>
      <c r="R28" s="58"/>
      <c r="S28" s="58"/>
      <c r="T28" s="56"/>
      <c r="U28" s="58"/>
      <c r="V28" s="54"/>
      <c r="W28" s="58"/>
      <c r="X28" s="56"/>
      <c r="Y28" s="58"/>
      <c r="Z28" s="54"/>
      <c r="AA28" s="70"/>
    </row>
    <row r="29" spans="1:27" s="2" customFormat="1" ht="28.8" x14ac:dyDescent="0.3">
      <c r="A29" s="2" t="s">
        <v>52</v>
      </c>
      <c r="B29" s="2" t="s">
        <v>49</v>
      </c>
      <c r="C29" s="2" t="s">
        <v>53</v>
      </c>
      <c r="D29" s="2" t="str">
        <f>IF(M29&lt;&gt;"",CHAR(34)&amp;"normal distribution for value"&amp;CHAR(34),CHAR(34)&amp;"fixed value"&amp;CHAR(34))</f>
        <v>"fixed value"</v>
      </c>
      <c r="E29" s="12" t="s">
        <v>50</v>
      </c>
      <c r="F29" s="10">
        <v>0.19</v>
      </c>
      <c r="G29" s="22" t="s">
        <v>51</v>
      </c>
      <c r="H29" s="67"/>
      <c r="I29" s="53"/>
      <c r="J29" s="53"/>
      <c r="K29" s="56"/>
      <c r="L29" s="58"/>
      <c r="M29" s="47"/>
      <c r="N29" s="48"/>
      <c r="O29" s="47"/>
      <c r="P29" s="48"/>
      <c r="Q29" s="56"/>
      <c r="R29" s="58"/>
      <c r="S29" s="58"/>
      <c r="T29" s="56"/>
      <c r="U29" s="58"/>
      <c r="V29" s="54"/>
      <c r="W29" s="58"/>
      <c r="X29" s="56"/>
      <c r="Y29" s="58"/>
      <c r="Z29" s="54"/>
      <c r="AA29" s="70"/>
    </row>
    <row r="30" spans="1:27" s="2" customFormat="1" ht="28.8" x14ac:dyDescent="0.3">
      <c r="A30" s="2" t="s">
        <v>55</v>
      </c>
      <c r="B30" s="2" t="str">
        <f>IF(F30&lt;&gt;"",CHAR(34) &amp; "probability" &amp; CHAR(34),IF(H30&lt;&gt;"", CHAR(34) &amp; "logistic model for probability" &amp; CHAR(34), ""))</f>
        <v>"probability"</v>
      </c>
      <c r="C30" s="2" t="s">
        <v>56</v>
      </c>
      <c r="D30" s="2" t="str">
        <f>IF(K30&lt;&gt;"",CHAR(34)&amp;"beta pars for probability"&amp;CHAR(34),IF(M30&lt;&gt;"",CHAR(34)&amp;"normal distribution for logit prevalence"&amp;CHAR(34),IF(O30&lt;&gt;"",CHAR(34)&amp;"truncated normal distribution"&amp;CHAR(34),IF(S30&lt;&gt;"",CHAR(34)&amp;"hyperpars for logistic model for probability"&amp; CHAR(34),CHAR(34)&amp;"fixed value for probability"&amp;CHAR(34)))))</f>
        <v>"hyperpars for logistic model for probability"</v>
      </c>
      <c r="E30" s="12" t="s">
        <v>54</v>
      </c>
      <c r="F30" s="10">
        <v>0.34226000000000001</v>
      </c>
      <c r="G30" s="20" t="s">
        <v>57</v>
      </c>
      <c r="H30" s="12"/>
      <c r="I30" s="10"/>
      <c r="J30" s="22"/>
      <c r="K30" s="47"/>
      <c r="L30" s="48"/>
      <c r="M30" s="47"/>
      <c r="N30" s="48"/>
      <c r="O30" s="47"/>
      <c r="P30" s="48"/>
      <c r="Q30" s="56"/>
      <c r="R30" s="57"/>
      <c r="S30" s="75">
        <v>-0.65324000000000004</v>
      </c>
      <c r="T30" s="76"/>
      <c r="U30" s="76"/>
      <c r="V30" s="76">
        <f>0.13502^2</f>
        <v>1.8230400399999999E-2</v>
      </c>
      <c r="W30" s="76"/>
      <c r="X30" s="76"/>
      <c r="Y30" s="76"/>
      <c r="Z30" s="76"/>
      <c r="AA30" s="77"/>
    </row>
    <row r="31" spans="1:27" s="2" customFormat="1" ht="29.4" thickBot="1" x14ac:dyDescent="0.35">
      <c r="A31" s="2" t="s">
        <v>72</v>
      </c>
      <c r="D31" s="2" t="s">
        <v>30</v>
      </c>
      <c r="E31" s="12" t="s">
        <v>71</v>
      </c>
      <c r="F31" s="10">
        <f>70.8/365.25</f>
        <v>0.19383983572895278</v>
      </c>
      <c r="G31" s="20" t="s">
        <v>7</v>
      </c>
      <c r="H31" s="67"/>
      <c r="I31" s="53"/>
      <c r="J31" s="53"/>
      <c r="K31" s="56"/>
      <c r="L31" s="58"/>
      <c r="M31" s="56"/>
      <c r="N31" s="58"/>
      <c r="O31" s="56"/>
      <c r="P31" s="58"/>
      <c r="Q31" s="56"/>
      <c r="R31" s="58"/>
      <c r="S31" s="58"/>
      <c r="T31" s="56"/>
      <c r="U31" s="58"/>
      <c r="V31" s="54"/>
      <c r="W31" s="58"/>
      <c r="X31" s="56"/>
      <c r="Y31" s="58"/>
      <c r="Z31" s="54"/>
      <c r="AA31" s="70"/>
    </row>
    <row r="32" spans="1:27" s="2" customFormat="1" x14ac:dyDescent="0.3">
      <c r="E32" s="44" t="s">
        <v>73</v>
      </c>
      <c r="F32" s="114"/>
      <c r="G32" s="114"/>
      <c r="H32" s="114"/>
      <c r="I32" s="114"/>
      <c r="J32" s="114"/>
      <c r="K32" s="114"/>
      <c r="L32" s="114"/>
      <c r="M32" s="114"/>
      <c r="N32" s="114"/>
      <c r="O32" s="114"/>
      <c r="P32" s="114"/>
      <c r="Q32" s="114"/>
      <c r="R32" s="114"/>
      <c r="S32" s="114"/>
      <c r="T32" s="114"/>
      <c r="U32" s="114"/>
      <c r="V32" s="114"/>
      <c r="W32" s="114"/>
      <c r="X32" s="114"/>
      <c r="Y32" s="114"/>
      <c r="Z32" s="114"/>
      <c r="AA32" s="59"/>
    </row>
    <row r="33" spans="1:27" s="2" customFormat="1" ht="43.2" x14ac:dyDescent="0.3">
      <c r="A33" s="2" t="s">
        <v>74</v>
      </c>
      <c r="B33" s="2" t="str">
        <f>IF(F33&lt;&gt;"",CHAR(34) &amp; "probability" &amp; CHAR(34),IF(H33&lt;&gt;"", CHAR(34) &amp; "logistic model for probability" &amp; CHAR(34), ""))</f>
        <v>"logistic model for probability"</v>
      </c>
      <c r="C33" s="2" t="s">
        <v>75</v>
      </c>
      <c r="D33" s="2" t="str">
        <f>IF(K33&lt;&gt;"",CHAR(34)&amp;"beta pars for probability"&amp;CHAR(34),IF(M33&lt;&gt;"",CHAR(34)&amp;"normal distribution for logit prevalence"&amp;CHAR(34),IF(O33&lt;&gt;"",CHAR(34)&amp;"truncated normal distribution"&amp;CHAR(34),IF(S33&lt;&gt;"",CHAR(34)&amp;"hyperpars for logistic model for probability"&amp; CHAR(34),CHAR(34)&amp;"fixed value for probability"&amp;CHAR(34)))))</f>
        <v>"hyperpars for logistic model for probability"</v>
      </c>
      <c r="E33" s="12" t="s">
        <v>86</v>
      </c>
      <c r="F33" s="10"/>
      <c r="G33" s="20" t="s">
        <v>76</v>
      </c>
      <c r="H33" s="12">
        <v>-0.70239099999999999</v>
      </c>
      <c r="I33" s="10">
        <v>-9.5305000000000001E-2</v>
      </c>
      <c r="J33" s="22">
        <v>0.30302200000000001</v>
      </c>
      <c r="K33" s="47"/>
      <c r="L33" s="48"/>
      <c r="M33" s="47"/>
      <c r="N33" s="48"/>
      <c r="O33" s="47"/>
      <c r="P33" s="48"/>
      <c r="Q33" s="56"/>
      <c r="R33" s="57"/>
      <c r="S33" s="75">
        <v>-0.70239099999999999</v>
      </c>
      <c r="T33" s="76">
        <v>-9.5305000000000001E-2</v>
      </c>
      <c r="U33" s="76">
        <v>0.30302200000000001</v>
      </c>
      <c r="V33" s="76">
        <v>3.1110460000000001E-3</v>
      </c>
      <c r="W33" s="76">
        <v>5.5984969999999998E-5</v>
      </c>
      <c r="X33" s="76">
        <v>2.8017033000000001E-3</v>
      </c>
      <c r="Y33" s="76">
        <v>2.0465730000000001E-4</v>
      </c>
      <c r="Z33" s="76">
        <v>-8.1735909999999996E-4</v>
      </c>
      <c r="AA33" s="77">
        <v>-6.7047999999999999E-5</v>
      </c>
    </row>
    <row r="34" spans="1:27" s="2" customFormat="1" ht="43.2" x14ac:dyDescent="0.3">
      <c r="A34" s="2" t="s">
        <v>77</v>
      </c>
      <c r="B34" s="2" t="str">
        <f>IF(F34&lt;&gt;"",CHAR(34) &amp; "probability" &amp; CHAR(34),IF(H34&lt;&gt;"", CHAR(34) &amp; "logistic model for probability" &amp; CHAR(34), ""))</f>
        <v>"logistic model for probability"</v>
      </c>
      <c r="C34" s="2" t="s">
        <v>78</v>
      </c>
      <c r="D34" s="2" t="str">
        <f>IF(K34&lt;&gt;"",CHAR(34)&amp;"beta pars for probability"&amp;CHAR(34),IF(M34&lt;&gt;"",CHAR(34)&amp;"normal distribution for logit prevalence"&amp;CHAR(34),IF(O34&lt;&gt;"",CHAR(34)&amp;"truncated normal distribution"&amp;CHAR(34),IF(S34&lt;&gt;"",CHAR(34)&amp;"hyperpars for logistic model for probability"&amp; CHAR(34),CHAR(34)&amp;"fixed value for probability"&amp;CHAR(34)))))</f>
        <v>"hyperpars for logistic model for probability"</v>
      </c>
      <c r="E34" s="12" t="s">
        <v>87</v>
      </c>
      <c r="F34" s="10"/>
      <c r="G34" s="20" t="s">
        <v>76</v>
      </c>
      <c r="H34" s="12">
        <f xml:space="preserve"> -3.909914 + LN((37/(1642-37))/(27/(1642-27)))</f>
        <v>-3.5886217532674638</v>
      </c>
      <c r="I34" s="10">
        <v>2.297E-3</v>
      </c>
      <c r="J34" s="22">
        <v>-2.7854E-2</v>
      </c>
      <c r="K34" s="47"/>
      <c r="L34" s="48"/>
      <c r="M34" s="47"/>
      <c r="N34" s="48"/>
      <c r="O34" s="47"/>
      <c r="P34" s="48"/>
      <c r="Q34" s="56"/>
      <c r="R34" s="57"/>
      <c r="S34" s="75">
        <f>-3.909914+LN((37/(1642-37))/(27/(1642-27)))</f>
        <v>-3.5886217532674638</v>
      </c>
      <c r="T34" s="76">
        <v>2.297E-3</v>
      </c>
      <c r="U34" s="76">
        <v>-2.7854E-2</v>
      </c>
      <c r="V34" s="76">
        <v>4.7135400000000001E-2</v>
      </c>
      <c r="W34" s="76">
        <v>9.9835099999999997E-4</v>
      </c>
      <c r="X34" s="76">
        <v>6.6244499999999998E-2</v>
      </c>
      <c r="Y34" s="76">
        <v>1.398098E-3</v>
      </c>
      <c r="Z34" s="76">
        <v>-8.7793739999999995E-3</v>
      </c>
      <c r="AA34" s="77">
        <v>-9.8353799999999995E-4</v>
      </c>
    </row>
    <row r="35" spans="1:27" s="2" customFormat="1" ht="43.2" x14ac:dyDescent="0.3">
      <c r="A35" s="2" t="s">
        <v>79</v>
      </c>
      <c r="B35" s="2" t="str">
        <f>IF(F35&lt;&gt;"",CHAR(34) &amp; "probability" &amp; CHAR(34),IF(H35&lt;&gt;"", CHAR(34) &amp; "logistic model for probability" &amp; CHAR(34), ""))</f>
        <v>"logistic model for probability"</v>
      </c>
      <c r="C35" s="2" t="s">
        <v>80</v>
      </c>
      <c r="D35" s="2" t="str">
        <f>IF(K35&lt;&gt;"",CHAR(34)&amp;"beta pars for probability"&amp;CHAR(34),IF(M35&lt;&gt;"",CHAR(34)&amp;"normal distribution for logit prevalence"&amp;CHAR(34),IF(O35&lt;&gt;"",CHAR(34)&amp;"truncated normal distribution"&amp;CHAR(34),IF(S35&lt;&gt;"",CHAR(34)&amp;"hyperpars for logistic model for probability"&amp; CHAR(34),CHAR(34)&amp;"fixed value for probability"&amp;CHAR(34)))))</f>
        <v>"hyperpars for logistic model for probability"</v>
      </c>
      <c r="E35" s="12" t="s">
        <v>88</v>
      </c>
      <c r="F35" s="10"/>
      <c r="G35" s="20" t="s">
        <v>76</v>
      </c>
      <c r="H35" s="12">
        <f xml:space="preserve"> -2.33601+LN((75/(1066-75))/(64/(1066-64)))</f>
        <v>-2.1663662225085392</v>
      </c>
      <c r="I35" s="10">
        <v>6.4159999999999995E-2</v>
      </c>
      <c r="J35" s="22">
        <v>7.7450000000000005E-2</v>
      </c>
      <c r="K35" s="47"/>
      <c r="L35" s="48"/>
      <c r="M35" s="47"/>
      <c r="N35" s="48"/>
      <c r="O35" s="47"/>
      <c r="P35" s="48"/>
      <c r="Q35" s="56"/>
      <c r="R35" s="57"/>
      <c r="S35" s="75">
        <v>-2.1663662225085392</v>
      </c>
      <c r="T35" s="76">
        <v>6.4159999999999995E-2</v>
      </c>
      <c r="U35" s="76">
        <v>7.7450000000000005E-2</v>
      </c>
      <c r="V35" s="76">
        <v>2.7226750000000001E-2</v>
      </c>
      <c r="W35" s="76">
        <v>4.8773700000000002E-4</v>
      </c>
      <c r="X35" s="76">
        <v>1.6345716999999999E-2</v>
      </c>
      <c r="Y35" s="76">
        <v>1.7289499999999999E-3</v>
      </c>
      <c r="Z35" s="76">
        <v>-8.5209299999999995E-3</v>
      </c>
      <c r="AA35" s="77">
        <v>-4.7438999999999999E-4</v>
      </c>
    </row>
    <row r="36" spans="1:27" s="2" customFormat="1" ht="28.8" x14ac:dyDescent="0.3">
      <c r="A36" s="2" t="s">
        <v>90</v>
      </c>
      <c r="D36" s="2" t="s">
        <v>30</v>
      </c>
      <c r="E36" s="12" t="s">
        <v>89</v>
      </c>
      <c r="F36" s="10">
        <f>120/365.25</f>
        <v>0.32854209445585214</v>
      </c>
      <c r="G36" s="45" t="s">
        <v>81</v>
      </c>
      <c r="H36" s="67"/>
      <c r="I36" s="53"/>
      <c r="J36" s="53"/>
      <c r="K36" s="67"/>
      <c r="L36" s="67"/>
      <c r="M36" s="53"/>
      <c r="N36" s="53"/>
      <c r="O36" s="53"/>
      <c r="P36" s="53"/>
      <c r="Q36" s="56"/>
      <c r="R36" s="67"/>
      <c r="S36" s="53"/>
      <c r="T36" s="53"/>
      <c r="U36" s="67"/>
      <c r="V36" s="53"/>
      <c r="W36" s="53"/>
      <c r="X36" s="67"/>
      <c r="Y36" s="53"/>
      <c r="Z36" s="53"/>
      <c r="AA36" s="53"/>
    </row>
    <row r="37" spans="1:27" s="2" customFormat="1" ht="28.8" x14ac:dyDescent="0.3">
      <c r="A37" s="2" t="s">
        <v>82</v>
      </c>
      <c r="B37" s="2" t="s">
        <v>83</v>
      </c>
      <c r="C37" s="2" t="s">
        <v>84</v>
      </c>
      <c r="D37" s="2" t="str">
        <f>IF(AND(Q37&lt;&gt;"", F36&lt;&gt;"numeric()"),CHAR(34)&amp;"gamma pars for multiple rates"&amp;CHAR(34),IF(AND(Q37&lt;&gt;"", F36="numeric()"),CHAR(34)&amp;"gamma pars for rate"&amp;CHAR(34),CHAR(34)&amp;"fixed value for reintervention rates"&amp;CHAR(34)))</f>
        <v>"gamma pars for multiple rates"</v>
      </c>
      <c r="E37" s="12" t="s">
        <v>123</v>
      </c>
      <c r="F37" s="10" t="s">
        <v>85</v>
      </c>
      <c r="G37" s="20" t="s">
        <v>81</v>
      </c>
      <c r="H37" s="67"/>
      <c r="I37" s="53"/>
      <c r="J37" s="53"/>
      <c r="K37" s="56"/>
      <c r="L37" s="58"/>
      <c r="M37" s="56"/>
      <c r="N37" s="58"/>
      <c r="O37" s="56"/>
      <c r="P37" s="58"/>
      <c r="Q37" s="49" t="s">
        <v>91</v>
      </c>
      <c r="R37" s="52" t="s">
        <v>92</v>
      </c>
      <c r="S37" s="67"/>
      <c r="T37" s="53"/>
      <c r="U37" s="53"/>
      <c r="V37" s="67"/>
      <c r="W37" s="53"/>
      <c r="X37" s="53"/>
      <c r="Y37" s="67"/>
      <c r="Z37" s="53"/>
      <c r="AA37" s="53"/>
    </row>
    <row r="38" spans="1:27" s="2" customFormat="1" ht="28.8" x14ac:dyDescent="0.3">
      <c r="A38" s="2" t="s">
        <v>93</v>
      </c>
      <c r="D38" s="2" t="s">
        <v>30</v>
      </c>
      <c r="E38" s="12" t="s">
        <v>94</v>
      </c>
      <c r="F38" s="10" t="s">
        <v>95</v>
      </c>
      <c r="G38" s="45" t="s">
        <v>81</v>
      </c>
      <c r="H38" s="67"/>
      <c r="I38" s="53"/>
      <c r="J38" s="53"/>
      <c r="K38" s="67"/>
      <c r="L38" s="67"/>
      <c r="M38" s="53"/>
      <c r="N38" s="53"/>
      <c r="O38" s="53"/>
      <c r="P38" s="53"/>
      <c r="Q38" s="56"/>
      <c r="R38" s="67"/>
      <c r="S38" s="53"/>
      <c r="T38" s="53"/>
      <c r="U38" s="67"/>
      <c r="V38" s="53"/>
      <c r="W38" s="53"/>
      <c r="X38" s="67"/>
      <c r="Y38" s="53"/>
      <c r="Z38" s="53"/>
      <c r="AA38" s="53"/>
    </row>
    <row r="39" spans="1:27" s="2" customFormat="1" ht="28.8" x14ac:dyDescent="0.3">
      <c r="A39" s="2" t="s">
        <v>96</v>
      </c>
      <c r="B39" s="2" t="s">
        <v>83</v>
      </c>
      <c r="C39" s="2" t="s">
        <v>97</v>
      </c>
      <c r="D39" s="2" t="str">
        <f>IF(AND(Q39&lt;&gt;"", F38&lt;&gt;"numeric()"),CHAR(34)&amp;"gamma pars for multiple rates"&amp;CHAR(34),IF(AND(Q39&lt;&gt;"", F38="numeric()"),CHAR(34)&amp;"gamma pars for rate"&amp;CHAR(34),CHAR(34)&amp;"fixed value for reintervention rates"&amp;CHAR(34)))</f>
        <v>"fixed value for reintervention rates"</v>
      </c>
      <c r="E39" s="12" t="s">
        <v>124</v>
      </c>
      <c r="F39" s="10">
        <v>0</v>
      </c>
      <c r="G39" s="45" t="s">
        <v>81</v>
      </c>
      <c r="H39" s="67"/>
      <c r="I39" s="53"/>
      <c r="J39" s="53"/>
      <c r="K39" s="56"/>
      <c r="L39" s="58"/>
      <c r="M39" s="56"/>
      <c r="N39" s="58"/>
      <c r="O39" s="56"/>
      <c r="P39" s="58"/>
      <c r="Q39" s="49"/>
      <c r="R39" s="52"/>
      <c r="S39" s="67"/>
      <c r="T39" s="53"/>
      <c r="U39" s="53"/>
      <c r="V39" s="67"/>
      <c r="W39" s="53"/>
      <c r="X39" s="53"/>
      <c r="Y39" s="67"/>
      <c r="Z39" s="53"/>
      <c r="AA39" s="53"/>
    </row>
    <row r="40" spans="1:27" s="2" customFormat="1" ht="43.2" x14ac:dyDescent="0.3">
      <c r="A40" s="2" t="s">
        <v>99</v>
      </c>
      <c r="B40" s="2" t="s">
        <v>100</v>
      </c>
      <c r="C40" s="2" t="s">
        <v>101</v>
      </c>
      <c r="D40" s="2" t="str">
        <f>IF(Q40&lt;&gt;"",CHAR(34)&amp;"gamma pars for rate"&amp;CHAR(34),CHAR(34) &amp; "fixed value for rate"&amp;CHAR(34))</f>
        <v>"gamma pars for rate"</v>
      </c>
      <c r="E40" s="12" t="s">
        <v>98</v>
      </c>
      <c r="F40" s="10">
        <f>1.799 / 100</f>
        <v>1.7989999999999999E-2</v>
      </c>
      <c r="G40" s="20" t="s">
        <v>81</v>
      </c>
      <c r="H40" s="67"/>
      <c r="I40" s="53"/>
      <c r="J40" s="53"/>
      <c r="K40" s="56"/>
      <c r="L40" s="58"/>
      <c r="M40" s="56"/>
      <c r="N40" s="58"/>
      <c r="O40" s="56"/>
      <c r="P40" s="58"/>
      <c r="Q40" s="49">
        <v>8</v>
      </c>
      <c r="R40" s="52">
        <f>1/444.7</f>
        <v>2.2487069934787498E-3</v>
      </c>
      <c r="S40" s="67"/>
      <c r="T40" s="53"/>
      <c r="U40" s="53"/>
      <c r="V40" s="67"/>
      <c r="W40" s="53"/>
      <c r="X40" s="53"/>
      <c r="Y40" s="67"/>
      <c r="Z40" s="53"/>
      <c r="AA40" s="53"/>
    </row>
    <row r="41" spans="1:27" s="2" customFormat="1" ht="43.8" thickBot="1" x14ac:dyDescent="0.35">
      <c r="A41" s="2" t="s">
        <v>102</v>
      </c>
      <c r="B41" s="2" t="s">
        <v>100</v>
      </c>
      <c r="C41" s="2" t="s">
        <v>103</v>
      </c>
      <c r="D41" s="2" t="str">
        <f>IF(Q41&lt;&gt;"",CHAR(34)&amp;"gamma pars for rate"&amp;CHAR(34),CHAR(34) &amp; "fixed value for rate"&amp;CHAR(34))</f>
        <v>"gamma pars for rate"</v>
      </c>
      <c r="E41" s="12" t="s">
        <v>104</v>
      </c>
      <c r="F41" s="10">
        <f>0.499 / 100</f>
        <v>4.9899999999999996E-3</v>
      </c>
      <c r="G41" s="45" t="s">
        <v>81</v>
      </c>
      <c r="H41" s="67"/>
      <c r="I41" s="53"/>
      <c r="J41" s="53"/>
      <c r="K41" s="56"/>
      <c r="L41" s="58"/>
      <c r="M41" s="56"/>
      <c r="N41" s="58"/>
      <c r="O41" s="56"/>
      <c r="P41" s="58"/>
      <c r="Q41" s="49">
        <v>2</v>
      </c>
      <c r="R41" s="52">
        <f>1/400.8</f>
        <v>2.4950099800399202E-3</v>
      </c>
      <c r="S41" s="67"/>
      <c r="T41" s="53"/>
      <c r="U41" s="53"/>
      <c r="V41" s="67"/>
      <c r="W41" s="53"/>
      <c r="X41" s="53"/>
      <c r="Y41" s="67"/>
      <c r="Z41" s="53"/>
      <c r="AA41" s="53"/>
    </row>
    <row r="42" spans="1:27" s="2" customFormat="1" x14ac:dyDescent="0.3">
      <c r="E42" s="44" t="s">
        <v>105</v>
      </c>
      <c r="F42" s="114"/>
      <c r="G42" s="114"/>
      <c r="H42" s="114"/>
      <c r="I42" s="114"/>
      <c r="J42" s="114"/>
      <c r="K42" s="114"/>
      <c r="L42" s="114"/>
      <c r="M42" s="114"/>
      <c r="N42" s="114"/>
      <c r="O42" s="114"/>
      <c r="P42" s="114"/>
      <c r="Q42" s="114"/>
      <c r="R42" s="114"/>
      <c r="S42" s="114"/>
      <c r="T42" s="114"/>
      <c r="U42" s="114"/>
      <c r="V42" s="114"/>
      <c r="W42" s="114"/>
      <c r="X42" s="114"/>
      <c r="Y42" s="114"/>
      <c r="Z42" s="114"/>
      <c r="AA42" s="59"/>
    </row>
    <row r="43" spans="1:27" s="2" customFormat="1" ht="28.8" x14ac:dyDescent="0.3">
      <c r="A43" s="2" t="s">
        <v>107</v>
      </c>
      <c r="B43" s="2" t="s">
        <v>108</v>
      </c>
      <c r="C43" s="2" t="s">
        <v>109</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"truncated normal distribution"</v>
      </c>
      <c r="E43" s="12" t="s">
        <v>106</v>
      </c>
      <c r="F43" s="10">
        <v>0.25</v>
      </c>
      <c r="G43" s="20" t="s">
        <v>111</v>
      </c>
      <c r="H43" s="69"/>
      <c r="I43" s="62"/>
      <c r="J43" s="62"/>
      <c r="K43" s="47"/>
      <c r="L43" s="48"/>
      <c r="M43" s="47"/>
      <c r="N43" s="48"/>
      <c r="O43" s="47">
        <v>0.25</v>
      </c>
      <c r="P43" s="48">
        <v>0.05</v>
      </c>
      <c r="Q43" s="56"/>
      <c r="R43" s="57"/>
      <c r="S43" s="75"/>
      <c r="T43" s="76"/>
      <c r="U43" s="76"/>
      <c r="V43" s="76"/>
      <c r="W43" s="76"/>
      <c r="X43" s="76"/>
      <c r="Y43" s="76"/>
      <c r="Z43" s="76"/>
      <c r="AA43" s="77"/>
    </row>
    <row r="44" spans="1:27" s="2" customFormat="1" ht="28.8" x14ac:dyDescent="0.3">
      <c r="A44" s="2" t="s">
        <v>112</v>
      </c>
      <c r="B44" s="2" t="str">
        <f>IF(F44&lt;&gt;"",CHAR(34) &amp; "probability" &amp; CHAR(34),IF(H44&lt;&gt;"", CHAR(34) &amp; "logistic model for probability" &amp; CHAR(34), ""))</f>
        <v>"logistic model for probability"</v>
      </c>
      <c r="C44" s="2" t="s">
        <v>113</v>
      </c>
      <c r="D44" s="2" t="str">
        <f>IF(K44&lt;&gt;"",CHAR(34)&amp;"beta pars for probability"&amp;CHAR(34),IF(M44&lt;&gt;"",CHAR(34)&amp;"normal distribution for logit prevalence"&amp;CHAR(34),IF(O44&lt;&gt;"",CHAR(34)&amp;"truncated normal distribution"&amp;CHAR(34),IF(S44&lt;&gt;"",CHAR(34)&amp;"hyperpars for logistic model for probability"&amp; CHAR(34),CHAR(34)&amp;"fixed value for probability"&amp;CHAR(34)))))</f>
        <v>"hyperpars for logistic model for probability"</v>
      </c>
      <c r="E44" s="12" t="s">
        <v>114</v>
      </c>
      <c r="F44" s="10"/>
      <c r="G44" s="45" t="s">
        <v>76</v>
      </c>
      <c r="H44" s="12">
        <v>1.547574</v>
      </c>
      <c r="I44" s="10">
        <v>-4.0946000000000003E-2</v>
      </c>
      <c r="J44" s="45"/>
      <c r="K44" s="47"/>
      <c r="L44" s="48"/>
      <c r="M44" s="47"/>
      <c r="N44" s="48"/>
      <c r="O44" s="47"/>
      <c r="P44" s="48"/>
      <c r="Q44" s="56"/>
      <c r="R44" s="57"/>
      <c r="S44" s="75">
        <v>1.547574</v>
      </c>
      <c r="T44" s="76">
        <v>-4.0946000000000003E-2</v>
      </c>
      <c r="U44" s="76"/>
      <c r="V44" s="76">
        <v>9.2741239999999999E-3</v>
      </c>
      <c r="W44" s="76">
        <v>1.9153430000000001E-4</v>
      </c>
      <c r="X44" s="76"/>
      <c r="Y44" s="76">
        <v>1.07859E-4</v>
      </c>
      <c r="Z44" s="76"/>
      <c r="AA44" s="77"/>
    </row>
    <row r="45" spans="1:27" s="2" customFormat="1" ht="43.2" x14ac:dyDescent="0.3">
      <c r="A45" s="2" t="s">
        <v>117</v>
      </c>
      <c r="B45" s="2" t="str">
        <f>IF(F45&lt;&gt;"",CHAR(34) &amp; "probability" &amp; CHAR(34),IF(H45&lt;&gt;"", CHAR(34) &amp; "logistic model for probability" &amp; CHAR(34), ""))</f>
        <v>"logistic model for probability"</v>
      </c>
      <c r="C45" s="2" t="s">
        <v>118</v>
      </c>
      <c r="D45" s="2" t="str">
        <f>IF(K45&lt;&gt;"",CHAR(34)&amp;"beta pars for probability"&amp;CHAR(34),IF(M45&lt;&gt;"",CHAR(34)&amp;"normal distribution for logit prevalence"&amp;CHAR(34),IF(O45&lt;&gt;"",CHAR(34)&amp;"truncated normal distribution"&amp;CHAR(34),IF(S45&lt;&gt;"",CHAR(34)&amp;"hyperpars for logistic model for probability"&amp; CHAR(34),CHAR(34)&amp;"fixed value for probability"&amp;CHAR(34)))))</f>
        <v>"hyperpars for logistic model for probability"</v>
      </c>
      <c r="E45" s="12" t="s">
        <v>119</v>
      </c>
      <c r="F45" s="10"/>
      <c r="G45" s="45" t="s">
        <v>76</v>
      </c>
      <c r="H45" s="12">
        <v>-0.6295887</v>
      </c>
      <c r="I45" s="10">
        <v>6.071E-2</v>
      </c>
      <c r="J45" s="45"/>
      <c r="K45" s="47"/>
      <c r="L45" s="48"/>
      <c r="M45" s="47"/>
      <c r="N45" s="48"/>
      <c r="O45" s="47"/>
      <c r="P45" s="48"/>
      <c r="Q45" s="56"/>
      <c r="R45" s="57"/>
      <c r="S45" s="75">
        <v>-0.6295887</v>
      </c>
      <c r="T45" s="76">
        <v>6.071E-2</v>
      </c>
      <c r="U45" s="76"/>
      <c r="V45" s="76">
        <v>4.4645490000000003E-2</v>
      </c>
      <c r="W45" s="76">
        <v>7.3728400000000005E-4</v>
      </c>
      <c r="X45" s="76"/>
      <c r="Y45" s="76">
        <v>-1.3621600000000001E-3</v>
      </c>
      <c r="Z45" s="76"/>
      <c r="AA45" s="77"/>
    </row>
    <row r="46" spans="1:27" s="2" customFormat="1" ht="43.2" x14ac:dyDescent="0.3">
      <c r="A46" s="2" t="s">
        <v>120</v>
      </c>
      <c r="B46" s="2" t="str">
        <f>IF(F46&lt;&gt;"",CHAR(34) &amp; "probability" &amp; CHAR(34),IF(H46&lt;&gt;"", CHAR(34) &amp; "logistic model for probability" &amp; CHAR(34), ""))</f>
        <v>"logistic model for probability"</v>
      </c>
      <c r="C46" s="2" t="s">
        <v>121</v>
      </c>
      <c r="D46" s="2" t="str">
        <f>IF(K46&lt;&gt;"",CHAR(34)&amp;"beta pars for probability"&amp;CHAR(34),IF(M46&lt;&gt;"",CHAR(34)&amp;"normal distribution for logit prevalence"&amp;CHAR(34),IF(O46&lt;&gt;"",CHAR(34)&amp;"truncated normal distribution"&amp;CHAR(34),IF(S46&lt;&gt;"",CHAR(34)&amp;"hyperpars for logistic model for probability"&amp; CHAR(34),CHAR(34)&amp;"fixed value for probability"&amp;CHAR(34)))))</f>
        <v>"hyperpars for logistic model for probability"</v>
      </c>
      <c r="E46" s="12" t="s">
        <v>122</v>
      </c>
      <c r="F46" s="10"/>
      <c r="G46" s="45" t="s">
        <v>76</v>
      </c>
      <c r="H46" s="12">
        <v>-0.1620434</v>
      </c>
      <c r="I46" s="10">
        <v>3.2930000000000001E-2</v>
      </c>
      <c r="J46" s="45"/>
      <c r="K46" s="47"/>
      <c r="L46" s="48"/>
      <c r="M46" s="47"/>
      <c r="N46" s="48"/>
      <c r="O46" s="47"/>
      <c r="P46" s="48"/>
      <c r="Q46" s="56"/>
      <c r="R46" s="57"/>
      <c r="S46" s="75">
        <v>-0.1620434</v>
      </c>
      <c r="T46" s="76">
        <v>3.2930000000000001E-2</v>
      </c>
      <c r="U46" s="76"/>
      <c r="V46" s="76">
        <v>6.9995789999999997E-3</v>
      </c>
      <c r="W46" s="76">
        <v>1.38722E-4</v>
      </c>
      <c r="X46" s="76"/>
      <c r="Y46" s="76">
        <v>2.7114800000000003E-4</v>
      </c>
      <c r="Z46" s="76"/>
      <c r="AA46" s="77"/>
    </row>
    <row r="47" spans="1:27" s="2" customFormat="1" ht="28.8" x14ac:dyDescent="0.3">
      <c r="A47" s="2" t="s">
        <v>129</v>
      </c>
      <c r="D47" s="2" t="s">
        <v>30</v>
      </c>
      <c r="E47" s="12" t="s">
        <v>130</v>
      </c>
      <c r="F47" s="10" t="s">
        <v>95</v>
      </c>
      <c r="G47" s="45" t="s">
        <v>128</v>
      </c>
      <c r="H47" s="67"/>
      <c r="I47" s="53"/>
      <c r="J47" s="53"/>
      <c r="K47" s="67"/>
      <c r="L47" s="67"/>
      <c r="M47" s="53"/>
      <c r="N47" s="53"/>
      <c r="O47" s="53"/>
      <c r="P47" s="53"/>
      <c r="Q47" s="56"/>
      <c r="R47" s="67"/>
      <c r="S47" s="53"/>
      <c r="T47" s="53"/>
      <c r="U47" s="67"/>
      <c r="V47" s="53"/>
      <c r="W47" s="53"/>
      <c r="X47" s="67"/>
      <c r="Y47" s="53"/>
      <c r="Z47" s="53"/>
      <c r="AA47" s="53"/>
    </row>
    <row r="48" spans="1:27" s="2" customFormat="1" ht="28.8" x14ac:dyDescent="0.3">
      <c r="A48" s="2" t="s">
        <v>125</v>
      </c>
      <c r="B48" s="2" t="s">
        <v>83</v>
      </c>
      <c r="C48" s="2" t="s">
        <v>126</v>
      </c>
      <c r="D48" s="2" t="str">
        <f>IF(AND(Q48&lt;&gt;"", F47&lt;&gt;"numeric()"),CHAR(34)&amp;"gamma pars for multiple rates"&amp;CHAR(34),IF(AND(Q48&lt;&gt;"", F47="numeric()"),CHAR(34)&amp;"gamma pars for rate"&amp;CHAR(34),CHAR(34)&amp;"fixed value for reintervention rates"&amp;CHAR(34)))</f>
        <v>"gamma pars for rate"</v>
      </c>
      <c r="E48" s="12" t="s">
        <v>127</v>
      </c>
      <c r="F48" s="10">
        <f>15.8/100</f>
        <v>0.158</v>
      </c>
      <c r="G48" s="45" t="s">
        <v>128</v>
      </c>
      <c r="H48" s="67"/>
      <c r="I48" s="53"/>
      <c r="J48" s="53"/>
      <c r="K48" s="56"/>
      <c r="L48" s="58"/>
      <c r="M48" s="56"/>
      <c r="N48" s="58"/>
      <c r="O48" s="56"/>
      <c r="P48" s="58"/>
      <c r="Q48" s="49">
        <v>9</v>
      </c>
      <c r="R48" s="52">
        <f>1/57</f>
        <v>1.7543859649122806E-2</v>
      </c>
      <c r="S48" s="67"/>
      <c r="T48" s="53"/>
      <c r="U48" s="53"/>
      <c r="V48" s="67"/>
      <c r="W48" s="53"/>
      <c r="X48" s="53"/>
      <c r="Y48" s="67"/>
      <c r="Z48" s="53"/>
      <c r="AA48" s="53"/>
    </row>
    <row r="49" spans="1:27" s="2" customFormat="1" ht="28.8" x14ac:dyDescent="0.3">
      <c r="A49" s="2" t="s">
        <v>131</v>
      </c>
      <c r="D49" s="2" t="s">
        <v>30</v>
      </c>
      <c r="E49" s="12" t="s">
        <v>132</v>
      </c>
      <c r="F49" s="10" t="s">
        <v>95</v>
      </c>
      <c r="G49" s="45" t="s">
        <v>128</v>
      </c>
      <c r="H49" s="67"/>
      <c r="I49" s="53"/>
      <c r="J49" s="53"/>
      <c r="K49" s="67"/>
      <c r="L49" s="67"/>
      <c r="M49" s="53"/>
      <c r="N49" s="53"/>
      <c r="O49" s="53"/>
      <c r="P49" s="53"/>
      <c r="Q49" s="56"/>
      <c r="R49" s="67"/>
      <c r="S49" s="53"/>
      <c r="T49" s="53"/>
      <c r="U49" s="67"/>
      <c r="V49" s="53"/>
      <c r="W49" s="53"/>
      <c r="X49" s="67"/>
      <c r="Y49" s="53"/>
      <c r="Z49" s="53"/>
      <c r="AA49" s="53"/>
    </row>
    <row r="50" spans="1:27" s="2" customFormat="1" ht="43.2" x14ac:dyDescent="0.3">
      <c r="A50" s="2" t="s">
        <v>133</v>
      </c>
      <c r="B50" s="2" t="s">
        <v>83</v>
      </c>
      <c r="C50" s="2" t="s">
        <v>134</v>
      </c>
      <c r="D50" s="2" t="str">
        <f>IF(AND(Q50&lt;&gt;"", F49&lt;&gt;"numeric()"),CHAR(34)&amp;"gamma pars for multiple rates"&amp;CHAR(34),IF(AND(Q50&lt;&gt;"", F49="numeric()"),CHAR(34)&amp;"gamma pars for rate"&amp;CHAR(34),CHAR(34)&amp;"fixed value for reintervention rates"&amp;CHAR(34)))</f>
        <v>"gamma pars for rate"</v>
      </c>
      <c r="E50" s="12" t="s">
        <v>135</v>
      </c>
      <c r="F50" s="10">
        <f>2.3/100</f>
        <v>2.3E-2</v>
      </c>
      <c r="G50" s="45" t="s">
        <v>128</v>
      </c>
      <c r="H50" s="67"/>
      <c r="I50" s="53"/>
      <c r="J50" s="53"/>
      <c r="K50" s="56"/>
      <c r="L50" s="58"/>
      <c r="M50" s="56"/>
      <c r="N50" s="58"/>
      <c r="O50" s="56"/>
      <c r="P50" s="58"/>
      <c r="Q50" s="49">
        <v>2</v>
      </c>
      <c r="R50" s="52">
        <f>1/85</f>
        <v>1.1764705882352941E-2</v>
      </c>
      <c r="S50" s="67"/>
      <c r="T50" s="53"/>
      <c r="U50" s="53"/>
      <c r="V50" s="67"/>
      <c r="W50" s="53"/>
      <c r="X50" s="53"/>
      <c r="Y50" s="67"/>
      <c r="Z50" s="53"/>
      <c r="AA50" s="53"/>
    </row>
    <row r="51" spans="1:27" s="2" customFormat="1" ht="43.2" x14ac:dyDescent="0.3">
      <c r="A51" s="2" t="s">
        <v>136</v>
      </c>
      <c r="B51" s="2" t="s">
        <v>100</v>
      </c>
      <c r="C51" s="2" t="s">
        <v>137</v>
      </c>
      <c r="D51" s="2" t="str">
        <f>IF(Q51&lt;&gt;"",CHAR(34)&amp;"gamma pars for rate"&amp;CHAR(34),CHAR(34) &amp; "fixed value for rate"&amp;CHAR(34))</f>
        <v>"fixed value for rate"</v>
      </c>
      <c r="E51" s="12" t="s">
        <v>138</v>
      </c>
      <c r="F51" s="10">
        <f>1E-100</f>
        <v>1E-100</v>
      </c>
      <c r="G51" s="45" t="s">
        <v>128</v>
      </c>
      <c r="H51" s="67"/>
      <c r="I51" s="53"/>
      <c r="J51" s="53"/>
      <c r="K51" s="56"/>
      <c r="L51" s="58"/>
      <c r="M51" s="56"/>
      <c r="N51" s="58"/>
      <c r="O51" s="56"/>
      <c r="P51" s="58"/>
      <c r="Q51" s="49"/>
      <c r="R51" s="52"/>
      <c r="S51" s="67"/>
      <c r="T51" s="53"/>
      <c r="U51" s="53"/>
      <c r="V51" s="67"/>
      <c r="W51" s="53"/>
      <c r="X51" s="53"/>
      <c r="Y51" s="67"/>
      <c r="Z51" s="53"/>
      <c r="AA51" s="53"/>
    </row>
    <row r="52" spans="1:27" s="2" customFormat="1" ht="43.8" thickBot="1" x14ac:dyDescent="0.35">
      <c r="A52" s="2" t="s">
        <v>139</v>
      </c>
      <c r="B52" s="2" t="s">
        <v>100</v>
      </c>
      <c r="C52" s="2" t="s">
        <v>140</v>
      </c>
      <c r="D52" s="2" t="str">
        <f>IF(Q52&lt;&gt;"",CHAR(34)&amp;"gamma pars for rate"&amp;CHAR(34),CHAR(34) &amp; "fixed value for rate"&amp;CHAR(34))</f>
        <v>"gamma pars for rate"</v>
      </c>
      <c r="E52" s="12" t="s">
        <v>141</v>
      </c>
      <c r="F52" s="10">
        <f>1.613/100</f>
        <v>1.6129999999999999E-2</v>
      </c>
      <c r="G52" s="45" t="s">
        <v>128</v>
      </c>
      <c r="H52" s="67"/>
      <c r="I52" s="53"/>
      <c r="J52" s="53"/>
      <c r="K52" s="56"/>
      <c r="L52" s="58"/>
      <c r="M52" s="56"/>
      <c r="N52" s="58"/>
      <c r="O52" s="56"/>
      <c r="P52" s="58"/>
      <c r="Q52" s="49">
        <v>2</v>
      </c>
      <c r="R52" s="52">
        <f>1/124</f>
        <v>8.0645161290322578E-3</v>
      </c>
      <c r="S52" s="67"/>
      <c r="T52" s="53"/>
      <c r="U52" s="53"/>
      <c r="V52" s="67"/>
      <c r="W52" s="53"/>
      <c r="X52" s="53"/>
      <c r="Y52" s="67"/>
      <c r="Z52" s="53"/>
      <c r="AA52" s="53"/>
    </row>
    <row r="53" spans="1:27" s="2" customFormat="1" x14ac:dyDescent="0.3">
      <c r="E53" s="44" t="s">
        <v>144</v>
      </c>
      <c r="F53" s="114"/>
      <c r="G53" s="114"/>
      <c r="H53" s="114"/>
      <c r="I53" s="114"/>
      <c r="J53" s="114"/>
      <c r="K53" s="114"/>
      <c r="L53" s="114"/>
      <c r="M53" s="114"/>
      <c r="N53" s="114"/>
      <c r="O53" s="114"/>
      <c r="P53" s="114"/>
      <c r="Q53" s="114"/>
      <c r="R53" s="114"/>
      <c r="S53" s="114"/>
      <c r="T53" s="114"/>
      <c r="U53" s="114"/>
      <c r="V53" s="114"/>
      <c r="W53" s="114"/>
      <c r="X53" s="114"/>
      <c r="Y53" s="114"/>
      <c r="Z53" s="114"/>
      <c r="AA53" s="59"/>
    </row>
    <row r="54" spans="1:27" s="2" customFormat="1" x14ac:dyDescent="0.3">
      <c r="A54" s="2" t="s">
        <v>142</v>
      </c>
      <c r="C54" s="2" t="s">
        <v>180</v>
      </c>
      <c r="D54" s="2" t="str">
        <f>IF(M$54&lt;&gt;"",CHAR(34)&amp;"distribution for costs"&amp;CHAR(34),CHAR(34)&amp;"fixed value for costs"&amp;CHAR(34))</f>
        <v>"distribution for costs"</v>
      </c>
      <c r="E54" s="12" t="s">
        <v>143</v>
      </c>
      <c r="F54" s="10">
        <v>1.8</v>
      </c>
      <c r="G54" s="20" t="s">
        <v>7</v>
      </c>
      <c r="H54" s="67"/>
      <c r="I54" s="53"/>
      <c r="J54" s="53"/>
      <c r="K54" s="67"/>
      <c r="L54" s="67"/>
      <c r="M54" s="47">
        <f>LN(F54)</f>
        <v>0.58778666490211906</v>
      </c>
      <c r="N54" s="48">
        <f xml:space="preserve"> 0.114</f>
        <v>0.114</v>
      </c>
      <c r="O54" s="53"/>
      <c r="P54" s="53"/>
      <c r="Q54" s="56"/>
      <c r="R54" s="67"/>
      <c r="S54" s="53"/>
      <c r="T54" s="53"/>
      <c r="U54" s="67"/>
      <c r="V54" s="53"/>
      <c r="W54" s="53"/>
      <c r="X54" s="67"/>
      <c r="Y54" s="53"/>
      <c r="Z54" s="53"/>
      <c r="AA54" s="53"/>
    </row>
    <row r="55" spans="1:27" s="2" customFormat="1" x14ac:dyDescent="0.3">
      <c r="A55" s="2" t="s">
        <v>160</v>
      </c>
      <c r="C55" s="2" t="s">
        <v>181</v>
      </c>
      <c r="D55" s="2" t="str">
        <f t="shared" ref="D55:D69" si="1">IF(M$54&lt;&gt;"",CHAR(34)&amp;"distribution for costs"&amp;CHAR(34),CHAR(34)&amp;"fixed value for costs"&amp;CHAR(34))</f>
        <v>"distribution for costs"</v>
      </c>
      <c r="E55" s="12" t="s">
        <v>145</v>
      </c>
      <c r="F55" s="10">
        <v>1.8</v>
      </c>
      <c r="G55" s="20" t="s">
        <v>7</v>
      </c>
      <c r="H55" s="67"/>
      <c r="I55" s="53"/>
      <c r="J55" s="53"/>
      <c r="K55" s="67"/>
      <c r="L55" s="67"/>
      <c r="M55" s="47">
        <f t="shared" ref="M55:M67" si="2">LN(F55)</f>
        <v>0.58778666490211906</v>
      </c>
      <c r="N55" s="48">
        <f t="shared" ref="N55:N69" si="3" xml:space="preserve"> 0.114</f>
        <v>0.114</v>
      </c>
      <c r="O55" s="53"/>
      <c r="P55" s="53"/>
      <c r="Q55" s="56"/>
      <c r="R55" s="67"/>
      <c r="S55" s="53"/>
      <c r="T55" s="53"/>
      <c r="U55" s="67"/>
      <c r="V55" s="53"/>
      <c r="W55" s="53"/>
      <c r="X55" s="67"/>
      <c r="Y55" s="53"/>
      <c r="Z55" s="53"/>
      <c r="AA55" s="53"/>
    </row>
    <row r="56" spans="1:27" s="2" customFormat="1" x14ac:dyDescent="0.3">
      <c r="A56" s="2" t="s">
        <v>161</v>
      </c>
      <c r="C56" s="2" t="s">
        <v>182</v>
      </c>
      <c r="D56" s="2" t="str">
        <f t="shared" si="1"/>
        <v>"distribution for costs"</v>
      </c>
      <c r="E56" s="12" t="s">
        <v>146</v>
      </c>
      <c r="F56" s="10">
        <v>34.11</v>
      </c>
      <c r="G56" s="20" t="s">
        <v>7</v>
      </c>
      <c r="H56" s="67"/>
      <c r="I56" s="53"/>
      <c r="J56" s="53"/>
      <c r="K56" s="67"/>
      <c r="L56" s="67"/>
      <c r="M56" s="47">
        <f t="shared" si="2"/>
        <v>3.5295905964305545</v>
      </c>
      <c r="N56" s="48">
        <f t="shared" si="3"/>
        <v>0.114</v>
      </c>
      <c r="O56" s="53"/>
      <c r="P56" s="53"/>
      <c r="Q56" s="56"/>
      <c r="R56" s="67"/>
      <c r="S56" s="53"/>
      <c r="T56" s="53"/>
      <c r="U56" s="67"/>
      <c r="V56" s="53"/>
      <c r="W56" s="53"/>
      <c r="X56" s="67"/>
      <c r="Y56" s="53"/>
      <c r="Z56" s="53"/>
      <c r="AA56" s="53"/>
    </row>
    <row r="57" spans="1:27" s="2" customFormat="1" x14ac:dyDescent="0.3">
      <c r="A57" s="2" t="s">
        <v>162</v>
      </c>
      <c r="C57" s="2" t="s">
        <v>183</v>
      </c>
      <c r="D57" s="2" t="str">
        <f t="shared" si="1"/>
        <v>"distribution for costs"</v>
      </c>
      <c r="E57" s="12" t="s">
        <v>147</v>
      </c>
      <c r="F57" s="10">
        <v>72.03</v>
      </c>
      <c r="G57" s="20" t="s">
        <v>7</v>
      </c>
      <c r="H57" s="67"/>
      <c r="I57" s="53"/>
      <c r="J57" s="53"/>
      <c r="K57" s="67"/>
      <c r="L57" s="67"/>
      <c r="M57" s="47">
        <f t="shared" si="2"/>
        <v>4.2770826989012711</v>
      </c>
      <c r="N57" s="48">
        <f t="shared" si="3"/>
        <v>0.114</v>
      </c>
      <c r="O57" s="53"/>
      <c r="P57" s="53"/>
      <c r="Q57" s="56"/>
      <c r="R57" s="67"/>
      <c r="S57" s="53"/>
      <c r="T57" s="53"/>
      <c r="U57" s="67"/>
      <c r="V57" s="53"/>
      <c r="W57" s="53"/>
      <c r="X57" s="67"/>
      <c r="Y57" s="53"/>
      <c r="Z57" s="53"/>
      <c r="AA57" s="53"/>
    </row>
    <row r="58" spans="1:27" s="2" customFormat="1" ht="28.8" x14ac:dyDescent="0.3">
      <c r="A58" s="2" t="s">
        <v>163</v>
      </c>
      <c r="C58" s="2" t="s">
        <v>184</v>
      </c>
      <c r="D58" s="2" t="str">
        <f t="shared" si="1"/>
        <v>"distribution for costs"</v>
      </c>
      <c r="E58" s="12" t="s">
        <v>153</v>
      </c>
      <c r="F58" s="10">
        <v>72.03</v>
      </c>
      <c r="G58" s="45" t="s">
        <v>175</v>
      </c>
      <c r="H58" s="67"/>
      <c r="I58" s="53"/>
      <c r="J58" s="53"/>
      <c r="K58" s="67"/>
      <c r="L58" s="67"/>
      <c r="M58" s="47">
        <f t="shared" si="2"/>
        <v>4.2770826989012711</v>
      </c>
      <c r="N58" s="48">
        <f t="shared" si="3"/>
        <v>0.114</v>
      </c>
      <c r="O58" s="53"/>
      <c r="P58" s="53"/>
      <c r="Q58" s="56"/>
      <c r="R58" s="67"/>
      <c r="S58" s="53"/>
      <c r="T58" s="53"/>
      <c r="U58" s="67"/>
      <c r="V58" s="53"/>
      <c r="W58" s="53"/>
      <c r="X58" s="67"/>
      <c r="Y58" s="53"/>
      <c r="Z58" s="53"/>
      <c r="AA58" s="53"/>
    </row>
    <row r="59" spans="1:27" s="2" customFormat="1" x14ac:dyDescent="0.3">
      <c r="A59" s="2" t="s">
        <v>164</v>
      </c>
      <c r="C59" s="2" t="s">
        <v>185</v>
      </c>
      <c r="D59" s="2" t="str">
        <f t="shared" si="1"/>
        <v>"distribution for costs"</v>
      </c>
      <c r="E59" s="12" t="s">
        <v>148</v>
      </c>
      <c r="F59" s="10">
        <v>328.64</v>
      </c>
      <c r="G59" s="20" t="s">
        <v>176</v>
      </c>
      <c r="H59" s="67"/>
      <c r="I59" s="53"/>
      <c r="J59" s="53"/>
      <c r="K59" s="67"/>
      <c r="L59" s="67"/>
      <c r="M59" s="47">
        <f t="shared" si="2"/>
        <v>5.794962926740193</v>
      </c>
      <c r="N59" s="48">
        <f t="shared" si="3"/>
        <v>0.114</v>
      </c>
      <c r="O59" s="53"/>
      <c r="P59" s="53"/>
      <c r="Q59" s="56"/>
      <c r="R59" s="67"/>
      <c r="S59" s="53"/>
      <c r="T59" s="53"/>
      <c r="U59" s="67"/>
      <c r="V59" s="53"/>
      <c r="W59" s="53"/>
      <c r="X59" s="67"/>
      <c r="Y59" s="53"/>
      <c r="Z59" s="53"/>
      <c r="AA59" s="53"/>
    </row>
    <row r="60" spans="1:27" s="2" customFormat="1" ht="28.8" x14ac:dyDescent="0.3">
      <c r="A60" s="2" t="s">
        <v>165</v>
      </c>
      <c r="C60" s="2" t="s">
        <v>186</v>
      </c>
      <c r="D60" s="2" t="str">
        <f t="shared" si="1"/>
        <v>"distribution for costs"</v>
      </c>
      <c r="E60" s="12" t="s">
        <v>149</v>
      </c>
      <c r="F60" s="10">
        <v>13844</v>
      </c>
      <c r="G60" s="20" t="s">
        <v>177</v>
      </c>
      <c r="H60" s="67"/>
      <c r="I60" s="53"/>
      <c r="J60" s="53"/>
      <c r="K60" s="67"/>
      <c r="L60" s="67"/>
      <c r="M60" s="47">
        <f t="shared" si="2"/>
        <v>9.5356072047552356</v>
      </c>
      <c r="N60" s="48">
        <f t="shared" si="3"/>
        <v>0.114</v>
      </c>
      <c r="O60" s="53"/>
      <c r="P60" s="53"/>
      <c r="Q60" s="56"/>
      <c r="R60" s="67"/>
      <c r="S60" s="53"/>
      <c r="T60" s="53"/>
      <c r="U60" s="67"/>
      <c r="V60" s="53"/>
      <c r="W60" s="53"/>
      <c r="X60" s="67"/>
      <c r="Y60" s="53"/>
      <c r="Z60" s="53"/>
      <c r="AA60" s="53"/>
    </row>
    <row r="61" spans="1:27" s="2" customFormat="1" ht="28.8" x14ac:dyDescent="0.3">
      <c r="A61" s="2" t="s">
        <v>166</v>
      </c>
      <c r="C61" s="2" t="s">
        <v>187</v>
      </c>
      <c r="D61" s="2" t="str">
        <f t="shared" si="1"/>
        <v>"distribution for costs"</v>
      </c>
      <c r="E61" s="12" t="s">
        <v>150</v>
      </c>
      <c r="F61" s="10">
        <v>13060</v>
      </c>
      <c r="G61" s="45" t="s">
        <v>177</v>
      </c>
      <c r="H61" s="67"/>
      <c r="I61" s="53"/>
      <c r="J61" s="53"/>
      <c r="K61" s="67"/>
      <c r="L61" s="67"/>
      <c r="M61" s="47">
        <f t="shared" si="2"/>
        <v>9.4773094028304214</v>
      </c>
      <c r="N61" s="48">
        <f t="shared" si="3"/>
        <v>0.114</v>
      </c>
      <c r="O61" s="53"/>
      <c r="P61" s="53"/>
      <c r="Q61" s="56"/>
      <c r="R61" s="67"/>
      <c r="S61" s="53"/>
      <c r="T61" s="53"/>
      <c r="U61" s="67"/>
      <c r="V61" s="53"/>
      <c r="W61" s="53"/>
      <c r="X61" s="67"/>
      <c r="Y61" s="53"/>
      <c r="Z61" s="53"/>
      <c r="AA61" s="53"/>
    </row>
    <row r="62" spans="1:27" s="2" customFormat="1" ht="28.8" x14ac:dyDescent="0.3">
      <c r="A62" s="2" t="s">
        <v>167</v>
      </c>
      <c r="C62" s="2" t="s">
        <v>188</v>
      </c>
      <c r="D62" s="2" t="str">
        <f t="shared" si="1"/>
        <v>"distribution for costs"</v>
      </c>
      <c r="E62" s="12" t="s">
        <v>151</v>
      </c>
      <c r="F62" s="10">
        <v>16154</v>
      </c>
      <c r="G62" s="45" t="s">
        <v>178</v>
      </c>
      <c r="H62" s="67"/>
      <c r="I62" s="53"/>
      <c r="J62" s="53"/>
      <c r="K62" s="67"/>
      <c r="L62" s="67"/>
      <c r="M62" s="47">
        <f t="shared" si="2"/>
        <v>9.6899229760022418</v>
      </c>
      <c r="N62" s="48">
        <f t="shared" si="3"/>
        <v>0.114</v>
      </c>
      <c r="O62" s="53"/>
      <c r="P62" s="53"/>
      <c r="Q62" s="56"/>
      <c r="R62" s="67"/>
      <c r="S62" s="53"/>
      <c r="T62" s="53"/>
      <c r="U62" s="67"/>
      <c r="V62" s="53"/>
      <c r="W62" s="53"/>
      <c r="X62" s="67"/>
      <c r="Y62" s="53"/>
      <c r="Z62" s="53"/>
      <c r="AA62" s="53"/>
    </row>
    <row r="63" spans="1:27" s="2" customFormat="1" ht="28.8" x14ac:dyDescent="0.3">
      <c r="A63" s="2" t="s">
        <v>168</v>
      </c>
      <c r="C63" s="2" t="s">
        <v>189</v>
      </c>
      <c r="D63" s="2" t="str">
        <f t="shared" si="1"/>
        <v>"distribution for costs"</v>
      </c>
      <c r="E63" s="12" t="s">
        <v>152</v>
      </c>
      <c r="F63" s="10">
        <v>17613</v>
      </c>
      <c r="G63" s="45" t="s">
        <v>178</v>
      </c>
      <c r="H63" s="67"/>
      <c r="I63" s="53"/>
      <c r="J63" s="53"/>
      <c r="K63" s="67"/>
      <c r="L63" s="67"/>
      <c r="M63" s="47">
        <f t="shared" si="2"/>
        <v>9.7763925447322961</v>
      </c>
      <c r="N63" s="48">
        <f t="shared" si="3"/>
        <v>0.114</v>
      </c>
      <c r="O63" s="53"/>
      <c r="P63" s="53"/>
      <c r="Q63" s="56"/>
      <c r="R63" s="67"/>
      <c r="S63" s="53"/>
      <c r="T63" s="53"/>
      <c r="U63" s="67"/>
      <c r="V63" s="53"/>
      <c r="W63" s="53"/>
      <c r="X63" s="67"/>
      <c r="Y63" s="53"/>
      <c r="Z63" s="53"/>
      <c r="AA63" s="53"/>
    </row>
    <row r="64" spans="1:27" s="2" customFormat="1" ht="28.8" x14ac:dyDescent="0.3">
      <c r="A64" s="2" t="s">
        <v>171</v>
      </c>
      <c r="C64" s="2" t="s">
        <v>192</v>
      </c>
      <c r="D64" s="2" t="str">
        <f t="shared" si="1"/>
        <v>"distribution for costs"</v>
      </c>
      <c r="E64" s="12" t="s">
        <v>156</v>
      </c>
      <c r="F64" s="10">
        <v>7546</v>
      </c>
      <c r="G64" s="20" t="s">
        <v>81</v>
      </c>
      <c r="H64" s="67"/>
      <c r="I64" s="53"/>
      <c r="J64" s="53"/>
      <c r="K64" s="67"/>
      <c r="L64" s="67"/>
      <c r="M64" s="47">
        <f t="shared" si="2"/>
        <v>8.9287729005242564</v>
      </c>
      <c r="N64" s="48">
        <f t="shared" si="3"/>
        <v>0.114</v>
      </c>
      <c r="O64" s="53"/>
      <c r="P64" s="53"/>
      <c r="Q64" s="56"/>
      <c r="R64" s="67"/>
      <c r="S64" s="53"/>
      <c r="T64" s="53"/>
      <c r="U64" s="67"/>
      <c r="V64" s="53"/>
      <c r="W64" s="53"/>
      <c r="X64" s="67"/>
      <c r="Y64" s="53"/>
      <c r="Z64" s="53"/>
      <c r="AA64" s="53"/>
    </row>
    <row r="65" spans="1:27" s="2" customFormat="1" ht="28.8" x14ac:dyDescent="0.3">
      <c r="A65" s="2" t="s">
        <v>172</v>
      </c>
      <c r="C65" s="2" t="s">
        <v>193</v>
      </c>
      <c r="D65" s="2" t="str">
        <f t="shared" si="1"/>
        <v>"distribution for costs"</v>
      </c>
      <c r="E65" s="12" t="s">
        <v>157</v>
      </c>
      <c r="F65" s="10">
        <v>8986</v>
      </c>
      <c r="G65" s="20" t="s">
        <v>81</v>
      </c>
      <c r="H65" s="67"/>
      <c r="I65" s="53"/>
      <c r="J65" s="53"/>
      <c r="K65" s="67"/>
      <c r="L65" s="67"/>
      <c r="M65" s="47">
        <f t="shared" si="2"/>
        <v>9.1034230896301054</v>
      </c>
      <c r="N65" s="48">
        <f t="shared" si="3"/>
        <v>0.114</v>
      </c>
      <c r="O65" s="53"/>
      <c r="P65" s="53"/>
      <c r="Q65" s="56"/>
      <c r="R65" s="67"/>
      <c r="S65" s="53"/>
      <c r="T65" s="53"/>
      <c r="U65" s="67"/>
      <c r="V65" s="53"/>
      <c r="W65" s="53"/>
      <c r="X65" s="67"/>
      <c r="Y65" s="53"/>
      <c r="Z65" s="53"/>
      <c r="AA65" s="53"/>
    </row>
    <row r="66" spans="1:27" s="2" customFormat="1" ht="28.8" x14ac:dyDescent="0.3">
      <c r="A66" s="2" t="s">
        <v>173</v>
      </c>
      <c r="C66" s="2" t="s">
        <v>194</v>
      </c>
      <c r="D66" s="2" t="str">
        <f t="shared" si="1"/>
        <v>"distribution for costs"</v>
      </c>
      <c r="E66" s="12" t="s">
        <v>158</v>
      </c>
      <c r="F66" s="10">
        <v>7546</v>
      </c>
      <c r="G66" s="45" t="s">
        <v>81</v>
      </c>
      <c r="H66" s="67"/>
      <c r="I66" s="53"/>
      <c r="J66" s="53"/>
      <c r="K66" s="67"/>
      <c r="L66" s="67"/>
      <c r="M66" s="47">
        <f t="shared" si="2"/>
        <v>8.9287729005242564</v>
      </c>
      <c r="N66" s="48">
        <f t="shared" si="3"/>
        <v>0.114</v>
      </c>
      <c r="O66" s="53"/>
      <c r="P66" s="53"/>
      <c r="Q66" s="56"/>
      <c r="R66" s="67"/>
      <c r="S66" s="53"/>
      <c r="T66" s="53"/>
      <c r="U66" s="67"/>
      <c r="V66" s="53"/>
      <c r="W66" s="53"/>
      <c r="X66" s="67"/>
      <c r="Y66" s="53"/>
      <c r="Z66" s="53"/>
      <c r="AA66" s="53"/>
    </row>
    <row r="67" spans="1:27" s="2" customFormat="1" ht="28.8" x14ac:dyDescent="0.3">
      <c r="A67" s="2" t="s">
        <v>174</v>
      </c>
      <c r="C67" s="2" t="s">
        <v>195</v>
      </c>
      <c r="D67" s="2" t="str">
        <f t="shared" si="1"/>
        <v>"distribution for costs"</v>
      </c>
      <c r="E67" s="12" t="s">
        <v>159</v>
      </c>
      <c r="F67" s="10">
        <v>8986</v>
      </c>
      <c r="G67" s="45" t="s">
        <v>81</v>
      </c>
      <c r="H67" s="67"/>
      <c r="I67" s="53"/>
      <c r="J67" s="53"/>
      <c r="K67" s="67"/>
      <c r="L67" s="67"/>
      <c r="M67" s="47">
        <f t="shared" si="2"/>
        <v>9.1034230896301054</v>
      </c>
      <c r="N67" s="48">
        <f t="shared" si="3"/>
        <v>0.114</v>
      </c>
      <c r="O67" s="53"/>
      <c r="P67" s="53"/>
      <c r="Q67" s="56"/>
      <c r="R67" s="67"/>
      <c r="S67" s="53"/>
      <c r="T67" s="53"/>
      <c r="U67" s="67"/>
      <c r="V67" s="53"/>
      <c r="W67" s="53"/>
      <c r="X67" s="67"/>
      <c r="Y67" s="53"/>
      <c r="Z67" s="53"/>
      <c r="AA67" s="53"/>
    </row>
    <row r="68" spans="1:27" s="2" customFormat="1" ht="28.8" x14ac:dyDescent="0.3">
      <c r="A68" s="2" t="s">
        <v>169</v>
      </c>
      <c r="C68" s="2" t="s">
        <v>190</v>
      </c>
      <c r="D68" s="2" t="str">
        <f t="shared" si="1"/>
        <v>"distribution for costs"</v>
      </c>
      <c r="E68" s="12" t="s">
        <v>154</v>
      </c>
      <c r="F68" s="10">
        <v>258.16000000000003</v>
      </c>
      <c r="G68" s="45" t="s">
        <v>175</v>
      </c>
      <c r="H68" s="67"/>
      <c r="I68" s="53"/>
      <c r="J68" s="53"/>
      <c r="K68" s="67"/>
      <c r="L68" s="67"/>
      <c r="M68" s="47">
        <f>LN(F68)</f>
        <v>5.5535795477437064</v>
      </c>
      <c r="N68" s="48">
        <f t="shared" si="3"/>
        <v>0.114</v>
      </c>
      <c r="O68" s="53"/>
      <c r="P68" s="53"/>
      <c r="Q68" s="56"/>
      <c r="R68" s="67"/>
      <c r="S68" s="53"/>
      <c r="T68" s="53"/>
      <c r="U68" s="67"/>
      <c r="V68" s="53"/>
      <c r="W68" s="53"/>
      <c r="X68" s="67"/>
      <c r="Y68" s="53"/>
      <c r="Z68" s="53"/>
      <c r="AA68" s="53"/>
    </row>
    <row r="69" spans="1:27" s="2" customFormat="1" ht="29.4" thickBot="1" x14ac:dyDescent="0.35">
      <c r="A69" s="2" t="s">
        <v>170</v>
      </c>
      <c r="C69" s="2" t="s">
        <v>191</v>
      </c>
      <c r="D69" s="2" t="str">
        <f t="shared" si="1"/>
        <v>"distribution for costs"</v>
      </c>
      <c r="E69" s="12" t="s">
        <v>155</v>
      </c>
      <c r="F69" s="10">
        <v>196.79</v>
      </c>
      <c r="G69" s="45" t="s">
        <v>175</v>
      </c>
      <c r="H69" s="67"/>
      <c r="I69" s="53"/>
      <c r="J69" s="53"/>
      <c r="K69" s="67"/>
      <c r="L69" s="67"/>
      <c r="M69" s="47">
        <f>LN(F69)</f>
        <v>5.2821371703189985</v>
      </c>
      <c r="N69" s="48">
        <f t="shared" si="3"/>
        <v>0.114</v>
      </c>
      <c r="O69" s="53"/>
      <c r="P69" s="53"/>
      <c r="Q69" s="56"/>
      <c r="R69" s="67"/>
      <c r="S69" s="53"/>
      <c r="T69" s="53"/>
      <c r="U69" s="67"/>
      <c r="V69" s="53"/>
      <c r="W69" s="53"/>
      <c r="X69" s="67"/>
      <c r="Y69" s="53"/>
      <c r="Z69" s="53"/>
      <c r="AA69" s="53"/>
    </row>
    <row r="70" spans="1:27" s="2" customFormat="1" x14ac:dyDescent="0.3">
      <c r="E70" s="44" t="s">
        <v>198</v>
      </c>
      <c r="F70" s="114"/>
      <c r="G70" s="114"/>
      <c r="H70" s="114"/>
      <c r="I70" s="114"/>
      <c r="J70" s="114"/>
      <c r="K70" s="114"/>
      <c r="L70" s="114"/>
      <c r="M70" s="114"/>
      <c r="N70" s="114"/>
      <c r="O70" s="114"/>
      <c r="P70" s="114"/>
      <c r="Q70" s="114"/>
      <c r="R70" s="114"/>
      <c r="S70" s="114"/>
      <c r="T70" s="114"/>
      <c r="U70" s="114"/>
      <c r="V70" s="114"/>
      <c r="W70" s="114"/>
      <c r="X70" s="114"/>
      <c r="Y70" s="114"/>
      <c r="Z70" s="114"/>
      <c r="AA70" s="59"/>
    </row>
    <row r="71" spans="1:27" s="2" customFormat="1" ht="28.8" x14ac:dyDescent="0.3">
      <c r="A71" s="2" t="s">
        <v>203</v>
      </c>
      <c r="D71" s="2" t="s">
        <v>30</v>
      </c>
      <c r="E71" s="12" t="s">
        <v>200</v>
      </c>
      <c r="F71" s="10" t="s">
        <v>199</v>
      </c>
      <c r="G71" s="20" t="s">
        <v>205</v>
      </c>
      <c r="H71" s="68"/>
      <c r="I71" s="61"/>
      <c r="J71" s="61"/>
      <c r="K71" s="41"/>
      <c r="S71" s="41"/>
      <c r="T71" s="71"/>
      <c r="U71" s="71"/>
      <c r="V71" s="71"/>
      <c r="W71" s="71"/>
      <c r="X71" s="71"/>
      <c r="Y71" s="71"/>
      <c r="Z71" s="71"/>
      <c r="AA71" s="71"/>
    </row>
    <row r="72" spans="1:27" s="2" customFormat="1" ht="28.8" x14ac:dyDescent="0.3">
      <c r="A72" s="2" t="s">
        <v>204</v>
      </c>
      <c r="D72" s="2" t="s">
        <v>30</v>
      </c>
      <c r="E72" s="12" t="s">
        <v>201</v>
      </c>
      <c r="F72" s="10" t="s">
        <v>202</v>
      </c>
      <c r="G72" s="45" t="s">
        <v>205</v>
      </c>
      <c r="H72" s="68"/>
      <c r="I72" s="61"/>
      <c r="J72" s="61"/>
      <c r="K72" s="41"/>
      <c r="S72" s="41"/>
      <c r="T72" s="71"/>
      <c r="U72" s="71"/>
      <c r="V72" s="71"/>
      <c r="W72" s="71"/>
      <c r="X72" s="71"/>
      <c r="Y72" s="71"/>
      <c r="Z72" s="71"/>
      <c r="AA72" s="71"/>
    </row>
    <row r="73" spans="1:27" s="2" customFormat="1" x14ac:dyDescent="0.3">
      <c r="A73" s="2" t="s">
        <v>208</v>
      </c>
      <c r="D73" s="2" t="s">
        <v>30</v>
      </c>
      <c r="E73" s="12" t="s">
        <v>206</v>
      </c>
      <c r="F73" s="10">
        <v>3.5000000000000003E-2</v>
      </c>
      <c r="G73" s="20"/>
      <c r="H73" s="68"/>
      <c r="I73" s="61"/>
      <c r="J73" s="61"/>
      <c r="K73" s="41"/>
      <c r="S73" s="41"/>
      <c r="T73" s="71"/>
      <c r="U73" s="71"/>
      <c r="V73" s="71"/>
      <c r="W73" s="71"/>
      <c r="X73" s="71"/>
      <c r="Y73" s="71"/>
      <c r="Z73" s="71"/>
      <c r="AA73" s="71"/>
    </row>
    <row r="74" spans="1:27" s="2" customFormat="1" x14ac:dyDescent="0.3">
      <c r="A74" s="2" t="s">
        <v>209</v>
      </c>
      <c r="D74" s="2" t="s">
        <v>30</v>
      </c>
      <c r="E74" s="12" t="s">
        <v>207</v>
      </c>
      <c r="F74" s="10">
        <v>3.5000000000000003E-2</v>
      </c>
      <c r="G74" s="20"/>
      <c r="H74" s="68"/>
      <c r="I74" s="61"/>
      <c r="J74" s="61"/>
      <c r="K74" s="41"/>
      <c r="S74" s="41"/>
      <c r="T74" s="71"/>
      <c r="U74" s="71"/>
      <c r="V74" s="71"/>
      <c r="W74" s="71"/>
      <c r="X74" s="71"/>
      <c r="Y74" s="71"/>
      <c r="Z74" s="71"/>
      <c r="AA74" s="71"/>
    </row>
    <row r="75" spans="1:27" s="2" customFormat="1" x14ac:dyDescent="0.3">
      <c r="E75" s="12"/>
      <c r="F75" s="10"/>
      <c r="G75" s="20"/>
      <c r="H75" s="68"/>
      <c r="I75" s="61"/>
      <c r="J75" s="61"/>
      <c r="K75" s="41"/>
      <c r="S75" s="41"/>
      <c r="T75" s="71"/>
      <c r="U75" s="71"/>
      <c r="V75" s="71"/>
      <c r="W75" s="71"/>
      <c r="X75" s="71"/>
      <c r="Y75" s="71"/>
      <c r="Z75" s="71"/>
      <c r="AA75" s="71"/>
    </row>
    <row r="76" spans="1:27" s="2" customFormat="1" x14ac:dyDescent="0.3">
      <c r="E76" s="12"/>
      <c r="F76" s="10"/>
      <c r="G76" s="20"/>
      <c r="H76" s="68"/>
      <c r="I76" s="61"/>
      <c r="J76" s="61"/>
      <c r="K76" s="41"/>
      <c r="S76" s="41"/>
      <c r="T76" s="71"/>
      <c r="U76" s="71"/>
      <c r="V76" s="71"/>
      <c r="W76" s="71"/>
      <c r="X76" s="71"/>
      <c r="Y76" s="71"/>
      <c r="Z76" s="71"/>
      <c r="AA76" s="71"/>
    </row>
    <row r="77" spans="1:27" s="2" customFormat="1" x14ac:dyDescent="0.3">
      <c r="E77" s="12"/>
      <c r="F77" s="10"/>
      <c r="G77" s="20"/>
      <c r="H77" s="68"/>
      <c r="I77" s="61"/>
      <c r="J77" s="61"/>
      <c r="K77" s="41"/>
      <c r="S77" s="41"/>
      <c r="T77" s="71"/>
      <c r="U77" s="71"/>
      <c r="V77" s="71"/>
      <c r="W77" s="71"/>
      <c r="X77" s="71"/>
      <c r="Y77" s="71"/>
      <c r="Z77" s="71"/>
      <c r="AA77" s="71"/>
    </row>
    <row r="78" spans="1:27" s="2" customFormat="1" x14ac:dyDescent="0.3">
      <c r="E78" s="12"/>
      <c r="F78" s="10"/>
      <c r="G78" s="20"/>
      <c r="H78" s="68"/>
      <c r="I78" s="61"/>
      <c r="J78" s="61"/>
      <c r="K78" s="41"/>
      <c r="S78" s="41"/>
      <c r="T78" s="71"/>
      <c r="U78" s="71"/>
      <c r="V78" s="71"/>
      <c r="W78" s="71"/>
      <c r="X78" s="71"/>
      <c r="Y78" s="71"/>
      <c r="Z78" s="71"/>
      <c r="AA78" s="71"/>
    </row>
    <row r="79" spans="1:27" s="2" customFormat="1" x14ac:dyDescent="0.3">
      <c r="E79" s="12"/>
      <c r="F79" s="10"/>
      <c r="G79" s="20"/>
      <c r="H79" s="68"/>
      <c r="I79" s="61"/>
      <c r="J79" s="61"/>
      <c r="K79" s="41"/>
      <c r="S79" s="41"/>
      <c r="T79" s="71"/>
      <c r="U79" s="71"/>
      <c r="V79" s="71"/>
      <c r="W79" s="71"/>
      <c r="X79" s="71"/>
      <c r="Y79" s="71"/>
      <c r="Z79" s="71"/>
      <c r="AA79" s="71"/>
    </row>
    <row r="80" spans="1:27" s="2" customFormat="1" x14ac:dyDescent="0.3">
      <c r="E80" s="12"/>
      <c r="F80" s="10"/>
      <c r="G80" s="20"/>
      <c r="H80" s="68"/>
      <c r="I80" s="61"/>
      <c r="J80" s="61"/>
      <c r="K80" s="41"/>
      <c r="S80" s="41"/>
      <c r="T80" s="71"/>
      <c r="U80" s="71"/>
      <c r="V80" s="71"/>
      <c r="W80" s="71"/>
      <c r="X80" s="71"/>
      <c r="Y80" s="71"/>
      <c r="Z80" s="71"/>
      <c r="AA80" s="71"/>
    </row>
    <row r="81" spans="5:27" s="2" customFormat="1" x14ac:dyDescent="0.3">
      <c r="E81" s="12"/>
      <c r="F81" s="10"/>
      <c r="G81" s="20"/>
      <c r="H81" s="68"/>
      <c r="I81" s="61"/>
      <c r="J81" s="61"/>
      <c r="K81" s="41"/>
      <c r="S81" s="41"/>
      <c r="T81" s="71"/>
      <c r="U81" s="71"/>
      <c r="V81" s="71"/>
      <c r="W81" s="71"/>
      <c r="X81" s="71"/>
      <c r="Y81" s="71"/>
      <c r="Z81" s="71"/>
      <c r="AA81" s="71"/>
    </row>
    <row r="82" spans="5:27" s="2" customFormat="1" x14ac:dyDescent="0.3">
      <c r="E82" s="12"/>
      <c r="F82" s="10"/>
      <c r="G82" s="20"/>
      <c r="H82" s="68"/>
      <c r="I82" s="61"/>
      <c r="J82" s="61"/>
      <c r="K82" s="41"/>
      <c r="S82" s="41"/>
      <c r="T82" s="71"/>
      <c r="U82" s="71"/>
      <c r="V82" s="71"/>
      <c r="W82" s="71"/>
      <c r="X82" s="71"/>
      <c r="Y82" s="71"/>
      <c r="Z82" s="71"/>
      <c r="AA82" s="71"/>
    </row>
    <row r="83" spans="5:27" s="2" customFormat="1" x14ac:dyDescent="0.3">
      <c r="E83" s="12"/>
      <c r="F83" s="10"/>
      <c r="G83" s="20"/>
      <c r="H83" s="68"/>
      <c r="I83" s="61"/>
      <c r="J83" s="61"/>
      <c r="K83" s="41"/>
      <c r="S83" s="41"/>
      <c r="T83" s="71"/>
      <c r="U83" s="71"/>
      <c r="V83" s="71"/>
      <c r="W83" s="71"/>
      <c r="X83" s="71"/>
      <c r="Y83" s="71"/>
      <c r="Z83" s="71"/>
      <c r="AA83" s="71"/>
    </row>
    <row r="84" spans="5:27" s="2" customFormat="1" x14ac:dyDescent="0.3">
      <c r="E84" s="12"/>
      <c r="F84" s="10"/>
      <c r="G84" s="20"/>
      <c r="H84" s="68"/>
      <c r="I84" s="61"/>
      <c r="J84" s="61"/>
      <c r="K84" s="41"/>
    </row>
    <row r="85" spans="5:27" s="2" customFormat="1" x14ac:dyDescent="0.3">
      <c r="E85" s="12"/>
      <c r="F85" s="10"/>
      <c r="G85" s="20"/>
      <c r="H85" s="68"/>
      <c r="I85" s="61"/>
      <c r="J85" s="61"/>
      <c r="K85" s="41"/>
    </row>
    <row r="86" spans="5:27" s="2" customFormat="1" x14ac:dyDescent="0.3">
      <c r="E86" s="12"/>
      <c r="F86" s="10"/>
      <c r="G86" s="20"/>
      <c r="H86" s="68"/>
      <c r="I86" s="61"/>
      <c r="J86" s="61"/>
      <c r="K86" s="41"/>
    </row>
    <row r="87" spans="5:27" s="2" customFormat="1" x14ac:dyDescent="0.3">
      <c r="E87" s="12"/>
      <c r="F87" s="10"/>
      <c r="G87" s="20"/>
      <c r="H87" s="68"/>
      <c r="I87" s="61"/>
      <c r="J87" s="61"/>
      <c r="K87" s="41"/>
    </row>
    <row r="88" spans="5:27" s="2" customFormat="1" x14ac:dyDescent="0.3">
      <c r="E88" s="12"/>
      <c r="F88" s="10"/>
      <c r="G88" s="20"/>
      <c r="H88" s="68"/>
      <c r="I88" s="61"/>
      <c r="J88" s="61"/>
      <c r="K88" s="41"/>
    </row>
    <row r="89" spans="5:27" s="2" customFormat="1" x14ac:dyDescent="0.3">
      <c r="E89" s="12"/>
      <c r="F89" s="10"/>
      <c r="G89" s="20"/>
      <c r="H89" s="68"/>
      <c r="I89" s="61"/>
      <c r="J89" s="61"/>
      <c r="K89" s="41"/>
    </row>
    <row r="90" spans="5:27" s="2" customFormat="1" x14ac:dyDescent="0.3">
      <c r="E90" s="12"/>
      <c r="F90" s="10"/>
      <c r="G90" s="20"/>
      <c r="H90" s="68"/>
      <c r="I90" s="61"/>
      <c r="J90" s="61"/>
      <c r="K90" s="41"/>
    </row>
    <row r="91" spans="5:27" s="2" customFormat="1" x14ac:dyDescent="0.3">
      <c r="E91" s="12"/>
      <c r="F91" s="10"/>
      <c r="G91" s="20"/>
      <c r="H91" s="68"/>
      <c r="I91" s="61"/>
      <c r="J91" s="61"/>
      <c r="K91" s="41"/>
    </row>
    <row r="92" spans="5:27" s="2" customFormat="1" x14ac:dyDescent="0.3">
      <c r="E92" s="12"/>
      <c r="F92" s="10"/>
      <c r="G92" s="20"/>
      <c r="H92" s="68"/>
      <c r="I92" s="61"/>
      <c r="J92" s="61"/>
      <c r="K92" s="41"/>
    </row>
    <row r="93" spans="5:27" s="2" customFormat="1" x14ac:dyDescent="0.3">
      <c r="E93" s="12"/>
      <c r="F93" s="10"/>
      <c r="G93" s="20"/>
      <c r="H93" s="68"/>
      <c r="I93" s="61"/>
      <c r="J93" s="61"/>
      <c r="K93" s="41"/>
    </row>
    <row r="94" spans="5:27" s="2" customFormat="1" x14ac:dyDescent="0.3">
      <c r="E94" s="12"/>
      <c r="F94" s="10"/>
      <c r="G94" s="20"/>
      <c r="H94" s="68"/>
      <c r="I94" s="61"/>
      <c r="J94" s="61"/>
      <c r="K94" s="41"/>
    </row>
    <row r="95" spans="5:27" s="2" customFormat="1" x14ac:dyDescent="0.3">
      <c r="E95" s="12"/>
      <c r="F95" s="10"/>
      <c r="G95" s="20"/>
      <c r="H95" s="68"/>
      <c r="I95" s="61"/>
      <c r="J95" s="61"/>
      <c r="K95" s="41"/>
    </row>
    <row r="96" spans="5:27" s="2" customFormat="1" x14ac:dyDescent="0.3">
      <c r="E96" s="12"/>
      <c r="F96" s="10"/>
      <c r="G96" s="20"/>
      <c r="H96" s="68"/>
      <c r="I96" s="61"/>
      <c r="J96" s="61"/>
      <c r="K96" s="41"/>
    </row>
    <row r="97" spans="5:11" s="2" customFormat="1" x14ac:dyDescent="0.3">
      <c r="E97" s="12"/>
      <c r="F97" s="10"/>
      <c r="G97" s="20"/>
      <c r="H97" s="68"/>
      <c r="I97" s="61"/>
      <c r="J97" s="61"/>
      <c r="K97" s="41"/>
    </row>
    <row r="98" spans="5:11" s="2" customFormat="1" x14ac:dyDescent="0.3">
      <c r="E98" s="12"/>
      <c r="F98" s="10"/>
      <c r="G98" s="20"/>
      <c r="H98" s="68"/>
      <c r="I98" s="61"/>
      <c r="J98" s="61"/>
      <c r="K98" s="41"/>
    </row>
    <row r="99" spans="5:11" s="2" customFormat="1" x14ac:dyDescent="0.3">
      <c r="E99" s="12"/>
      <c r="F99" s="10"/>
      <c r="G99" s="20"/>
      <c r="H99" s="68"/>
      <c r="I99" s="61"/>
      <c r="J99" s="61"/>
      <c r="K99" s="41"/>
    </row>
    <row r="100" spans="5:11" s="2" customFormat="1" x14ac:dyDescent="0.3">
      <c r="E100" s="12"/>
      <c r="F100" s="10"/>
      <c r="G100" s="20"/>
      <c r="H100" s="68"/>
      <c r="I100" s="61"/>
      <c r="J100" s="61"/>
      <c r="K100" s="41"/>
    </row>
    <row r="101" spans="5:11" s="2" customFormat="1" x14ac:dyDescent="0.3">
      <c r="E101" s="12"/>
      <c r="F101" s="10"/>
      <c r="G101" s="20"/>
      <c r="H101" s="68"/>
      <c r="I101" s="61"/>
      <c r="J101" s="61"/>
      <c r="K101" s="41"/>
    </row>
    <row r="102" spans="5:11" s="2" customFormat="1" x14ac:dyDescent="0.3">
      <c r="E102" s="12"/>
      <c r="F102" s="10"/>
      <c r="G102" s="20"/>
      <c r="H102" s="68"/>
      <c r="I102" s="61"/>
      <c r="J102" s="61"/>
      <c r="K102" s="41"/>
    </row>
    <row r="103" spans="5:11" s="2" customFormat="1" x14ac:dyDescent="0.3">
      <c r="E103" s="12"/>
      <c r="F103" s="10"/>
      <c r="G103" s="20"/>
      <c r="H103" s="68"/>
      <c r="I103" s="61"/>
      <c r="J103" s="61"/>
      <c r="K103" s="41"/>
    </row>
    <row r="104" spans="5:11" s="2" customFormat="1" x14ac:dyDescent="0.3">
      <c r="E104" s="12"/>
      <c r="F104" s="10"/>
      <c r="G104" s="20"/>
      <c r="H104" s="68"/>
      <c r="I104" s="61"/>
      <c r="J104" s="61"/>
      <c r="K104" s="41"/>
    </row>
    <row r="105" spans="5:11" s="2" customFormat="1" x14ac:dyDescent="0.3">
      <c r="E105" s="12"/>
      <c r="F105" s="10"/>
      <c r="G105" s="20"/>
      <c r="H105" s="68"/>
      <c r="I105" s="61"/>
      <c r="J105" s="61"/>
      <c r="K105" s="41"/>
    </row>
    <row r="106" spans="5:11" s="2" customFormat="1" x14ac:dyDescent="0.3">
      <c r="E106" s="12"/>
      <c r="F106" s="10"/>
      <c r="G106" s="20"/>
      <c r="H106" s="68"/>
      <c r="I106" s="61"/>
      <c r="J106" s="61"/>
      <c r="K106" s="41"/>
    </row>
    <row r="107" spans="5:11" s="2" customFormat="1" x14ac:dyDescent="0.3">
      <c r="E107" s="12"/>
      <c r="F107" s="10"/>
      <c r="G107" s="20"/>
      <c r="H107" s="68"/>
      <c r="I107" s="61"/>
      <c r="J107" s="61"/>
      <c r="K107" s="41"/>
    </row>
    <row r="108" spans="5:11" s="2" customFormat="1" x14ac:dyDescent="0.3">
      <c r="E108" s="12"/>
      <c r="F108" s="10"/>
      <c r="G108" s="20"/>
      <c r="H108" s="68"/>
      <c r="I108" s="61"/>
      <c r="J108" s="61"/>
      <c r="K108" s="41"/>
    </row>
    <row r="109" spans="5:11" s="2" customFormat="1" x14ac:dyDescent="0.3">
      <c r="E109" s="12"/>
      <c r="F109" s="10"/>
      <c r="G109" s="20"/>
      <c r="H109" s="68"/>
      <c r="I109" s="61"/>
      <c r="J109" s="61"/>
      <c r="K109" s="41"/>
    </row>
    <row r="110" spans="5:11" s="2" customFormat="1" x14ac:dyDescent="0.3">
      <c r="E110" s="12"/>
      <c r="F110" s="10"/>
      <c r="G110" s="20"/>
      <c r="H110" s="68"/>
      <c r="I110" s="61"/>
      <c r="J110" s="61"/>
      <c r="K110" s="41"/>
    </row>
    <row r="111" spans="5:11" s="2" customFormat="1" x14ac:dyDescent="0.3">
      <c r="E111" s="12"/>
      <c r="F111" s="10"/>
      <c r="G111" s="20"/>
      <c r="H111" s="68"/>
      <c r="I111" s="61"/>
      <c r="J111" s="61"/>
      <c r="K111" s="41"/>
    </row>
    <row r="112" spans="5:11" s="2" customFormat="1" x14ac:dyDescent="0.3">
      <c r="E112" s="12"/>
      <c r="F112" s="10"/>
      <c r="G112" s="20"/>
      <c r="H112" s="68"/>
      <c r="I112" s="61"/>
      <c r="J112" s="61"/>
      <c r="K112" s="41"/>
    </row>
    <row r="113" spans="5:11" s="2" customFormat="1" x14ac:dyDescent="0.3">
      <c r="E113" s="12"/>
      <c r="F113" s="10"/>
      <c r="G113" s="20"/>
      <c r="H113" s="68"/>
      <c r="I113" s="61"/>
      <c r="J113" s="61"/>
      <c r="K113" s="41"/>
    </row>
    <row r="114" spans="5:11" s="2" customFormat="1" x14ac:dyDescent="0.3">
      <c r="E114" s="12"/>
      <c r="F114" s="10"/>
      <c r="G114" s="20"/>
      <c r="H114" s="68"/>
      <c r="I114" s="61"/>
      <c r="J114" s="61"/>
      <c r="K114" s="41"/>
    </row>
    <row r="115" spans="5:11" s="2" customFormat="1" x14ac:dyDescent="0.3">
      <c r="E115" s="12"/>
      <c r="F115" s="10"/>
      <c r="G115" s="20"/>
      <c r="H115" s="68"/>
      <c r="I115" s="61"/>
      <c r="J115" s="61"/>
      <c r="K115" s="41"/>
    </row>
    <row r="116" spans="5:11" s="2" customFormat="1" x14ac:dyDescent="0.3">
      <c r="E116" s="12"/>
      <c r="F116" s="10"/>
      <c r="G116" s="20"/>
      <c r="H116" s="68"/>
      <c r="I116" s="61"/>
      <c r="J116" s="61"/>
      <c r="K116" s="41"/>
    </row>
    <row r="117" spans="5:11" s="2" customFormat="1" x14ac:dyDescent="0.3">
      <c r="E117" s="12"/>
      <c r="F117" s="10"/>
      <c r="G117" s="20"/>
      <c r="H117" s="68"/>
      <c r="I117" s="61"/>
      <c r="J117" s="61"/>
      <c r="K117" s="41"/>
    </row>
    <row r="118" spans="5:11" s="2" customFormat="1" x14ac:dyDescent="0.3">
      <c r="E118" s="12"/>
      <c r="F118" s="10"/>
      <c r="G118" s="20"/>
      <c r="H118" s="68"/>
      <c r="I118" s="61"/>
      <c r="J118" s="61"/>
      <c r="K118" s="41"/>
    </row>
    <row r="119" spans="5:11" s="2" customFormat="1" x14ac:dyDescent="0.3">
      <c r="E119" s="12"/>
      <c r="F119" s="10"/>
      <c r="G119" s="20"/>
      <c r="H119" s="68"/>
      <c r="I119" s="61"/>
      <c r="J119" s="61"/>
      <c r="K119" s="41"/>
    </row>
    <row r="120" spans="5:11" s="2" customFormat="1" x14ac:dyDescent="0.3">
      <c r="E120" s="12"/>
      <c r="F120" s="10"/>
      <c r="G120" s="20"/>
      <c r="H120" s="68"/>
      <c r="I120" s="61"/>
      <c r="J120" s="61"/>
      <c r="K120" s="41"/>
    </row>
    <row r="121" spans="5:11" s="2" customFormat="1" x14ac:dyDescent="0.3">
      <c r="E121" s="12"/>
      <c r="F121" s="10"/>
      <c r="G121" s="20"/>
      <c r="H121" s="68"/>
      <c r="I121" s="61"/>
      <c r="J121" s="61"/>
      <c r="K121" s="41"/>
    </row>
    <row r="122" spans="5:11" s="2" customFormat="1" x14ac:dyDescent="0.3">
      <c r="E122" s="12"/>
      <c r="F122" s="10"/>
      <c r="G122" s="20"/>
      <c r="H122" s="68"/>
      <c r="I122" s="61"/>
      <c r="J122" s="61"/>
      <c r="K122" s="41"/>
    </row>
    <row r="123" spans="5:11" s="2" customFormat="1" x14ac:dyDescent="0.3">
      <c r="E123" s="12"/>
      <c r="F123" s="10"/>
      <c r="G123" s="20"/>
      <c r="H123" s="68"/>
      <c r="I123" s="61"/>
      <c r="J123" s="61"/>
      <c r="K123" s="41"/>
    </row>
    <row r="124" spans="5:11" s="2" customFormat="1" x14ac:dyDescent="0.3">
      <c r="E124" s="12"/>
      <c r="F124" s="10"/>
      <c r="G124" s="20"/>
      <c r="H124" s="68"/>
      <c r="I124" s="61"/>
      <c r="J124" s="61"/>
      <c r="K124" s="41"/>
    </row>
    <row r="125" spans="5:11" s="2" customFormat="1" x14ac:dyDescent="0.3">
      <c r="E125" s="12"/>
      <c r="F125" s="10"/>
      <c r="G125" s="20"/>
      <c r="H125" s="68"/>
      <c r="I125" s="61"/>
      <c r="J125" s="61"/>
      <c r="K125" s="41"/>
    </row>
    <row r="126" spans="5:11" s="2" customFormat="1" x14ac:dyDescent="0.3">
      <c r="E126" s="12"/>
      <c r="F126" s="10"/>
      <c r="G126" s="20"/>
      <c r="H126" s="68"/>
      <c r="I126" s="61"/>
      <c r="J126" s="61"/>
      <c r="K126" s="41"/>
    </row>
    <row r="127" spans="5:11" s="2" customFormat="1" x14ac:dyDescent="0.3">
      <c r="E127" s="12"/>
      <c r="F127" s="10"/>
      <c r="G127" s="20"/>
      <c r="H127" s="68"/>
      <c r="I127" s="61"/>
      <c r="J127" s="61"/>
      <c r="K127" s="41"/>
    </row>
    <row r="128" spans="5:11" s="2" customFormat="1" x14ac:dyDescent="0.3">
      <c r="E128" s="12"/>
      <c r="F128" s="10"/>
      <c r="G128" s="20"/>
      <c r="H128" s="68"/>
      <c r="I128" s="61"/>
      <c r="J128" s="61"/>
      <c r="K128" s="41"/>
    </row>
    <row r="129" spans="5:11" s="2" customFormat="1" x14ac:dyDescent="0.3">
      <c r="E129" s="12"/>
      <c r="F129" s="10"/>
      <c r="G129" s="20"/>
      <c r="H129" s="68"/>
      <c r="I129" s="61"/>
      <c r="J129" s="61"/>
      <c r="K129" s="41"/>
    </row>
    <row r="130" spans="5:11" s="2" customFormat="1" x14ac:dyDescent="0.3">
      <c r="E130" s="12"/>
      <c r="F130" s="10"/>
      <c r="G130" s="20"/>
      <c r="H130" s="68"/>
      <c r="I130" s="61"/>
      <c r="J130" s="61"/>
      <c r="K130" s="41"/>
    </row>
    <row r="131" spans="5:11" s="2" customFormat="1" x14ac:dyDescent="0.3">
      <c r="E131" s="12"/>
      <c r="F131" s="10"/>
      <c r="G131" s="20"/>
      <c r="H131" s="68"/>
      <c r="I131" s="61"/>
      <c r="J131" s="61"/>
      <c r="K131" s="41"/>
    </row>
    <row r="132" spans="5:11" s="2" customFormat="1" x14ac:dyDescent="0.3">
      <c r="E132" s="12"/>
      <c r="F132" s="10"/>
      <c r="G132" s="20"/>
      <c r="H132" s="68"/>
      <c r="I132" s="61"/>
      <c r="J132" s="61"/>
      <c r="K132" s="41"/>
    </row>
    <row r="133" spans="5:11" s="2" customFormat="1" x14ac:dyDescent="0.3">
      <c r="E133" s="12"/>
      <c r="F133" s="10"/>
      <c r="G133" s="20"/>
      <c r="H133" s="68"/>
      <c r="I133" s="61"/>
      <c r="J133" s="61"/>
      <c r="K133" s="41"/>
    </row>
    <row r="134" spans="5:11" s="2" customFormat="1" x14ac:dyDescent="0.3">
      <c r="E134" s="12"/>
      <c r="F134" s="10"/>
      <c r="G134" s="20"/>
      <c r="H134" s="68"/>
      <c r="I134" s="61"/>
      <c r="J134" s="61"/>
      <c r="K134" s="41"/>
    </row>
    <row r="135" spans="5:11" s="2" customFormat="1" x14ac:dyDescent="0.3">
      <c r="E135" s="12"/>
      <c r="F135" s="10"/>
      <c r="G135" s="20"/>
      <c r="H135" s="68"/>
      <c r="I135" s="61"/>
      <c r="J135" s="61"/>
      <c r="K135" s="41"/>
    </row>
    <row r="136" spans="5:11" s="2" customFormat="1" x14ac:dyDescent="0.3">
      <c r="E136" s="12"/>
      <c r="F136" s="10"/>
      <c r="G136" s="20"/>
      <c r="H136" s="68"/>
      <c r="I136" s="61"/>
      <c r="J136" s="61"/>
      <c r="K136" s="41"/>
    </row>
    <row r="137" spans="5:11" s="2" customFormat="1" x14ac:dyDescent="0.3">
      <c r="E137" s="12"/>
      <c r="F137" s="10"/>
      <c r="G137" s="20"/>
      <c r="H137" s="68"/>
      <c r="I137" s="61"/>
      <c r="J137" s="61"/>
      <c r="K137" s="41"/>
    </row>
    <row r="138" spans="5:11" s="2" customFormat="1" x14ac:dyDescent="0.3">
      <c r="E138" s="12"/>
      <c r="F138" s="10"/>
      <c r="G138" s="20"/>
      <c r="H138" s="68"/>
      <c r="I138" s="61"/>
      <c r="J138" s="61"/>
      <c r="K138" s="41"/>
    </row>
    <row r="139" spans="5:11" s="2" customFormat="1" x14ac:dyDescent="0.3">
      <c r="E139" s="12"/>
      <c r="F139" s="10"/>
      <c r="G139" s="20"/>
      <c r="H139" s="68"/>
      <c r="I139" s="61"/>
      <c r="J139" s="61"/>
      <c r="K139" s="41"/>
    </row>
    <row r="140" spans="5:11" s="2" customFormat="1" x14ac:dyDescent="0.3">
      <c r="E140" s="12"/>
      <c r="F140" s="10"/>
      <c r="G140" s="20"/>
      <c r="H140" s="68"/>
      <c r="I140" s="61"/>
      <c r="J140" s="61"/>
      <c r="K140" s="41"/>
    </row>
    <row r="141" spans="5:11" s="2" customFormat="1" x14ac:dyDescent="0.3">
      <c r="E141" s="12"/>
      <c r="F141" s="10"/>
      <c r="G141" s="20"/>
      <c r="H141" s="68"/>
      <c r="I141" s="61"/>
      <c r="J141" s="61"/>
      <c r="K141" s="41"/>
    </row>
    <row r="142" spans="5:11" s="2" customFormat="1" x14ac:dyDescent="0.3">
      <c r="E142" s="12"/>
      <c r="F142" s="10"/>
      <c r="G142" s="20"/>
      <c r="H142" s="68"/>
      <c r="I142" s="61"/>
      <c r="J142" s="61"/>
      <c r="K142" s="41"/>
    </row>
    <row r="143" spans="5:11" s="2" customFormat="1" x14ac:dyDescent="0.3">
      <c r="E143" s="12"/>
      <c r="F143" s="10"/>
      <c r="G143" s="20"/>
      <c r="H143" s="68"/>
      <c r="I143" s="61"/>
      <c r="J143" s="61"/>
      <c r="K143" s="41"/>
    </row>
    <row r="144" spans="5:11" s="2" customFormat="1" x14ac:dyDescent="0.3">
      <c r="E144" s="12"/>
      <c r="F144" s="10"/>
      <c r="G144" s="20"/>
      <c r="H144" s="68"/>
      <c r="I144" s="61"/>
      <c r="J144" s="61"/>
      <c r="K144" s="41"/>
    </row>
    <row r="145" spans="5:11" s="1" customFormat="1" x14ac:dyDescent="0.3">
      <c r="E145" s="12"/>
      <c r="F145" s="10"/>
      <c r="G145" s="20"/>
      <c r="H145" s="68"/>
      <c r="I145" s="61"/>
      <c r="J145" s="61"/>
      <c r="K145" s="42"/>
    </row>
    <row r="146" spans="5:11" s="1" customFormat="1" x14ac:dyDescent="0.3">
      <c r="E146" s="12"/>
      <c r="F146" s="10"/>
      <c r="G146" s="20"/>
      <c r="H146" s="68"/>
      <c r="I146" s="61"/>
      <c r="J146" s="61"/>
      <c r="K146" s="42"/>
    </row>
    <row r="147" spans="5:11" s="1" customFormat="1" ht="15" thickBot="1" x14ac:dyDescent="0.35">
      <c r="E147" s="13"/>
      <c r="F147" s="11"/>
      <c r="G147" s="18"/>
      <c r="H147" s="68"/>
      <c r="I147" s="61"/>
      <c r="J147" s="61"/>
      <c r="K147" s="42"/>
    </row>
    <row r="148" spans="5:11" s="1" customFormat="1" x14ac:dyDescent="0.3">
      <c r="H148" s="42"/>
      <c r="K148" s="42"/>
    </row>
    <row r="149" spans="5:11" s="1" customFormat="1" x14ac:dyDescent="0.3">
      <c r="H149" s="42"/>
      <c r="K149" s="42"/>
    </row>
    <row r="150" spans="5:11" s="1" customFormat="1" x14ac:dyDescent="0.3">
      <c r="H150" s="42"/>
      <c r="K150" s="42"/>
    </row>
    <row r="151" spans="5:11" s="1" customFormat="1" x14ac:dyDescent="0.3">
      <c r="H151" s="42"/>
      <c r="K151" s="42"/>
    </row>
    <row r="152" spans="5:11" s="1" customFormat="1" x14ac:dyDescent="0.3">
      <c r="H152" s="42"/>
      <c r="K152" s="42"/>
    </row>
    <row r="153" spans="5:11" s="1" customFormat="1" x14ac:dyDescent="0.3">
      <c r="H153" s="42"/>
      <c r="K153" s="42"/>
    </row>
    <row r="154" spans="5:11" s="1" customFormat="1" x14ac:dyDescent="0.3">
      <c r="H154" s="42"/>
      <c r="K154" s="42"/>
    </row>
    <row r="155" spans="5:11" s="1" customFormat="1" x14ac:dyDescent="0.3">
      <c r="H155" s="42"/>
      <c r="K155" s="42"/>
    </row>
    <row r="156" spans="5:11" s="1" customFormat="1" x14ac:dyDescent="0.3">
      <c r="H156" s="42"/>
      <c r="K156" s="42"/>
    </row>
    <row r="157" spans="5:11" s="1" customFormat="1" x14ac:dyDescent="0.3">
      <c r="H157" s="42"/>
      <c r="K157" s="42"/>
    </row>
    <row r="158" spans="5:11" s="1" customFormat="1" x14ac:dyDescent="0.3">
      <c r="H158" s="42"/>
      <c r="K158" s="42"/>
    </row>
    <row r="159" spans="5:11" s="1" customFormat="1" x14ac:dyDescent="0.3">
      <c r="H159" s="42"/>
      <c r="K159" s="42"/>
    </row>
    <row r="160" spans="5:11" s="1" customFormat="1" x14ac:dyDescent="0.3">
      <c r="H160" s="42"/>
      <c r="K160" s="42"/>
    </row>
    <row r="161" spans="5:11" s="1" customFormat="1" x14ac:dyDescent="0.3">
      <c r="H161" s="42"/>
      <c r="K161" s="42"/>
    </row>
    <row r="162" spans="5:11" s="1" customFormat="1" x14ac:dyDescent="0.3">
      <c r="H162" s="42"/>
      <c r="K162" s="42"/>
    </row>
    <row r="163" spans="5:11" s="1" customFormat="1" x14ac:dyDescent="0.3">
      <c r="H163" s="42"/>
      <c r="K163" s="42"/>
    </row>
    <row r="164" spans="5:11" s="1" customFormat="1" x14ac:dyDescent="0.3">
      <c r="H164" s="42"/>
      <c r="K164" s="42"/>
    </row>
    <row r="165" spans="5:11" s="1" customFormat="1" x14ac:dyDescent="0.3">
      <c r="H165" s="42"/>
      <c r="K165" s="42"/>
    </row>
    <row r="166" spans="5:11" s="1" customFormat="1" x14ac:dyDescent="0.3">
      <c r="H166" s="42"/>
      <c r="K166" s="42"/>
    </row>
    <row r="167" spans="5:11" s="1" customFormat="1" x14ac:dyDescent="0.3">
      <c r="H167" s="42"/>
      <c r="K167" s="42"/>
    </row>
    <row r="168" spans="5:11" s="1" customFormat="1" x14ac:dyDescent="0.3">
      <c r="H168" s="42"/>
      <c r="K168" s="42"/>
    </row>
    <row r="169" spans="5:11" s="1" customFormat="1" x14ac:dyDescent="0.3">
      <c r="H169" s="42"/>
      <c r="K169" s="42"/>
    </row>
    <row r="170" spans="5:11" s="1" customFormat="1" x14ac:dyDescent="0.3">
      <c r="H170" s="42"/>
      <c r="K170" s="42"/>
    </row>
    <row r="171" spans="5:11" s="1" customFormat="1" x14ac:dyDescent="0.3">
      <c r="H171" s="42"/>
      <c r="K171" s="42"/>
    </row>
    <row r="172" spans="5:11" s="1" customFormat="1" x14ac:dyDescent="0.3">
      <c r="H172" s="42"/>
      <c r="K172" s="42"/>
    </row>
    <row r="173" spans="5:11" s="1" customFormat="1" x14ac:dyDescent="0.3">
      <c r="H173" s="42"/>
      <c r="K173" s="42"/>
    </row>
    <row r="174" spans="5:11" s="1" customFormat="1" x14ac:dyDescent="0.3">
      <c r="H174" s="42"/>
      <c r="K174" s="42"/>
    </row>
    <row r="175" spans="5:11" s="1" customFormat="1" x14ac:dyDescent="0.3">
      <c r="H175" s="42"/>
      <c r="K175" s="42"/>
    </row>
    <row r="176" spans="5:11" x14ac:dyDescent="0.3">
      <c r="E176" s="1"/>
      <c r="F176" s="1"/>
      <c r="G176" s="1"/>
      <c r="H176" s="42"/>
      <c r="I176" s="1"/>
      <c r="J176" s="1"/>
    </row>
    <row r="177" spans="5:10" x14ac:dyDescent="0.3">
      <c r="E177" s="1"/>
      <c r="F177" s="1"/>
      <c r="G177" s="1"/>
      <c r="H177" s="42"/>
      <c r="I177" s="1"/>
      <c r="J177" s="1"/>
    </row>
    <row r="178" spans="5:10" x14ac:dyDescent="0.3">
      <c r="E178" s="1"/>
      <c r="F178" s="1"/>
      <c r="G178" s="1"/>
      <c r="H178" s="42"/>
      <c r="I178" s="1"/>
      <c r="J178" s="1"/>
    </row>
  </sheetData>
  <mergeCells count="33">
    <mergeCell ref="S32:V32"/>
    <mergeCell ref="W32:Z32"/>
    <mergeCell ref="K5:AA5"/>
    <mergeCell ref="S6:AA6"/>
    <mergeCell ref="S18:Y18"/>
    <mergeCell ref="Q6:R6"/>
    <mergeCell ref="M24:R24"/>
    <mergeCell ref="S24:V24"/>
    <mergeCell ref="W24:Z24"/>
    <mergeCell ref="F42:L42"/>
    <mergeCell ref="M42:R42"/>
    <mergeCell ref="S42:V42"/>
    <mergeCell ref="W42:Z42"/>
    <mergeCell ref="O6:P6"/>
    <mergeCell ref="F8:L8"/>
    <mergeCell ref="S8:Y8"/>
    <mergeCell ref="F11:L11"/>
    <mergeCell ref="S11:Y11"/>
    <mergeCell ref="H6:J6"/>
    <mergeCell ref="M6:N6"/>
    <mergeCell ref="K6:L6"/>
    <mergeCell ref="F24:L24"/>
    <mergeCell ref="F18:L18"/>
    <mergeCell ref="F32:L32"/>
    <mergeCell ref="M32:R32"/>
    <mergeCell ref="F53:L53"/>
    <mergeCell ref="M53:R53"/>
    <mergeCell ref="S53:V53"/>
    <mergeCell ref="W53:Z53"/>
    <mergeCell ref="F70:L70"/>
    <mergeCell ref="M70:R70"/>
    <mergeCell ref="S70:V70"/>
    <mergeCell ref="W70:Z7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F46"/>
  <sheetViews>
    <sheetView topLeftCell="C1" workbookViewId="0">
      <selection activeCell="C2" sqref="C2"/>
    </sheetView>
  </sheetViews>
  <sheetFormatPr defaultRowHeight="14.4" x14ac:dyDescent="0.3"/>
  <cols>
    <col min="1" max="1" width="41.6640625" hidden="1" customWidth="1"/>
    <col min="2" max="2" width="23" hidden="1" customWidth="1"/>
    <col min="3" max="3" width="31.33203125" customWidth="1"/>
    <col min="4" max="4" width="10.88671875" customWidth="1"/>
    <col min="5" max="5" width="23.5546875" customWidth="1"/>
    <col min="6" max="6" width="23.33203125" bestFit="1" customWidth="1"/>
    <col min="7" max="7" width="23" bestFit="1" customWidth="1"/>
    <col min="8" max="8" width="11.109375" bestFit="1" customWidth="1"/>
    <col min="9" max="9" width="10.6640625" bestFit="1" customWidth="1"/>
  </cols>
  <sheetData>
    <row r="1" spans="1:16334" s="25" customFormat="1" ht="24.9" customHeight="1" x14ac:dyDescent="0.3">
      <c r="A1" s="23"/>
      <c r="B1" s="23"/>
      <c r="C1" s="23"/>
      <c r="D1" s="23"/>
      <c r="E1" s="23"/>
      <c r="F1" s="23"/>
      <c r="G1" s="23"/>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row>
    <row r="2" spans="1:16334" s="7" customFormat="1" ht="44.4" customHeight="1" x14ac:dyDescent="0.35">
      <c r="A2" s="8"/>
      <c r="B2" s="8"/>
      <c r="C2" s="28" t="s">
        <v>242</v>
      </c>
      <c r="D2" s="8"/>
      <c r="E2" s="30"/>
      <c r="F2" s="8"/>
      <c r="G2" s="29"/>
      <c r="I2" s="9"/>
      <c r="K2" s="9"/>
      <c r="M2" s="9"/>
      <c r="O2" s="9"/>
      <c r="Q2" s="9"/>
      <c r="S2" s="9"/>
      <c r="U2" s="9"/>
      <c r="W2" s="9"/>
      <c r="Y2" s="9"/>
      <c r="AA2" s="9"/>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row>
    <row r="3" spans="1:16334" s="26" customFormat="1" ht="9.9" customHeight="1" x14ac:dyDescent="0.3">
      <c r="E3" s="27"/>
      <c r="G3" s="27"/>
      <c r="I3" s="27"/>
      <c r="K3" s="27"/>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row>
    <row r="4" spans="1:16334" s="5" customFormat="1" ht="5.0999999999999996" customHeight="1" x14ac:dyDescent="0.3">
      <c r="E4" s="4"/>
      <c r="F4" s="4"/>
      <c r="G4" s="4"/>
    </row>
    <row r="5" spans="1:16334" s="5" customFormat="1" ht="58.2" customHeight="1" x14ac:dyDescent="0.3">
      <c r="C5" s="94" t="s">
        <v>243</v>
      </c>
      <c r="E5" s="126" t="s">
        <v>287</v>
      </c>
      <c r="F5" s="126"/>
      <c r="G5" s="4"/>
    </row>
    <row r="6" spans="1:16334" s="5" customFormat="1" ht="16.2" customHeight="1" x14ac:dyDescent="0.3">
      <c r="C6" s="1"/>
      <c r="E6" s="4"/>
      <c r="F6" s="4"/>
      <c r="G6" s="4"/>
    </row>
    <row r="7" spans="1:16334" s="5" customFormat="1" ht="16.2" customHeight="1" x14ac:dyDescent="0.3">
      <c r="C7" s="1"/>
      <c r="E7" s="4"/>
      <c r="F7" s="4"/>
      <c r="G7" s="4"/>
    </row>
    <row r="8" spans="1:16334" s="5" customFormat="1" ht="16.2" customHeight="1" x14ac:dyDescent="0.3">
      <c r="C8" s="1"/>
      <c r="E8" s="4"/>
      <c r="F8" s="4"/>
      <c r="G8" s="4"/>
    </row>
    <row r="9" spans="1:16334" s="5" customFormat="1" ht="16.2" customHeight="1" x14ac:dyDescent="0.3">
      <c r="C9" s="1"/>
      <c r="E9" s="4"/>
      <c r="F9" s="4"/>
      <c r="G9" s="4"/>
    </row>
    <row r="10" spans="1:16334" s="5" customFormat="1" ht="16.2" customHeight="1" x14ac:dyDescent="0.3">
      <c r="C10" s="1"/>
      <c r="E10" s="4"/>
      <c r="F10" s="4"/>
      <c r="G10" s="4"/>
    </row>
    <row r="11" spans="1:16334" s="5" customFormat="1" ht="16.2" customHeight="1" x14ac:dyDescent="0.3">
      <c r="C11" s="1"/>
      <c r="E11" s="4"/>
      <c r="F11" s="4"/>
      <c r="G11" s="4"/>
    </row>
    <row r="12" spans="1:16334" s="5" customFormat="1" ht="16.2" customHeight="1" x14ac:dyDescent="0.3">
      <c r="C12" s="1"/>
      <c r="E12" s="4"/>
      <c r="F12" s="4"/>
      <c r="G12" s="4"/>
    </row>
    <row r="13" spans="1:16334" s="5" customFormat="1" ht="16.2" customHeight="1" x14ac:dyDescent="0.3">
      <c r="C13" s="1"/>
      <c r="E13" s="4"/>
      <c r="F13" s="4"/>
      <c r="G13" s="4"/>
    </row>
    <row r="14" spans="1:16334" s="5" customFormat="1" ht="16.2" customHeight="1" x14ac:dyDescent="0.3">
      <c r="C14" s="1"/>
      <c r="E14" s="4"/>
      <c r="F14" s="4"/>
      <c r="G14" s="4"/>
    </row>
    <row r="15" spans="1:16334" s="5" customFormat="1" ht="16.2" customHeight="1" x14ac:dyDescent="0.3">
      <c r="C15" s="1"/>
      <c r="E15" s="4"/>
      <c r="F15" s="4"/>
      <c r="G15" s="4"/>
    </row>
    <row r="16" spans="1:16334" s="5" customFormat="1" ht="16.2" customHeight="1" x14ac:dyDescent="0.3">
      <c r="C16" s="1"/>
      <c r="E16" s="4"/>
      <c r="F16" s="4"/>
      <c r="G16" s="4"/>
    </row>
    <row r="17" spans="1:17" s="5" customFormat="1" ht="10.199999999999999" customHeight="1" x14ac:dyDescent="0.3">
      <c r="C17" s="1"/>
      <c r="E17" s="4"/>
      <c r="F17" s="4"/>
      <c r="G17" s="4"/>
    </row>
    <row r="18" spans="1:17" s="5" customFormat="1" ht="1.8" customHeight="1" thickBot="1" x14ac:dyDescent="0.35">
      <c r="E18" s="4"/>
      <c r="F18" s="4"/>
      <c r="G18" s="4"/>
    </row>
    <row r="19" spans="1:17" s="35" customFormat="1" ht="31.5" customHeight="1" thickBot="1" x14ac:dyDescent="0.35">
      <c r="A19" s="34" t="s">
        <v>18</v>
      </c>
      <c r="B19" s="34" t="s">
        <v>19</v>
      </c>
      <c r="C19" s="32" t="s">
        <v>0</v>
      </c>
      <c r="D19" s="103" t="s">
        <v>5</v>
      </c>
      <c r="E19" s="36" t="s">
        <v>6</v>
      </c>
      <c r="F19" s="101" t="s">
        <v>246</v>
      </c>
      <c r="G19" s="103" t="s">
        <v>247</v>
      </c>
    </row>
    <row r="20" spans="1:17" s="35" customFormat="1" ht="19.5" customHeight="1" x14ac:dyDescent="0.3">
      <c r="A20" s="34"/>
      <c r="B20" s="34"/>
      <c r="C20" s="32" t="s">
        <v>264</v>
      </c>
      <c r="D20" s="103"/>
      <c r="E20" s="36"/>
      <c r="F20" s="101"/>
      <c r="G20" s="103"/>
    </row>
    <row r="21" spans="1:17" s="2" customFormat="1" ht="43.2" x14ac:dyDescent="0.3">
      <c r="A21" s="2" t="s">
        <v>244</v>
      </c>
      <c r="B21" s="2" t="s">
        <v>249</v>
      </c>
      <c r="C21" s="12" t="s">
        <v>260</v>
      </c>
      <c r="D21" s="98">
        <v>1.3344260349999999</v>
      </c>
      <c r="E21" s="99" t="s">
        <v>245</v>
      </c>
      <c r="F21" s="102" t="s">
        <v>254</v>
      </c>
      <c r="G21" s="2">
        <f>EXP(D21+D23^2/2)</f>
        <v>3.8337210383321731</v>
      </c>
    </row>
    <row r="22" spans="1:17" s="2" customFormat="1" ht="43.2" x14ac:dyDescent="0.3">
      <c r="A22" s="2" t="s">
        <v>250</v>
      </c>
      <c r="B22" s="2" t="s">
        <v>249</v>
      </c>
      <c r="C22" s="95" t="s">
        <v>251</v>
      </c>
      <c r="D22" s="98">
        <v>5.2396190000000002E-2</v>
      </c>
      <c r="E22" s="100" t="s">
        <v>245</v>
      </c>
      <c r="F22" s="102" t="s">
        <v>258</v>
      </c>
      <c r="G22" s="104">
        <f>(EXP(D22+D24^2/2)-1)</f>
        <v>5.4536729180092891E-2</v>
      </c>
    </row>
    <row r="23" spans="1:17" s="2" customFormat="1" ht="43.2" x14ac:dyDescent="0.3">
      <c r="A23" s="2" t="s">
        <v>252</v>
      </c>
      <c r="B23" s="2" t="s">
        <v>249</v>
      </c>
      <c r="C23" s="95" t="s">
        <v>253</v>
      </c>
      <c r="D23" s="98">
        <f>EXP(-1.986425701)</f>
        <v>0.13718488999321934</v>
      </c>
      <c r="E23" s="100" t="s">
        <v>245</v>
      </c>
      <c r="F23" s="102" t="s">
        <v>255</v>
      </c>
      <c r="G23" s="98">
        <f>SQRT((EXP(D23^2)-1)*EXP(2*D21+D23^2))</f>
        <v>0.52841278194580787</v>
      </c>
    </row>
    <row r="24" spans="1:17" s="2" customFormat="1" ht="43.2" x14ac:dyDescent="0.3">
      <c r="A24" s="2" t="s">
        <v>256</v>
      </c>
      <c r="B24" s="2" t="s">
        <v>249</v>
      </c>
      <c r="C24" s="95" t="s">
        <v>280</v>
      </c>
      <c r="D24" s="98">
        <f>EXP(-3.281826664)</f>
        <v>3.7559585364004992E-2</v>
      </c>
      <c r="E24" s="100" t="s">
        <v>245</v>
      </c>
      <c r="F24" s="102" t="s">
        <v>257</v>
      </c>
      <c r="G24" s="104">
        <f>SQRT((EXP(D24^2)-1)*EXP(2*D22+D24^2))</f>
        <v>3.9621935365902541E-2</v>
      </c>
    </row>
    <row r="25" spans="1:17" s="2" customFormat="1" ht="43.2" x14ac:dyDescent="0.3">
      <c r="A25" s="2" t="s">
        <v>259</v>
      </c>
      <c r="B25" s="2" t="s">
        <v>249</v>
      </c>
      <c r="C25" s="95" t="s">
        <v>281</v>
      </c>
      <c r="D25" s="98">
        <f>TANH(0.409567743)</f>
        <v>0.38810559394397159</v>
      </c>
      <c r="E25" s="100" t="s">
        <v>245</v>
      </c>
      <c r="F25" s="102" t="s">
        <v>261</v>
      </c>
      <c r="G25" s="98">
        <f>EXP(D21+D22+0.5*(D23^2+D24^2))*(EXP(D25*D23*D24)-1)/(G23*G24)</f>
        <v>0.38653115474724703</v>
      </c>
    </row>
    <row r="26" spans="1:17" s="2" customFormat="1" ht="43.8" thickBot="1" x14ac:dyDescent="0.35">
      <c r="A26" s="2" t="s">
        <v>262</v>
      </c>
      <c r="B26" s="2" t="s">
        <v>249</v>
      </c>
      <c r="C26" s="95" t="s">
        <v>282</v>
      </c>
      <c r="D26" s="98">
        <f>EXP(-2.960876192)</f>
        <v>5.177353373725542E-2</v>
      </c>
      <c r="E26" s="100" t="s">
        <v>245</v>
      </c>
      <c r="F26" s="102" t="s">
        <v>263</v>
      </c>
      <c r="G26" s="98">
        <f>SQRT((EXP(D26^2)-1)*EXP(2*D21+D26^2))</f>
        <v>0.19702204888868802</v>
      </c>
    </row>
    <row r="27" spans="1:17" s="35" customFormat="1" ht="19.5" customHeight="1" x14ac:dyDescent="0.3">
      <c r="A27" s="34"/>
      <c r="B27" s="34"/>
      <c r="C27" s="32" t="s">
        <v>265</v>
      </c>
      <c r="D27" s="103"/>
      <c r="E27" s="36"/>
      <c r="F27" s="101"/>
      <c r="G27" s="103"/>
    </row>
    <row r="28" spans="1:17" s="2" customFormat="1" ht="43.2" x14ac:dyDescent="0.3">
      <c r="A28" s="2" t="s">
        <v>266</v>
      </c>
      <c r="B28" s="2" t="s">
        <v>249</v>
      </c>
      <c r="C28" s="95" t="s">
        <v>285</v>
      </c>
      <c r="D28" s="98">
        <f>-12.39926</f>
        <v>-12.39926</v>
      </c>
      <c r="E28" s="100" t="s">
        <v>245</v>
      </c>
      <c r="F28" s="102" t="s">
        <v>268</v>
      </c>
      <c r="G28" s="98">
        <f>100*EXP(D28+LN(4)*D29)</f>
        <v>0.80794852009178131</v>
      </c>
    </row>
    <row r="29" spans="1:17" s="2" customFormat="1" ht="43.8" thickBot="1" x14ac:dyDescent="0.35">
      <c r="A29" s="2" t="s">
        <v>267</v>
      </c>
      <c r="B29" s="2" t="s">
        <v>249</v>
      </c>
      <c r="C29" s="110" t="s">
        <v>286</v>
      </c>
      <c r="D29" s="111">
        <f xml:space="preserve"> 5.468415</f>
        <v>5.4684150000000002</v>
      </c>
      <c r="E29" s="112" t="s">
        <v>245</v>
      </c>
      <c r="F29" s="113" t="s">
        <v>269</v>
      </c>
      <c r="G29" s="111">
        <f>EXP(D29*LN(1.02))</f>
        <v>1.1143697340451595</v>
      </c>
    </row>
    <row r="32" spans="1:17" ht="15.6" x14ac:dyDescent="0.3">
      <c r="A32" s="121" t="s">
        <v>283</v>
      </c>
      <c r="B32" s="122"/>
      <c r="C32" s="122"/>
      <c r="D32" s="122"/>
      <c r="E32" s="122"/>
      <c r="F32" s="122"/>
      <c r="G32" s="122"/>
      <c r="H32" s="122"/>
      <c r="I32" s="122"/>
      <c r="J32" s="122"/>
      <c r="K32" s="122"/>
      <c r="L32" s="122"/>
      <c r="M32" s="122"/>
      <c r="N32" s="122"/>
      <c r="O32" s="122"/>
      <c r="P32" s="122"/>
      <c r="Q32" s="122"/>
    </row>
    <row r="34" spans="1:9" x14ac:dyDescent="0.3">
      <c r="C34" s="93" t="s">
        <v>289</v>
      </c>
    </row>
    <row r="35" spans="1:9" s="1" customFormat="1" x14ac:dyDescent="0.3">
      <c r="D35" s="1" t="s">
        <v>290</v>
      </c>
      <c r="E35" s="1" t="s">
        <v>291</v>
      </c>
      <c r="F35" s="1" t="s">
        <v>292</v>
      </c>
      <c r="G35" s="1" t="s">
        <v>293</v>
      </c>
      <c r="H35" s="1" t="s">
        <v>294</v>
      </c>
      <c r="I35" s="1" t="s">
        <v>295</v>
      </c>
    </row>
    <row r="36" spans="1:9" ht="28.8" x14ac:dyDescent="0.3">
      <c r="A36" s="1" t="s">
        <v>297</v>
      </c>
      <c r="B36" s="2" t="s">
        <v>296</v>
      </c>
      <c r="C36" t="s">
        <v>290</v>
      </c>
      <c r="D36" s="109">
        <v>1.4724E-5</v>
      </c>
      <c r="E36" s="109">
        <v>6.5509999999999996E-6</v>
      </c>
      <c r="F36" s="109">
        <v>2.8326999999999998E-5</v>
      </c>
      <c r="G36" s="1">
        <v>1.86028E-4</v>
      </c>
      <c r="H36" s="1">
        <v>-1.2477300000000001E-4</v>
      </c>
      <c r="I36" s="109">
        <v>-8.7445E-5</v>
      </c>
    </row>
    <row r="37" spans="1:9" x14ac:dyDescent="0.3">
      <c r="A37" s="1" t="s">
        <v>297</v>
      </c>
      <c r="B37" s="2"/>
      <c r="C37" t="s">
        <v>291</v>
      </c>
      <c r="D37" s="67"/>
      <c r="E37" s="1">
        <v>5.67509E-4</v>
      </c>
      <c r="F37" s="1">
        <v>-7.5197399999999998E-4</v>
      </c>
      <c r="G37" s="1">
        <v>-1.363946E-3</v>
      </c>
      <c r="H37" s="1">
        <v>-4.1786500000000001E-4</v>
      </c>
      <c r="I37" s="1">
        <v>-1.799988E-3</v>
      </c>
    </row>
    <row r="38" spans="1:9" x14ac:dyDescent="0.3">
      <c r="A38" s="1" t="s">
        <v>297</v>
      </c>
      <c r="B38" s="2"/>
      <c r="C38" t="s">
        <v>292</v>
      </c>
      <c r="D38" s="67"/>
      <c r="E38" s="67"/>
      <c r="F38" s="1">
        <v>9.5160279999999993E-3</v>
      </c>
      <c r="G38" s="1">
        <v>5.1530259999999998E-3</v>
      </c>
      <c r="H38" s="109">
        <v>-4.71E-5</v>
      </c>
      <c r="I38" s="1">
        <v>2.40076E-3</v>
      </c>
    </row>
    <row r="39" spans="1:9" x14ac:dyDescent="0.3">
      <c r="A39" s="1" t="s">
        <v>297</v>
      </c>
      <c r="B39" s="2"/>
      <c r="C39" t="s">
        <v>293</v>
      </c>
      <c r="D39" s="67"/>
      <c r="E39" s="67"/>
      <c r="F39" s="67"/>
      <c r="G39" s="1">
        <v>1.1569443E-2</v>
      </c>
      <c r="H39" s="1">
        <v>8.4286099999999998E-4</v>
      </c>
      <c r="I39" s="1">
        <v>5.5661870000000002E-3</v>
      </c>
    </row>
    <row r="40" spans="1:9" x14ac:dyDescent="0.3">
      <c r="A40" s="1" t="s">
        <v>297</v>
      </c>
      <c r="B40" s="2"/>
      <c r="C40" t="s">
        <v>294</v>
      </c>
      <c r="D40" s="67"/>
      <c r="E40" s="67"/>
      <c r="F40" s="67"/>
      <c r="G40" s="67"/>
      <c r="H40" s="1">
        <v>1.1419265E-2</v>
      </c>
      <c r="I40" s="1">
        <v>5.2601490000000004E-3</v>
      </c>
    </row>
    <row r="41" spans="1:9" x14ac:dyDescent="0.3">
      <c r="A41" s="1" t="s">
        <v>297</v>
      </c>
      <c r="B41" s="2"/>
      <c r="C41" t="s">
        <v>295</v>
      </c>
      <c r="D41" s="67"/>
      <c r="E41" s="67"/>
      <c r="F41" s="67"/>
      <c r="G41" s="67"/>
      <c r="H41" s="67"/>
      <c r="I41" s="1">
        <v>1.3688456E-2</v>
      </c>
    </row>
    <row r="43" spans="1:9" x14ac:dyDescent="0.3">
      <c r="C43" s="93" t="s">
        <v>298</v>
      </c>
    </row>
    <row r="44" spans="1:9" x14ac:dyDescent="0.3">
      <c r="D44" t="s">
        <v>24</v>
      </c>
      <c r="E44" t="s">
        <v>299</v>
      </c>
    </row>
    <row r="45" spans="1:9" ht="28.8" x14ac:dyDescent="0.3">
      <c r="A45" s="1" t="s">
        <v>300</v>
      </c>
      <c r="B45" s="2" t="s">
        <v>296</v>
      </c>
      <c r="C45" t="s">
        <v>24</v>
      </c>
      <c r="D45" s="1">
        <v>1.5891569999999999</v>
      </c>
      <c r="E45" s="1">
        <v>-2.2178309999999999</v>
      </c>
    </row>
    <row r="46" spans="1:9" x14ac:dyDescent="0.3">
      <c r="A46" s="1" t="s">
        <v>300</v>
      </c>
      <c r="C46" t="s">
        <v>299</v>
      </c>
      <c r="D46" s="67"/>
      <c r="E46" s="1">
        <v>3.1405639999999999</v>
      </c>
    </row>
  </sheetData>
  <mergeCells count="2">
    <mergeCell ref="A32:Q32"/>
    <mergeCell ref="E5:F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110"/>
  <sheetViews>
    <sheetView workbookViewId="0">
      <selection activeCell="D11" sqref="D11"/>
    </sheetView>
  </sheetViews>
  <sheetFormatPr defaultRowHeight="14.4" x14ac:dyDescent="0.3"/>
  <cols>
    <col min="1" max="1" width="12.44140625" bestFit="1" customWidth="1"/>
    <col min="2" max="2" width="16.332031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278</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5" spans="1:16331" x14ac:dyDescent="0.3">
      <c r="A5" s="93" t="s">
        <v>276</v>
      </c>
      <c r="B5" s="93" t="s">
        <v>277</v>
      </c>
    </row>
    <row r="6" spans="1:16331" x14ac:dyDescent="0.3">
      <c r="A6" s="1">
        <v>0.7</v>
      </c>
      <c r="B6" s="109">
        <v>2.8600000000000001E-6</v>
      </c>
    </row>
    <row r="7" spans="1:16331" x14ac:dyDescent="0.3">
      <c r="A7" s="1">
        <v>0.8</v>
      </c>
      <c r="B7" s="109">
        <v>5.7100000000000004E-6</v>
      </c>
    </row>
    <row r="8" spans="1:16331" x14ac:dyDescent="0.3">
      <c r="A8" s="1">
        <v>0.9</v>
      </c>
      <c r="B8" s="109">
        <v>4.4299999999999999E-5</v>
      </c>
    </row>
    <row r="9" spans="1:16331" x14ac:dyDescent="0.3">
      <c r="A9" s="1">
        <v>1</v>
      </c>
      <c r="B9" s="1">
        <v>3.51429E-4</v>
      </c>
    </row>
    <row r="10" spans="1:16331" x14ac:dyDescent="0.3">
      <c r="A10" s="1">
        <v>1.1000000000000001</v>
      </c>
      <c r="B10" s="1">
        <v>1.2057140000000001E-3</v>
      </c>
    </row>
    <row r="11" spans="1:16331" x14ac:dyDescent="0.3">
      <c r="A11" s="1">
        <v>1.2</v>
      </c>
      <c r="B11" s="1">
        <v>5.032857E-3</v>
      </c>
    </row>
    <row r="12" spans="1:16331" x14ac:dyDescent="0.3">
      <c r="A12" s="1">
        <v>1.3</v>
      </c>
      <c r="B12" s="1">
        <v>1.7921428999999999E-2</v>
      </c>
    </row>
    <row r="13" spans="1:16331" x14ac:dyDescent="0.3">
      <c r="A13" s="1">
        <v>1.4</v>
      </c>
      <c r="B13" s="1">
        <v>4.5698572E-2</v>
      </c>
    </row>
    <row r="14" spans="1:16331" x14ac:dyDescent="0.3">
      <c r="A14" s="1">
        <v>1.5</v>
      </c>
      <c r="B14" s="1">
        <v>9.2591427000000004E-2</v>
      </c>
    </row>
    <row r="15" spans="1:16331" x14ac:dyDescent="0.3">
      <c r="A15" s="1">
        <v>1.6</v>
      </c>
      <c r="B15" s="1">
        <v>0.15767142000000001</v>
      </c>
    </row>
    <row r="16" spans="1:16331" x14ac:dyDescent="0.3">
      <c r="A16" s="1">
        <v>1.7</v>
      </c>
      <c r="B16" s="1">
        <v>0.17887570999999999</v>
      </c>
    </row>
    <row r="17" spans="1:2" x14ac:dyDescent="0.3">
      <c r="A17" s="1">
        <v>1.8</v>
      </c>
      <c r="B17" s="1">
        <v>0.18390999999999999</v>
      </c>
    </row>
    <row r="18" spans="1:2" x14ac:dyDescent="0.3">
      <c r="A18" s="1">
        <v>1.9</v>
      </c>
      <c r="B18" s="1">
        <v>0.13339857999999999</v>
      </c>
    </row>
    <row r="19" spans="1:2" x14ac:dyDescent="0.3">
      <c r="A19" s="1">
        <v>2</v>
      </c>
      <c r="B19" s="1">
        <v>8.0861427E-2</v>
      </c>
    </row>
    <row r="20" spans="1:2" x14ac:dyDescent="0.3">
      <c r="A20" s="1">
        <v>2.1</v>
      </c>
      <c r="B20" s="1">
        <v>3.8361430000000002E-2</v>
      </c>
    </row>
    <row r="21" spans="1:2" x14ac:dyDescent="0.3">
      <c r="A21" s="1">
        <v>2.2000000000000002</v>
      </c>
      <c r="B21" s="1">
        <v>1.9068570999999999E-2</v>
      </c>
    </row>
    <row r="22" spans="1:2" x14ac:dyDescent="0.3">
      <c r="A22" s="1">
        <v>2.2999999999999998</v>
      </c>
      <c r="B22" s="1">
        <v>1.0529999999999999E-2</v>
      </c>
    </row>
    <row r="23" spans="1:2" x14ac:dyDescent="0.3">
      <c r="A23" s="1">
        <v>2.4</v>
      </c>
      <c r="B23" s="1">
        <v>6.8757139999999998E-3</v>
      </c>
    </row>
    <row r="24" spans="1:2" x14ac:dyDescent="0.3">
      <c r="A24" s="1">
        <v>2.5</v>
      </c>
      <c r="B24" s="1">
        <v>4.8071429999999998E-3</v>
      </c>
    </row>
    <row r="25" spans="1:2" x14ac:dyDescent="0.3">
      <c r="A25" s="1">
        <v>2.6</v>
      </c>
      <c r="B25" s="1">
        <v>3.531429E-3</v>
      </c>
    </row>
    <row r="26" spans="1:2" x14ac:dyDescent="0.3">
      <c r="A26" s="1">
        <v>2.7</v>
      </c>
      <c r="B26" s="1">
        <v>2.6385710000000001E-3</v>
      </c>
    </row>
    <row r="27" spans="1:2" x14ac:dyDescent="0.3">
      <c r="A27" s="1">
        <v>2.8</v>
      </c>
      <c r="B27" s="1">
        <v>2.0657140000000002E-3</v>
      </c>
    </row>
    <row r="28" spans="1:2" x14ac:dyDescent="0.3">
      <c r="A28" s="1">
        <v>2.9</v>
      </c>
      <c r="B28" s="1">
        <v>1.1385709999999999E-3</v>
      </c>
    </row>
    <row r="29" spans="1:2" x14ac:dyDescent="0.3">
      <c r="A29" s="1">
        <v>3</v>
      </c>
      <c r="B29" s="1">
        <v>2.3214289999999999E-3</v>
      </c>
    </row>
    <row r="30" spans="1:2" x14ac:dyDescent="0.3">
      <c r="A30" s="1">
        <v>3.1</v>
      </c>
      <c r="B30" s="1">
        <v>1.574286E-3</v>
      </c>
    </row>
    <row r="31" spans="1:2" x14ac:dyDescent="0.3">
      <c r="A31" s="1">
        <v>3.2</v>
      </c>
      <c r="B31" s="1">
        <v>1.1800000000000001E-3</v>
      </c>
    </row>
    <row r="32" spans="1:2" x14ac:dyDescent="0.3">
      <c r="A32" s="1">
        <v>3.3</v>
      </c>
      <c r="B32" s="1">
        <v>9.5857099999999997E-4</v>
      </c>
    </row>
    <row r="33" spans="1:2" x14ac:dyDescent="0.3">
      <c r="A33" s="1">
        <v>3.4</v>
      </c>
      <c r="B33" s="1">
        <v>7.9714300000000005E-4</v>
      </c>
    </row>
    <row r="34" spans="1:2" x14ac:dyDescent="0.3">
      <c r="A34" s="1">
        <v>3.5</v>
      </c>
      <c r="B34" s="1">
        <v>6.9285699999999996E-4</v>
      </c>
    </row>
    <row r="35" spans="1:2" x14ac:dyDescent="0.3">
      <c r="A35" s="1">
        <v>3.6</v>
      </c>
      <c r="B35" s="1">
        <v>5.9285700000000002E-4</v>
      </c>
    </row>
    <row r="36" spans="1:2" x14ac:dyDescent="0.3">
      <c r="A36" s="1">
        <v>3.7</v>
      </c>
      <c r="B36" s="1">
        <v>5.1428599999999997E-4</v>
      </c>
    </row>
    <row r="37" spans="1:2" x14ac:dyDescent="0.3">
      <c r="A37" s="1">
        <v>3.8</v>
      </c>
      <c r="B37" s="1">
        <v>4.8000000000000001E-4</v>
      </c>
    </row>
    <row r="38" spans="1:2" x14ac:dyDescent="0.3">
      <c r="A38" s="1">
        <v>3.9</v>
      </c>
      <c r="B38" s="1">
        <v>3.7428599999999999E-4</v>
      </c>
    </row>
    <row r="39" spans="1:2" x14ac:dyDescent="0.3">
      <c r="A39" s="1">
        <v>4</v>
      </c>
      <c r="B39" s="1">
        <v>4.0000000000000002E-4</v>
      </c>
    </row>
    <row r="40" spans="1:2" x14ac:dyDescent="0.3">
      <c r="A40" s="1">
        <v>4.0999999999999996</v>
      </c>
      <c r="B40" s="1">
        <v>2.7E-4</v>
      </c>
    </row>
    <row r="41" spans="1:2" x14ac:dyDescent="0.3">
      <c r="A41" s="1">
        <v>4.2</v>
      </c>
      <c r="B41" s="1">
        <v>2.9857100000000003E-4</v>
      </c>
    </row>
    <row r="42" spans="1:2" x14ac:dyDescent="0.3">
      <c r="A42" s="1">
        <v>4.3</v>
      </c>
      <c r="B42" s="1">
        <v>2.3571399999999999E-4</v>
      </c>
    </row>
    <row r="43" spans="1:2" x14ac:dyDescent="0.3">
      <c r="A43" s="1">
        <v>4.4000000000000004</v>
      </c>
      <c r="B43" s="1">
        <v>1.74286E-4</v>
      </c>
    </row>
    <row r="44" spans="1:2" x14ac:dyDescent="0.3">
      <c r="A44" s="1">
        <v>4.5</v>
      </c>
      <c r="B44" s="1">
        <v>2.68571E-4</v>
      </c>
    </row>
    <row r="45" spans="1:2" x14ac:dyDescent="0.3">
      <c r="A45" s="1">
        <v>4.5999999999999996</v>
      </c>
      <c r="B45" s="1">
        <v>2.04286E-4</v>
      </c>
    </row>
    <row r="46" spans="1:2" x14ac:dyDescent="0.3">
      <c r="A46" s="1">
        <v>4.7</v>
      </c>
      <c r="B46" s="1">
        <v>1.8857100000000001E-4</v>
      </c>
    </row>
    <row r="47" spans="1:2" x14ac:dyDescent="0.3">
      <c r="A47" s="1">
        <v>4.8</v>
      </c>
      <c r="B47" s="1">
        <v>1.8000000000000001E-4</v>
      </c>
    </row>
    <row r="48" spans="1:2" x14ac:dyDescent="0.3">
      <c r="A48" s="1">
        <v>4.9000000000000004</v>
      </c>
      <c r="B48" s="1">
        <v>1.1142900000000001E-4</v>
      </c>
    </row>
    <row r="49" spans="1:2" x14ac:dyDescent="0.3">
      <c r="A49" s="1">
        <v>5</v>
      </c>
      <c r="B49" s="1">
        <v>1.47143E-4</v>
      </c>
    </row>
    <row r="50" spans="1:2" x14ac:dyDescent="0.3">
      <c r="A50" s="1">
        <v>5.0999999999999996</v>
      </c>
      <c r="B50" s="1">
        <v>1.15714E-4</v>
      </c>
    </row>
    <row r="51" spans="1:2" x14ac:dyDescent="0.3">
      <c r="A51" s="1">
        <v>5.2</v>
      </c>
      <c r="B51" s="1">
        <v>1.0285699999999999E-4</v>
      </c>
    </row>
    <row r="52" spans="1:2" x14ac:dyDescent="0.3">
      <c r="A52" s="1">
        <v>5.3</v>
      </c>
      <c r="B52" s="109">
        <v>9.0000000000000006E-5</v>
      </c>
    </row>
    <row r="53" spans="1:2" x14ac:dyDescent="0.3">
      <c r="A53" s="1">
        <v>5.4</v>
      </c>
      <c r="B53" s="109">
        <v>6.0000000000000002E-5</v>
      </c>
    </row>
    <row r="54" spans="1:2" x14ac:dyDescent="0.3">
      <c r="A54" s="1">
        <v>5.5</v>
      </c>
      <c r="B54" s="1">
        <v>1.2285700000000001E-4</v>
      </c>
    </row>
    <row r="55" spans="1:2" x14ac:dyDescent="0.3">
      <c r="A55" s="1">
        <v>5.6</v>
      </c>
      <c r="B55" s="1">
        <v>1.0142899999999999E-4</v>
      </c>
    </row>
    <row r="56" spans="1:2" x14ac:dyDescent="0.3">
      <c r="A56" s="1">
        <v>5.7</v>
      </c>
      <c r="B56" s="109">
        <v>5.1400000000000003E-5</v>
      </c>
    </row>
    <row r="57" spans="1:2" x14ac:dyDescent="0.3">
      <c r="A57" s="1">
        <v>5.8</v>
      </c>
      <c r="B57" s="109">
        <v>4.2899999999999999E-5</v>
      </c>
    </row>
    <row r="58" spans="1:2" x14ac:dyDescent="0.3">
      <c r="A58" s="1">
        <v>5.9</v>
      </c>
      <c r="B58" s="109">
        <v>6.7100000000000005E-5</v>
      </c>
    </row>
    <row r="59" spans="1:2" x14ac:dyDescent="0.3">
      <c r="A59" s="1">
        <v>6</v>
      </c>
      <c r="B59" s="109">
        <v>8.0000000000000007E-5</v>
      </c>
    </row>
    <row r="60" spans="1:2" x14ac:dyDescent="0.3">
      <c r="A60" s="1">
        <v>6.1</v>
      </c>
      <c r="B60" s="109">
        <v>5.5699999999999999E-5</v>
      </c>
    </row>
    <row r="61" spans="1:2" x14ac:dyDescent="0.3">
      <c r="A61" s="1">
        <v>6.2</v>
      </c>
      <c r="B61" s="109">
        <v>4.2899999999999999E-5</v>
      </c>
    </row>
    <row r="62" spans="1:2" x14ac:dyDescent="0.3">
      <c r="A62" s="1">
        <v>6.3</v>
      </c>
      <c r="B62" s="109">
        <v>3.29E-5</v>
      </c>
    </row>
    <row r="63" spans="1:2" x14ac:dyDescent="0.3">
      <c r="A63" s="1">
        <v>6.4</v>
      </c>
      <c r="B63" s="109">
        <v>4.2899999999999999E-5</v>
      </c>
    </row>
    <row r="64" spans="1:2" x14ac:dyDescent="0.3">
      <c r="A64" s="1">
        <v>6.5</v>
      </c>
      <c r="B64" s="109">
        <v>4.57E-5</v>
      </c>
    </row>
    <row r="65" spans="1:2" x14ac:dyDescent="0.3">
      <c r="A65" s="1">
        <v>6.6</v>
      </c>
      <c r="B65" s="109">
        <v>3.0000000000000001E-5</v>
      </c>
    </row>
    <row r="66" spans="1:2" x14ac:dyDescent="0.3">
      <c r="A66" s="1">
        <v>6.7</v>
      </c>
      <c r="B66" s="109">
        <v>2.2900000000000001E-5</v>
      </c>
    </row>
    <row r="67" spans="1:2" x14ac:dyDescent="0.3">
      <c r="A67" s="1">
        <v>6.8</v>
      </c>
      <c r="B67" s="109">
        <v>3.0000000000000001E-5</v>
      </c>
    </row>
    <row r="68" spans="1:2" x14ac:dyDescent="0.3">
      <c r="A68" s="1">
        <v>6.9</v>
      </c>
      <c r="B68" s="109">
        <v>2.4300000000000001E-5</v>
      </c>
    </row>
    <row r="69" spans="1:2" x14ac:dyDescent="0.3">
      <c r="A69" s="1">
        <v>7</v>
      </c>
      <c r="B69" s="109">
        <v>3.0000000000000001E-5</v>
      </c>
    </row>
    <row r="70" spans="1:2" x14ac:dyDescent="0.3">
      <c r="A70" s="1">
        <v>7.1</v>
      </c>
      <c r="B70" s="109">
        <v>2.4300000000000001E-5</v>
      </c>
    </row>
    <row r="71" spans="1:2" x14ac:dyDescent="0.3">
      <c r="A71" s="1">
        <v>7.2</v>
      </c>
      <c r="B71" s="109">
        <v>2.0000000000000002E-5</v>
      </c>
    </row>
    <row r="72" spans="1:2" x14ac:dyDescent="0.3">
      <c r="A72" s="1">
        <v>7.3</v>
      </c>
      <c r="B72" s="109">
        <v>2.1399999999999998E-5</v>
      </c>
    </row>
    <row r="73" spans="1:2" x14ac:dyDescent="0.3">
      <c r="A73" s="1">
        <v>7.4</v>
      </c>
      <c r="B73" s="109">
        <v>1.29E-5</v>
      </c>
    </row>
    <row r="74" spans="1:2" x14ac:dyDescent="0.3">
      <c r="A74" s="1">
        <v>7.5</v>
      </c>
      <c r="B74" s="109">
        <v>8.5699999999999993E-6</v>
      </c>
    </row>
    <row r="75" spans="1:2" x14ac:dyDescent="0.3">
      <c r="A75" s="1">
        <v>7.6</v>
      </c>
      <c r="B75" s="109">
        <v>1.5699999999999999E-5</v>
      </c>
    </row>
    <row r="76" spans="1:2" x14ac:dyDescent="0.3">
      <c r="A76" s="1">
        <v>7.7</v>
      </c>
      <c r="B76" s="109">
        <v>1.0000000000000001E-5</v>
      </c>
    </row>
    <row r="77" spans="1:2" x14ac:dyDescent="0.3">
      <c r="A77" s="1">
        <v>7.8</v>
      </c>
      <c r="B77" s="109">
        <v>1.29E-5</v>
      </c>
    </row>
    <row r="78" spans="1:2" x14ac:dyDescent="0.3">
      <c r="A78" s="1">
        <v>7.9</v>
      </c>
      <c r="B78" s="109">
        <v>1.0000000000000001E-5</v>
      </c>
    </row>
    <row r="79" spans="1:2" x14ac:dyDescent="0.3">
      <c r="A79" s="1">
        <v>8</v>
      </c>
      <c r="B79" s="109">
        <v>1.0000000000000001E-5</v>
      </c>
    </row>
    <row r="80" spans="1:2" x14ac:dyDescent="0.3">
      <c r="A80" s="1">
        <v>8.1</v>
      </c>
      <c r="B80" s="109">
        <v>7.1400000000000002E-6</v>
      </c>
    </row>
    <row r="81" spans="1:2" x14ac:dyDescent="0.3">
      <c r="A81" s="1">
        <v>8.1999999999999993</v>
      </c>
      <c r="B81" s="109">
        <v>1.29E-5</v>
      </c>
    </row>
    <row r="82" spans="1:2" x14ac:dyDescent="0.3">
      <c r="A82" s="1">
        <v>8.3000000000000007</v>
      </c>
      <c r="B82" s="109">
        <v>1.0000000000000001E-5</v>
      </c>
    </row>
    <row r="83" spans="1:2" x14ac:dyDescent="0.3">
      <c r="A83" s="1">
        <v>8.4</v>
      </c>
      <c r="B83" s="109">
        <v>8.5699999999999993E-6</v>
      </c>
    </row>
    <row r="84" spans="1:2" x14ac:dyDescent="0.3">
      <c r="A84" s="1">
        <v>8.5</v>
      </c>
      <c r="B84" s="109">
        <v>1.0000000000000001E-5</v>
      </c>
    </row>
    <row r="85" spans="1:2" x14ac:dyDescent="0.3">
      <c r="A85" s="1">
        <v>8.6</v>
      </c>
      <c r="B85" s="109">
        <v>7.1400000000000002E-6</v>
      </c>
    </row>
    <row r="86" spans="1:2" x14ac:dyDescent="0.3">
      <c r="A86" s="1">
        <v>8.6999999999999993</v>
      </c>
      <c r="B86" s="109">
        <v>2.8600000000000001E-6</v>
      </c>
    </row>
    <row r="87" spans="1:2" x14ac:dyDescent="0.3">
      <c r="A87" s="1">
        <v>8.8000000000000007</v>
      </c>
      <c r="B87" s="109">
        <v>2.8600000000000001E-6</v>
      </c>
    </row>
    <row r="88" spans="1:2" x14ac:dyDescent="0.3">
      <c r="A88" s="1">
        <v>8.9</v>
      </c>
      <c r="B88" s="109">
        <v>1.0000000000000001E-5</v>
      </c>
    </row>
    <row r="89" spans="1:2" x14ac:dyDescent="0.3">
      <c r="A89" s="1">
        <v>9</v>
      </c>
      <c r="B89" s="109">
        <v>1.1399999999999999E-5</v>
      </c>
    </row>
    <row r="90" spans="1:2" x14ac:dyDescent="0.3">
      <c r="A90" s="1">
        <v>9.1</v>
      </c>
      <c r="B90" s="109">
        <v>1.4300000000000001E-6</v>
      </c>
    </row>
    <row r="91" spans="1:2" x14ac:dyDescent="0.3">
      <c r="A91" s="1">
        <v>9.1999999999999993</v>
      </c>
      <c r="B91" s="1">
        <v>0</v>
      </c>
    </row>
    <row r="92" spans="1:2" x14ac:dyDescent="0.3">
      <c r="A92" s="1">
        <v>9.3000000000000007</v>
      </c>
      <c r="B92" s="109">
        <v>5.7100000000000004E-6</v>
      </c>
    </row>
    <row r="93" spans="1:2" x14ac:dyDescent="0.3">
      <c r="A93" s="1">
        <v>9.4</v>
      </c>
      <c r="B93" s="109">
        <v>1.4300000000000001E-6</v>
      </c>
    </row>
    <row r="94" spans="1:2" x14ac:dyDescent="0.3">
      <c r="A94" s="1">
        <v>9.5</v>
      </c>
      <c r="B94" s="109">
        <v>2.8600000000000001E-6</v>
      </c>
    </row>
    <row r="95" spans="1:2" x14ac:dyDescent="0.3">
      <c r="A95" s="1">
        <v>9.6</v>
      </c>
      <c r="B95" s="109">
        <v>2.8600000000000001E-6</v>
      </c>
    </row>
    <row r="96" spans="1:2" x14ac:dyDescent="0.3">
      <c r="A96" s="1">
        <v>9.6999999999999993</v>
      </c>
      <c r="B96" s="109">
        <v>1.4300000000000001E-6</v>
      </c>
    </row>
    <row r="97" spans="1:2" x14ac:dyDescent="0.3">
      <c r="A97" s="1">
        <v>9.8000000000000007</v>
      </c>
      <c r="B97" s="109">
        <v>1.4300000000000001E-6</v>
      </c>
    </row>
    <row r="98" spans="1:2" x14ac:dyDescent="0.3">
      <c r="A98" s="1">
        <v>9.9</v>
      </c>
      <c r="B98" s="109">
        <v>1.4300000000000001E-6</v>
      </c>
    </row>
    <row r="99" spans="1:2" x14ac:dyDescent="0.3">
      <c r="A99" s="1">
        <v>10</v>
      </c>
      <c r="B99" s="109">
        <v>2.8600000000000001E-6</v>
      </c>
    </row>
    <row r="100" spans="1:2" x14ac:dyDescent="0.3">
      <c r="A100" s="1">
        <v>10.1</v>
      </c>
      <c r="B100" s="1">
        <v>0</v>
      </c>
    </row>
    <row r="101" spans="1:2" x14ac:dyDescent="0.3">
      <c r="A101" s="1">
        <v>10.199999999999999</v>
      </c>
      <c r="B101" s="109">
        <v>1.4300000000000001E-6</v>
      </c>
    </row>
    <row r="102" spans="1:2" x14ac:dyDescent="0.3">
      <c r="A102" s="1">
        <v>10.3</v>
      </c>
      <c r="B102" s="1">
        <v>0</v>
      </c>
    </row>
    <row r="103" spans="1:2" x14ac:dyDescent="0.3">
      <c r="A103" s="1">
        <v>10.4</v>
      </c>
      <c r="B103" s="1">
        <v>0</v>
      </c>
    </row>
    <row r="104" spans="1:2" x14ac:dyDescent="0.3">
      <c r="A104" s="1">
        <v>10.5</v>
      </c>
      <c r="B104" s="1">
        <v>0</v>
      </c>
    </row>
    <row r="105" spans="1:2" x14ac:dyDescent="0.3">
      <c r="A105" s="1">
        <v>10.6</v>
      </c>
      <c r="B105" s="109">
        <v>1.4300000000000001E-6</v>
      </c>
    </row>
    <row r="106" spans="1:2" x14ac:dyDescent="0.3">
      <c r="A106" s="1">
        <v>10.7</v>
      </c>
      <c r="B106" s="1">
        <v>0</v>
      </c>
    </row>
    <row r="107" spans="1:2" x14ac:dyDescent="0.3">
      <c r="A107" s="1">
        <v>10.8</v>
      </c>
      <c r="B107" s="109">
        <v>1.4300000000000001E-6</v>
      </c>
    </row>
    <row r="108" spans="1:2" x14ac:dyDescent="0.3">
      <c r="A108" s="1">
        <v>10.9</v>
      </c>
      <c r="B108" s="1">
        <v>0</v>
      </c>
    </row>
    <row r="109" spans="1:2" x14ac:dyDescent="0.3">
      <c r="A109" s="1">
        <v>11</v>
      </c>
      <c r="B109" s="1">
        <v>0</v>
      </c>
    </row>
    <row r="110" spans="1:2" x14ac:dyDescent="0.3">
      <c r="A110" s="1">
        <v>11.1</v>
      </c>
      <c r="B110" s="109">
        <v>1.4300000000000001E-6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8"/>
  <sheetViews>
    <sheetView tabSelected="1" topLeftCell="C1" workbookViewId="0">
      <selection activeCell="C6" sqref="C6"/>
    </sheetView>
  </sheetViews>
  <sheetFormatPr defaultRowHeight="14.4" x14ac:dyDescent="0.3"/>
  <cols>
    <col min="1" max="1" width="26.6640625" style="1" hidden="1" customWidth="1"/>
    <col min="2" max="2" width="8.5546875" style="1" hidden="1" customWidth="1"/>
    <col min="3" max="3" width="31.33203125" style="1" customWidth="1"/>
    <col min="4" max="4" width="10.88671875" style="1" customWidth="1"/>
    <col min="5" max="16384" width="8.88671875" style="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8"/>
      <c r="B2" s="8"/>
      <c r="C2" s="28" t="s">
        <v>270</v>
      </c>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5" customFormat="1" ht="5.0999999999999996" customHeight="1" x14ac:dyDescent="0.3"/>
    <row r="5" spans="1:16331" s="5" customFormat="1" ht="10.199999999999999" customHeight="1" thickBot="1" x14ac:dyDescent="0.35"/>
    <row r="6" spans="1:16331" s="35" customFormat="1" ht="31.5" customHeight="1" x14ac:dyDescent="0.3">
      <c r="A6" s="34" t="s">
        <v>18</v>
      </c>
      <c r="B6" s="34" t="s">
        <v>19</v>
      </c>
      <c r="C6" s="32" t="s">
        <v>0</v>
      </c>
      <c r="D6" s="106" t="s">
        <v>5</v>
      </c>
    </row>
    <row r="7" spans="1:16331" s="2" customFormat="1" ht="28.8" x14ac:dyDescent="0.3">
      <c r="A7" s="2" t="s">
        <v>218</v>
      </c>
      <c r="B7" s="2" t="s">
        <v>220</v>
      </c>
      <c r="C7" s="95" t="s">
        <v>219</v>
      </c>
      <c r="D7" s="108">
        <v>30</v>
      </c>
    </row>
    <row r="8" spans="1:16331" x14ac:dyDescent="0.3">
      <c r="A8" s="1" t="s">
        <v>271</v>
      </c>
      <c r="B8" s="1" t="s">
        <v>30</v>
      </c>
      <c r="C8" s="105" t="s">
        <v>272</v>
      </c>
      <c r="D8" s="107">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50"/>
  <sheetViews>
    <sheetView workbookViewId="0"/>
  </sheetViews>
  <sheetFormatPr defaultRowHeight="14.4" x14ac:dyDescent="0.3"/>
  <cols>
    <col min="2" max="2" width="19.441406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279</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1" customFormat="1" x14ac:dyDescent="0.3"/>
    <row r="5" spans="1:16331" x14ac:dyDescent="0.3">
      <c r="A5" s="93" t="s">
        <v>196</v>
      </c>
      <c r="B5" s="93" t="s">
        <v>197</v>
      </c>
    </row>
    <row r="6" spans="1:16331" x14ac:dyDescent="0.3">
      <c r="A6" s="1">
        <v>55</v>
      </c>
      <c r="B6" s="1">
        <v>3.2594949999999998E-3</v>
      </c>
    </row>
    <row r="7" spans="1:16331" x14ac:dyDescent="0.3">
      <c r="A7" s="1">
        <v>56</v>
      </c>
      <c r="B7" s="1">
        <v>3.502383E-3</v>
      </c>
    </row>
    <row r="8" spans="1:16331" x14ac:dyDescent="0.3">
      <c r="A8" s="1">
        <v>57</v>
      </c>
      <c r="B8" s="1">
        <v>3.8662150000000001E-3</v>
      </c>
    </row>
    <row r="9" spans="1:16331" x14ac:dyDescent="0.3">
      <c r="A9" s="1">
        <v>58</v>
      </c>
      <c r="B9" s="1">
        <v>4.1430870000000002E-3</v>
      </c>
    </row>
    <row r="10" spans="1:16331" x14ac:dyDescent="0.3">
      <c r="A10" s="1">
        <v>59</v>
      </c>
      <c r="B10" s="1">
        <v>4.579886E-3</v>
      </c>
    </row>
    <row r="11" spans="1:16331" x14ac:dyDescent="0.3">
      <c r="A11" s="1">
        <v>60</v>
      </c>
      <c r="B11" s="1">
        <v>5.1202340000000004E-3</v>
      </c>
    </row>
    <row r="12" spans="1:16331" x14ac:dyDescent="0.3">
      <c r="A12" s="1">
        <v>61</v>
      </c>
      <c r="B12" s="1">
        <v>5.5897960000000002E-3</v>
      </c>
    </row>
    <row r="13" spans="1:16331" x14ac:dyDescent="0.3">
      <c r="A13" s="1">
        <v>62</v>
      </c>
      <c r="B13" s="1">
        <v>6.0643549999999996E-3</v>
      </c>
    </row>
    <row r="14" spans="1:16331" x14ac:dyDescent="0.3">
      <c r="A14" s="1">
        <v>63</v>
      </c>
      <c r="B14" s="1">
        <v>6.6667940000000002E-3</v>
      </c>
    </row>
    <row r="15" spans="1:16331" x14ac:dyDescent="0.3">
      <c r="A15" s="1">
        <v>64</v>
      </c>
      <c r="B15" s="1">
        <v>7.0804090000000002E-3</v>
      </c>
    </row>
    <row r="16" spans="1:16331" x14ac:dyDescent="0.3">
      <c r="A16" s="1">
        <v>65</v>
      </c>
      <c r="B16" s="1">
        <v>7.7643319999999997E-3</v>
      </c>
    </row>
    <row r="17" spans="1:2" x14ac:dyDescent="0.3">
      <c r="A17" s="1">
        <v>66</v>
      </c>
      <c r="B17" s="1">
        <v>8.1754489999999996E-3</v>
      </c>
    </row>
    <row r="18" spans="1:2" x14ac:dyDescent="0.3">
      <c r="A18" s="1">
        <v>67</v>
      </c>
      <c r="B18" s="1">
        <v>9.2062359999999996E-3</v>
      </c>
    </row>
    <row r="19" spans="1:2" x14ac:dyDescent="0.3">
      <c r="A19" s="1">
        <v>68</v>
      </c>
      <c r="B19" s="1">
        <v>1.0444578E-2</v>
      </c>
    </row>
    <row r="20" spans="1:2" x14ac:dyDescent="0.3">
      <c r="A20" s="1">
        <v>69</v>
      </c>
      <c r="B20" s="1">
        <v>1.1276791E-2</v>
      </c>
    </row>
    <row r="21" spans="1:2" x14ac:dyDescent="0.3">
      <c r="A21" s="1">
        <v>70</v>
      </c>
      <c r="B21" s="1">
        <v>1.2594685E-2</v>
      </c>
    </row>
    <row r="22" spans="1:2" x14ac:dyDescent="0.3">
      <c r="A22" s="1">
        <v>71</v>
      </c>
      <c r="B22" s="1">
        <v>1.3884280000000001E-2</v>
      </c>
    </row>
    <row r="23" spans="1:2" x14ac:dyDescent="0.3">
      <c r="A23" s="1">
        <v>72</v>
      </c>
      <c r="B23" s="1">
        <v>1.5565626000000001E-2</v>
      </c>
    </row>
    <row r="24" spans="1:2" x14ac:dyDescent="0.3">
      <c r="A24" s="1">
        <v>73</v>
      </c>
      <c r="B24" s="1">
        <v>1.7744118E-2</v>
      </c>
    </row>
    <row r="25" spans="1:2" x14ac:dyDescent="0.3">
      <c r="A25" s="1">
        <v>74</v>
      </c>
      <c r="B25" s="1">
        <v>1.9717786000000001E-2</v>
      </c>
    </row>
    <row r="26" spans="1:2" x14ac:dyDescent="0.3">
      <c r="A26" s="1">
        <v>75</v>
      </c>
      <c r="B26" s="1">
        <v>2.1686318999999999E-2</v>
      </c>
    </row>
    <row r="27" spans="1:2" x14ac:dyDescent="0.3">
      <c r="A27" s="1">
        <v>76</v>
      </c>
      <c r="B27" s="1">
        <v>2.4234500999999999E-2</v>
      </c>
    </row>
    <row r="28" spans="1:2" x14ac:dyDescent="0.3">
      <c r="A28" s="1">
        <v>77</v>
      </c>
      <c r="B28" s="1">
        <v>2.6836224999999998E-2</v>
      </c>
    </row>
    <row r="29" spans="1:2" x14ac:dyDescent="0.3">
      <c r="A29" s="1">
        <v>78</v>
      </c>
      <c r="B29" s="1">
        <v>2.9807782000000001E-2</v>
      </c>
    </row>
    <row r="30" spans="1:2" x14ac:dyDescent="0.3">
      <c r="A30" s="1">
        <v>79</v>
      </c>
      <c r="B30" s="1">
        <v>3.4283460000000002E-2</v>
      </c>
    </row>
    <row r="31" spans="1:2" x14ac:dyDescent="0.3">
      <c r="A31" s="1">
        <v>80</v>
      </c>
      <c r="B31" s="1">
        <v>3.9561026999999999E-2</v>
      </c>
    </row>
    <row r="32" spans="1:2" x14ac:dyDescent="0.3">
      <c r="A32" s="1">
        <v>81</v>
      </c>
      <c r="B32" s="1">
        <v>4.4688553999999998E-2</v>
      </c>
    </row>
    <row r="33" spans="1:2" x14ac:dyDescent="0.3">
      <c r="A33" s="1">
        <v>82</v>
      </c>
      <c r="B33" s="1">
        <v>5.0580938999999998E-2</v>
      </c>
    </row>
    <row r="34" spans="1:2" x14ac:dyDescent="0.3">
      <c r="A34" s="1">
        <v>83</v>
      </c>
      <c r="B34" s="1">
        <v>5.7358373999999997E-2</v>
      </c>
    </row>
    <row r="35" spans="1:2" x14ac:dyDescent="0.3">
      <c r="A35" s="1">
        <v>84</v>
      </c>
      <c r="B35" s="1">
        <v>6.6170132000000007E-2</v>
      </c>
    </row>
    <row r="36" spans="1:2" x14ac:dyDescent="0.3">
      <c r="A36" s="1">
        <v>85</v>
      </c>
      <c r="B36" s="1">
        <v>7.4415248000000003E-2</v>
      </c>
    </row>
    <row r="37" spans="1:2" x14ac:dyDescent="0.3">
      <c r="A37" s="1">
        <v>86</v>
      </c>
      <c r="B37" s="1">
        <v>8.4010931999999997E-2</v>
      </c>
    </row>
    <row r="38" spans="1:2" x14ac:dyDescent="0.3">
      <c r="A38" s="1">
        <v>87</v>
      </c>
      <c r="B38" s="1">
        <v>9.5413260999999999E-2</v>
      </c>
    </row>
    <row r="39" spans="1:2" x14ac:dyDescent="0.3">
      <c r="A39" s="1">
        <v>88</v>
      </c>
      <c r="B39" s="1">
        <v>0.106653607</v>
      </c>
    </row>
    <row r="40" spans="1:2" x14ac:dyDescent="0.3">
      <c r="A40" s="1">
        <v>89</v>
      </c>
      <c r="B40" s="1">
        <v>0.12121607199999999</v>
      </c>
    </row>
    <row r="41" spans="1:2" x14ac:dyDescent="0.3">
      <c r="A41" s="1">
        <v>90</v>
      </c>
      <c r="B41" s="1">
        <v>0.136549224</v>
      </c>
    </row>
    <row r="42" spans="1:2" x14ac:dyDescent="0.3">
      <c r="A42" s="1">
        <v>91</v>
      </c>
      <c r="B42" s="1">
        <v>0.150306409</v>
      </c>
    </row>
    <row r="43" spans="1:2" x14ac:dyDescent="0.3">
      <c r="A43" s="1">
        <v>92</v>
      </c>
      <c r="B43" s="1">
        <v>0.16825069400000001</v>
      </c>
    </row>
    <row r="44" spans="1:2" x14ac:dyDescent="0.3">
      <c r="A44" s="1">
        <v>93</v>
      </c>
      <c r="B44" s="1">
        <v>0.18978463200000001</v>
      </c>
    </row>
    <row r="45" spans="1:2" x14ac:dyDescent="0.3">
      <c r="A45" s="1">
        <v>94</v>
      </c>
      <c r="B45" s="1">
        <v>0.207699044</v>
      </c>
    </row>
    <row r="46" spans="1:2" x14ac:dyDescent="0.3">
      <c r="A46" s="1">
        <v>95</v>
      </c>
      <c r="B46" s="1">
        <v>0.22431891500000001</v>
      </c>
    </row>
    <row r="47" spans="1:2" x14ac:dyDescent="0.3">
      <c r="A47" s="1">
        <v>96</v>
      </c>
      <c r="B47" s="1">
        <v>0.24277707000000001</v>
      </c>
    </row>
    <row r="48" spans="1:2" x14ac:dyDescent="0.3">
      <c r="A48" s="1">
        <v>97</v>
      </c>
      <c r="B48" s="1">
        <v>0.26708591100000001</v>
      </c>
    </row>
    <row r="49" spans="1:2" x14ac:dyDescent="0.3">
      <c r="A49" s="1">
        <v>98</v>
      </c>
      <c r="B49" s="1">
        <v>0.29088282999999998</v>
      </c>
    </row>
    <row r="50" spans="1:2" x14ac:dyDescent="0.3">
      <c r="A50" s="1">
        <v>99</v>
      </c>
      <c r="B50" s="1">
        <v>0.317082692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4" x14ac:dyDescent="0.3"/>
  <cols>
    <col min="2" max="2" width="110.5546875" customWidth="1"/>
  </cols>
  <sheetData>
    <row r="1" spans="1:2" x14ac:dyDescent="0.3">
      <c r="A1" s="93" t="s">
        <v>214</v>
      </c>
      <c r="B1" s="93" t="s">
        <v>215</v>
      </c>
    </row>
    <row r="2" spans="1:2" ht="28.8" x14ac:dyDescent="0.3">
      <c r="A2" t="s">
        <v>216</v>
      </c>
      <c r="B2" s="94" t="s">
        <v>213</v>
      </c>
    </row>
    <row r="3" spans="1:2" s="1" customFormat="1" ht="43.2" x14ac:dyDescent="0.3">
      <c r="A3" s="1" t="s">
        <v>224</v>
      </c>
      <c r="B3" s="94" t="s">
        <v>229</v>
      </c>
    </row>
    <row r="4" spans="1:2" ht="72" x14ac:dyDescent="0.3">
      <c r="A4" t="s">
        <v>228</v>
      </c>
      <c r="B4" s="94" t="s">
        <v>248</v>
      </c>
    </row>
    <row r="5" spans="1:2" ht="28.8" x14ac:dyDescent="0.3">
      <c r="A5" t="s">
        <v>233</v>
      </c>
      <c r="B5" s="94" t="s">
        <v>234</v>
      </c>
    </row>
    <row r="6" spans="1:2" ht="57.6" x14ac:dyDescent="0.3">
      <c r="A6" t="s">
        <v>274</v>
      </c>
      <c r="B6" s="94" t="s">
        <v>275</v>
      </c>
    </row>
    <row r="7" spans="1:2" ht="100.8" x14ac:dyDescent="0.3">
      <c r="A7" t="s">
        <v>284</v>
      </c>
      <c r="B7" s="94" t="s">
        <v>288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 Items</vt:lpstr>
      <vt:lpstr>Growth and Rupture Rates</vt:lpstr>
      <vt:lpstr>AAA Size Distribution</vt:lpstr>
      <vt:lpstr>Model Parameters</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Sweeting, Michael (Dr.)</cp:lastModifiedBy>
  <cp:lastPrinted>2015-04-14T09:59:07Z</cp:lastPrinted>
  <dcterms:created xsi:type="dcterms:W3CDTF">2015-01-08T12:27:47Z</dcterms:created>
  <dcterms:modified xsi:type="dcterms:W3CDTF">2019-07-10T15:44:57Z</dcterms:modified>
</cp:coreProperties>
</file>