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es/Desktop/"/>
    </mc:Choice>
  </mc:AlternateContent>
  <xr:revisionPtr revIDLastSave="0" documentId="13_ncr:1_{5438D9F0-9F15-AC4B-85CD-FAF3EDBBAD20}" xr6:coauthVersionLast="45" xr6:coauthVersionMax="45" xr10:uidLastSave="{00000000-0000-0000-0000-000000000000}"/>
  <bookViews>
    <workbookView xWindow="0" yWindow="460" windowWidth="28800" windowHeight="15760" activeTab="3" xr2:uid="{00000000-000D-0000-FFFF-FFFF00000000}"/>
  </bookViews>
  <sheets>
    <sheet name="Minimizing glass loss" sheetId="6" r:id="rId1"/>
    <sheet name="Products" sheetId="1" r:id="rId2"/>
    <sheet name="Price" sheetId="4" r:id="rId3"/>
    <sheet name="Maximizing Profit" sheetId="5" r:id="rId4"/>
    <sheet name="Costs" sheetId="2" r:id="rId5"/>
  </sheets>
  <externalReferences>
    <externalReference r:id="rId6"/>
  </externalReferences>
  <definedNames>
    <definedName name="ForEx">[1]Flows!$A$76:$Z$76</definedName>
    <definedName name="solver_adj" localSheetId="3" hidden="1">'Maximizing Profit'!$BM$2:$BN$2</definedName>
    <definedName name="solver_adj" localSheetId="0" hidden="1">'Minimizing glass loss'!$BM$2:$BN$2</definedName>
    <definedName name="solver_cvg" localSheetId="3" hidden="1">0.0001</definedName>
    <definedName name="solver_cvg" localSheetId="0" hidden="1">0.0001</definedName>
    <definedName name="solver_drv" localSheetId="3" hidden="1">1</definedName>
    <definedName name="solver_drv" localSheetId="0" hidden="1">1</definedName>
    <definedName name="solver_eng" localSheetId="3" hidden="1">3</definedName>
    <definedName name="solver_eng" localSheetId="0" hidden="1">3</definedName>
    <definedName name="solver_itr" localSheetId="3" hidden="1">2147483647</definedName>
    <definedName name="solver_itr" localSheetId="0" hidden="1">2147483647</definedName>
    <definedName name="solver_lhs1" localSheetId="3" hidden="1">'Maximizing Profit'!$BK$14</definedName>
    <definedName name="solver_lhs1" localSheetId="0" hidden="1">'Minimizing glass loss'!$BM$2</definedName>
    <definedName name="solver_lhs2" localSheetId="3" hidden="1">'Maximizing Profit'!$BM$2</definedName>
    <definedName name="solver_lhs2" localSheetId="0" hidden="1">'Minimizing glass loss'!$BM$2</definedName>
    <definedName name="solver_lhs3" localSheetId="3" hidden="1">'Maximizing Profit'!$BN$2</definedName>
    <definedName name="solver_lhs3" localSheetId="0" hidden="1">'Minimizing glass loss'!$BM$2</definedName>
    <definedName name="solver_lhs4" localSheetId="3" hidden="1">'Maximizing Profit'!$BN$2</definedName>
    <definedName name="solver_lhs4" localSheetId="0" hidden="1">'Minimizing glass loss'!$BN$2</definedName>
    <definedName name="solver_lhs5" localSheetId="3" hidden="1">'Maximizing Profit'!$BN$2</definedName>
    <definedName name="solver_lhs5" localSheetId="0" hidden="1">'Minimizing glass loss'!$BN$2</definedName>
    <definedName name="solver_lin" localSheetId="3" hidden="1">2</definedName>
    <definedName name="solver_lin" localSheetId="0" hidden="1">2</definedName>
    <definedName name="solver_mip" localSheetId="3" hidden="1">2147483647</definedName>
    <definedName name="solver_mip" localSheetId="0" hidden="1">2147483647</definedName>
    <definedName name="solver_mni" localSheetId="3" hidden="1">30</definedName>
    <definedName name="solver_mni" localSheetId="0" hidden="1">30</definedName>
    <definedName name="solver_mrt" localSheetId="3" hidden="1">0.075</definedName>
    <definedName name="solver_mrt" localSheetId="0" hidden="1">0.075</definedName>
    <definedName name="solver_msl" localSheetId="3" hidden="1">2</definedName>
    <definedName name="solver_msl" localSheetId="0" hidden="1">2</definedName>
    <definedName name="solver_neg" localSheetId="3" hidden="1">1</definedName>
    <definedName name="solver_neg" localSheetId="0" hidden="1">1</definedName>
    <definedName name="solver_nod" localSheetId="3" hidden="1">2147483647</definedName>
    <definedName name="solver_nod" localSheetId="0" hidden="1">2147483647</definedName>
    <definedName name="solver_num" localSheetId="3" hidden="1">3</definedName>
    <definedName name="solver_num" localSheetId="0" hidden="1">5</definedName>
    <definedName name="solver_opt" localSheetId="3" hidden="1">'Maximizing Profit'!$BN$6</definedName>
    <definedName name="solver_opt" localSheetId="0" hidden="1">'Minimizing glass loss'!$BS$14</definedName>
    <definedName name="solver_pre" localSheetId="3" hidden="1">0.000001</definedName>
    <definedName name="solver_pre" localSheetId="0" hidden="1">0.000001</definedName>
    <definedName name="solver_rbv" localSheetId="3" hidden="1">1</definedName>
    <definedName name="solver_rbv" localSheetId="0" hidden="1">1</definedName>
    <definedName name="solver_rel1" localSheetId="3" hidden="1">3</definedName>
    <definedName name="solver_rel1" localSheetId="0" hidden="1">1</definedName>
    <definedName name="solver_rel2" localSheetId="3" hidden="1">1</definedName>
    <definedName name="solver_rel2" localSheetId="0" hidden="1">3</definedName>
    <definedName name="solver_rel3" localSheetId="3" hidden="1">1</definedName>
    <definedName name="solver_rel3" localSheetId="0" hidden="1">3</definedName>
    <definedName name="solver_rel4" localSheetId="3" hidden="1">1</definedName>
    <definedName name="solver_rel4" localSheetId="0" hidden="1">1</definedName>
    <definedName name="solver_rel5" localSheetId="3" hidden="1">3</definedName>
    <definedName name="solver_rel5" localSheetId="0" hidden="1">3</definedName>
    <definedName name="solver_rhs1" localSheetId="3" hidden="1">1</definedName>
    <definedName name="solver_rhs1" localSheetId="0" hidden="1">1.85</definedName>
    <definedName name="solver_rhs2" localSheetId="3" hidden="1">1.85</definedName>
    <definedName name="solver_rhs2" localSheetId="0" hidden="1">'Minimizing glass loss'!$BN$2</definedName>
    <definedName name="solver_rhs3" localSheetId="3" hidden="1">1.35</definedName>
    <definedName name="solver_rhs3" localSheetId="0" hidden="1">0.4</definedName>
    <definedName name="solver_rhs4" localSheetId="3" hidden="1">1.35</definedName>
    <definedName name="solver_rhs4" localSheetId="0" hidden="1">1.35</definedName>
    <definedName name="solver_rhs5" localSheetId="3" hidden="1">0.3</definedName>
    <definedName name="solver_rhs5" localSheetId="0" hidden="1">0.2</definedName>
    <definedName name="solver_rlx" localSheetId="3" hidden="1">2</definedName>
    <definedName name="solver_rlx" localSheetId="0" hidden="1">2</definedName>
    <definedName name="solver_rsd" localSheetId="3" hidden="1">0</definedName>
    <definedName name="solver_rsd" localSheetId="0" hidden="1">0</definedName>
    <definedName name="solver_scl" localSheetId="3" hidden="1">1</definedName>
    <definedName name="solver_scl" localSheetId="0" hidden="1">1</definedName>
    <definedName name="solver_sho" localSheetId="3" hidden="1">2</definedName>
    <definedName name="solver_sho" localSheetId="0" hidden="1">2</definedName>
    <definedName name="solver_ssz" localSheetId="3" hidden="1">100</definedName>
    <definedName name="solver_ssz" localSheetId="0" hidden="1">100</definedName>
    <definedName name="solver_tim" localSheetId="3" hidden="1">2147483647</definedName>
    <definedName name="solver_tim" localSheetId="0" hidden="1">2147483647</definedName>
    <definedName name="solver_tol" localSheetId="3" hidden="1">0.01</definedName>
    <definedName name="solver_tol" localSheetId="0" hidden="1">0.01</definedName>
    <definedName name="solver_typ" localSheetId="3" hidden="1">1</definedName>
    <definedName name="solver_typ" localSheetId="0" hidden="1">2</definedName>
    <definedName name="solver_val" localSheetId="3" hidden="1">0</definedName>
    <definedName name="solver_val" localSheetId="0" hidden="1">0</definedName>
    <definedName name="solver_ver" localSheetId="3" hidden="1">2</definedName>
    <definedName name="solver_ver" localSheetId="0" hidden="1">2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" i="5" l="1"/>
  <c r="M2" i="5"/>
  <c r="X2" i="5"/>
  <c r="Y2" i="5"/>
  <c r="Z2" i="5"/>
  <c r="AA2" i="5"/>
  <c r="AB2" i="5"/>
  <c r="AC2" i="5"/>
  <c r="AD2" i="5"/>
  <c r="AF2" i="5" a="1"/>
  <c r="AF2" i="5"/>
  <c r="AG2" i="5"/>
  <c r="J2" i="5"/>
  <c r="L2" i="5"/>
  <c r="V2" i="5"/>
  <c r="AI2" i="5"/>
  <c r="BU2" i="5"/>
  <c r="AJ2" i="5"/>
  <c r="BF2" i="5"/>
  <c r="BG2" i="5"/>
  <c r="AK2" i="5"/>
  <c r="AL2" i="5"/>
  <c r="BH2" i="5"/>
  <c r="S2" i="5"/>
  <c r="U2" i="5"/>
  <c r="BI2" i="5"/>
  <c r="BK2" i="5"/>
  <c r="G19" i="2"/>
  <c r="H5" i="4"/>
  <c r="G4" i="2"/>
  <c r="BP2" i="5"/>
  <c r="C23" i="5"/>
  <c r="C39" i="5"/>
  <c r="K3" i="5"/>
  <c r="M3" i="5"/>
  <c r="X3" i="5"/>
  <c r="Y3" i="5"/>
  <c r="Z3" i="5"/>
  <c r="AA3" i="5"/>
  <c r="AB3" i="5"/>
  <c r="AC3" i="5"/>
  <c r="AD3" i="5"/>
  <c r="AF3" i="5" a="1"/>
  <c r="AF3" i="5"/>
  <c r="AG3" i="5"/>
  <c r="J3" i="5"/>
  <c r="L3" i="5"/>
  <c r="V3" i="5"/>
  <c r="AI3" i="5"/>
  <c r="AJ3" i="5"/>
  <c r="BF3" i="5"/>
  <c r="BG3" i="5"/>
  <c r="AK3" i="5"/>
  <c r="AL3" i="5"/>
  <c r="BH3" i="5"/>
  <c r="S3" i="5"/>
  <c r="U3" i="5"/>
  <c r="BI3" i="5"/>
  <c r="BK3" i="5"/>
  <c r="H6" i="4"/>
  <c r="C24" i="5"/>
  <c r="C40" i="5"/>
  <c r="K4" i="5"/>
  <c r="M4" i="5"/>
  <c r="X4" i="5"/>
  <c r="Y4" i="5"/>
  <c r="Z4" i="5"/>
  <c r="AA4" i="5"/>
  <c r="AB4" i="5"/>
  <c r="AC4" i="5"/>
  <c r="AD4" i="5"/>
  <c r="AF4" i="5" a="1"/>
  <c r="AF4" i="5"/>
  <c r="AG4" i="5"/>
  <c r="J4" i="5"/>
  <c r="L4" i="5"/>
  <c r="S4" i="5"/>
  <c r="AI4" i="5"/>
  <c r="AJ4" i="5"/>
  <c r="BF4" i="5"/>
  <c r="BG4" i="5"/>
  <c r="AK4" i="5"/>
  <c r="AL4" i="5"/>
  <c r="BH4" i="5"/>
  <c r="T4" i="5"/>
  <c r="BI4" i="5"/>
  <c r="BK4" i="5"/>
  <c r="G20" i="2"/>
  <c r="H7" i="4"/>
  <c r="C25" i="5"/>
  <c r="C41" i="5"/>
  <c r="K5" i="5"/>
  <c r="M5" i="5"/>
  <c r="X5" i="5"/>
  <c r="Y5" i="5"/>
  <c r="Z5" i="5"/>
  <c r="AA5" i="5"/>
  <c r="AB5" i="5"/>
  <c r="AC5" i="5"/>
  <c r="AD5" i="5"/>
  <c r="AF5" i="5" a="1"/>
  <c r="AF5" i="5"/>
  <c r="AG5" i="5"/>
  <c r="J5" i="5"/>
  <c r="L5" i="5"/>
  <c r="S5" i="5"/>
  <c r="AI5" i="5"/>
  <c r="AJ5" i="5"/>
  <c r="BF5" i="5"/>
  <c r="BG5" i="5"/>
  <c r="AK5" i="5"/>
  <c r="AL5" i="5"/>
  <c r="BH5" i="5"/>
  <c r="T5" i="5"/>
  <c r="BI5" i="5"/>
  <c r="BK5" i="5"/>
  <c r="H8" i="4"/>
  <c r="C26" i="5"/>
  <c r="C42" i="5"/>
  <c r="K6" i="5"/>
  <c r="M6" i="5"/>
  <c r="X6" i="5"/>
  <c r="Y6" i="5"/>
  <c r="Z6" i="5"/>
  <c r="AA6" i="5"/>
  <c r="AB6" i="5"/>
  <c r="AC6" i="5"/>
  <c r="AD6" i="5"/>
  <c r="AF6" i="5" a="1"/>
  <c r="AF6" i="5"/>
  <c r="AG6" i="5"/>
  <c r="J6" i="5"/>
  <c r="L6" i="5"/>
  <c r="R6" i="5"/>
  <c r="AI6" i="5"/>
  <c r="AJ6" i="5"/>
  <c r="BF6" i="5"/>
  <c r="BG6" i="5"/>
  <c r="AK6" i="5"/>
  <c r="AL6" i="5"/>
  <c r="BH6" i="5"/>
  <c r="S6" i="5"/>
  <c r="Q6" i="5"/>
  <c r="BI6" i="5"/>
  <c r="BK6" i="5"/>
  <c r="H9" i="4"/>
  <c r="C27" i="5"/>
  <c r="C43" i="5"/>
  <c r="K7" i="5"/>
  <c r="M7" i="5"/>
  <c r="X7" i="5"/>
  <c r="Y7" i="5"/>
  <c r="Z7" i="5"/>
  <c r="AA7" i="5"/>
  <c r="AB7" i="5"/>
  <c r="AC7" i="5"/>
  <c r="AD7" i="5"/>
  <c r="AF7" i="5" a="1"/>
  <c r="AF7" i="5"/>
  <c r="AG7" i="5"/>
  <c r="J7" i="5"/>
  <c r="L7" i="5"/>
  <c r="S7" i="5"/>
  <c r="AI7" i="5"/>
  <c r="AJ7" i="5"/>
  <c r="BF7" i="5"/>
  <c r="BG7" i="5"/>
  <c r="AK7" i="5"/>
  <c r="AL7" i="5"/>
  <c r="BH7" i="5"/>
  <c r="T7" i="5"/>
  <c r="BI7" i="5"/>
  <c r="BK7" i="5"/>
  <c r="G21" i="2"/>
  <c r="H10" i="4"/>
  <c r="C28" i="5"/>
  <c r="C44" i="5"/>
  <c r="J8" i="5"/>
  <c r="L8" i="5"/>
  <c r="P8" i="5"/>
  <c r="Q8" i="5"/>
  <c r="R8" i="5"/>
  <c r="S8" i="5"/>
  <c r="T8" i="5"/>
  <c r="U8" i="5"/>
  <c r="V8" i="5"/>
  <c r="AF8" i="5" a="1"/>
  <c r="AF8" i="5"/>
  <c r="AG8" i="5"/>
  <c r="K8" i="5"/>
  <c r="M8" i="5"/>
  <c r="Z8" i="5"/>
  <c r="AI8" i="5"/>
  <c r="AJ8" i="5"/>
  <c r="BF8" i="5"/>
  <c r="BG8" i="5"/>
  <c r="AK8" i="5"/>
  <c r="AL8" i="5"/>
  <c r="BH8" i="5"/>
  <c r="AA8" i="5"/>
  <c r="Y8" i="5"/>
  <c r="BI8" i="5"/>
  <c r="BK8" i="5"/>
  <c r="H11" i="4"/>
  <c r="C29" i="5"/>
  <c r="C45" i="5"/>
  <c r="J9" i="5"/>
  <c r="L9" i="5"/>
  <c r="P9" i="5"/>
  <c r="Q9" i="5"/>
  <c r="R9" i="5"/>
  <c r="S9" i="5"/>
  <c r="T9" i="5"/>
  <c r="U9" i="5"/>
  <c r="V9" i="5"/>
  <c r="AF9" i="5" a="1"/>
  <c r="AF9" i="5"/>
  <c r="AG9" i="5"/>
  <c r="K9" i="5"/>
  <c r="M9" i="5"/>
  <c r="Z9" i="5"/>
  <c r="AI9" i="5"/>
  <c r="AJ9" i="5"/>
  <c r="BF9" i="5"/>
  <c r="BG9" i="5"/>
  <c r="AK9" i="5"/>
  <c r="AL9" i="5"/>
  <c r="BH9" i="5"/>
  <c r="AA9" i="5"/>
  <c r="Y9" i="5"/>
  <c r="BI9" i="5"/>
  <c r="BK9" i="5"/>
  <c r="H12" i="4"/>
  <c r="C30" i="5"/>
  <c r="C46" i="5"/>
  <c r="J10" i="5"/>
  <c r="L10" i="5"/>
  <c r="P10" i="5"/>
  <c r="Q10" i="5"/>
  <c r="R10" i="5"/>
  <c r="S10" i="5"/>
  <c r="T10" i="5"/>
  <c r="U10" i="5"/>
  <c r="V10" i="5"/>
  <c r="AF10" i="5" a="1"/>
  <c r="AF10" i="5"/>
  <c r="AG10" i="5"/>
  <c r="K10" i="5"/>
  <c r="M10" i="5"/>
  <c r="Y10" i="5"/>
  <c r="AI10" i="5"/>
  <c r="AJ10" i="5"/>
  <c r="BF10" i="5"/>
  <c r="BG10" i="5"/>
  <c r="AK10" i="5"/>
  <c r="AL10" i="5"/>
  <c r="BH10" i="5"/>
  <c r="AA10" i="5"/>
  <c r="Z10" i="5"/>
  <c r="BI10" i="5"/>
  <c r="BK10" i="5"/>
  <c r="H13" i="4"/>
  <c r="C31" i="5"/>
  <c r="C47" i="5"/>
  <c r="J11" i="5"/>
  <c r="L11" i="5"/>
  <c r="P11" i="5"/>
  <c r="Q11" i="5"/>
  <c r="R11" i="5"/>
  <c r="S11" i="5"/>
  <c r="T11" i="5"/>
  <c r="U11" i="5"/>
  <c r="V11" i="5"/>
  <c r="AF11" i="5" a="1"/>
  <c r="AF11" i="5"/>
  <c r="AG11" i="5"/>
  <c r="K11" i="5"/>
  <c r="M11" i="5"/>
  <c r="Y11" i="5"/>
  <c r="AI11" i="5"/>
  <c r="AJ11" i="5"/>
  <c r="BF11" i="5"/>
  <c r="BG11" i="5"/>
  <c r="AK11" i="5"/>
  <c r="AL11" i="5"/>
  <c r="BH11" i="5"/>
  <c r="AA11" i="5"/>
  <c r="Z11" i="5"/>
  <c r="BI11" i="5"/>
  <c r="BK11" i="5"/>
  <c r="H14" i="4"/>
  <c r="C32" i="5"/>
  <c r="C48" i="5"/>
  <c r="J12" i="5"/>
  <c r="L12" i="5"/>
  <c r="P12" i="5"/>
  <c r="Q12" i="5"/>
  <c r="R12" i="5"/>
  <c r="S12" i="5"/>
  <c r="T12" i="5"/>
  <c r="U12" i="5"/>
  <c r="V12" i="5"/>
  <c r="AF12" i="5" a="1"/>
  <c r="AF12" i="5"/>
  <c r="AG12" i="5"/>
  <c r="K12" i="5"/>
  <c r="M12" i="5"/>
  <c r="Y12" i="5"/>
  <c r="AI12" i="5"/>
  <c r="AJ12" i="5"/>
  <c r="BF12" i="5"/>
  <c r="BG12" i="5"/>
  <c r="AK12" i="5"/>
  <c r="AL12" i="5"/>
  <c r="BH12" i="5"/>
  <c r="AA12" i="5"/>
  <c r="Z12" i="5"/>
  <c r="BI12" i="5"/>
  <c r="BK12" i="5"/>
  <c r="H15" i="4"/>
  <c r="C33" i="5"/>
  <c r="C49" i="5"/>
  <c r="J13" i="5"/>
  <c r="L13" i="5"/>
  <c r="P13" i="5"/>
  <c r="Q13" i="5"/>
  <c r="R13" i="5"/>
  <c r="S13" i="5"/>
  <c r="T13" i="5"/>
  <c r="U13" i="5"/>
  <c r="V13" i="5"/>
  <c r="AF13" i="5" a="1"/>
  <c r="AF13" i="5"/>
  <c r="AG13" i="5"/>
  <c r="K13" i="5"/>
  <c r="M13" i="5"/>
  <c r="Y13" i="5"/>
  <c r="AI13" i="5"/>
  <c r="AJ13" i="5"/>
  <c r="BF13" i="5"/>
  <c r="BG13" i="5"/>
  <c r="AK13" i="5"/>
  <c r="AL13" i="5"/>
  <c r="BH13" i="5"/>
  <c r="AA13" i="5"/>
  <c r="Z13" i="5"/>
  <c r="BI13" i="5"/>
  <c r="BK13" i="5"/>
  <c r="H16" i="4"/>
  <c r="C34" i="5"/>
  <c r="C50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51" i="5"/>
  <c r="E9" i="2"/>
  <c r="G10" i="2"/>
  <c r="F9" i="2"/>
  <c r="G11" i="2"/>
  <c r="G9" i="2"/>
  <c r="G12" i="2"/>
  <c r="G13" i="2"/>
  <c r="C88" i="5"/>
  <c r="E92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E96" i="5"/>
  <c r="E100" i="5"/>
  <c r="H19" i="2"/>
  <c r="I5" i="4"/>
  <c r="H4" i="2"/>
  <c r="D23" i="5"/>
  <c r="D39" i="5"/>
  <c r="I6" i="4"/>
  <c r="D24" i="5"/>
  <c r="D40" i="5"/>
  <c r="H20" i="2"/>
  <c r="I7" i="4"/>
  <c r="D25" i="5"/>
  <c r="D41" i="5"/>
  <c r="I8" i="4"/>
  <c r="D26" i="5"/>
  <c r="D42" i="5"/>
  <c r="I9" i="4"/>
  <c r="D27" i="5"/>
  <c r="D43" i="5"/>
  <c r="H21" i="2"/>
  <c r="I10" i="4"/>
  <c r="D28" i="5"/>
  <c r="D44" i="5"/>
  <c r="I11" i="4"/>
  <c r="D29" i="5"/>
  <c r="D45" i="5"/>
  <c r="I12" i="4"/>
  <c r="D30" i="5"/>
  <c r="D46" i="5"/>
  <c r="I13" i="4"/>
  <c r="D31" i="5"/>
  <c r="D47" i="5"/>
  <c r="I14" i="4"/>
  <c r="D32" i="5"/>
  <c r="D48" i="5"/>
  <c r="I15" i="4"/>
  <c r="D33" i="5"/>
  <c r="D49" i="5"/>
  <c r="I16" i="4"/>
  <c r="D34" i="5"/>
  <c r="D50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51" i="5"/>
  <c r="H10" i="2"/>
  <c r="H11" i="2"/>
  <c r="H12" i="2"/>
  <c r="H13" i="2"/>
  <c r="D88" i="5"/>
  <c r="F92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F96" i="5"/>
  <c r="F100" i="5"/>
  <c r="I19" i="2"/>
  <c r="J5" i="4"/>
  <c r="I4" i="2"/>
  <c r="E23" i="5"/>
  <c r="E39" i="5"/>
  <c r="J6" i="4"/>
  <c r="E24" i="5"/>
  <c r="E40" i="5"/>
  <c r="I20" i="2"/>
  <c r="J7" i="4"/>
  <c r="E25" i="5"/>
  <c r="E41" i="5"/>
  <c r="J8" i="4"/>
  <c r="E26" i="5"/>
  <c r="E42" i="5"/>
  <c r="J9" i="4"/>
  <c r="E27" i="5"/>
  <c r="E43" i="5"/>
  <c r="I21" i="2"/>
  <c r="J10" i="4"/>
  <c r="E28" i="5"/>
  <c r="E44" i="5"/>
  <c r="J11" i="4"/>
  <c r="E29" i="5"/>
  <c r="E45" i="5"/>
  <c r="J12" i="4"/>
  <c r="E30" i="5"/>
  <c r="E46" i="5"/>
  <c r="J13" i="4"/>
  <c r="E31" i="5"/>
  <c r="E47" i="5"/>
  <c r="J14" i="4"/>
  <c r="E32" i="5"/>
  <c r="E48" i="5"/>
  <c r="J15" i="4"/>
  <c r="E33" i="5"/>
  <c r="E49" i="5"/>
  <c r="J16" i="4"/>
  <c r="E34" i="5"/>
  <c r="E50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51" i="5"/>
  <c r="I10" i="2"/>
  <c r="I11" i="2"/>
  <c r="I12" i="2"/>
  <c r="I13" i="2"/>
  <c r="E88" i="5"/>
  <c r="G92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G96" i="5"/>
  <c r="G100" i="5"/>
  <c r="J19" i="2"/>
  <c r="K5" i="4"/>
  <c r="J4" i="2"/>
  <c r="F23" i="5"/>
  <c r="F39" i="5"/>
  <c r="K6" i="4"/>
  <c r="F24" i="5"/>
  <c r="F40" i="5"/>
  <c r="J20" i="2"/>
  <c r="K7" i="4"/>
  <c r="F25" i="5"/>
  <c r="F41" i="5"/>
  <c r="K8" i="4"/>
  <c r="F26" i="5"/>
  <c r="F42" i="5"/>
  <c r="K9" i="4"/>
  <c r="F27" i="5"/>
  <c r="F43" i="5"/>
  <c r="J21" i="2"/>
  <c r="K10" i="4"/>
  <c r="F28" i="5"/>
  <c r="F44" i="5"/>
  <c r="K11" i="4"/>
  <c r="F29" i="5"/>
  <c r="F45" i="5"/>
  <c r="K12" i="4"/>
  <c r="F30" i="5"/>
  <c r="F46" i="5"/>
  <c r="K13" i="4"/>
  <c r="F31" i="5"/>
  <c r="F47" i="5"/>
  <c r="K14" i="4"/>
  <c r="F32" i="5"/>
  <c r="F48" i="5"/>
  <c r="K15" i="4"/>
  <c r="F33" i="5"/>
  <c r="F49" i="5"/>
  <c r="K16" i="4"/>
  <c r="F34" i="5"/>
  <c r="F50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51" i="5"/>
  <c r="J10" i="2"/>
  <c r="J11" i="2"/>
  <c r="J12" i="2"/>
  <c r="J13" i="2"/>
  <c r="F88" i="5"/>
  <c r="H92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H96" i="5"/>
  <c r="H100" i="5"/>
  <c r="K19" i="2"/>
  <c r="L5" i="4"/>
  <c r="K4" i="2"/>
  <c r="G23" i="5"/>
  <c r="G39" i="5"/>
  <c r="L6" i="4"/>
  <c r="G24" i="5"/>
  <c r="G40" i="5"/>
  <c r="K20" i="2"/>
  <c r="L7" i="4"/>
  <c r="G25" i="5"/>
  <c r="G41" i="5"/>
  <c r="L8" i="4"/>
  <c r="G26" i="5"/>
  <c r="G42" i="5"/>
  <c r="L9" i="4"/>
  <c r="G27" i="5"/>
  <c r="G43" i="5"/>
  <c r="K21" i="2"/>
  <c r="L10" i="4"/>
  <c r="G28" i="5"/>
  <c r="G44" i="5"/>
  <c r="L11" i="4"/>
  <c r="G29" i="5"/>
  <c r="G45" i="5"/>
  <c r="L12" i="4"/>
  <c r="G30" i="5"/>
  <c r="G46" i="5"/>
  <c r="L13" i="4"/>
  <c r="G31" i="5"/>
  <c r="G47" i="5"/>
  <c r="L14" i="4"/>
  <c r="G32" i="5"/>
  <c r="G48" i="5"/>
  <c r="L15" i="4"/>
  <c r="G33" i="5"/>
  <c r="G49" i="5"/>
  <c r="L16" i="4"/>
  <c r="G34" i="5"/>
  <c r="G50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51" i="5"/>
  <c r="K10" i="2"/>
  <c r="K11" i="2"/>
  <c r="K12" i="2"/>
  <c r="K13" i="2"/>
  <c r="G88" i="5"/>
  <c r="I92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I96" i="5"/>
  <c r="I100" i="5"/>
  <c r="L19" i="2"/>
  <c r="M5" i="4"/>
  <c r="L4" i="2"/>
  <c r="H23" i="5"/>
  <c r="H39" i="5"/>
  <c r="M6" i="4"/>
  <c r="H24" i="5"/>
  <c r="H40" i="5"/>
  <c r="L20" i="2"/>
  <c r="M7" i="4"/>
  <c r="H25" i="5"/>
  <c r="H41" i="5"/>
  <c r="M8" i="4"/>
  <c r="H26" i="5"/>
  <c r="H42" i="5"/>
  <c r="M9" i="4"/>
  <c r="H27" i="5"/>
  <c r="H43" i="5"/>
  <c r="L21" i="2"/>
  <c r="M10" i="4"/>
  <c r="H28" i="5"/>
  <c r="H44" i="5"/>
  <c r="M11" i="4"/>
  <c r="H29" i="5"/>
  <c r="H45" i="5"/>
  <c r="M12" i="4"/>
  <c r="H30" i="5"/>
  <c r="H46" i="5"/>
  <c r="M13" i="4"/>
  <c r="H31" i="5"/>
  <c r="H47" i="5"/>
  <c r="M14" i="4"/>
  <c r="H32" i="5"/>
  <c r="H48" i="5"/>
  <c r="M15" i="4"/>
  <c r="H33" i="5"/>
  <c r="H49" i="5"/>
  <c r="M16" i="4"/>
  <c r="H34" i="5"/>
  <c r="H50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51" i="5"/>
  <c r="L10" i="2"/>
  <c r="L11" i="2"/>
  <c r="L12" i="2"/>
  <c r="L13" i="2"/>
  <c r="H88" i="5"/>
  <c r="J92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J96" i="5"/>
  <c r="J100" i="5"/>
  <c r="M19" i="2"/>
  <c r="N5" i="4"/>
  <c r="M4" i="2"/>
  <c r="I23" i="5"/>
  <c r="I39" i="5"/>
  <c r="N6" i="4"/>
  <c r="I24" i="5"/>
  <c r="I40" i="5"/>
  <c r="M20" i="2"/>
  <c r="N7" i="4"/>
  <c r="I25" i="5"/>
  <c r="I41" i="5"/>
  <c r="N8" i="4"/>
  <c r="I26" i="5"/>
  <c r="I42" i="5"/>
  <c r="N9" i="4"/>
  <c r="I27" i="5"/>
  <c r="I43" i="5"/>
  <c r="M21" i="2"/>
  <c r="N10" i="4"/>
  <c r="I28" i="5"/>
  <c r="I44" i="5"/>
  <c r="N11" i="4"/>
  <c r="I29" i="5"/>
  <c r="I45" i="5"/>
  <c r="N12" i="4"/>
  <c r="I30" i="5"/>
  <c r="I46" i="5"/>
  <c r="N13" i="4"/>
  <c r="I31" i="5"/>
  <c r="I47" i="5"/>
  <c r="N14" i="4"/>
  <c r="I32" i="5"/>
  <c r="I48" i="5"/>
  <c r="N15" i="4"/>
  <c r="I33" i="5"/>
  <c r="I49" i="5"/>
  <c r="N16" i="4"/>
  <c r="I34" i="5"/>
  <c r="I50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51" i="5"/>
  <c r="M10" i="2"/>
  <c r="M11" i="2"/>
  <c r="M12" i="2"/>
  <c r="M13" i="2"/>
  <c r="I88" i="5"/>
  <c r="K92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K96" i="5"/>
  <c r="K100" i="5"/>
  <c r="N19" i="2"/>
  <c r="O5" i="4"/>
  <c r="N4" i="2"/>
  <c r="J23" i="5"/>
  <c r="J39" i="5"/>
  <c r="O6" i="4"/>
  <c r="J24" i="5"/>
  <c r="J40" i="5"/>
  <c r="N20" i="2"/>
  <c r="O7" i="4"/>
  <c r="J25" i="5"/>
  <c r="J41" i="5"/>
  <c r="O8" i="4"/>
  <c r="J26" i="5"/>
  <c r="J42" i="5"/>
  <c r="O9" i="4"/>
  <c r="J27" i="5"/>
  <c r="J43" i="5"/>
  <c r="N21" i="2"/>
  <c r="O10" i="4"/>
  <c r="J28" i="5"/>
  <c r="J44" i="5"/>
  <c r="O11" i="4"/>
  <c r="J29" i="5"/>
  <c r="J45" i="5"/>
  <c r="O12" i="4"/>
  <c r="J30" i="5"/>
  <c r="J46" i="5"/>
  <c r="O13" i="4"/>
  <c r="J31" i="5"/>
  <c r="J47" i="5"/>
  <c r="O14" i="4"/>
  <c r="J32" i="5"/>
  <c r="J48" i="5"/>
  <c r="O15" i="4"/>
  <c r="J33" i="5"/>
  <c r="J49" i="5"/>
  <c r="O16" i="4"/>
  <c r="J34" i="5"/>
  <c r="J50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51" i="5"/>
  <c r="N10" i="2"/>
  <c r="N11" i="2"/>
  <c r="N12" i="2"/>
  <c r="N13" i="2"/>
  <c r="J88" i="5"/>
  <c r="L92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L96" i="5"/>
  <c r="L100" i="5"/>
  <c r="O19" i="2"/>
  <c r="P5" i="4"/>
  <c r="O4" i="2"/>
  <c r="K23" i="5"/>
  <c r="K39" i="5"/>
  <c r="P6" i="4"/>
  <c r="K24" i="5"/>
  <c r="K40" i="5"/>
  <c r="O20" i="2"/>
  <c r="P7" i="4"/>
  <c r="K25" i="5"/>
  <c r="K41" i="5"/>
  <c r="P8" i="4"/>
  <c r="K26" i="5"/>
  <c r="K42" i="5"/>
  <c r="P9" i="4"/>
  <c r="K27" i="5"/>
  <c r="K43" i="5"/>
  <c r="O21" i="2"/>
  <c r="P10" i="4"/>
  <c r="K28" i="5"/>
  <c r="K44" i="5"/>
  <c r="P11" i="4"/>
  <c r="K29" i="5"/>
  <c r="K45" i="5"/>
  <c r="P12" i="4"/>
  <c r="K30" i="5"/>
  <c r="K46" i="5"/>
  <c r="P13" i="4"/>
  <c r="K31" i="5"/>
  <c r="K47" i="5"/>
  <c r="P14" i="4"/>
  <c r="K32" i="5"/>
  <c r="K48" i="5"/>
  <c r="P15" i="4"/>
  <c r="K33" i="5"/>
  <c r="K49" i="5"/>
  <c r="P16" i="4"/>
  <c r="K34" i="5"/>
  <c r="K50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51" i="5"/>
  <c r="O11" i="2"/>
  <c r="O12" i="2"/>
  <c r="O13" i="2"/>
  <c r="K88" i="5"/>
  <c r="M92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M96" i="5"/>
  <c r="M100" i="5"/>
  <c r="P19" i="2"/>
  <c r="Q5" i="4"/>
  <c r="P4" i="2"/>
  <c r="L23" i="5"/>
  <c r="L39" i="5"/>
  <c r="Q6" i="4"/>
  <c r="L24" i="5"/>
  <c r="L40" i="5"/>
  <c r="P20" i="2"/>
  <c r="Q7" i="4"/>
  <c r="L25" i="5"/>
  <c r="L41" i="5"/>
  <c r="Q8" i="4"/>
  <c r="L26" i="5"/>
  <c r="L42" i="5"/>
  <c r="Q9" i="4"/>
  <c r="L27" i="5"/>
  <c r="L43" i="5"/>
  <c r="P21" i="2"/>
  <c r="Q10" i="4"/>
  <c r="L28" i="5"/>
  <c r="L44" i="5"/>
  <c r="Q11" i="4"/>
  <c r="L29" i="5"/>
  <c r="L45" i="5"/>
  <c r="Q12" i="4"/>
  <c r="L30" i="5"/>
  <c r="L46" i="5"/>
  <c r="Q13" i="4"/>
  <c r="L31" i="5"/>
  <c r="L47" i="5"/>
  <c r="Q14" i="4"/>
  <c r="L32" i="5"/>
  <c r="L48" i="5"/>
  <c r="Q15" i="4"/>
  <c r="L33" i="5"/>
  <c r="L49" i="5"/>
  <c r="Q16" i="4"/>
  <c r="L34" i="5"/>
  <c r="L50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51" i="5"/>
  <c r="P12" i="2"/>
  <c r="P13" i="2"/>
  <c r="L88" i="5"/>
  <c r="N92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N96" i="5"/>
  <c r="N100" i="5"/>
  <c r="Q19" i="2"/>
  <c r="R5" i="4"/>
  <c r="Q4" i="2"/>
  <c r="M23" i="5"/>
  <c r="M39" i="5"/>
  <c r="R6" i="4"/>
  <c r="M24" i="5"/>
  <c r="M40" i="5"/>
  <c r="Q20" i="2"/>
  <c r="R7" i="4"/>
  <c r="M25" i="5"/>
  <c r="M41" i="5"/>
  <c r="R8" i="4"/>
  <c r="M26" i="5"/>
  <c r="M42" i="5"/>
  <c r="R9" i="4"/>
  <c r="M27" i="5"/>
  <c r="M43" i="5"/>
  <c r="Q21" i="2"/>
  <c r="R10" i="4"/>
  <c r="M28" i="5"/>
  <c r="M44" i="5"/>
  <c r="R11" i="4"/>
  <c r="M29" i="5"/>
  <c r="M45" i="5"/>
  <c r="R12" i="4"/>
  <c r="M30" i="5"/>
  <c r="M46" i="5"/>
  <c r="R13" i="4"/>
  <c r="M31" i="5"/>
  <c r="M47" i="5"/>
  <c r="R14" i="4"/>
  <c r="M32" i="5"/>
  <c r="M48" i="5"/>
  <c r="R15" i="4"/>
  <c r="M33" i="5"/>
  <c r="M49" i="5"/>
  <c r="R16" i="4"/>
  <c r="M34" i="5"/>
  <c r="M50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51" i="5"/>
  <c r="M88" i="5"/>
  <c r="O92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O96" i="5"/>
  <c r="O100" i="5"/>
  <c r="R19" i="2"/>
  <c r="S5" i="4"/>
  <c r="R4" i="2"/>
  <c r="N23" i="5"/>
  <c r="N39" i="5"/>
  <c r="S6" i="4"/>
  <c r="N24" i="5"/>
  <c r="N40" i="5"/>
  <c r="R20" i="2"/>
  <c r="S7" i="4"/>
  <c r="N25" i="5"/>
  <c r="N41" i="5"/>
  <c r="S8" i="4"/>
  <c r="N26" i="5"/>
  <c r="N42" i="5"/>
  <c r="S9" i="4"/>
  <c r="N27" i="5"/>
  <c r="N43" i="5"/>
  <c r="R21" i="2"/>
  <c r="S10" i="4"/>
  <c r="N28" i="5"/>
  <c r="N44" i="5"/>
  <c r="S11" i="4"/>
  <c r="N29" i="5"/>
  <c r="N45" i="5"/>
  <c r="S12" i="4"/>
  <c r="N30" i="5"/>
  <c r="N46" i="5"/>
  <c r="S13" i="4"/>
  <c r="N31" i="5"/>
  <c r="N47" i="5"/>
  <c r="S14" i="4"/>
  <c r="N32" i="5"/>
  <c r="N48" i="5"/>
  <c r="S15" i="4"/>
  <c r="N33" i="5"/>
  <c r="N49" i="5"/>
  <c r="S16" i="4"/>
  <c r="N34" i="5"/>
  <c r="N50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51" i="5"/>
  <c r="N88" i="5"/>
  <c r="P92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P96" i="5"/>
  <c r="P100" i="5"/>
  <c r="S19" i="2"/>
  <c r="T5" i="4"/>
  <c r="S4" i="2"/>
  <c r="O23" i="5"/>
  <c r="O39" i="5"/>
  <c r="T6" i="4"/>
  <c r="O24" i="5"/>
  <c r="O40" i="5"/>
  <c r="S20" i="2"/>
  <c r="T7" i="4"/>
  <c r="O25" i="5"/>
  <c r="O41" i="5"/>
  <c r="T8" i="4"/>
  <c r="O26" i="5"/>
  <c r="O42" i="5"/>
  <c r="T9" i="4"/>
  <c r="O27" i="5"/>
  <c r="O43" i="5"/>
  <c r="S21" i="2"/>
  <c r="T10" i="4"/>
  <c r="O28" i="5"/>
  <c r="O44" i="5"/>
  <c r="T11" i="4"/>
  <c r="O29" i="5"/>
  <c r="O45" i="5"/>
  <c r="T12" i="4"/>
  <c r="O30" i="5"/>
  <c r="O46" i="5"/>
  <c r="T13" i="4"/>
  <c r="O31" i="5"/>
  <c r="O47" i="5"/>
  <c r="T14" i="4"/>
  <c r="O32" i="5"/>
  <c r="O48" i="5"/>
  <c r="T15" i="4"/>
  <c r="O33" i="5"/>
  <c r="O49" i="5"/>
  <c r="T16" i="4"/>
  <c r="O34" i="5"/>
  <c r="O50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51" i="5"/>
  <c r="O88" i="5"/>
  <c r="Q92" i="5"/>
  <c r="O72" i="5"/>
  <c r="O73" i="5"/>
  <c r="O74" i="5"/>
  <c r="O75" i="5"/>
  <c r="O76" i="5"/>
  <c r="O77" i="5"/>
  <c r="O78" i="5"/>
  <c r="O79" i="5"/>
  <c r="O80" i="5"/>
  <c r="O81" i="5"/>
  <c r="O82" i="5"/>
  <c r="O83" i="5"/>
  <c r="O84" i="5"/>
  <c r="Q96" i="5"/>
  <c r="Q100" i="5"/>
  <c r="E10" i="2"/>
  <c r="E13" i="2"/>
  <c r="A88" i="5"/>
  <c r="F10" i="2"/>
  <c r="F11" i="2"/>
  <c r="F13" i="2"/>
  <c r="B88" i="5"/>
  <c r="B101" i="5"/>
  <c r="C92" i="5"/>
  <c r="C96" i="5"/>
  <c r="C100" i="5"/>
  <c r="D92" i="5"/>
  <c r="D96" i="5"/>
  <c r="D100" i="5"/>
  <c r="D101" i="5" a="1"/>
  <c r="D101" i="5"/>
  <c r="AH2" i="5"/>
  <c r="AM2" i="5"/>
  <c r="AN2" i="5"/>
  <c r="AO2" i="5"/>
  <c r="AP2" i="5"/>
  <c r="AQ2" i="5"/>
  <c r="AR2" i="5"/>
  <c r="AS2" i="5"/>
  <c r="AT2" i="5"/>
  <c r="AU2" i="5"/>
  <c r="AV2" i="5"/>
  <c r="AW2" i="5"/>
  <c r="AX2" i="5"/>
  <c r="AY2" i="5"/>
  <c r="AZ2" i="5"/>
  <c r="BA2" i="5"/>
  <c r="AH3" i="5"/>
  <c r="AM3" i="5"/>
  <c r="AN3" i="5"/>
  <c r="AO3" i="5"/>
  <c r="AP3" i="5"/>
  <c r="AQ3" i="5"/>
  <c r="AR3" i="5"/>
  <c r="AS3" i="5"/>
  <c r="AT3" i="5"/>
  <c r="AU3" i="5"/>
  <c r="AV3" i="5"/>
  <c r="AW3" i="5"/>
  <c r="AX3" i="5"/>
  <c r="AY3" i="5"/>
  <c r="AZ3" i="5"/>
  <c r="BA3" i="5"/>
  <c r="AH4" i="5"/>
  <c r="AM4" i="5"/>
  <c r="AN4" i="5"/>
  <c r="AO4" i="5"/>
  <c r="AP4" i="5"/>
  <c r="AQ4" i="5"/>
  <c r="AR4" i="5"/>
  <c r="AS4" i="5"/>
  <c r="AT4" i="5"/>
  <c r="AU4" i="5"/>
  <c r="AV4" i="5"/>
  <c r="AW4" i="5"/>
  <c r="AX4" i="5"/>
  <c r="AY4" i="5"/>
  <c r="AZ4" i="5"/>
  <c r="AH5" i="5"/>
  <c r="AM5" i="5"/>
  <c r="AN5" i="5"/>
  <c r="AO5" i="5"/>
  <c r="AP5" i="5"/>
  <c r="AQ5" i="5"/>
  <c r="AR5" i="5"/>
  <c r="AS5" i="5"/>
  <c r="AT5" i="5"/>
  <c r="AU5" i="5"/>
  <c r="AV5" i="5"/>
  <c r="AW5" i="5"/>
  <c r="AX5" i="5"/>
  <c r="AY5" i="5"/>
  <c r="AZ5" i="5"/>
  <c r="AH6" i="5"/>
  <c r="AM6" i="5"/>
  <c r="AN6" i="5"/>
  <c r="AO6" i="5"/>
  <c r="AP6" i="5"/>
  <c r="AQ6" i="5"/>
  <c r="AR6" i="5"/>
  <c r="AS6" i="5"/>
  <c r="AT6" i="5"/>
  <c r="AU6" i="5"/>
  <c r="AV6" i="5"/>
  <c r="AW6" i="5"/>
  <c r="AX6" i="5"/>
  <c r="AY6" i="5"/>
  <c r="AZ6" i="5"/>
  <c r="AH7" i="5"/>
  <c r="AM7" i="5"/>
  <c r="AN7" i="5"/>
  <c r="AO7" i="5"/>
  <c r="AP7" i="5"/>
  <c r="AQ7" i="5"/>
  <c r="AR7" i="5"/>
  <c r="AS7" i="5"/>
  <c r="AT7" i="5"/>
  <c r="AU7" i="5"/>
  <c r="AV7" i="5"/>
  <c r="AW7" i="5"/>
  <c r="AX7" i="5"/>
  <c r="AY7" i="5"/>
  <c r="AZ7" i="5"/>
  <c r="AH8" i="5"/>
  <c r="AM8" i="5"/>
  <c r="AN8" i="5"/>
  <c r="AO8" i="5"/>
  <c r="AP8" i="5"/>
  <c r="AQ8" i="5"/>
  <c r="AR8" i="5"/>
  <c r="AS8" i="5"/>
  <c r="AT8" i="5"/>
  <c r="AU8" i="5"/>
  <c r="AV8" i="5"/>
  <c r="AW8" i="5"/>
  <c r="AX8" i="5"/>
  <c r="AY8" i="5"/>
  <c r="AZ8" i="5"/>
  <c r="AH9" i="5"/>
  <c r="AM9" i="5"/>
  <c r="AN9" i="5"/>
  <c r="AO9" i="5"/>
  <c r="AP9" i="5"/>
  <c r="AQ9" i="5"/>
  <c r="AR9" i="5"/>
  <c r="AS9" i="5"/>
  <c r="AT9" i="5"/>
  <c r="AU9" i="5"/>
  <c r="AV9" i="5"/>
  <c r="AW9" i="5"/>
  <c r="AX9" i="5"/>
  <c r="AY9" i="5"/>
  <c r="AZ9" i="5"/>
  <c r="AH10" i="5"/>
  <c r="AM10" i="5"/>
  <c r="AN10" i="5"/>
  <c r="AO10" i="5"/>
  <c r="AP10" i="5"/>
  <c r="AQ10" i="5"/>
  <c r="AR10" i="5"/>
  <c r="AS10" i="5"/>
  <c r="AT10" i="5"/>
  <c r="AU10" i="5"/>
  <c r="AV10" i="5"/>
  <c r="AW10" i="5"/>
  <c r="AX10" i="5"/>
  <c r="AY10" i="5"/>
  <c r="AZ10" i="5"/>
  <c r="BA10" i="5"/>
  <c r="AH11" i="5"/>
  <c r="AM11" i="5"/>
  <c r="AN11" i="5"/>
  <c r="AO11" i="5"/>
  <c r="AP11" i="5"/>
  <c r="AQ11" i="5"/>
  <c r="AR11" i="5"/>
  <c r="AS11" i="5"/>
  <c r="AT11" i="5"/>
  <c r="AU11" i="5"/>
  <c r="AV11" i="5"/>
  <c r="AW11" i="5"/>
  <c r="AX11" i="5"/>
  <c r="AY11" i="5"/>
  <c r="AZ11" i="5"/>
  <c r="BA11" i="5"/>
  <c r="AH12" i="5"/>
  <c r="AM12" i="5"/>
  <c r="AN12" i="5"/>
  <c r="AO12" i="5"/>
  <c r="AP12" i="5"/>
  <c r="AQ12" i="5"/>
  <c r="AR12" i="5"/>
  <c r="AS12" i="5"/>
  <c r="AT12" i="5"/>
  <c r="AU12" i="5"/>
  <c r="AV12" i="5"/>
  <c r="AW12" i="5"/>
  <c r="AX12" i="5"/>
  <c r="AY12" i="5"/>
  <c r="AZ12" i="5"/>
  <c r="BA12" i="5"/>
  <c r="AH13" i="5"/>
  <c r="AM13" i="5"/>
  <c r="AN13" i="5"/>
  <c r="AO13" i="5"/>
  <c r="AP13" i="5"/>
  <c r="AQ13" i="5"/>
  <c r="AR13" i="5"/>
  <c r="AS13" i="5"/>
  <c r="AT13" i="5"/>
  <c r="AU13" i="5"/>
  <c r="AV13" i="5"/>
  <c r="AW13" i="5"/>
  <c r="AX13" i="5"/>
  <c r="AY13" i="5"/>
  <c r="AZ13" i="5"/>
  <c r="BA13" i="5"/>
  <c r="C52" i="5"/>
  <c r="D52" i="5"/>
  <c r="E52" i="5"/>
  <c r="F52" i="5"/>
  <c r="G52" i="5"/>
  <c r="H52" i="5"/>
  <c r="I52" i="5"/>
  <c r="J52" i="5"/>
  <c r="K52" i="5"/>
  <c r="L52" i="5"/>
  <c r="M52" i="5"/>
  <c r="N52" i="5"/>
  <c r="O52" i="5"/>
  <c r="P52" i="5"/>
  <c r="BY13" i="5"/>
  <c r="E109" i="5"/>
  <c r="E114" i="5"/>
  <c r="H9" i="2"/>
  <c r="F109" i="5"/>
  <c r="F114" i="5"/>
  <c r="I9" i="2"/>
  <c r="G109" i="5"/>
  <c r="G114" i="5"/>
  <c r="H109" i="5"/>
  <c r="H114" i="5"/>
  <c r="I109" i="5"/>
  <c r="I114" i="5"/>
  <c r="J109" i="5"/>
  <c r="J114" i="5"/>
  <c r="K109" i="5"/>
  <c r="K114" i="5"/>
  <c r="L109" i="5"/>
  <c r="L114" i="5"/>
  <c r="M109" i="5"/>
  <c r="M114" i="5"/>
  <c r="N109" i="5"/>
  <c r="N114" i="5"/>
  <c r="O109" i="5"/>
  <c r="O114" i="5"/>
  <c r="P109" i="5"/>
  <c r="P114" i="5"/>
  <c r="Q109" i="5"/>
  <c r="Q114" i="5"/>
  <c r="C109" i="5"/>
  <c r="C114" i="5"/>
  <c r="D109" i="5"/>
  <c r="D114" i="5"/>
  <c r="R114" i="5"/>
  <c r="BN6" i="5"/>
  <c r="BN7" i="5"/>
  <c r="BN11" i="5"/>
  <c r="BN10" i="5"/>
  <c r="BN9" i="5"/>
  <c r="BA5" i="5"/>
  <c r="BA6" i="5"/>
  <c r="BA7" i="5"/>
  <c r="BA8" i="5"/>
  <c r="BA4" i="5"/>
  <c r="T2" i="5"/>
  <c r="T3" i="5"/>
  <c r="R3" i="5"/>
  <c r="Q3" i="5"/>
  <c r="R4" i="5"/>
  <c r="Q4" i="5"/>
  <c r="R5" i="5"/>
  <c r="Q5" i="5"/>
  <c r="R7" i="5"/>
  <c r="Q7" i="5"/>
  <c r="X9" i="5"/>
  <c r="X10" i="5"/>
  <c r="X11" i="5"/>
  <c r="X12" i="5"/>
  <c r="X13" i="5"/>
  <c r="BK14" i="5"/>
  <c r="AF2" i="6" a="1"/>
  <c r="AF2" i="6"/>
  <c r="AG2" i="6"/>
  <c r="AI2" i="6"/>
  <c r="BU2" i="6"/>
  <c r="AJ2" i="6"/>
  <c r="AH2" i="6"/>
  <c r="AK2" i="6"/>
  <c r="AL2" i="6"/>
  <c r="AM2" i="6"/>
  <c r="AN2" i="6"/>
  <c r="AO2" i="6"/>
  <c r="AP2" i="6"/>
  <c r="AQ2" i="6"/>
  <c r="AR2" i="6"/>
  <c r="AS2" i="6"/>
  <c r="AT2" i="6"/>
  <c r="AU2" i="6"/>
  <c r="AV2" i="6"/>
  <c r="AW2" i="6"/>
  <c r="AX2" i="6"/>
  <c r="AY2" i="6"/>
  <c r="AZ2" i="6"/>
  <c r="BF2" i="6"/>
  <c r="BG2" i="6"/>
  <c r="BA2" i="6"/>
  <c r="BH2" i="6"/>
  <c r="BI2" i="6"/>
  <c r="BK2" i="6"/>
  <c r="BQ2" i="6"/>
  <c r="BP2" i="6"/>
  <c r="BR2" i="6"/>
  <c r="BS2" i="6"/>
  <c r="AF3" i="6" a="1"/>
  <c r="AF3" i="6"/>
  <c r="AG3" i="6"/>
  <c r="AI3" i="6"/>
  <c r="AJ3" i="6"/>
  <c r="AH3" i="6"/>
  <c r="AK3" i="6"/>
  <c r="AL3" i="6"/>
  <c r="AM3" i="6"/>
  <c r="AN3" i="6"/>
  <c r="AO3" i="6"/>
  <c r="AP3" i="6"/>
  <c r="AQ3" i="6"/>
  <c r="AR3" i="6"/>
  <c r="AS3" i="6"/>
  <c r="AT3" i="6"/>
  <c r="AU3" i="6"/>
  <c r="AV3" i="6"/>
  <c r="AW3" i="6"/>
  <c r="AX3" i="6"/>
  <c r="AY3" i="6"/>
  <c r="AZ3" i="6"/>
  <c r="BF3" i="6"/>
  <c r="BG3" i="6"/>
  <c r="BA3" i="6"/>
  <c r="BH3" i="6"/>
  <c r="BI3" i="6"/>
  <c r="BK3" i="6"/>
  <c r="BQ3" i="6"/>
  <c r="BR3" i="6"/>
  <c r="BS3" i="6"/>
  <c r="AF4" i="6" a="1"/>
  <c r="AF4" i="6"/>
  <c r="AG4" i="6"/>
  <c r="AI4" i="6"/>
  <c r="AJ4" i="6"/>
  <c r="AH4" i="6"/>
  <c r="AK4" i="6"/>
  <c r="AL4" i="6"/>
  <c r="AM4" i="6"/>
  <c r="AN4" i="6"/>
  <c r="AO4" i="6"/>
  <c r="AP4" i="6"/>
  <c r="AQ4" i="6"/>
  <c r="AR4" i="6"/>
  <c r="AS4" i="6"/>
  <c r="AT4" i="6"/>
  <c r="AU4" i="6"/>
  <c r="AV4" i="6"/>
  <c r="AW4" i="6"/>
  <c r="AX4" i="6"/>
  <c r="AY4" i="6"/>
  <c r="AZ4" i="6"/>
  <c r="BF4" i="6"/>
  <c r="BG4" i="6"/>
  <c r="BH4" i="6"/>
  <c r="BI4" i="6"/>
  <c r="BK4" i="6"/>
  <c r="BQ4" i="6"/>
  <c r="BR4" i="6"/>
  <c r="BS4" i="6"/>
  <c r="AF5" i="6" a="1"/>
  <c r="AF5" i="6"/>
  <c r="AG5" i="6"/>
  <c r="AI5" i="6"/>
  <c r="AJ5" i="6"/>
  <c r="AH5" i="6"/>
  <c r="AK5" i="6"/>
  <c r="AL5" i="6"/>
  <c r="AM5" i="6"/>
  <c r="AN5" i="6"/>
  <c r="AO5" i="6"/>
  <c r="AP5" i="6"/>
  <c r="AQ5" i="6"/>
  <c r="AR5" i="6"/>
  <c r="AS5" i="6"/>
  <c r="AT5" i="6"/>
  <c r="AU5" i="6"/>
  <c r="AV5" i="6"/>
  <c r="AW5" i="6"/>
  <c r="AX5" i="6"/>
  <c r="AY5" i="6"/>
  <c r="AZ5" i="6"/>
  <c r="BF5" i="6"/>
  <c r="BG5" i="6"/>
  <c r="BH5" i="6"/>
  <c r="BI5" i="6"/>
  <c r="BK5" i="6"/>
  <c r="BQ5" i="6"/>
  <c r="BR5" i="6"/>
  <c r="BS5" i="6"/>
  <c r="AF6" i="6" a="1"/>
  <c r="AF6" i="6"/>
  <c r="AG6" i="6"/>
  <c r="AI6" i="6"/>
  <c r="AJ6" i="6"/>
  <c r="AH6" i="6"/>
  <c r="AK6" i="6"/>
  <c r="AL6" i="6"/>
  <c r="AM6" i="6"/>
  <c r="AN6" i="6"/>
  <c r="AO6" i="6"/>
  <c r="AP6" i="6"/>
  <c r="AQ6" i="6"/>
  <c r="AR6" i="6"/>
  <c r="AS6" i="6"/>
  <c r="AT6" i="6"/>
  <c r="AU6" i="6"/>
  <c r="AV6" i="6"/>
  <c r="AW6" i="6"/>
  <c r="AX6" i="6"/>
  <c r="AY6" i="6"/>
  <c r="AZ6" i="6"/>
  <c r="BF6" i="6"/>
  <c r="BG6" i="6"/>
  <c r="BH6" i="6"/>
  <c r="BI6" i="6"/>
  <c r="BK6" i="6"/>
  <c r="BQ6" i="6"/>
  <c r="BR6" i="6"/>
  <c r="BS6" i="6"/>
  <c r="AF7" i="6" a="1"/>
  <c r="AF7" i="6"/>
  <c r="AG7" i="6"/>
  <c r="AI7" i="6"/>
  <c r="AJ7" i="6"/>
  <c r="AH7" i="6"/>
  <c r="AK7" i="6"/>
  <c r="AL7" i="6"/>
  <c r="AM7" i="6"/>
  <c r="AN7" i="6"/>
  <c r="AO7" i="6"/>
  <c r="AP7" i="6"/>
  <c r="AQ7" i="6"/>
  <c r="AR7" i="6"/>
  <c r="AS7" i="6"/>
  <c r="AT7" i="6"/>
  <c r="AU7" i="6"/>
  <c r="AV7" i="6"/>
  <c r="AW7" i="6"/>
  <c r="AX7" i="6"/>
  <c r="AY7" i="6"/>
  <c r="AZ7" i="6"/>
  <c r="BF7" i="6"/>
  <c r="BG7" i="6"/>
  <c r="BH7" i="6"/>
  <c r="BI7" i="6"/>
  <c r="BK7" i="6"/>
  <c r="BQ7" i="6"/>
  <c r="BR7" i="6"/>
  <c r="BS7" i="6"/>
  <c r="AF8" i="6" a="1"/>
  <c r="AF8" i="6"/>
  <c r="AG8" i="6"/>
  <c r="AI8" i="6"/>
  <c r="AJ8" i="6"/>
  <c r="AH8" i="6"/>
  <c r="AK8" i="6"/>
  <c r="AL8" i="6"/>
  <c r="AM8" i="6"/>
  <c r="AN8" i="6"/>
  <c r="AO8" i="6"/>
  <c r="AP8" i="6"/>
  <c r="AQ8" i="6"/>
  <c r="AR8" i="6"/>
  <c r="AS8" i="6"/>
  <c r="AT8" i="6"/>
  <c r="AU8" i="6"/>
  <c r="AV8" i="6"/>
  <c r="AW8" i="6"/>
  <c r="AX8" i="6"/>
  <c r="AY8" i="6"/>
  <c r="AZ8" i="6"/>
  <c r="BF8" i="6"/>
  <c r="BG8" i="6"/>
  <c r="BH8" i="6"/>
  <c r="BI8" i="6"/>
  <c r="BK8" i="6"/>
  <c r="BQ8" i="6"/>
  <c r="BR8" i="6"/>
  <c r="BS8" i="6"/>
  <c r="AF9" i="6" a="1"/>
  <c r="AF9" i="6"/>
  <c r="AG9" i="6"/>
  <c r="AI9" i="6"/>
  <c r="AJ9" i="6"/>
  <c r="AH9" i="6"/>
  <c r="AK9" i="6"/>
  <c r="AL9" i="6"/>
  <c r="AM9" i="6"/>
  <c r="AN9" i="6"/>
  <c r="AO9" i="6"/>
  <c r="AP9" i="6"/>
  <c r="AQ9" i="6"/>
  <c r="AR9" i="6"/>
  <c r="AS9" i="6"/>
  <c r="AT9" i="6"/>
  <c r="AU9" i="6"/>
  <c r="AV9" i="6"/>
  <c r="AW9" i="6"/>
  <c r="AX9" i="6"/>
  <c r="AY9" i="6"/>
  <c r="AZ9" i="6"/>
  <c r="BF9" i="6"/>
  <c r="BG9" i="6"/>
  <c r="BH9" i="6"/>
  <c r="BI9" i="6"/>
  <c r="BK9" i="6"/>
  <c r="BQ9" i="6"/>
  <c r="BR9" i="6"/>
  <c r="BS9" i="6"/>
  <c r="AF10" i="6" a="1"/>
  <c r="AF10" i="6"/>
  <c r="AG10" i="6"/>
  <c r="AI10" i="6"/>
  <c r="AJ10" i="6"/>
  <c r="AH10" i="6"/>
  <c r="AK10" i="6"/>
  <c r="AL10" i="6"/>
  <c r="AM10" i="6"/>
  <c r="AN10" i="6"/>
  <c r="AO10" i="6"/>
  <c r="AP10" i="6"/>
  <c r="BF10" i="6"/>
  <c r="BG10" i="6"/>
  <c r="AQ10" i="6"/>
  <c r="AR10" i="6"/>
  <c r="BH10" i="6"/>
  <c r="BI10" i="6"/>
  <c r="BK10" i="6"/>
  <c r="BQ10" i="6"/>
  <c r="BR10" i="6"/>
  <c r="BS10" i="6"/>
  <c r="AF11" i="6" a="1"/>
  <c r="AF11" i="6"/>
  <c r="AG11" i="6"/>
  <c r="AI11" i="6"/>
  <c r="AJ11" i="6"/>
  <c r="AH11" i="6"/>
  <c r="AK11" i="6"/>
  <c r="AL11" i="6"/>
  <c r="AM11" i="6"/>
  <c r="AN11" i="6"/>
  <c r="AO11" i="6"/>
  <c r="AP11" i="6"/>
  <c r="BF11" i="6"/>
  <c r="BG11" i="6"/>
  <c r="AQ11" i="6"/>
  <c r="AR11" i="6"/>
  <c r="BH11" i="6"/>
  <c r="BI11" i="6"/>
  <c r="BK11" i="6"/>
  <c r="BQ11" i="6"/>
  <c r="BR11" i="6"/>
  <c r="BS11" i="6"/>
  <c r="AF12" i="6" a="1"/>
  <c r="AF12" i="6"/>
  <c r="AG12" i="6"/>
  <c r="AI12" i="6"/>
  <c r="AJ12" i="6"/>
  <c r="AH12" i="6"/>
  <c r="AK12" i="6"/>
  <c r="AL12" i="6"/>
  <c r="AM12" i="6"/>
  <c r="AN12" i="6"/>
  <c r="AO12" i="6"/>
  <c r="AP12" i="6"/>
  <c r="BF12" i="6"/>
  <c r="BG12" i="6"/>
  <c r="AQ12" i="6"/>
  <c r="AR12" i="6"/>
  <c r="BH12" i="6"/>
  <c r="BI12" i="6"/>
  <c r="BK12" i="6"/>
  <c r="BQ12" i="6"/>
  <c r="BR12" i="6"/>
  <c r="BS12" i="6"/>
  <c r="AF13" i="6" a="1"/>
  <c r="AF13" i="6"/>
  <c r="AG13" i="6"/>
  <c r="AI13" i="6"/>
  <c r="AJ13" i="6"/>
  <c r="AH13" i="6"/>
  <c r="AK13" i="6"/>
  <c r="AL13" i="6"/>
  <c r="AM13" i="6"/>
  <c r="AN13" i="6"/>
  <c r="AO13" i="6"/>
  <c r="AP13" i="6"/>
  <c r="BF13" i="6"/>
  <c r="BG13" i="6"/>
  <c r="AQ13" i="6"/>
  <c r="AR13" i="6"/>
  <c r="BH13" i="6"/>
  <c r="BI13" i="6"/>
  <c r="BK13" i="6"/>
  <c r="BQ13" i="6"/>
  <c r="BR13" i="6"/>
  <c r="BS13" i="6"/>
  <c r="BS14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P35" i="6"/>
  <c r="BN5" i="6"/>
  <c r="K4" i="6"/>
  <c r="M4" i="6"/>
  <c r="X4" i="6"/>
  <c r="Y4" i="6"/>
  <c r="Z4" i="6"/>
  <c r="AA4" i="6"/>
  <c r="AB4" i="6"/>
  <c r="AC4" i="6"/>
  <c r="AD4" i="6"/>
  <c r="J4" i="6"/>
  <c r="L4" i="6"/>
  <c r="S4" i="6"/>
  <c r="T4" i="6"/>
  <c r="C55" i="6"/>
  <c r="K2" i="6"/>
  <c r="M2" i="6"/>
  <c r="X2" i="6"/>
  <c r="Y2" i="6"/>
  <c r="Z2" i="6"/>
  <c r="AA2" i="6"/>
  <c r="AB2" i="6"/>
  <c r="AC2" i="6"/>
  <c r="AD2" i="6"/>
  <c r="J2" i="6"/>
  <c r="L2" i="6"/>
  <c r="V2" i="6"/>
  <c r="S2" i="6"/>
  <c r="U2" i="6"/>
  <c r="C39" i="6"/>
  <c r="D39" i="6"/>
  <c r="E39" i="6"/>
  <c r="F39" i="6"/>
  <c r="G39" i="6"/>
  <c r="H39" i="6"/>
  <c r="I39" i="6"/>
  <c r="J39" i="6"/>
  <c r="K39" i="6"/>
  <c r="L39" i="6"/>
  <c r="M39" i="6"/>
  <c r="N39" i="6"/>
  <c r="O39" i="6"/>
  <c r="K3" i="6"/>
  <c r="M3" i="6"/>
  <c r="X3" i="6"/>
  <c r="Y3" i="6"/>
  <c r="Z3" i="6"/>
  <c r="AA3" i="6"/>
  <c r="AB3" i="6"/>
  <c r="AC3" i="6"/>
  <c r="AD3" i="6"/>
  <c r="J3" i="6"/>
  <c r="L3" i="6"/>
  <c r="V3" i="6"/>
  <c r="S3" i="6"/>
  <c r="U3" i="6"/>
  <c r="C40" i="6"/>
  <c r="D40" i="6"/>
  <c r="E40" i="6"/>
  <c r="F40" i="6"/>
  <c r="G40" i="6"/>
  <c r="H40" i="6"/>
  <c r="I40" i="6"/>
  <c r="J40" i="6"/>
  <c r="K40" i="6"/>
  <c r="L40" i="6"/>
  <c r="M40" i="6"/>
  <c r="N40" i="6"/>
  <c r="O40" i="6"/>
  <c r="C41" i="6"/>
  <c r="D41" i="6"/>
  <c r="E41" i="6"/>
  <c r="F41" i="6"/>
  <c r="G41" i="6"/>
  <c r="H41" i="6"/>
  <c r="I41" i="6"/>
  <c r="J41" i="6"/>
  <c r="K41" i="6"/>
  <c r="L41" i="6"/>
  <c r="M41" i="6"/>
  <c r="N41" i="6"/>
  <c r="O41" i="6"/>
  <c r="K5" i="6"/>
  <c r="M5" i="6"/>
  <c r="X5" i="6"/>
  <c r="Y5" i="6"/>
  <c r="Z5" i="6"/>
  <c r="AA5" i="6"/>
  <c r="AB5" i="6"/>
  <c r="AC5" i="6"/>
  <c r="AD5" i="6"/>
  <c r="J5" i="6"/>
  <c r="L5" i="6"/>
  <c r="S5" i="6"/>
  <c r="T5" i="6"/>
  <c r="C42" i="6"/>
  <c r="D42" i="6"/>
  <c r="E42" i="6"/>
  <c r="F42" i="6"/>
  <c r="G42" i="6"/>
  <c r="H42" i="6"/>
  <c r="I42" i="6"/>
  <c r="J42" i="6"/>
  <c r="K42" i="6"/>
  <c r="L42" i="6"/>
  <c r="M42" i="6"/>
  <c r="N42" i="6"/>
  <c r="O42" i="6"/>
  <c r="K6" i="6"/>
  <c r="M6" i="6"/>
  <c r="X6" i="6"/>
  <c r="Y6" i="6"/>
  <c r="Z6" i="6"/>
  <c r="AA6" i="6"/>
  <c r="AB6" i="6"/>
  <c r="AC6" i="6"/>
  <c r="AD6" i="6"/>
  <c r="J6" i="6"/>
  <c r="L6" i="6"/>
  <c r="R6" i="6"/>
  <c r="S6" i="6"/>
  <c r="Q6" i="6"/>
  <c r="C43" i="6"/>
  <c r="D43" i="6"/>
  <c r="E43" i="6"/>
  <c r="F43" i="6"/>
  <c r="G43" i="6"/>
  <c r="H43" i="6"/>
  <c r="I43" i="6"/>
  <c r="J43" i="6"/>
  <c r="K43" i="6"/>
  <c r="L43" i="6"/>
  <c r="M43" i="6"/>
  <c r="N43" i="6"/>
  <c r="O43" i="6"/>
  <c r="K7" i="6"/>
  <c r="M7" i="6"/>
  <c r="X7" i="6"/>
  <c r="Y7" i="6"/>
  <c r="Z7" i="6"/>
  <c r="AA7" i="6"/>
  <c r="AB7" i="6"/>
  <c r="AC7" i="6"/>
  <c r="AD7" i="6"/>
  <c r="J7" i="6"/>
  <c r="L7" i="6"/>
  <c r="S7" i="6"/>
  <c r="T7" i="6"/>
  <c r="C44" i="6"/>
  <c r="D44" i="6"/>
  <c r="E44" i="6"/>
  <c r="F44" i="6"/>
  <c r="G44" i="6"/>
  <c r="H44" i="6"/>
  <c r="I44" i="6"/>
  <c r="J44" i="6"/>
  <c r="K44" i="6"/>
  <c r="L44" i="6"/>
  <c r="M44" i="6"/>
  <c r="N44" i="6"/>
  <c r="O44" i="6"/>
  <c r="J8" i="6"/>
  <c r="L8" i="6"/>
  <c r="P8" i="6"/>
  <c r="Q8" i="6"/>
  <c r="R8" i="6"/>
  <c r="S8" i="6"/>
  <c r="T8" i="6"/>
  <c r="U8" i="6"/>
  <c r="V8" i="6"/>
  <c r="K8" i="6"/>
  <c r="M8" i="6"/>
  <c r="Z8" i="6"/>
  <c r="AA8" i="6"/>
  <c r="Y8" i="6"/>
  <c r="C45" i="6"/>
  <c r="D45" i="6"/>
  <c r="E45" i="6"/>
  <c r="F45" i="6"/>
  <c r="G45" i="6"/>
  <c r="H45" i="6"/>
  <c r="I45" i="6"/>
  <c r="J45" i="6"/>
  <c r="K45" i="6"/>
  <c r="L45" i="6"/>
  <c r="M45" i="6"/>
  <c r="N45" i="6"/>
  <c r="O45" i="6"/>
  <c r="J9" i="6"/>
  <c r="L9" i="6"/>
  <c r="P9" i="6"/>
  <c r="Q9" i="6"/>
  <c r="R9" i="6"/>
  <c r="S9" i="6"/>
  <c r="T9" i="6"/>
  <c r="U9" i="6"/>
  <c r="V9" i="6"/>
  <c r="K9" i="6"/>
  <c r="M9" i="6"/>
  <c r="Z9" i="6"/>
  <c r="AA9" i="6"/>
  <c r="Y9" i="6"/>
  <c r="C46" i="6"/>
  <c r="D46" i="6"/>
  <c r="E46" i="6"/>
  <c r="F46" i="6"/>
  <c r="G46" i="6"/>
  <c r="H46" i="6"/>
  <c r="I46" i="6"/>
  <c r="J46" i="6"/>
  <c r="K46" i="6"/>
  <c r="L46" i="6"/>
  <c r="M46" i="6"/>
  <c r="N46" i="6"/>
  <c r="O46" i="6"/>
  <c r="J10" i="6"/>
  <c r="L10" i="6"/>
  <c r="P10" i="6"/>
  <c r="Q10" i="6"/>
  <c r="R10" i="6"/>
  <c r="S10" i="6"/>
  <c r="T10" i="6"/>
  <c r="U10" i="6"/>
  <c r="V10" i="6"/>
  <c r="K10" i="6"/>
  <c r="M10" i="6"/>
  <c r="Y10" i="6"/>
  <c r="AA10" i="6"/>
  <c r="Z10" i="6"/>
  <c r="C47" i="6"/>
  <c r="D47" i="6"/>
  <c r="E47" i="6"/>
  <c r="F47" i="6"/>
  <c r="G47" i="6"/>
  <c r="H47" i="6"/>
  <c r="I47" i="6"/>
  <c r="J47" i="6"/>
  <c r="K47" i="6"/>
  <c r="L47" i="6"/>
  <c r="M47" i="6"/>
  <c r="N47" i="6"/>
  <c r="O47" i="6"/>
  <c r="J11" i="6"/>
  <c r="L11" i="6"/>
  <c r="P11" i="6"/>
  <c r="Q11" i="6"/>
  <c r="R11" i="6"/>
  <c r="S11" i="6"/>
  <c r="T11" i="6"/>
  <c r="U11" i="6"/>
  <c r="V11" i="6"/>
  <c r="K11" i="6"/>
  <c r="M11" i="6"/>
  <c r="Y11" i="6"/>
  <c r="AA11" i="6"/>
  <c r="Z11" i="6"/>
  <c r="C48" i="6"/>
  <c r="D48" i="6"/>
  <c r="E48" i="6"/>
  <c r="F48" i="6"/>
  <c r="G48" i="6"/>
  <c r="H48" i="6"/>
  <c r="I48" i="6"/>
  <c r="J48" i="6"/>
  <c r="K48" i="6"/>
  <c r="L48" i="6"/>
  <c r="M48" i="6"/>
  <c r="N48" i="6"/>
  <c r="O48" i="6"/>
  <c r="J12" i="6"/>
  <c r="L12" i="6"/>
  <c r="P12" i="6"/>
  <c r="Q12" i="6"/>
  <c r="R12" i="6"/>
  <c r="S12" i="6"/>
  <c r="T12" i="6"/>
  <c r="U12" i="6"/>
  <c r="V12" i="6"/>
  <c r="K12" i="6"/>
  <c r="M12" i="6"/>
  <c r="Y12" i="6"/>
  <c r="AA12" i="6"/>
  <c r="Z12" i="6"/>
  <c r="C49" i="6"/>
  <c r="D49" i="6"/>
  <c r="E49" i="6"/>
  <c r="F49" i="6"/>
  <c r="G49" i="6"/>
  <c r="H49" i="6"/>
  <c r="I49" i="6"/>
  <c r="J49" i="6"/>
  <c r="K49" i="6"/>
  <c r="L49" i="6"/>
  <c r="M49" i="6"/>
  <c r="N49" i="6"/>
  <c r="O49" i="6"/>
  <c r="J13" i="6"/>
  <c r="L13" i="6"/>
  <c r="P13" i="6"/>
  <c r="Q13" i="6"/>
  <c r="R13" i="6"/>
  <c r="S13" i="6"/>
  <c r="T13" i="6"/>
  <c r="U13" i="6"/>
  <c r="V13" i="6"/>
  <c r="K13" i="6"/>
  <c r="M13" i="6"/>
  <c r="Y13" i="6"/>
  <c r="AA13" i="6"/>
  <c r="Z13" i="6"/>
  <c r="C50" i="6"/>
  <c r="D50" i="6"/>
  <c r="E50" i="6"/>
  <c r="F50" i="6"/>
  <c r="G50" i="6"/>
  <c r="H50" i="6"/>
  <c r="I50" i="6"/>
  <c r="J50" i="6"/>
  <c r="K50" i="6"/>
  <c r="L50" i="6"/>
  <c r="M50" i="6"/>
  <c r="N50" i="6"/>
  <c r="O50" i="6"/>
  <c r="B53" i="6"/>
  <c r="C51" i="6"/>
  <c r="D51" i="6"/>
  <c r="E51" i="6"/>
  <c r="F51" i="6"/>
  <c r="G51" i="6"/>
  <c r="H51" i="6"/>
  <c r="I51" i="6"/>
  <c r="J51" i="6"/>
  <c r="K51" i="6"/>
  <c r="L51" i="6"/>
  <c r="M51" i="6"/>
  <c r="N51" i="6"/>
  <c r="O51" i="6"/>
  <c r="P51" i="6"/>
  <c r="AD45" i="6" a="1"/>
  <c r="AD45" i="6"/>
  <c r="AJ44" i="6"/>
  <c r="P2" i="6"/>
  <c r="Q2" i="6"/>
  <c r="R2" i="6"/>
  <c r="T2" i="6"/>
  <c r="W42" i="6"/>
  <c r="N13" i="6"/>
  <c r="AS13" i="6"/>
  <c r="AT13" i="6"/>
  <c r="AU13" i="6"/>
  <c r="AV13" i="6"/>
  <c r="AW13" i="6"/>
  <c r="AX13" i="6"/>
  <c r="AY13" i="6"/>
  <c r="AZ13" i="6"/>
  <c r="BA13" i="6"/>
  <c r="BB13" i="6"/>
  <c r="AD13" i="6"/>
  <c r="AC13" i="6"/>
  <c r="AB13" i="6"/>
  <c r="X13" i="6"/>
  <c r="N12" i="6"/>
  <c r="AS12" i="6"/>
  <c r="AT12" i="6"/>
  <c r="AU12" i="6"/>
  <c r="AV12" i="6"/>
  <c r="AW12" i="6"/>
  <c r="AX12" i="6"/>
  <c r="AY12" i="6"/>
  <c r="AZ12" i="6"/>
  <c r="BA12" i="6"/>
  <c r="BB12" i="6"/>
  <c r="AD12" i="6"/>
  <c r="AC12" i="6"/>
  <c r="AB12" i="6"/>
  <c r="X12" i="6"/>
  <c r="N11" i="6"/>
  <c r="AS11" i="6"/>
  <c r="AT11" i="6"/>
  <c r="AU11" i="6"/>
  <c r="AV11" i="6"/>
  <c r="AW11" i="6"/>
  <c r="AX11" i="6"/>
  <c r="AY11" i="6"/>
  <c r="BC11" i="6"/>
  <c r="AZ11" i="6"/>
  <c r="BA11" i="6"/>
  <c r="BB11" i="6"/>
  <c r="AD11" i="6"/>
  <c r="AC11" i="6"/>
  <c r="AB11" i="6"/>
  <c r="X11" i="6"/>
  <c r="N10" i="6"/>
  <c r="AS10" i="6"/>
  <c r="AT10" i="6"/>
  <c r="AU10" i="6"/>
  <c r="AV10" i="6"/>
  <c r="AW10" i="6"/>
  <c r="AX10" i="6"/>
  <c r="AY10" i="6"/>
  <c r="BC10" i="6"/>
  <c r="AZ10" i="6"/>
  <c r="BA10" i="6"/>
  <c r="BB10" i="6"/>
  <c r="AD10" i="6"/>
  <c r="AC10" i="6"/>
  <c r="AB10" i="6"/>
  <c r="X10" i="6"/>
  <c r="N9" i="6"/>
  <c r="BC9" i="6"/>
  <c r="BA9" i="6"/>
  <c r="BB9" i="6"/>
  <c r="AD9" i="6"/>
  <c r="AC9" i="6"/>
  <c r="AB9" i="6"/>
  <c r="X9" i="6"/>
  <c r="N8" i="6"/>
  <c r="BA8" i="6"/>
  <c r="BB8" i="6"/>
  <c r="BC8" i="6"/>
  <c r="AD8" i="6"/>
  <c r="AC8" i="6"/>
  <c r="AB8" i="6"/>
  <c r="X8" i="6"/>
  <c r="N7" i="6"/>
  <c r="BA7" i="6"/>
  <c r="BB7" i="6"/>
  <c r="BC7" i="6"/>
  <c r="V7" i="6"/>
  <c r="U7" i="6"/>
  <c r="R7" i="6"/>
  <c r="Q7" i="6"/>
  <c r="P7" i="6"/>
  <c r="N6" i="6"/>
  <c r="BA6" i="6"/>
  <c r="BB6" i="6"/>
  <c r="BC6" i="6"/>
  <c r="V6" i="6"/>
  <c r="U6" i="6"/>
  <c r="T6" i="6"/>
  <c r="P6" i="6"/>
  <c r="N5" i="6"/>
  <c r="BA5" i="6"/>
  <c r="BB5" i="6"/>
  <c r="BC5" i="6"/>
  <c r="V5" i="6"/>
  <c r="U5" i="6"/>
  <c r="R5" i="6"/>
  <c r="Q5" i="6"/>
  <c r="P5" i="6"/>
  <c r="N4" i="6"/>
  <c r="BA4" i="6"/>
  <c r="BB4" i="6"/>
  <c r="BC4" i="6"/>
  <c r="V4" i="6"/>
  <c r="U4" i="6"/>
  <c r="R4" i="6"/>
  <c r="Q4" i="6"/>
  <c r="P4" i="6"/>
  <c r="N3" i="6"/>
  <c r="BB3" i="6"/>
  <c r="BC3" i="6"/>
  <c r="T3" i="6"/>
  <c r="R3" i="6"/>
  <c r="Q3" i="6"/>
  <c r="P3" i="6"/>
  <c r="N2" i="6"/>
  <c r="BB2" i="6"/>
  <c r="BC2" i="6"/>
  <c r="BD2" i="6"/>
  <c r="BE2" i="6"/>
  <c r="O2" i="6"/>
  <c r="U7" i="5"/>
  <c r="AC8" i="5"/>
  <c r="X8" i="5"/>
  <c r="AB8" i="5"/>
  <c r="AD8" i="5"/>
  <c r="AC9" i="5"/>
  <c r="AB9" i="5"/>
  <c r="AD9" i="5"/>
  <c r="AB10" i="5"/>
  <c r="AC10" i="5"/>
  <c r="AD10" i="5"/>
  <c r="AB11" i="5"/>
  <c r="AC11" i="5"/>
  <c r="AD11" i="5"/>
  <c r="AB12" i="5"/>
  <c r="AC12" i="5"/>
  <c r="AD12" i="5"/>
  <c r="AB13" i="5"/>
  <c r="AC13" i="5"/>
  <c r="AD13" i="5"/>
  <c r="P51" i="5"/>
  <c r="BN5" i="5"/>
  <c r="P7" i="5"/>
  <c r="G9" i="4"/>
  <c r="G16" i="4"/>
  <c r="G15" i="4"/>
  <c r="G14" i="4"/>
  <c r="G13" i="4"/>
  <c r="G12" i="4"/>
  <c r="G11" i="4"/>
  <c r="G10" i="4"/>
  <c r="G8" i="4"/>
  <c r="G7" i="4"/>
  <c r="G6" i="4"/>
  <c r="G5" i="4"/>
  <c r="F16" i="4"/>
  <c r="F15" i="4"/>
  <c r="F14" i="4"/>
  <c r="F13" i="4"/>
  <c r="F12" i="4"/>
  <c r="F11" i="4"/>
  <c r="F10" i="4"/>
  <c r="F9" i="4"/>
  <c r="F8" i="4"/>
  <c r="F7" i="4"/>
  <c r="F6" i="4"/>
  <c r="F5" i="4"/>
  <c r="BB13" i="4"/>
  <c r="BM6" i="4"/>
  <c r="BN6" i="4"/>
  <c r="BO6" i="4"/>
  <c r="BP6" i="4"/>
  <c r="BQ6" i="4"/>
  <c r="BM7" i="4"/>
  <c r="BN7" i="4"/>
  <c r="BO7" i="4"/>
  <c r="BP7" i="4"/>
  <c r="BQ7" i="4"/>
  <c r="BM8" i="4"/>
  <c r="BN8" i="4"/>
  <c r="BO8" i="4"/>
  <c r="BP8" i="4"/>
  <c r="BQ8" i="4"/>
  <c r="BM9" i="4"/>
  <c r="BN9" i="4"/>
  <c r="BO9" i="4"/>
  <c r="BP9" i="4"/>
  <c r="BQ9" i="4"/>
  <c r="BM10" i="4"/>
  <c r="BN10" i="4"/>
  <c r="BO10" i="4"/>
  <c r="BP10" i="4"/>
  <c r="BQ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M14" i="4"/>
  <c r="BN14" i="4"/>
  <c r="BO14" i="4"/>
  <c r="BP14" i="4"/>
  <c r="BQ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A6" i="4"/>
  <c r="BB6" i="4"/>
  <c r="BC6" i="4"/>
  <c r="BD6" i="4"/>
  <c r="BE6" i="4"/>
  <c r="BF6" i="4"/>
  <c r="BG6" i="4"/>
  <c r="BH6" i="4"/>
  <c r="BI6" i="4"/>
  <c r="BJ6" i="4"/>
  <c r="BK6" i="4"/>
  <c r="BL6" i="4"/>
  <c r="BA7" i="4"/>
  <c r="BB7" i="4"/>
  <c r="BC7" i="4"/>
  <c r="BD7" i="4"/>
  <c r="BE7" i="4"/>
  <c r="BF7" i="4"/>
  <c r="BG7" i="4"/>
  <c r="BH7" i="4"/>
  <c r="BI7" i="4"/>
  <c r="BJ7" i="4"/>
  <c r="BK7" i="4"/>
  <c r="BL7" i="4"/>
  <c r="BA8" i="4"/>
  <c r="BB8" i="4"/>
  <c r="BC8" i="4"/>
  <c r="BD8" i="4"/>
  <c r="BE8" i="4"/>
  <c r="BF8" i="4"/>
  <c r="BG8" i="4"/>
  <c r="BH8" i="4"/>
  <c r="BI8" i="4"/>
  <c r="BJ8" i="4"/>
  <c r="BK8" i="4"/>
  <c r="BL8" i="4"/>
  <c r="BA9" i="4"/>
  <c r="BB9" i="4"/>
  <c r="BC9" i="4"/>
  <c r="BD9" i="4"/>
  <c r="BE9" i="4"/>
  <c r="BF9" i="4"/>
  <c r="BG9" i="4"/>
  <c r="BH9" i="4"/>
  <c r="BI9" i="4"/>
  <c r="BJ9" i="4"/>
  <c r="BK9" i="4"/>
  <c r="BL9" i="4"/>
  <c r="BA10" i="4"/>
  <c r="BB10" i="4"/>
  <c r="BC10" i="4"/>
  <c r="BD10" i="4"/>
  <c r="BE10" i="4"/>
  <c r="BF10" i="4"/>
  <c r="BG10" i="4"/>
  <c r="BH10" i="4"/>
  <c r="BI10" i="4"/>
  <c r="BJ10" i="4"/>
  <c r="BK10" i="4"/>
  <c r="BL10" i="4"/>
  <c r="BA11" i="4"/>
  <c r="BB11" i="4"/>
  <c r="BC11" i="4"/>
  <c r="BD11" i="4"/>
  <c r="BE11" i="4"/>
  <c r="BF11" i="4"/>
  <c r="BG11" i="4"/>
  <c r="BH11" i="4"/>
  <c r="BI11" i="4"/>
  <c r="BJ11" i="4"/>
  <c r="BK11" i="4"/>
  <c r="BL11" i="4"/>
  <c r="BA12" i="4"/>
  <c r="BB12" i="4"/>
  <c r="BC12" i="4"/>
  <c r="BD12" i="4"/>
  <c r="BE12" i="4"/>
  <c r="BF12" i="4"/>
  <c r="BG12" i="4"/>
  <c r="BH12" i="4"/>
  <c r="BI12" i="4"/>
  <c r="BJ12" i="4"/>
  <c r="BK12" i="4"/>
  <c r="BL12" i="4"/>
  <c r="BA13" i="4"/>
  <c r="BC13" i="4"/>
  <c r="BD13" i="4"/>
  <c r="BE13" i="4"/>
  <c r="BF13" i="4"/>
  <c r="BG13" i="4"/>
  <c r="BH13" i="4"/>
  <c r="BI13" i="4"/>
  <c r="BJ13" i="4"/>
  <c r="BK13" i="4"/>
  <c r="BL13" i="4"/>
  <c r="BA14" i="4"/>
  <c r="BB14" i="4"/>
  <c r="BC14" i="4"/>
  <c r="BD14" i="4"/>
  <c r="BE14" i="4"/>
  <c r="BF14" i="4"/>
  <c r="BG14" i="4"/>
  <c r="BH14" i="4"/>
  <c r="BI14" i="4"/>
  <c r="BJ14" i="4"/>
  <c r="BK14" i="4"/>
  <c r="BL14" i="4"/>
  <c r="BA15" i="4"/>
  <c r="BB15" i="4"/>
  <c r="BC15" i="4"/>
  <c r="BD15" i="4"/>
  <c r="BE15" i="4"/>
  <c r="BF15" i="4"/>
  <c r="BG15" i="4"/>
  <c r="BH15" i="4"/>
  <c r="BI15" i="4"/>
  <c r="BJ15" i="4"/>
  <c r="BK15" i="4"/>
  <c r="BL15" i="4"/>
  <c r="BA16" i="4"/>
  <c r="BB16" i="4"/>
  <c r="BC16" i="4"/>
  <c r="BD16" i="4"/>
  <c r="BE16" i="4"/>
  <c r="BF16" i="4"/>
  <c r="BG16" i="4"/>
  <c r="BH16" i="4"/>
  <c r="BI16" i="4"/>
  <c r="BJ16" i="4"/>
  <c r="BK16" i="4"/>
  <c r="BL16" i="4"/>
  <c r="BA17" i="4"/>
  <c r="BB17" i="4"/>
  <c r="BC17" i="4"/>
  <c r="BD17" i="4"/>
  <c r="BE17" i="4"/>
  <c r="BF17" i="4"/>
  <c r="BG17" i="4"/>
  <c r="BH17" i="4"/>
  <c r="BI17" i="4"/>
  <c r="BJ17" i="4"/>
  <c r="BK17" i="4"/>
  <c r="BL17" i="4"/>
  <c r="AZ7" i="4"/>
  <c r="AZ8" i="4"/>
  <c r="AZ9" i="4"/>
  <c r="AZ10" i="4"/>
  <c r="AZ11" i="4"/>
  <c r="AZ12" i="4"/>
  <c r="AZ13" i="4"/>
  <c r="AZ14" i="4"/>
  <c r="AZ15" i="4"/>
  <c r="AZ16" i="4"/>
  <c r="AZ17" i="4"/>
  <c r="AZ6" i="4"/>
  <c r="AJ18" i="4"/>
  <c r="AJ19" i="4"/>
  <c r="AJ20" i="4"/>
  <c r="AJ21" i="4"/>
  <c r="AJ22" i="4"/>
  <c r="AJ23" i="4"/>
  <c r="AJ24" i="4"/>
  <c r="BB2" i="5"/>
  <c r="BC2" i="5"/>
  <c r="BD2" i="5"/>
  <c r="BE2" i="5"/>
  <c r="BB3" i="5"/>
  <c r="BC3" i="5"/>
  <c r="BB4" i="5"/>
  <c r="BC4" i="5"/>
  <c r="BB5" i="5"/>
  <c r="BC5" i="5"/>
  <c r="BB6" i="5"/>
  <c r="BC6" i="5"/>
  <c r="BB7" i="5"/>
  <c r="BC7" i="5"/>
  <c r="BB8" i="5"/>
  <c r="BC8" i="5"/>
  <c r="BC9" i="5"/>
  <c r="BC10" i="5"/>
  <c r="BC11" i="5"/>
  <c r="BB13" i="5"/>
  <c r="BB12" i="5"/>
  <c r="BB11" i="5"/>
  <c r="BB10" i="5"/>
  <c r="BA9" i="5"/>
  <c r="BB9" i="5"/>
  <c r="P5" i="5"/>
  <c r="P6" i="5"/>
  <c r="R2" i="5"/>
  <c r="Q2" i="5"/>
  <c r="AJ44" i="5"/>
  <c r="P2" i="5"/>
  <c r="P3" i="5"/>
  <c r="N3" i="5"/>
  <c r="BQ3" i="5"/>
  <c r="N4" i="5"/>
  <c r="BQ4" i="5"/>
  <c r="N5" i="5"/>
  <c r="BQ5" i="5"/>
  <c r="N6" i="5"/>
  <c r="BQ6" i="5"/>
  <c r="N7" i="5"/>
  <c r="BQ7" i="5"/>
  <c r="N8" i="5"/>
  <c r="BQ8" i="5"/>
  <c r="N9" i="5"/>
  <c r="BQ9" i="5"/>
  <c r="N10" i="5"/>
  <c r="BQ10" i="5"/>
  <c r="N11" i="5"/>
  <c r="BQ11" i="5"/>
  <c r="N12" i="5"/>
  <c r="BQ12" i="5"/>
  <c r="N13" i="5"/>
  <c r="BQ13" i="5"/>
  <c r="N2" i="5"/>
  <c r="BQ2" i="5"/>
  <c r="O2" i="5"/>
  <c r="P4" i="5"/>
  <c r="V4" i="5"/>
  <c r="V5" i="5"/>
  <c r="V6" i="5"/>
  <c r="V7" i="5"/>
  <c r="U6" i="5"/>
  <c r="U5" i="5"/>
  <c r="U4" i="5"/>
  <c r="T6" i="5"/>
  <c r="BR3" i="5"/>
  <c r="BS3" i="5"/>
  <c r="BR4" i="5"/>
  <c r="BS4" i="5"/>
  <c r="BR5" i="5"/>
  <c r="BS5" i="5"/>
  <c r="BR6" i="5"/>
  <c r="BS6" i="5"/>
  <c r="BR7" i="5"/>
  <c r="BS7" i="5"/>
  <c r="BR8" i="5"/>
  <c r="BS8" i="5"/>
  <c r="BR9" i="5"/>
  <c r="BS9" i="5"/>
  <c r="BR10" i="5"/>
  <c r="BS10" i="5"/>
  <c r="BR11" i="5"/>
  <c r="BS11" i="5"/>
  <c r="BR12" i="5"/>
  <c r="BS12" i="5"/>
  <c r="BR13" i="5"/>
  <c r="BS13" i="5"/>
  <c r="BR2" i="5"/>
  <c r="BS2" i="5"/>
  <c r="M24" i="1"/>
  <c r="M52" i="2"/>
  <c r="T33" i="4"/>
  <c r="T34" i="4"/>
  <c r="T35" i="4"/>
  <c r="AK32" i="4"/>
  <c r="H33" i="4"/>
  <c r="H34" i="4"/>
  <c r="H35" i="4"/>
  <c r="Y32" i="4"/>
  <c r="AL32" i="4"/>
  <c r="T36" i="4"/>
  <c r="T37" i="4"/>
  <c r="T38" i="4"/>
  <c r="T39" i="4"/>
  <c r="T40" i="4"/>
  <c r="T41" i="4"/>
  <c r="T42" i="4"/>
  <c r="AK33" i="4"/>
  <c r="H36" i="4"/>
  <c r="H37" i="4"/>
  <c r="H38" i="4"/>
  <c r="H39" i="4"/>
  <c r="H40" i="4"/>
  <c r="H41" i="4"/>
  <c r="H42" i="4"/>
  <c r="Y33" i="4"/>
  <c r="AL33" i="4"/>
  <c r="T31" i="4"/>
  <c r="T32" i="4"/>
  <c r="AK31" i="4"/>
  <c r="H31" i="4"/>
  <c r="H32" i="4"/>
  <c r="Y31" i="4"/>
  <c r="AL31" i="4"/>
  <c r="V52" i="2"/>
  <c r="H19" i="4"/>
  <c r="T19" i="4"/>
  <c r="U19" i="4"/>
  <c r="H21" i="4"/>
  <c r="T21" i="4"/>
  <c r="U21" i="4"/>
  <c r="H20" i="4"/>
  <c r="T20" i="4"/>
  <c r="U20" i="4"/>
  <c r="I31" i="4"/>
  <c r="I32" i="4"/>
  <c r="Z31" i="4"/>
  <c r="V5" i="4"/>
  <c r="AO31" i="4"/>
  <c r="AO37" i="4"/>
  <c r="J31" i="4"/>
  <c r="J32" i="4"/>
  <c r="AA31" i="4"/>
  <c r="AP31" i="4"/>
  <c r="AP37" i="4"/>
  <c r="K31" i="4"/>
  <c r="K32" i="4"/>
  <c r="AB31" i="4"/>
  <c r="AQ31" i="4"/>
  <c r="AQ37" i="4"/>
  <c r="L31" i="4"/>
  <c r="L32" i="4"/>
  <c r="AC31" i="4"/>
  <c r="AR31" i="4"/>
  <c r="AR37" i="4"/>
  <c r="M31" i="4"/>
  <c r="M32" i="4"/>
  <c r="AD31" i="4"/>
  <c r="AS31" i="4"/>
  <c r="AS37" i="4"/>
  <c r="N31" i="4"/>
  <c r="N32" i="4"/>
  <c r="AE31" i="4"/>
  <c r="AT31" i="4"/>
  <c r="AT37" i="4"/>
  <c r="I33" i="4"/>
  <c r="I34" i="4"/>
  <c r="I35" i="4"/>
  <c r="Z32" i="4"/>
  <c r="V7" i="4"/>
  <c r="AO32" i="4"/>
  <c r="AO38" i="4"/>
  <c r="J33" i="4"/>
  <c r="J34" i="4"/>
  <c r="J35" i="4"/>
  <c r="AA32" i="4"/>
  <c r="AP32" i="4"/>
  <c r="AP38" i="4"/>
  <c r="K33" i="4"/>
  <c r="K34" i="4"/>
  <c r="K35" i="4"/>
  <c r="AB32" i="4"/>
  <c r="AQ32" i="4"/>
  <c r="AQ38" i="4"/>
  <c r="L33" i="4"/>
  <c r="L34" i="4"/>
  <c r="L35" i="4"/>
  <c r="AC32" i="4"/>
  <c r="AR32" i="4"/>
  <c r="AR38" i="4"/>
  <c r="M33" i="4"/>
  <c r="M34" i="4"/>
  <c r="M35" i="4"/>
  <c r="AD32" i="4"/>
  <c r="AS32" i="4"/>
  <c r="AS38" i="4"/>
  <c r="N33" i="4"/>
  <c r="N34" i="4"/>
  <c r="N35" i="4"/>
  <c r="AE32" i="4"/>
  <c r="AT32" i="4"/>
  <c r="AT38" i="4"/>
  <c r="O33" i="4"/>
  <c r="O34" i="4"/>
  <c r="O35" i="4"/>
  <c r="AF32" i="4"/>
  <c r="AU32" i="4"/>
  <c r="AU38" i="4"/>
  <c r="P33" i="4"/>
  <c r="P34" i="4"/>
  <c r="P35" i="4"/>
  <c r="AG32" i="4"/>
  <c r="AV32" i="4"/>
  <c r="AV38" i="4"/>
  <c r="I36" i="4"/>
  <c r="I37" i="4"/>
  <c r="I38" i="4"/>
  <c r="I39" i="4"/>
  <c r="I40" i="4"/>
  <c r="I41" i="4"/>
  <c r="I42" i="4"/>
  <c r="Z33" i="4"/>
  <c r="V10" i="4"/>
  <c r="AO33" i="4"/>
  <c r="AO39" i="4"/>
  <c r="J36" i="4"/>
  <c r="J37" i="4"/>
  <c r="J38" i="4"/>
  <c r="J39" i="4"/>
  <c r="J40" i="4"/>
  <c r="J41" i="4"/>
  <c r="J42" i="4"/>
  <c r="AA33" i="4"/>
  <c r="AP33" i="4"/>
  <c r="AP39" i="4"/>
  <c r="K36" i="4"/>
  <c r="K37" i="4"/>
  <c r="K38" i="4"/>
  <c r="K39" i="4"/>
  <c r="K40" i="4"/>
  <c r="K41" i="4"/>
  <c r="K42" i="4"/>
  <c r="AB33" i="4"/>
  <c r="AQ33" i="4"/>
  <c r="AQ39" i="4"/>
  <c r="L36" i="4"/>
  <c r="L37" i="4"/>
  <c r="L38" i="4"/>
  <c r="L39" i="4"/>
  <c r="L40" i="4"/>
  <c r="L41" i="4"/>
  <c r="L42" i="4"/>
  <c r="AC33" i="4"/>
  <c r="AR33" i="4"/>
  <c r="AR39" i="4"/>
  <c r="M36" i="4"/>
  <c r="M37" i="4"/>
  <c r="M38" i="4"/>
  <c r="M39" i="4"/>
  <c r="M40" i="4"/>
  <c r="M41" i="4"/>
  <c r="M42" i="4"/>
  <c r="AD33" i="4"/>
  <c r="AS33" i="4"/>
  <c r="AS39" i="4"/>
  <c r="N36" i="4"/>
  <c r="N37" i="4"/>
  <c r="N38" i="4"/>
  <c r="N39" i="4"/>
  <c r="N40" i="4"/>
  <c r="N41" i="4"/>
  <c r="N42" i="4"/>
  <c r="AE33" i="4"/>
  <c r="AT33" i="4"/>
  <c r="AT39" i="4"/>
  <c r="O36" i="4"/>
  <c r="O37" i="4"/>
  <c r="O38" i="4"/>
  <c r="O39" i="4"/>
  <c r="O40" i="4"/>
  <c r="O41" i="4"/>
  <c r="O42" i="4"/>
  <c r="AF33" i="4"/>
  <c r="AU33" i="4"/>
  <c r="AU39" i="4"/>
  <c r="P36" i="4"/>
  <c r="P37" i="4"/>
  <c r="P38" i="4"/>
  <c r="P39" i="4"/>
  <c r="P40" i="4"/>
  <c r="P41" i="4"/>
  <c r="P42" i="4"/>
  <c r="AG33" i="4"/>
  <c r="AV33" i="4"/>
  <c r="AV39" i="4"/>
  <c r="Q36" i="4"/>
  <c r="Q37" i="4"/>
  <c r="Q38" i="4"/>
  <c r="Q39" i="4"/>
  <c r="Q40" i="4"/>
  <c r="Q41" i="4"/>
  <c r="Q42" i="4"/>
  <c r="AH33" i="4"/>
  <c r="R36" i="4"/>
  <c r="R37" i="4"/>
  <c r="R38" i="4"/>
  <c r="R39" i="4"/>
  <c r="R40" i="4"/>
  <c r="R41" i="4"/>
  <c r="R42" i="4"/>
  <c r="AI33" i="4"/>
  <c r="AW33" i="4"/>
  <c r="AW39" i="4"/>
  <c r="S36" i="4"/>
  <c r="S37" i="4"/>
  <c r="S38" i="4"/>
  <c r="S39" i="4"/>
  <c r="S40" i="4"/>
  <c r="S41" i="4"/>
  <c r="S42" i="4"/>
  <c r="AJ33" i="4"/>
  <c r="AX33" i="4"/>
  <c r="AX39" i="4"/>
  <c r="AY33" i="4"/>
  <c r="AY39" i="4"/>
  <c r="AN33" i="4"/>
  <c r="AN39" i="4"/>
  <c r="AN32" i="4"/>
  <c r="AN38" i="4"/>
  <c r="AN31" i="4"/>
  <c r="AN37" i="4"/>
  <c r="O31" i="4"/>
  <c r="O32" i="4"/>
  <c r="AF31" i="4"/>
  <c r="AU31" i="4"/>
  <c r="P31" i="4"/>
  <c r="P32" i="4"/>
  <c r="AG31" i="4"/>
  <c r="AV31" i="4"/>
  <c r="Q31" i="4"/>
  <c r="Q32" i="4"/>
  <c r="AH31" i="4"/>
  <c r="R31" i="4"/>
  <c r="R32" i="4"/>
  <c r="AI31" i="4"/>
  <c r="AW31" i="4"/>
  <c r="S31" i="4"/>
  <c r="S32" i="4"/>
  <c r="AJ31" i="4"/>
  <c r="AX31" i="4"/>
  <c r="AY31" i="4"/>
  <c r="Q33" i="4"/>
  <c r="Q34" i="4"/>
  <c r="Q35" i="4"/>
  <c r="AH32" i="4"/>
  <c r="R33" i="4"/>
  <c r="R34" i="4"/>
  <c r="R35" i="4"/>
  <c r="AI32" i="4"/>
  <c r="AW32" i="4"/>
  <c r="S33" i="4"/>
  <c r="S34" i="4"/>
  <c r="S35" i="4"/>
  <c r="AJ32" i="4"/>
  <c r="AX32" i="4"/>
  <c r="AY32" i="4"/>
  <c r="I19" i="4"/>
  <c r="J19" i="4"/>
  <c r="K19" i="4"/>
  <c r="L19" i="4"/>
  <c r="M19" i="4"/>
  <c r="N19" i="4"/>
  <c r="O19" i="4"/>
  <c r="P19" i="4"/>
  <c r="Q19" i="4"/>
  <c r="R19" i="4"/>
  <c r="S19" i="4"/>
  <c r="I20" i="4"/>
  <c r="J20" i="4"/>
  <c r="K20" i="4"/>
  <c r="L20" i="4"/>
  <c r="M20" i="4"/>
  <c r="N20" i="4"/>
  <c r="O20" i="4"/>
  <c r="P20" i="4"/>
  <c r="Q20" i="4"/>
  <c r="R20" i="4"/>
  <c r="S20" i="4"/>
  <c r="I21" i="4"/>
  <c r="J21" i="4"/>
  <c r="K21" i="4"/>
  <c r="L21" i="4"/>
  <c r="M21" i="4"/>
  <c r="N21" i="4"/>
  <c r="O21" i="4"/>
  <c r="P21" i="4"/>
  <c r="Q21" i="4"/>
  <c r="R21" i="4"/>
  <c r="S21" i="4"/>
  <c r="H105" i="4"/>
  <c r="I105" i="4"/>
  <c r="J105" i="4"/>
  <c r="K105" i="4"/>
  <c r="L105" i="4"/>
  <c r="M105" i="4"/>
  <c r="N105" i="4"/>
  <c r="O105" i="4"/>
  <c r="P105" i="4"/>
  <c r="Q105" i="4"/>
  <c r="R105" i="4"/>
  <c r="S105" i="4"/>
  <c r="H106" i="4"/>
  <c r="I106" i="4"/>
  <c r="J106" i="4"/>
  <c r="K106" i="4"/>
  <c r="L106" i="4"/>
  <c r="M106" i="4"/>
  <c r="N106" i="4"/>
  <c r="O106" i="4"/>
  <c r="P106" i="4"/>
  <c r="Q106" i="4"/>
  <c r="R106" i="4"/>
  <c r="S106" i="4"/>
  <c r="H107" i="4"/>
  <c r="I107" i="4"/>
  <c r="J107" i="4"/>
  <c r="K107" i="4"/>
  <c r="L107" i="4"/>
  <c r="M107" i="4"/>
  <c r="N107" i="4"/>
  <c r="O107" i="4"/>
  <c r="P107" i="4"/>
  <c r="Q107" i="4"/>
  <c r="R107" i="4"/>
  <c r="S107" i="4"/>
  <c r="G107" i="4"/>
  <c r="G106" i="4"/>
  <c r="G105" i="4"/>
  <c r="I48" i="4"/>
  <c r="I61" i="4"/>
  <c r="Y3" i="4"/>
  <c r="Y7" i="4"/>
  <c r="I74" i="4"/>
  <c r="J48" i="4"/>
  <c r="J61" i="4"/>
  <c r="J74" i="4"/>
  <c r="K48" i="4"/>
  <c r="K61" i="4"/>
  <c r="K74" i="4"/>
  <c r="L48" i="4"/>
  <c r="L61" i="4"/>
  <c r="L74" i="4"/>
  <c r="M48" i="4"/>
  <c r="M61" i="4"/>
  <c r="M74" i="4"/>
  <c r="N48" i="4"/>
  <c r="N61" i="4"/>
  <c r="N74" i="4"/>
  <c r="O48" i="4"/>
  <c r="O61" i="4"/>
  <c r="O74" i="4"/>
  <c r="P48" i="4"/>
  <c r="P61" i="4"/>
  <c r="P74" i="4"/>
  <c r="Q48" i="4"/>
  <c r="Q61" i="4"/>
  <c r="Q74" i="4"/>
  <c r="R48" i="4"/>
  <c r="R61" i="4"/>
  <c r="R74" i="4"/>
  <c r="S48" i="4"/>
  <c r="S61" i="4"/>
  <c r="S74" i="4"/>
  <c r="T48" i="4"/>
  <c r="T61" i="4"/>
  <c r="T74" i="4"/>
  <c r="I49" i="4"/>
  <c r="I62" i="4"/>
  <c r="Y8" i="4"/>
  <c r="I75" i="4"/>
  <c r="J49" i="4"/>
  <c r="J62" i="4"/>
  <c r="J75" i="4"/>
  <c r="K49" i="4"/>
  <c r="K62" i="4"/>
  <c r="K75" i="4"/>
  <c r="L49" i="4"/>
  <c r="L62" i="4"/>
  <c r="L75" i="4"/>
  <c r="M49" i="4"/>
  <c r="M62" i="4"/>
  <c r="M75" i="4"/>
  <c r="N49" i="4"/>
  <c r="N62" i="4"/>
  <c r="N75" i="4"/>
  <c r="O49" i="4"/>
  <c r="O62" i="4"/>
  <c r="O75" i="4"/>
  <c r="P49" i="4"/>
  <c r="P62" i="4"/>
  <c r="P75" i="4"/>
  <c r="Q49" i="4"/>
  <c r="Q62" i="4"/>
  <c r="Q75" i="4"/>
  <c r="R49" i="4"/>
  <c r="R62" i="4"/>
  <c r="R75" i="4"/>
  <c r="S49" i="4"/>
  <c r="S62" i="4"/>
  <c r="S75" i="4"/>
  <c r="T49" i="4"/>
  <c r="T62" i="4"/>
  <c r="T75" i="4"/>
  <c r="I50" i="4"/>
  <c r="I63" i="4"/>
  <c r="Y9" i="4"/>
  <c r="I76" i="4"/>
  <c r="J50" i="4"/>
  <c r="J63" i="4"/>
  <c r="J76" i="4"/>
  <c r="K50" i="4"/>
  <c r="K63" i="4"/>
  <c r="K76" i="4"/>
  <c r="L50" i="4"/>
  <c r="L63" i="4"/>
  <c r="L76" i="4"/>
  <c r="M50" i="4"/>
  <c r="M63" i="4"/>
  <c r="M76" i="4"/>
  <c r="N50" i="4"/>
  <c r="N63" i="4"/>
  <c r="N76" i="4"/>
  <c r="O50" i="4"/>
  <c r="O63" i="4"/>
  <c r="O76" i="4"/>
  <c r="P50" i="4"/>
  <c r="P63" i="4"/>
  <c r="P76" i="4"/>
  <c r="Q50" i="4"/>
  <c r="Q63" i="4"/>
  <c r="Q76" i="4"/>
  <c r="R50" i="4"/>
  <c r="R63" i="4"/>
  <c r="R76" i="4"/>
  <c r="S50" i="4"/>
  <c r="S63" i="4"/>
  <c r="S76" i="4"/>
  <c r="T50" i="4"/>
  <c r="T63" i="4"/>
  <c r="T76" i="4"/>
  <c r="I51" i="4"/>
  <c r="I64" i="4"/>
  <c r="Y10" i="4"/>
  <c r="I77" i="4"/>
  <c r="J51" i="4"/>
  <c r="J64" i="4"/>
  <c r="J77" i="4"/>
  <c r="K51" i="4"/>
  <c r="K64" i="4"/>
  <c r="K77" i="4"/>
  <c r="L51" i="4"/>
  <c r="L64" i="4"/>
  <c r="L77" i="4"/>
  <c r="M51" i="4"/>
  <c r="M64" i="4"/>
  <c r="M77" i="4"/>
  <c r="N51" i="4"/>
  <c r="N64" i="4"/>
  <c r="N77" i="4"/>
  <c r="O51" i="4"/>
  <c r="O64" i="4"/>
  <c r="O77" i="4"/>
  <c r="P51" i="4"/>
  <c r="P64" i="4"/>
  <c r="P77" i="4"/>
  <c r="Q51" i="4"/>
  <c r="Q64" i="4"/>
  <c r="Q77" i="4"/>
  <c r="R51" i="4"/>
  <c r="R64" i="4"/>
  <c r="R77" i="4"/>
  <c r="S51" i="4"/>
  <c r="S64" i="4"/>
  <c r="S77" i="4"/>
  <c r="T51" i="4"/>
  <c r="T64" i="4"/>
  <c r="T77" i="4"/>
  <c r="I52" i="4"/>
  <c r="I65" i="4"/>
  <c r="Y11" i="4"/>
  <c r="I78" i="4"/>
  <c r="J52" i="4"/>
  <c r="J65" i="4"/>
  <c r="J78" i="4"/>
  <c r="K52" i="4"/>
  <c r="K65" i="4"/>
  <c r="K78" i="4"/>
  <c r="L52" i="4"/>
  <c r="L65" i="4"/>
  <c r="L78" i="4"/>
  <c r="M52" i="4"/>
  <c r="M65" i="4"/>
  <c r="M78" i="4"/>
  <c r="N52" i="4"/>
  <c r="N65" i="4"/>
  <c r="N78" i="4"/>
  <c r="O52" i="4"/>
  <c r="O65" i="4"/>
  <c r="O78" i="4"/>
  <c r="P52" i="4"/>
  <c r="P65" i="4"/>
  <c r="P78" i="4"/>
  <c r="Q52" i="4"/>
  <c r="Q65" i="4"/>
  <c r="Q78" i="4"/>
  <c r="R52" i="4"/>
  <c r="R65" i="4"/>
  <c r="R78" i="4"/>
  <c r="S52" i="4"/>
  <c r="S65" i="4"/>
  <c r="S78" i="4"/>
  <c r="T52" i="4"/>
  <c r="T65" i="4"/>
  <c r="T78" i="4"/>
  <c r="I53" i="4"/>
  <c r="I66" i="4"/>
  <c r="Y12" i="4"/>
  <c r="I79" i="4"/>
  <c r="J53" i="4"/>
  <c r="J66" i="4"/>
  <c r="J79" i="4"/>
  <c r="K53" i="4"/>
  <c r="K66" i="4"/>
  <c r="K79" i="4"/>
  <c r="L53" i="4"/>
  <c r="L66" i="4"/>
  <c r="L79" i="4"/>
  <c r="M53" i="4"/>
  <c r="M66" i="4"/>
  <c r="M79" i="4"/>
  <c r="N53" i="4"/>
  <c r="N66" i="4"/>
  <c r="N79" i="4"/>
  <c r="O53" i="4"/>
  <c r="O66" i="4"/>
  <c r="O79" i="4"/>
  <c r="P53" i="4"/>
  <c r="P66" i="4"/>
  <c r="P79" i="4"/>
  <c r="Q53" i="4"/>
  <c r="Q66" i="4"/>
  <c r="Q79" i="4"/>
  <c r="R53" i="4"/>
  <c r="R66" i="4"/>
  <c r="R79" i="4"/>
  <c r="S53" i="4"/>
  <c r="S66" i="4"/>
  <c r="S79" i="4"/>
  <c r="T53" i="4"/>
  <c r="T66" i="4"/>
  <c r="T79" i="4"/>
  <c r="I54" i="4"/>
  <c r="I67" i="4"/>
  <c r="Y13" i="4"/>
  <c r="I80" i="4"/>
  <c r="J54" i="4"/>
  <c r="J67" i="4"/>
  <c r="J80" i="4"/>
  <c r="K54" i="4"/>
  <c r="K67" i="4"/>
  <c r="K80" i="4"/>
  <c r="L54" i="4"/>
  <c r="L67" i="4"/>
  <c r="L80" i="4"/>
  <c r="M54" i="4"/>
  <c r="M67" i="4"/>
  <c r="M80" i="4"/>
  <c r="N54" i="4"/>
  <c r="N67" i="4"/>
  <c r="N80" i="4"/>
  <c r="O54" i="4"/>
  <c r="O67" i="4"/>
  <c r="O80" i="4"/>
  <c r="P54" i="4"/>
  <c r="P67" i="4"/>
  <c r="P80" i="4"/>
  <c r="Q54" i="4"/>
  <c r="Q67" i="4"/>
  <c r="Q80" i="4"/>
  <c r="R54" i="4"/>
  <c r="R67" i="4"/>
  <c r="R80" i="4"/>
  <c r="S54" i="4"/>
  <c r="S67" i="4"/>
  <c r="S80" i="4"/>
  <c r="T54" i="4"/>
  <c r="T67" i="4"/>
  <c r="T80" i="4"/>
  <c r="I55" i="4"/>
  <c r="I68" i="4"/>
  <c r="Y14" i="4"/>
  <c r="I81" i="4"/>
  <c r="J55" i="4"/>
  <c r="J68" i="4"/>
  <c r="J81" i="4"/>
  <c r="K55" i="4"/>
  <c r="K68" i="4"/>
  <c r="K81" i="4"/>
  <c r="L55" i="4"/>
  <c r="L68" i="4"/>
  <c r="L81" i="4"/>
  <c r="M55" i="4"/>
  <c r="M68" i="4"/>
  <c r="M81" i="4"/>
  <c r="N55" i="4"/>
  <c r="N68" i="4"/>
  <c r="N81" i="4"/>
  <c r="O55" i="4"/>
  <c r="O68" i="4"/>
  <c r="O81" i="4"/>
  <c r="P55" i="4"/>
  <c r="P68" i="4"/>
  <c r="P81" i="4"/>
  <c r="Q55" i="4"/>
  <c r="Q68" i="4"/>
  <c r="Q81" i="4"/>
  <c r="R55" i="4"/>
  <c r="R68" i="4"/>
  <c r="R81" i="4"/>
  <c r="S55" i="4"/>
  <c r="S68" i="4"/>
  <c r="S81" i="4"/>
  <c r="T55" i="4"/>
  <c r="T68" i="4"/>
  <c r="T81" i="4"/>
  <c r="I56" i="4"/>
  <c r="I69" i="4"/>
  <c r="Y15" i="4"/>
  <c r="I82" i="4"/>
  <c r="J56" i="4"/>
  <c r="J69" i="4"/>
  <c r="J82" i="4"/>
  <c r="K56" i="4"/>
  <c r="K69" i="4"/>
  <c r="K82" i="4"/>
  <c r="L56" i="4"/>
  <c r="L69" i="4"/>
  <c r="L82" i="4"/>
  <c r="M56" i="4"/>
  <c r="M69" i="4"/>
  <c r="M82" i="4"/>
  <c r="N56" i="4"/>
  <c r="N69" i="4"/>
  <c r="N82" i="4"/>
  <c r="O56" i="4"/>
  <c r="O69" i="4"/>
  <c r="O82" i="4"/>
  <c r="P56" i="4"/>
  <c r="P69" i="4"/>
  <c r="P82" i="4"/>
  <c r="Q56" i="4"/>
  <c r="Q69" i="4"/>
  <c r="Q82" i="4"/>
  <c r="R56" i="4"/>
  <c r="R69" i="4"/>
  <c r="R82" i="4"/>
  <c r="S56" i="4"/>
  <c r="S69" i="4"/>
  <c r="S82" i="4"/>
  <c r="T56" i="4"/>
  <c r="T69" i="4"/>
  <c r="T82" i="4"/>
  <c r="I57" i="4"/>
  <c r="I70" i="4"/>
  <c r="Y16" i="4"/>
  <c r="I83" i="4"/>
  <c r="J57" i="4"/>
  <c r="J70" i="4"/>
  <c r="J83" i="4"/>
  <c r="K57" i="4"/>
  <c r="K70" i="4"/>
  <c r="K83" i="4"/>
  <c r="L57" i="4"/>
  <c r="L70" i="4"/>
  <c r="L83" i="4"/>
  <c r="M57" i="4"/>
  <c r="M70" i="4"/>
  <c r="M83" i="4"/>
  <c r="N57" i="4"/>
  <c r="N70" i="4"/>
  <c r="N83" i="4"/>
  <c r="O57" i="4"/>
  <c r="O70" i="4"/>
  <c r="O83" i="4"/>
  <c r="P57" i="4"/>
  <c r="P70" i="4"/>
  <c r="P83" i="4"/>
  <c r="Q57" i="4"/>
  <c r="Q70" i="4"/>
  <c r="Q83" i="4"/>
  <c r="R57" i="4"/>
  <c r="R70" i="4"/>
  <c r="R83" i="4"/>
  <c r="S57" i="4"/>
  <c r="S70" i="4"/>
  <c r="S83" i="4"/>
  <c r="T57" i="4"/>
  <c r="T70" i="4"/>
  <c r="T83" i="4"/>
  <c r="H57" i="4"/>
  <c r="H70" i="4"/>
  <c r="H83" i="4"/>
  <c r="H56" i="4"/>
  <c r="H69" i="4"/>
  <c r="H82" i="4"/>
  <c r="H55" i="4"/>
  <c r="H68" i="4"/>
  <c r="H81" i="4"/>
  <c r="H54" i="4"/>
  <c r="H67" i="4"/>
  <c r="H80" i="4"/>
  <c r="H53" i="4"/>
  <c r="H66" i="4"/>
  <c r="H79" i="4"/>
  <c r="H52" i="4"/>
  <c r="H65" i="4"/>
  <c r="H78" i="4"/>
  <c r="H51" i="4"/>
  <c r="H64" i="4"/>
  <c r="H77" i="4"/>
  <c r="H50" i="4"/>
  <c r="H63" i="4"/>
  <c r="H76" i="4"/>
  <c r="H49" i="4"/>
  <c r="H62" i="4"/>
  <c r="H75" i="4"/>
  <c r="H48" i="4"/>
  <c r="H61" i="4"/>
  <c r="H74" i="4"/>
  <c r="I47" i="4"/>
  <c r="I60" i="4"/>
  <c r="Y6" i="4"/>
  <c r="I73" i="4"/>
  <c r="J47" i="4"/>
  <c r="J60" i="4"/>
  <c r="J73" i="4"/>
  <c r="K47" i="4"/>
  <c r="K60" i="4"/>
  <c r="K73" i="4"/>
  <c r="L47" i="4"/>
  <c r="L60" i="4"/>
  <c r="L73" i="4"/>
  <c r="M47" i="4"/>
  <c r="M60" i="4"/>
  <c r="M73" i="4"/>
  <c r="N47" i="4"/>
  <c r="N60" i="4"/>
  <c r="N73" i="4"/>
  <c r="O47" i="4"/>
  <c r="O60" i="4"/>
  <c r="O73" i="4"/>
  <c r="P47" i="4"/>
  <c r="P60" i="4"/>
  <c r="P73" i="4"/>
  <c r="Q47" i="4"/>
  <c r="Q60" i="4"/>
  <c r="Q73" i="4"/>
  <c r="R47" i="4"/>
  <c r="R60" i="4"/>
  <c r="R73" i="4"/>
  <c r="S47" i="4"/>
  <c r="S60" i="4"/>
  <c r="S73" i="4"/>
  <c r="T47" i="4"/>
  <c r="T60" i="4"/>
  <c r="T73" i="4"/>
  <c r="H47" i="4"/>
  <c r="H60" i="4"/>
  <c r="H73" i="4"/>
  <c r="H46" i="4"/>
  <c r="H59" i="4"/>
  <c r="Y5" i="4"/>
  <c r="H72" i="4"/>
  <c r="I46" i="4"/>
  <c r="I59" i="4"/>
  <c r="I72" i="4"/>
  <c r="J46" i="4"/>
  <c r="J59" i="4"/>
  <c r="J72" i="4"/>
  <c r="K46" i="4"/>
  <c r="K59" i="4"/>
  <c r="K72" i="4"/>
  <c r="L46" i="4"/>
  <c r="L59" i="4"/>
  <c r="L72" i="4"/>
  <c r="M46" i="4"/>
  <c r="M59" i="4"/>
  <c r="M72" i="4"/>
  <c r="N46" i="4"/>
  <c r="N59" i="4"/>
  <c r="N72" i="4"/>
  <c r="O46" i="4"/>
  <c r="O59" i="4"/>
  <c r="O72" i="4"/>
  <c r="P46" i="4"/>
  <c r="P59" i="4"/>
  <c r="P72" i="4"/>
  <c r="Q46" i="4"/>
  <c r="Q59" i="4"/>
  <c r="Q72" i="4"/>
  <c r="R46" i="4"/>
  <c r="R59" i="4"/>
  <c r="R72" i="4"/>
  <c r="S46" i="4"/>
  <c r="S59" i="4"/>
  <c r="S72" i="4"/>
  <c r="T46" i="4"/>
  <c r="T59" i="4"/>
  <c r="T72" i="4"/>
  <c r="Z35" i="4"/>
  <c r="Z39" i="4"/>
  <c r="AA35" i="4"/>
  <c r="AA39" i="4"/>
  <c r="AB35" i="4"/>
  <c r="AB39" i="4"/>
  <c r="AC35" i="4"/>
  <c r="AC39" i="4"/>
  <c r="AD35" i="4"/>
  <c r="AD39" i="4"/>
  <c r="AE35" i="4"/>
  <c r="AE39" i="4"/>
  <c r="Z36" i="4"/>
  <c r="Z40" i="4"/>
  <c r="AA36" i="4"/>
  <c r="AA40" i="4"/>
  <c r="AB36" i="4"/>
  <c r="AB40" i="4"/>
  <c r="AC36" i="4"/>
  <c r="AC40" i="4"/>
  <c r="AD36" i="4"/>
  <c r="AD40" i="4"/>
  <c r="AE36" i="4"/>
  <c r="AE40" i="4"/>
  <c r="AF36" i="4"/>
  <c r="AF40" i="4"/>
  <c r="AG36" i="4"/>
  <c r="AG40" i="4"/>
  <c r="Z37" i="4"/>
  <c r="Z41" i="4"/>
  <c r="AA37" i="4"/>
  <c r="AA41" i="4"/>
  <c r="AB37" i="4"/>
  <c r="AB41" i="4"/>
  <c r="AC37" i="4"/>
  <c r="AC41" i="4"/>
  <c r="AD37" i="4"/>
  <c r="AD41" i="4"/>
  <c r="AE37" i="4"/>
  <c r="AE41" i="4"/>
  <c r="AF37" i="4"/>
  <c r="AF41" i="4"/>
  <c r="AG37" i="4"/>
  <c r="AG41" i="4"/>
  <c r="AH37" i="4"/>
  <c r="AH41" i="4"/>
  <c r="AI37" i="4"/>
  <c r="AI41" i="4"/>
  <c r="AJ37" i="4"/>
  <c r="AJ41" i="4"/>
  <c r="AK37" i="4"/>
  <c r="AK41" i="4"/>
  <c r="Y36" i="4"/>
  <c r="Y40" i="4"/>
  <c r="Y37" i="4"/>
  <c r="Y41" i="4"/>
  <c r="Y35" i="4"/>
  <c r="Y39" i="4"/>
  <c r="AF35" i="4"/>
  <c r="AG35" i="4"/>
  <c r="AH35" i="4"/>
  <c r="AI35" i="4"/>
  <c r="AJ35" i="4"/>
  <c r="AK35" i="4"/>
  <c r="AH36" i="4"/>
  <c r="AI36" i="4"/>
  <c r="AJ36" i="4"/>
  <c r="AK36" i="4"/>
  <c r="M6" i="1"/>
  <c r="M7" i="1"/>
  <c r="M8" i="1"/>
  <c r="M9" i="1"/>
  <c r="M10" i="1"/>
  <c r="M11" i="1"/>
  <c r="M12" i="1"/>
  <c r="M13" i="1"/>
  <c r="M14" i="1"/>
  <c r="M15" i="1"/>
  <c r="M16" i="1"/>
  <c r="M5" i="1"/>
  <c r="L6" i="1"/>
  <c r="L7" i="1"/>
  <c r="L8" i="1"/>
  <c r="L9" i="1"/>
  <c r="L10" i="1"/>
  <c r="L11" i="1"/>
  <c r="L12" i="1"/>
  <c r="L13" i="1"/>
  <c r="L14" i="1"/>
  <c r="L15" i="1"/>
  <c r="L16" i="1"/>
  <c r="L5" i="1"/>
  <c r="K6" i="1"/>
  <c r="K7" i="1"/>
  <c r="K8" i="1"/>
  <c r="K9" i="1"/>
  <c r="K10" i="1"/>
  <c r="K11" i="1"/>
  <c r="K12" i="1"/>
  <c r="K13" i="1"/>
  <c r="K14" i="1"/>
  <c r="K15" i="1"/>
  <c r="K16" i="1"/>
  <c r="K5" i="1"/>
  <c r="I6" i="1"/>
  <c r="I7" i="1"/>
  <c r="I8" i="1"/>
  <c r="I9" i="1"/>
  <c r="I10" i="1"/>
  <c r="I11" i="1"/>
  <c r="I12" i="1"/>
  <c r="I13" i="1"/>
  <c r="I14" i="1"/>
  <c r="I15" i="1"/>
  <c r="I16" i="1"/>
  <c r="I5" i="1"/>
  <c r="H6" i="1"/>
  <c r="H7" i="1"/>
  <c r="H8" i="1"/>
  <c r="H9" i="1"/>
  <c r="H10" i="1"/>
  <c r="H11" i="1"/>
  <c r="H12" i="1"/>
  <c r="H13" i="1"/>
  <c r="H14" i="1"/>
  <c r="H15" i="1"/>
  <c r="H16" i="1"/>
  <c r="H5" i="1"/>
  <c r="J6" i="1"/>
  <c r="J7" i="1"/>
  <c r="J8" i="1"/>
  <c r="J9" i="1"/>
  <c r="J10" i="1"/>
  <c r="J11" i="1"/>
  <c r="J12" i="1"/>
  <c r="J13" i="1"/>
  <c r="J14" i="1"/>
  <c r="J15" i="1"/>
  <c r="J16" i="1"/>
  <c r="J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<sst xmlns="http://schemas.openxmlformats.org/spreadsheetml/2006/main" count="652" uniqueCount="177">
  <si>
    <t>Size (inches)</t>
  </si>
  <si>
    <t>Format</t>
  </si>
  <si>
    <t>Market</t>
  </si>
  <si>
    <t>VGA</t>
  </si>
  <si>
    <t>XGA</t>
  </si>
  <si>
    <t>Notebook</t>
  </si>
  <si>
    <t>SXGA</t>
  </si>
  <si>
    <t>Monitor</t>
  </si>
  <si>
    <t>WXGA</t>
  </si>
  <si>
    <t>UXGA</t>
  </si>
  <si>
    <t>SDTV</t>
  </si>
  <si>
    <t>Television</t>
  </si>
  <si>
    <t>Formats</t>
  </si>
  <si>
    <t>SVGA</t>
  </si>
  <si>
    <t>Horz. Pixels</t>
  </si>
  <si>
    <t>Vert. Pixels</t>
  </si>
  <si>
    <t>Border_H (in mm)</t>
  </si>
  <si>
    <t>Border_V (in mm)</t>
  </si>
  <si>
    <t>Exclusion (in mm)</t>
  </si>
  <si>
    <t>Unit</t>
  </si>
  <si>
    <t>USD</t>
  </si>
  <si>
    <t>Substrate size</t>
  </si>
  <si>
    <t>m</t>
  </si>
  <si>
    <t>width</t>
  </si>
  <si>
    <t>height</t>
  </si>
  <si>
    <t>Investment costs</t>
  </si>
  <si>
    <t>Depreciation years</t>
  </si>
  <si>
    <t>years</t>
  </si>
  <si>
    <t>USD/m2</t>
  </si>
  <si>
    <t>Costs per substrate</t>
  </si>
  <si>
    <t>R&amp;D</t>
  </si>
  <si>
    <t>%/revenues</t>
  </si>
  <si>
    <t>SG&amp;A</t>
  </si>
  <si>
    <t>WACC</t>
  </si>
  <si>
    <t>%</t>
  </si>
  <si>
    <t>Tax rate</t>
  </si>
  <si>
    <t>DPO</t>
  </si>
  <si>
    <t>days</t>
  </si>
  <si>
    <t>DSO</t>
  </si>
  <si>
    <t>DIO</t>
  </si>
  <si>
    <t># substrates/month</t>
  </si>
  <si>
    <t>The product sizes of the notebook and monitor screens may be assumed to be certain, the television screen sizes are uncertain.</t>
  </si>
  <si>
    <t>There is an uncertainty bandwith of plus and minus 20% on the listed prices</t>
  </si>
  <si>
    <t>Might a different television screen size become the standard, the price can be scaled by the area change</t>
  </si>
  <si>
    <t>Yield per market</t>
  </si>
  <si>
    <t>The new production facility can start production in 2005 and will be ramped in 4 quarters to the capacity of 60000 substates per month</t>
  </si>
  <si>
    <t>The uncertainty around the substrate costs is 10% up or down</t>
  </si>
  <si>
    <t>The uncertainty around the investment costs is 10% up or down</t>
  </si>
  <si>
    <t>The uncertainty around the yield per market is 15 percent points down and 2 percent points up</t>
  </si>
  <si>
    <t>uncertainty of plus or minus 10 days</t>
  </si>
  <si>
    <t>DPO = days purchases outstanding</t>
  </si>
  <si>
    <t>DSO = days sales outstanding</t>
  </si>
  <si>
    <t>DIO = days inventory outstanding</t>
  </si>
  <si>
    <t>uncertainty of plus or minus 5 percent points</t>
  </si>
  <si>
    <t>fixed</t>
  </si>
  <si>
    <t>up or down 1 percent points</t>
  </si>
  <si>
    <t>down 1 percent point, up 6 percent points</t>
  </si>
  <si>
    <t>Max capacity</t>
  </si>
  <si>
    <t xml:space="preserve">Television </t>
  </si>
  <si>
    <t>Yield is defined as the number of screens that can be sold relative to the number of produced screens</t>
  </si>
  <si>
    <t>The uncertainty band width is 2 inch less and 1 inch more, the screen format and the borders and exclusion will stay the same</t>
  </si>
  <si>
    <t>These can be used to determine the investments in working capital</t>
  </si>
  <si>
    <t>To determine the number of screens that can be made out of a substrate, the bruto size of a screen can be calculated by adding the border_h and exclusion to the height and the border_v and exclusion to the width, all screens on a substrate must orientated in the same way and there can only be one screen size on one substrate</t>
  </si>
  <si>
    <t>HDreadyTV</t>
  </si>
  <si>
    <t>FullHDTV</t>
  </si>
  <si>
    <t>All given uncertainty bandwidths are to be interpreted as follows. The low value has a probability of 25%, the base value a probability of 50% and the high value a probability of 25%</t>
  </si>
  <si>
    <t>can be choosen up to a maximum of 1,55 m</t>
  </si>
  <si>
    <t>can be choosen up to a maximum of 1,85 m</t>
  </si>
  <si>
    <t>Angle</t>
  </si>
  <si>
    <t>Width (inch)</t>
  </si>
  <si>
    <t>Height (inch)</t>
  </si>
  <si>
    <t>Width (m)</t>
  </si>
  <si>
    <t>Height (m)</t>
  </si>
  <si>
    <t>Area screen (m2)</t>
  </si>
  <si>
    <t>Costs</t>
  </si>
  <si>
    <t>Price with yield</t>
  </si>
  <si>
    <t>Profit per product</t>
  </si>
  <si>
    <t>Profit per substrate</t>
  </si>
  <si>
    <t>Notebook and Monitor get unprofitable as time goes on due to reduction in price</t>
  </si>
  <si>
    <t>television starts unprofitable due to poor yield</t>
  </si>
  <si>
    <t>Δ</t>
  </si>
  <si>
    <t>+20%</t>
  </si>
  <si>
    <t>+25%</t>
  </si>
  <si>
    <t>+50%</t>
  </si>
  <si>
    <t>Yield Rate (%)</t>
  </si>
  <si>
    <t>price per m2</t>
  </si>
  <si>
    <t>% Δ Yield Rate 2005-2017</t>
  </si>
  <si>
    <t>% Δ Price    2005-2017</t>
  </si>
  <si>
    <t>Depreciation each year</t>
  </si>
  <si>
    <t>Total Depreciation for that year</t>
  </si>
  <si>
    <t>1,55*1,85</t>
  </si>
  <si>
    <t>Width + border +exclusion</t>
  </si>
  <si>
    <t>height+border +exclusion</t>
  </si>
  <si>
    <t>1,83*1,35</t>
  </si>
  <si>
    <t>area of substrate</t>
  </si>
  <si>
    <t>area of product</t>
  </si>
  <si>
    <t>dif</t>
  </si>
  <si>
    <t>wrong area</t>
  </si>
  <si>
    <t>(Price * yield *number)-substrate cost</t>
  </si>
  <si>
    <t>Profitibility</t>
  </si>
  <si>
    <t>Width + error</t>
  </si>
  <si>
    <t>Height + error</t>
  </si>
  <si>
    <t>area (m2) (with error)</t>
  </si>
  <si>
    <t>Choosing size</t>
  </si>
  <si>
    <t>Max number</t>
  </si>
  <si>
    <t>Take up horizontal</t>
  </si>
  <si>
    <t># products</t>
  </si>
  <si>
    <t>% glass loss</t>
  </si>
  <si>
    <t>profit</t>
  </si>
  <si>
    <t>Profitability</t>
  </si>
  <si>
    <t>Max</t>
  </si>
  <si>
    <t>security boundary</t>
  </si>
  <si>
    <t>Profitability per substrate</t>
  </si>
  <si>
    <t>MAX(IF(AI2+0,001&gt;AK2AND(AV2&gt;AK2);P2:V2;"")</t>
  </si>
  <si>
    <t>D</t>
  </si>
  <si>
    <t>IF THERE IS A ONE AT D THEN IT IS OKAY</t>
  </si>
  <si>
    <t>First time a appears</t>
  </si>
  <si>
    <t>lookup actual horizontal in table and see how many</t>
  </si>
  <si>
    <t>emergency horizontal ^2 for fake # products</t>
  </si>
  <si>
    <t>=IF(AJ2=0;AH2^2;AG2^2)</t>
  </si>
  <si>
    <t>Vertical</t>
  </si>
  <si>
    <t>Horizontal</t>
  </si>
  <si>
    <t>can remove error makes big difference</t>
  </si>
  <si>
    <r>
      <t>High (b</t>
    </r>
    <r>
      <rPr>
        <b/>
        <sz val="11"/>
        <color rgb="FF000000"/>
        <rFont val="Calibri"/>
        <family val="2"/>
        <scheme val="minor"/>
      </rPr>
      <t>igger screen)</t>
    </r>
  </si>
  <si>
    <t>Low (smaller) screen)</t>
  </si>
  <si>
    <t>Error on TV screen size</t>
  </si>
  <si>
    <t>Error on price</t>
  </si>
  <si>
    <t>Get more money</t>
  </si>
  <si>
    <t>less</t>
  </si>
  <si>
    <t>=</t>
  </si>
  <si>
    <t>*'Maximizing Profit'!$BY$4</t>
  </si>
  <si>
    <t>Uncertainty on substrate costs</t>
  </si>
  <si>
    <t>more expensive</t>
  </si>
  <si>
    <t>less expensive</t>
  </si>
  <si>
    <t>Uncertainty on yield</t>
  </si>
  <si>
    <t>down</t>
  </si>
  <si>
    <t>up</t>
  </si>
  <si>
    <t>Uncertainty on investment</t>
  </si>
  <si>
    <t>no error on TV</t>
  </si>
  <si>
    <t>No error on price</t>
  </si>
  <si>
    <t>no error on substrate costs</t>
  </si>
  <si>
    <t>no error on yield</t>
  </si>
  <si>
    <t>no error on investment</t>
  </si>
  <si>
    <t>Probabilty</t>
  </si>
  <si>
    <t>Input</t>
  </si>
  <si>
    <t>Error Type</t>
  </si>
  <si>
    <t>product horizontal</t>
  </si>
  <si>
    <t>product vertical</t>
  </si>
  <si>
    <t>Interestingly also same answer that minimizes average gloss loss and maximizes average profit over all products</t>
  </si>
  <si>
    <t>notebook</t>
  </si>
  <si>
    <t>monitor</t>
  </si>
  <si>
    <t>tv</t>
  </si>
  <si>
    <t>Depreciation</t>
  </si>
  <si>
    <t>Gross Margin</t>
  </si>
  <si>
    <t>Operating Margin</t>
  </si>
  <si>
    <t>million (not anymore) USD</t>
  </si>
  <si>
    <t>Number of Substrates</t>
  </si>
  <si>
    <t>need to split sales and costs of sales for operating margin</t>
  </si>
  <si>
    <t>Sales</t>
  </si>
  <si>
    <t>Total</t>
  </si>
  <si>
    <t>SQG&amp;A</t>
  </si>
  <si>
    <t>no error on r&amp;D</t>
  </si>
  <si>
    <t>no error on SQG&amp;A</t>
  </si>
  <si>
    <t>Net Income</t>
  </si>
  <si>
    <t>Tax</t>
  </si>
  <si>
    <t>no error on Tax</t>
  </si>
  <si>
    <t xml:space="preserve">Net Income (drawing losses off previous losses) </t>
  </si>
  <si>
    <t>Net cash flow</t>
  </si>
  <si>
    <t>no error on DPO</t>
  </si>
  <si>
    <t>no error on DSO</t>
  </si>
  <si>
    <t>no error on DIO</t>
  </si>
  <si>
    <t>Working Capital</t>
  </si>
  <si>
    <t>t</t>
  </si>
  <si>
    <t>NPV</t>
  </si>
  <si>
    <t>Do Investment?</t>
  </si>
  <si>
    <t>investment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</si>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</sst>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00"/>
    <numFmt numFmtId="166" formatCode="_-* #,##0_-;\-* #,##0_-;_-* &quot;-&quot;??_-;_-@_-"/>
  </numFmts>
  <fonts count="15">
    <font>
      <sz val="11"/>
      <color theme="1"/>
      <name val="Calibri"/>
      <family val="2"/>
      <scheme val="minor"/>
    </font>
    <font>
      <i/>
      <sz val="11"/>
      <name val="Tahoma"/>
      <family val="2"/>
    </font>
    <font>
      <sz val="10"/>
      <color indexed="63"/>
      <name val="Tahoma"/>
      <family val="2"/>
    </font>
    <font>
      <sz val="10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 (Body)"/>
    </font>
    <font>
      <sz val="11"/>
      <color rgb="FF000000"/>
      <name val="Calibri"/>
      <family val="2"/>
      <scheme val="minor"/>
    </font>
    <font>
      <b/>
      <sz val="16"/>
      <color rgb="FF0A0101"/>
      <name val="Helvetica Neue"/>
      <family val="2"/>
    </font>
    <font>
      <b/>
      <sz val="15"/>
      <color rgb="FF333333"/>
      <name val="Arial"/>
      <family val="2"/>
    </font>
    <font>
      <sz val="16"/>
      <color rgb="FF333333"/>
      <name val="Helvetica Neue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rgb="FFFBDE2D"/>
      <name val="Courier New"/>
      <family val="1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auto="1"/>
      </top>
      <bottom/>
      <diagonal/>
    </border>
  </borders>
  <cellStyleXfs count="6">
    <xf numFmtId="0" fontId="0" fillId="0" borderId="0"/>
    <xf numFmtId="0" fontId="1" fillId="0" borderId="0">
      <alignment vertical="center" wrapText="1"/>
    </xf>
    <xf numFmtId="0" fontId="2" fillId="0" borderId="0">
      <alignment horizontal="center" vertical="center"/>
    </xf>
    <xf numFmtId="0" fontId="3" fillId="0" borderId="0">
      <alignment horizontal="center" vertical="center"/>
    </xf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55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1" fontId="0" fillId="0" borderId="0" xfId="0" applyNumberFormat="1"/>
    <xf numFmtId="9" fontId="0" fillId="0" borderId="0" xfId="4" applyFont="1"/>
    <xf numFmtId="165" fontId="0" fillId="0" borderId="0" xfId="0" applyNumberFormat="1"/>
    <xf numFmtId="43" fontId="0" fillId="0" borderId="0" xfId="5" applyFont="1"/>
    <xf numFmtId="166" fontId="0" fillId="0" borderId="0" xfId="5" applyNumberFormat="1" applyFont="1"/>
    <xf numFmtId="2" fontId="0" fillId="0" borderId="0" xfId="5" applyNumberFormat="1" applyFont="1"/>
    <xf numFmtId="0" fontId="0" fillId="2" borderId="0" xfId="0" applyFill="1"/>
    <xf numFmtId="0" fontId="5" fillId="2" borderId="0" xfId="0" applyFont="1" applyFill="1"/>
    <xf numFmtId="9" fontId="0" fillId="2" borderId="0" xfId="0" applyNumberFormat="1" applyFill="1" applyAlignment="1">
      <alignment horizontal="center" vertical="center"/>
    </xf>
    <xf numFmtId="9" fontId="0" fillId="2" borderId="1" xfId="0" applyNumberFormat="1" applyFill="1" applyBorder="1" applyAlignment="1">
      <alignment horizontal="center"/>
    </xf>
    <xf numFmtId="9" fontId="0" fillId="2" borderId="0" xfId="0" applyNumberFormat="1" applyFill="1" applyAlignment="1">
      <alignment horizontal="center"/>
    </xf>
    <xf numFmtId="9" fontId="0" fillId="2" borderId="1" xfId="0" quotePrefix="1" applyNumberForma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right"/>
    </xf>
    <xf numFmtId="9" fontId="0" fillId="2" borderId="1" xfId="0" quotePrefix="1" applyNumberFormat="1" applyFill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0" fillId="3" borderId="0" xfId="0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1" fontId="0" fillId="0" borderId="0" xfId="0" applyNumberFormat="1" applyFont="1"/>
    <xf numFmtId="1" fontId="7" fillId="0" borderId="0" xfId="0" applyNumberFormat="1" applyFont="1"/>
    <xf numFmtId="0" fontId="11" fillId="4" borderId="2" xfId="0" applyFont="1" applyFill="1" applyBorder="1"/>
    <xf numFmtId="0" fontId="11" fillId="4" borderId="3" xfId="0" applyFont="1" applyFill="1" applyBorder="1"/>
    <xf numFmtId="0" fontId="11" fillId="4" borderId="4" xfId="0" applyFont="1" applyFill="1" applyBorder="1"/>
    <xf numFmtId="0" fontId="11" fillId="4" borderId="5" xfId="0" applyFont="1" applyFill="1" applyBorder="1"/>
    <xf numFmtId="0" fontId="12" fillId="4" borderId="0" xfId="0" applyFont="1" applyFill="1"/>
    <xf numFmtId="1" fontId="12" fillId="4" borderId="0" xfId="0" applyNumberFormat="1" applyFont="1" applyFill="1"/>
    <xf numFmtId="0" fontId="11" fillId="4" borderId="6" xfId="0" applyFont="1" applyFill="1" applyBorder="1"/>
    <xf numFmtId="1" fontId="11" fillId="4" borderId="7" xfId="0" applyNumberFormat="1" applyFont="1" applyFill="1" applyBorder="1"/>
    <xf numFmtId="0" fontId="13" fillId="0" borderId="0" xfId="0" applyFont="1"/>
    <xf numFmtId="0" fontId="0" fillId="0" borderId="0" xfId="0" quotePrefix="1"/>
    <xf numFmtId="0" fontId="11" fillId="4" borderId="8" xfId="0" applyFont="1" applyFill="1" applyBorder="1"/>
    <xf numFmtId="0" fontId="11" fillId="4" borderId="9" xfId="0" applyFont="1" applyFill="1" applyBorder="1"/>
    <xf numFmtId="0" fontId="12" fillId="4" borderId="2" xfId="0" applyFont="1" applyFill="1" applyBorder="1"/>
    <xf numFmtId="0" fontId="12" fillId="4" borderId="3" xfId="0" applyFont="1" applyFill="1" applyBorder="1"/>
    <xf numFmtId="0" fontId="5" fillId="0" borderId="10" xfId="0" applyFont="1" applyBorder="1"/>
    <xf numFmtId="0" fontId="0" fillId="0" borderId="10" xfId="0" applyBorder="1"/>
    <xf numFmtId="0" fontId="0" fillId="0" borderId="6" xfId="0" applyFont="1" applyFill="1" applyBorder="1"/>
    <xf numFmtId="2" fontId="0" fillId="0" borderId="7" xfId="0" applyNumberFormat="1" applyFont="1" applyFill="1" applyBorder="1"/>
    <xf numFmtId="1" fontId="11" fillId="4" borderId="3" xfId="0" applyNumberFormat="1" applyFont="1" applyFill="1" applyBorder="1"/>
    <xf numFmtId="1" fontId="11" fillId="4" borderId="9" xfId="5" applyNumberFormat="1" applyFont="1" applyFill="1" applyBorder="1"/>
    <xf numFmtId="0" fontId="11" fillId="0" borderId="0" xfId="0" applyFont="1" applyFill="1" applyBorder="1"/>
    <xf numFmtId="1" fontId="11" fillId="0" borderId="0" xfId="0" applyNumberFormat="1" applyFont="1" applyFill="1" applyBorder="1"/>
    <xf numFmtId="0" fontId="12" fillId="4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1" fontId="11" fillId="4" borderId="5" xfId="0" applyNumberFormat="1" applyFont="1" applyFill="1" applyBorder="1" applyAlignment="1">
      <alignment horizontal="right"/>
    </xf>
  </cellXfs>
  <cellStyles count="6">
    <cellStyle name="Comma" xfId="5" builtinId="3"/>
    <cellStyle name="Exponent" xfId="2" xr:uid="{00000000-0005-0000-0000-000000000000}"/>
    <cellStyle name="Header_L" xfId="1" xr:uid="{00000000-0005-0000-0000-000001000000}"/>
    <cellStyle name="Normal" xfId="0" builtinId="0"/>
    <cellStyle name="Per cent" xfId="4" builtinId="5"/>
    <cellStyle name="Unit" xfId="3" xr:uid="{00000000-0005-0000-0000-000004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Profitibily per substrate, of size </a:t>
            </a:r>
            <a:r>
              <a:rPr lang="en-GB" sz="1400" b="0" i="0" u="none" strike="noStrike" baseline="0">
                <a:effectLst/>
              </a:rPr>
              <a:t>1.55m*1.85m, for each </a:t>
            </a:r>
            <a:r>
              <a:rPr lang="en-GB"/>
              <a:t>product category over time,</a:t>
            </a:r>
            <a:r>
              <a:rPr lang="en-GB" baseline="0"/>
              <a:t> assuming that the number of products on each substrate is total area/area per product (i.e. not accounting for constrainsts and uncertainty)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Price!$F$105</c:f>
              <c:strCache>
                <c:ptCount val="1"/>
                <c:pt idx="0">
                  <c:v>Notebook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Price!$G$104:$S$104</c:f>
              <c:numCache>
                <c:formatCode>General</c:formatCode>
                <c:ptCount val="13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</c:numCache>
            </c:numRef>
          </c:cat>
          <c:val>
            <c:numRef>
              <c:f>Price!$G$105:$S$105</c:f>
              <c:numCache>
                <c:formatCode>_-* #,##0_-;\-* #,##0_-;_-* "-"??_-;_-@_-</c:formatCode>
                <c:ptCount val="13"/>
                <c:pt idx="0">
                  <c:v>2981.8471756184163</c:v>
                </c:pt>
                <c:pt idx="1">
                  <c:v>2314.9067517328085</c:v>
                </c:pt>
                <c:pt idx="2">
                  <c:v>1788.1301179691764</c:v>
                </c:pt>
                <c:pt idx="3">
                  <c:v>1299.3527299066318</c:v>
                </c:pt>
                <c:pt idx="4">
                  <c:v>939.43924703119922</c:v>
                </c:pt>
                <c:pt idx="5">
                  <c:v>511.82839762495917</c:v>
                </c:pt>
                <c:pt idx="6">
                  <c:v>141.27727779383667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D4-E64D-84E0-986E0E12959D}"/>
            </c:ext>
          </c:extLst>
        </c:ser>
        <c:ser>
          <c:idx val="1"/>
          <c:order val="1"/>
          <c:tx>
            <c:strRef>
              <c:f>Price!$F$106</c:f>
              <c:strCache>
                <c:ptCount val="1"/>
                <c:pt idx="0">
                  <c:v>Monitor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Price!$G$104:$S$104</c:f>
              <c:numCache>
                <c:formatCode>General</c:formatCode>
                <c:ptCount val="13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</c:numCache>
            </c:numRef>
          </c:cat>
          <c:val>
            <c:numRef>
              <c:f>Price!$G$106:$S$106</c:f>
              <c:numCache>
                <c:formatCode>_-* #,##0_-;\-* #,##0_-;_-* "-"??_-;_-@_-</c:formatCode>
                <c:ptCount val="13"/>
                <c:pt idx="0">
                  <c:v>1568.6188841514702</c:v>
                </c:pt>
                <c:pt idx="1">
                  <c:v>1366.4068224664718</c:v>
                </c:pt>
                <c:pt idx="2">
                  <c:v>1159.3633639431835</c:v>
                </c:pt>
                <c:pt idx="3">
                  <c:v>1001.1376617429336</c:v>
                </c:pt>
                <c:pt idx="4">
                  <c:v>842.50142888148582</c:v>
                </c:pt>
                <c:pt idx="5">
                  <c:v>722.58452788006946</c:v>
                </c:pt>
                <c:pt idx="6">
                  <c:v>494.11322453678559</c:v>
                </c:pt>
                <c:pt idx="7">
                  <c:v>325.11227408803609</c:v>
                </c:pt>
                <c:pt idx="8">
                  <c:v>182.53813969450709</c:v>
                </c:pt>
                <c:pt idx="9">
                  <c:v>71.610848414911842</c:v>
                </c:pt>
                <c:pt idx="10">
                  <c:v>5.407275670310244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D4-E64D-84E0-986E0E12959D}"/>
            </c:ext>
          </c:extLst>
        </c:ser>
        <c:ser>
          <c:idx val="2"/>
          <c:order val="2"/>
          <c:tx>
            <c:strRef>
              <c:f>Price!$F$107</c:f>
              <c:strCache>
                <c:ptCount val="1"/>
                <c:pt idx="0">
                  <c:v>Television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Price!$G$104:$S$104</c:f>
              <c:numCache>
                <c:formatCode>General</c:formatCode>
                <c:ptCount val="13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</c:numCache>
            </c:numRef>
          </c:cat>
          <c:val>
            <c:numRef>
              <c:f>Price!$G$107:$S$107</c:f>
              <c:numCache>
                <c:formatCode>_-* #,##0_-;\-* #,##0_-;_-* "-"??_-;_-@_-</c:formatCode>
                <c:ptCount val="13"/>
                <c:pt idx="0">
                  <c:v>247.90705468190552</c:v>
                </c:pt>
                <c:pt idx="1">
                  <c:v>431.57921081964065</c:v>
                </c:pt>
                <c:pt idx="2">
                  <c:v>573.10701365880107</c:v>
                </c:pt>
                <c:pt idx="3">
                  <c:v>700.31897653137037</c:v>
                </c:pt>
                <c:pt idx="4">
                  <c:v>781.16282528695831</c:v>
                </c:pt>
                <c:pt idx="5">
                  <c:v>1083.4701060529103</c:v>
                </c:pt>
                <c:pt idx="6">
                  <c:v>1269.7158222123339</c:v>
                </c:pt>
                <c:pt idx="7">
                  <c:v>1419.8687072367627</c:v>
                </c:pt>
                <c:pt idx="8">
                  <c:v>1164.123066790384</c:v>
                </c:pt>
                <c:pt idx="9">
                  <c:v>958.47977569044258</c:v>
                </c:pt>
                <c:pt idx="10">
                  <c:v>790.40192875225387</c:v>
                </c:pt>
                <c:pt idx="11">
                  <c:v>621.80615076070637</c:v>
                </c:pt>
                <c:pt idx="12">
                  <c:v>489.44130626647393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D4-E64D-84E0-986E0E129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3512095"/>
        <c:axId val="894374383"/>
      </c:lineChart>
      <c:catAx>
        <c:axId val="893512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(years)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894374383"/>
        <c:crosses val="autoZero"/>
        <c:auto val="1"/>
        <c:lblAlgn val="ctr"/>
        <c:lblOffset val="100"/>
        <c:noMultiLvlLbl val="0"/>
      </c:catAx>
      <c:valAx>
        <c:axId val="89437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Profitibability per substrate</a:t>
                </a:r>
                <a:r>
                  <a:rPr lang="en-GB" baseline="0"/>
                  <a:t> </a:t>
                </a:r>
                <a:r>
                  <a:rPr lang="en-GB"/>
                  <a:t>(€)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893512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Price!$F$86</c:f>
              <c:strCache>
                <c:ptCount val="1"/>
                <c:pt idx="0">
                  <c:v>Notebook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Price!$G$85:$S$85</c:f>
              <c:numCache>
                <c:formatCode>General</c:formatCode>
                <c:ptCount val="13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</c:numCache>
            </c:numRef>
          </c:cat>
          <c:val>
            <c:numRef>
              <c:f>Price!$G$86:$S$86</c:f>
              <c:numCache>
                <c:formatCode>0</c:formatCode>
                <c:ptCount val="13"/>
                <c:pt idx="0">
                  <c:v>2768.9976391882574</c:v>
                </c:pt>
                <c:pt idx="1">
                  <c:v>2100.8416091841664</c:v>
                </c:pt>
                <c:pt idx="2">
                  <c:v>1602.6660002155459</c:v>
                </c:pt>
                <c:pt idx="3">
                  <c:v>1159.3698139072246</c:v>
                </c:pt>
                <c:pt idx="4">
                  <c:v>837.8978569099545</c:v>
                </c:pt>
                <c:pt idx="5">
                  <c:v>430.59528552796354</c:v>
                </c:pt>
                <c:pt idx="6">
                  <c:v>54.442367200542833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24-6943-AA40-AF778596D5FA}"/>
            </c:ext>
          </c:extLst>
        </c:ser>
        <c:ser>
          <c:idx val="1"/>
          <c:order val="1"/>
          <c:tx>
            <c:strRef>
              <c:f>Price!$F$87</c:f>
              <c:strCache>
                <c:ptCount val="1"/>
                <c:pt idx="0">
                  <c:v>Notebook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Price!$G$85:$S$85</c:f>
              <c:numCache>
                <c:formatCode>General</c:formatCode>
                <c:ptCount val="13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</c:numCache>
            </c:numRef>
          </c:cat>
          <c:val>
            <c:numRef>
              <c:f>Price!$G$87:$S$87</c:f>
              <c:numCache>
                <c:formatCode>0</c:formatCode>
                <c:ptCount val="13"/>
                <c:pt idx="0">
                  <c:v>3194.6967120485751</c:v>
                </c:pt>
                <c:pt idx="1">
                  <c:v>2528.9718942814511</c:v>
                </c:pt>
                <c:pt idx="2">
                  <c:v>1973.5942357228068</c:v>
                </c:pt>
                <c:pt idx="3">
                  <c:v>1439.335645906039</c:v>
                </c:pt>
                <c:pt idx="4">
                  <c:v>1040.9806371524439</c:v>
                </c:pt>
                <c:pt idx="5">
                  <c:v>593.06150972195485</c:v>
                </c:pt>
                <c:pt idx="6">
                  <c:v>228.11218838713049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24-6943-AA40-AF778596D5FA}"/>
            </c:ext>
          </c:extLst>
        </c:ser>
        <c:ser>
          <c:idx val="2"/>
          <c:order val="2"/>
          <c:tx>
            <c:strRef>
              <c:f>Price!$F$88</c:f>
              <c:strCache>
                <c:ptCount val="1"/>
                <c:pt idx="0">
                  <c:v>Monitor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Price!$G$85:$S$85</c:f>
              <c:numCache>
                <c:formatCode>General</c:formatCode>
                <c:ptCount val="13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</c:numCache>
            </c:numRef>
          </c:cat>
          <c:val>
            <c:numRef>
              <c:f>Price!$G$88:$S$88</c:f>
              <c:numCache>
                <c:formatCode>0</c:formatCode>
                <c:ptCount val="13"/>
                <c:pt idx="0">
                  <c:v>2155.2873910846902</c:v>
                </c:pt>
                <c:pt idx="1">
                  <c:v>1886.7626102168356</c:v>
                </c:pt>
                <c:pt idx="2">
                  <c:v>1637.6310140763358</c:v>
                </c:pt>
                <c:pt idx="3">
                  <c:v>1415.7783522855084</c:v>
                </c:pt>
                <c:pt idx="4">
                  <c:v>1170.1556378233454</c:v>
                </c:pt>
                <c:pt idx="5">
                  <c:v>1013.6515294592174</c:v>
                </c:pt>
                <c:pt idx="6">
                  <c:v>678.15552492702966</c:v>
                </c:pt>
                <c:pt idx="7">
                  <c:v>435.85302115020704</c:v>
                </c:pt>
                <c:pt idx="8">
                  <c:v>229.3940181287488</c:v>
                </c:pt>
                <c:pt idx="9">
                  <c:v>72.399265484972915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24-6943-AA40-AF778596D5FA}"/>
            </c:ext>
          </c:extLst>
        </c:ser>
        <c:ser>
          <c:idx val="3"/>
          <c:order val="3"/>
          <c:tx>
            <c:strRef>
              <c:f>Price!$F$89</c:f>
              <c:strCache>
                <c:ptCount val="1"/>
                <c:pt idx="0">
                  <c:v>Monitor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Price!$G$85:$S$85</c:f>
              <c:numCache>
                <c:formatCode>General</c:formatCode>
                <c:ptCount val="13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</c:numCache>
            </c:numRef>
          </c:cat>
          <c:val>
            <c:numRef>
              <c:f>Price!$G$89:$S$89</c:f>
              <c:numCache>
                <c:formatCode>0</c:formatCode>
                <c:ptCount val="13"/>
                <c:pt idx="0">
                  <c:v>143.82261917180054</c:v>
                </c:pt>
                <c:pt idx="1">
                  <c:v>81.89247117219881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24-6943-AA40-AF778596D5FA}"/>
            </c:ext>
          </c:extLst>
        </c:ser>
        <c:ser>
          <c:idx val="4"/>
          <c:order val="4"/>
          <c:tx>
            <c:strRef>
              <c:f>Price!$F$90</c:f>
              <c:strCache>
                <c:ptCount val="1"/>
                <c:pt idx="0">
                  <c:v>Monitor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Price!$G$85:$S$85</c:f>
              <c:numCache>
                <c:formatCode>General</c:formatCode>
                <c:ptCount val="13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</c:numCache>
            </c:numRef>
          </c:cat>
          <c:val>
            <c:numRef>
              <c:f>Price!$G$90:$S$90</c:f>
              <c:numCache>
                <c:formatCode>0</c:formatCode>
                <c:ptCount val="13"/>
                <c:pt idx="0">
                  <c:v>2406.7466421979198</c:v>
                </c:pt>
                <c:pt idx="1">
                  <c:v>2130.5653860103812</c:v>
                </c:pt>
                <c:pt idx="2">
                  <c:v>1840.4590777532142</c:v>
                </c:pt>
                <c:pt idx="3">
                  <c:v>1587.6346329432924</c:v>
                </c:pt>
                <c:pt idx="4">
                  <c:v>1357.348648821112</c:v>
                </c:pt>
                <c:pt idx="5">
                  <c:v>1154.102054180991</c:v>
                </c:pt>
                <c:pt idx="6">
                  <c:v>804.18414868332729</c:v>
                </c:pt>
                <c:pt idx="7">
                  <c:v>539.48380111390122</c:v>
                </c:pt>
                <c:pt idx="8">
                  <c:v>318.22040095477246</c:v>
                </c:pt>
                <c:pt idx="9">
                  <c:v>142.4332797597626</c:v>
                </c:pt>
                <c:pt idx="10">
                  <c:v>16.221827010930731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124-6943-AA40-AF778596D5FA}"/>
            </c:ext>
          </c:extLst>
        </c:ser>
        <c:ser>
          <c:idx val="5"/>
          <c:order val="5"/>
          <c:tx>
            <c:strRef>
              <c:f>Price!$F$91</c:f>
              <c:strCache>
                <c:ptCount val="1"/>
                <c:pt idx="0">
                  <c:v>Television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Price!$G$85:$S$85</c:f>
              <c:numCache>
                <c:formatCode>General</c:formatCode>
                <c:ptCount val="13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</c:numCache>
            </c:numRef>
          </c:cat>
          <c:val>
            <c:numRef>
              <c:f>Price!$G$91:$S$91</c:f>
              <c:numCache>
                <c:formatCode>0</c:formatCode>
                <c:ptCount val="13"/>
                <c:pt idx="0">
                  <c:v>0</c:v>
                </c:pt>
                <c:pt idx="1">
                  <c:v>2.2886878253286467</c:v>
                </c:pt>
                <c:pt idx="2">
                  <c:v>137.27257483640864</c:v>
                </c:pt>
                <c:pt idx="3">
                  <c:v>253.85666723490615</c:v>
                </c:pt>
                <c:pt idx="4">
                  <c:v>320.14921845255918</c:v>
                </c:pt>
                <c:pt idx="5">
                  <c:v>570.41212974420137</c:v>
                </c:pt>
                <c:pt idx="6">
                  <c:v>721.91171896936476</c:v>
                </c:pt>
                <c:pt idx="7">
                  <c:v>845.98623955978735</c:v>
                </c:pt>
                <c:pt idx="8">
                  <c:v>638.49685520523622</c:v>
                </c:pt>
                <c:pt idx="9">
                  <c:v>465.49099830458158</c:v>
                </c:pt>
                <c:pt idx="10">
                  <c:v>355.79072376561658</c:v>
                </c:pt>
                <c:pt idx="11">
                  <c:v>217.41544922665173</c:v>
                </c:pt>
                <c:pt idx="12">
                  <c:v>110.65620214158314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124-6943-AA40-AF778596D5FA}"/>
            </c:ext>
          </c:extLst>
        </c:ser>
        <c:ser>
          <c:idx val="6"/>
          <c:order val="6"/>
          <c:tx>
            <c:strRef>
              <c:f>Price!$F$92</c:f>
              <c:strCache>
                <c:ptCount val="1"/>
                <c:pt idx="0">
                  <c:v>Television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Price!$G$85:$S$85</c:f>
              <c:numCache>
                <c:formatCode>General</c:formatCode>
                <c:ptCount val="13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</c:numCache>
            </c:numRef>
          </c:cat>
          <c:val>
            <c:numRef>
              <c:f>Price!$G$92:$S$92</c:f>
              <c:numCache>
                <c:formatCode>0</c:formatCode>
                <c:ptCount val="13"/>
                <c:pt idx="0">
                  <c:v>59.706594709557749</c:v>
                </c:pt>
                <c:pt idx="1">
                  <c:v>278.47581754504535</c:v>
                </c:pt>
                <c:pt idx="2">
                  <c:v>417.43066211214324</c:v>
                </c:pt>
                <c:pt idx="3">
                  <c:v>537.48241080478692</c:v>
                </c:pt>
                <c:pt idx="4">
                  <c:v>596.55015688271919</c:v>
                </c:pt>
                <c:pt idx="5">
                  <c:v>861.41754038053273</c:v>
                </c:pt>
                <c:pt idx="6">
                  <c:v>1020.7423158985587</c:v>
                </c:pt>
                <c:pt idx="7">
                  <c:v>1141.6398374945168</c:v>
                </c:pt>
                <c:pt idx="8">
                  <c:v>902.53998411505802</c:v>
                </c:pt>
                <c:pt idx="9">
                  <c:v>718.68913335031129</c:v>
                </c:pt>
                <c:pt idx="10">
                  <c:v>551.34295012380221</c:v>
                </c:pt>
                <c:pt idx="11">
                  <c:v>396.23326951200488</c:v>
                </c:pt>
                <c:pt idx="12">
                  <c:v>279.86792397668222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124-6943-AA40-AF778596D5FA}"/>
            </c:ext>
          </c:extLst>
        </c:ser>
        <c:ser>
          <c:idx val="7"/>
          <c:order val="7"/>
          <c:tx>
            <c:strRef>
              <c:f>Price!$F$93</c:f>
              <c:strCache>
                <c:ptCount val="1"/>
                <c:pt idx="0">
                  <c:v>Television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Price!$G$85:$S$85</c:f>
              <c:numCache>
                <c:formatCode>General</c:formatCode>
                <c:ptCount val="13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</c:numCache>
            </c:numRef>
          </c:cat>
          <c:val>
            <c:numRef>
              <c:f>Price!$G$93:$S$93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61.067962856466394</c:v>
                </c:pt>
                <c:pt idx="4">
                  <c:v>139.25047210049414</c:v>
                </c:pt>
                <c:pt idx="5">
                  <c:v>386.38953779859941</c:v>
                </c:pt>
                <c:pt idx="6">
                  <c:v>528.75119213989524</c:v>
                </c:pt>
                <c:pt idx="7">
                  <c:v>650.51997721746307</c:v>
                </c:pt>
                <c:pt idx="8">
                  <c:v>458.75624760406345</c:v>
                </c:pt>
                <c:pt idx="9">
                  <c:v>322.30213023887967</c:v>
                </c:pt>
                <c:pt idx="10">
                  <c:v>209.20156899780324</c:v>
                </c:pt>
                <c:pt idx="11">
                  <c:v>98.155091942888532</c:v>
                </c:pt>
                <c:pt idx="12">
                  <c:v>19.064671012081309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124-6943-AA40-AF778596D5FA}"/>
            </c:ext>
          </c:extLst>
        </c:ser>
        <c:ser>
          <c:idx val="8"/>
          <c:order val="8"/>
          <c:tx>
            <c:strRef>
              <c:f>Price!$F$94</c:f>
              <c:strCache>
                <c:ptCount val="1"/>
                <c:pt idx="0">
                  <c:v>Television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Price!$G$85:$S$85</c:f>
              <c:numCache>
                <c:formatCode>General</c:formatCode>
                <c:ptCount val="13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</c:numCache>
            </c:numRef>
          </c:cat>
          <c:val>
            <c:numRef>
              <c:f>Price!$G$94:$S$94</c:f>
              <c:numCache>
                <c:formatCode>0</c:formatCode>
                <c:ptCount val="13"/>
                <c:pt idx="0">
                  <c:v>162.18371610032406</c:v>
                </c:pt>
                <c:pt idx="1">
                  <c:v>386.7599551724249</c:v>
                </c:pt>
                <c:pt idx="2">
                  <c:v>527.9700263448392</c:v>
                </c:pt>
                <c:pt idx="3">
                  <c:v>642.49922159248763</c:v>
                </c:pt>
                <c:pt idx="4">
                  <c:v>703.22969663532956</c:v>
                </c:pt>
                <c:pt idx="5">
                  <c:v>980.97781103449427</c:v>
                </c:pt>
                <c:pt idx="6">
                  <c:v>1141.7474071640659</c:v>
                </c:pt>
                <c:pt idx="7">
                  <c:v>1268.9427964639622</c:v>
                </c:pt>
                <c:pt idx="8">
                  <c:v>1008.0586333458833</c:v>
                </c:pt>
                <c:pt idx="9">
                  <c:v>797.97274882759552</c:v>
                </c:pt>
                <c:pt idx="10">
                  <c:v>627.21514290909909</c:v>
                </c:pt>
                <c:pt idx="11">
                  <c:v>464.24331559039359</c:v>
                </c:pt>
                <c:pt idx="12">
                  <c:v>334.6179554315633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124-6943-AA40-AF778596D5FA}"/>
            </c:ext>
          </c:extLst>
        </c:ser>
        <c:ser>
          <c:idx val="9"/>
          <c:order val="9"/>
          <c:tx>
            <c:strRef>
              <c:f>Price!$F$95</c:f>
              <c:strCache>
                <c:ptCount val="1"/>
                <c:pt idx="0">
                  <c:v>Television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Price!$G$85:$S$85</c:f>
              <c:numCache>
                <c:formatCode>General</c:formatCode>
                <c:ptCount val="13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</c:numCache>
            </c:numRef>
          </c:cat>
          <c:val>
            <c:numRef>
              <c:f>Price!$G$95:$S$95</c:f>
              <c:numCache>
                <c:formatCode>0</c:formatCode>
                <c:ptCount val="13"/>
                <c:pt idx="0">
                  <c:v>246.6833682427802</c:v>
                </c:pt>
                <c:pt idx="1">
                  <c:v>472.77736379439546</c:v>
                </c:pt>
                <c:pt idx="2">
                  <c:v>613.60624804664201</c:v>
                </c:pt>
                <c:pt idx="3">
                  <c:v>727.52321382163723</c:v>
                </c:pt>
                <c:pt idx="4">
                  <c:v>787.27725110303629</c:v>
                </c:pt>
                <c:pt idx="5">
                  <c:v>1067.8165193351144</c:v>
                </c:pt>
                <c:pt idx="6">
                  <c:v>1228.158653451153</c:v>
                </c:pt>
                <c:pt idx="7">
                  <c:v>1354.1688676979513</c:v>
                </c:pt>
                <c:pt idx="8">
                  <c:v>1085.0923484825053</c:v>
                </c:pt>
                <c:pt idx="9">
                  <c:v>868.5346091798865</c:v>
                </c:pt>
                <c:pt idx="10">
                  <c:v>693.02564979009526</c:v>
                </c:pt>
                <c:pt idx="11">
                  <c:v>521.56850175415593</c:v>
                </c:pt>
                <c:pt idx="12">
                  <c:v>388.85369651309315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124-6943-AA40-AF778596D5FA}"/>
            </c:ext>
          </c:extLst>
        </c:ser>
        <c:ser>
          <c:idx val="10"/>
          <c:order val="10"/>
          <c:tx>
            <c:strRef>
              <c:f>Price!$F$96</c:f>
              <c:strCache>
                <c:ptCount val="1"/>
                <c:pt idx="0">
                  <c:v>Television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Price!$G$85:$S$85</c:f>
              <c:numCache>
                <c:formatCode>General</c:formatCode>
                <c:ptCount val="13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</c:numCache>
            </c:numRef>
          </c:cat>
          <c:val>
            <c:numRef>
              <c:f>Price!$G$96:$S$96</c:f>
              <c:numCache>
                <c:formatCode>0</c:formatCode>
                <c:ptCount val="13"/>
                <c:pt idx="0">
                  <c:v>648.60696340013908</c:v>
                </c:pt>
                <c:pt idx="1">
                  <c:v>956.29554729046322</c:v>
                </c:pt>
                <c:pt idx="2">
                  <c:v>1173.4716506755422</c:v>
                </c:pt>
                <c:pt idx="3">
                  <c:v>1355.3985951649054</c:v>
                </c:pt>
                <c:pt idx="4">
                  <c:v>1475.8335951649051</c:v>
                </c:pt>
                <c:pt idx="5">
                  <c:v>1875.5065532017713</c:v>
                </c:pt>
                <c:pt idx="6">
                  <c:v>2141.210270141542</c:v>
                </c:pt>
                <c:pt idx="7">
                  <c:v>2356.349057424135</c:v>
                </c:pt>
                <c:pt idx="8">
                  <c:v>2043.5447455799529</c:v>
                </c:pt>
                <c:pt idx="9">
                  <c:v>1782.4137710219577</c:v>
                </c:pt>
                <c:pt idx="10">
                  <c:v>1561.4861337501486</c:v>
                </c:pt>
                <c:pt idx="11">
                  <c:v>1339.8853744429791</c:v>
                </c:pt>
                <c:pt idx="12">
                  <c:v>1157.7564931004492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124-6943-AA40-AF778596D5FA}"/>
            </c:ext>
          </c:extLst>
        </c:ser>
        <c:ser>
          <c:idx val="11"/>
          <c:order val="11"/>
          <c:tx>
            <c:strRef>
              <c:f>Price!$F$97</c:f>
              <c:strCache>
                <c:ptCount val="1"/>
                <c:pt idx="0">
                  <c:v>Television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numRef>
              <c:f>Price!$G$85:$S$85</c:f>
              <c:numCache>
                <c:formatCode>General</c:formatCode>
                <c:ptCount val="13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</c:numCache>
            </c:numRef>
          </c:cat>
          <c:val>
            <c:numRef>
              <c:f>Price!$G$97:$S$97</c:f>
              <c:numCache>
                <c:formatCode>0</c:formatCode>
                <c:ptCount val="13"/>
                <c:pt idx="0">
                  <c:v>618.16874032053772</c:v>
                </c:pt>
                <c:pt idx="1">
                  <c:v>924.45710410982724</c:v>
                </c:pt>
                <c:pt idx="2">
                  <c:v>1141.9979335960318</c:v>
                </c:pt>
                <c:pt idx="3">
                  <c:v>1324.4047642444025</c:v>
                </c:pt>
                <c:pt idx="4">
                  <c:v>1445.849386669664</c:v>
                </c:pt>
                <c:pt idx="5">
                  <c:v>1841.7706508756582</c:v>
                </c:pt>
                <c:pt idx="6">
                  <c:v>2105.489197721758</c:v>
                </c:pt>
                <c:pt idx="7">
                  <c:v>2321.4741747995226</c:v>
                </c:pt>
                <c:pt idx="8">
                  <c:v>2012.3726531999896</c:v>
                </c:pt>
                <c:pt idx="9">
                  <c:v>1753.9550389098861</c:v>
                </c:pt>
                <c:pt idx="10">
                  <c:v>1534.7513319292118</c:v>
                </c:pt>
                <c:pt idx="11">
                  <c:v>1315.142052855871</c:v>
                </c:pt>
                <c:pt idx="12">
                  <c:v>1135.2722016898651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124-6943-AA40-AF778596D5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9128431"/>
        <c:axId val="906569967"/>
      </c:lineChart>
      <c:catAx>
        <c:axId val="849128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906569967"/>
        <c:crosses val="autoZero"/>
        <c:auto val="1"/>
        <c:lblAlgn val="ctr"/>
        <c:lblOffset val="100"/>
        <c:noMultiLvlLbl val="0"/>
      </c:catAx>
      <c:valAx>
        <c:axId val="90656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849128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Price!$X$31</c:f>
              <c:strCache>
                <c:ptCount val="1"/>
                <c:pt idx="0">
                  <c:v>Notebook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Price!$Y$31:$AK$31</c:f>
              <c:numCache>
                <c:formatCode>General</c:formatCode>
                <c:ptCount val="13"/>
                <c:pt idx="0">
                  <c:v>73.125</c:v>
                </c:pt>
                <c:pt idx="1">
                  <c:v>62</c:v>
                </c:pt>
                <c:pt idx="2">
                  <c:v>53.125</c:v>
                </c:pt>
                <c:pt idx="3">
                  <c:v>44.55</c:v>
                </c:pt>
                <c:pt idx="4">
                  <c:v>38</c:v>
                </c:pt>
                <c:pt idx="5">
                  <c:v>30.4</c:v>
                </c:pt>
                <c:pt idx="6">
                  <c:v>24.224999999999998</c:v>
                </c:pt>
                <c:pt idx="7">
                  <c:v>19.474999999999998</c:v>
                </c:pt>
                <c:pt idx="8">
                  <c:v>15.2</c:v>
                </c:pt>
                <c:pt idx="9">
                  <c:v>11.875</c:v>
                </c:pt>
                <c:pt idx="10">
                  <c:v>9.5</c:v>
                </c:pt>
                <c:pt idx="11">
                  <c:v>8.0749999999999993</c:v>
                </c:pt>
                <c:pt idx="12">
                  <c:v>6.6499999999999995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C1-D545-9963-96C12BCEF993}"/>
            </c:ext>
          </c:extLst>
        </c:ser>
        <c:ser>
          <c:idx val="1"/>
          <c:order val="1"/>
          <c:tx>
            <c:strRef>
              <c:f>Price!$X$32</c:f>
              <c:strCache>
                <c:ptCount val="1"/>
                <c:pt idx="0">
                  <c:v>Monitor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Price!$Y$32:$AK$32</c:f>
              <c:numCache>
                <c:formatCode>General</c:formatCode>
                <c:ptCount val="13"/>
                <c:pt idx="0">
                  <c:v>178.73333333333332</c:v>
                </c:pt>
                <c:pt idx="1">
                  <c:v>162.75</c:v>
                </c:pt>
                <c:pt idx="2">
                  <c:v>147.46666666666667</c:v>
                </c:pt>
                <c:pt idx="3">
                  <c:v>132.88333333333333</c:v>
                </c:pt>
                <c:pt idx="4">
                  <c:v>119.40000000000002</c:v>
                </c:pt>
                <c:pt idx="5">
                  <c:v>107.35000000000001</c:v>
                </c:pt>
                <c:pt idx="6">
                  <c:v>90.883333333333326</c:v>
                </c:pt>
                <c:pt idx="7">
                  <c:v>76.95</c:v>
                </c:pt>
                <c:pt idx="8">
                  <c:v>66.183333333333337</c:v>
                </c:pt>
                <c:pt idx="9">
                  <c:v>56.366666666666653</c:v>
                </c:pt>
                <c:pt idx="10">
                  <c:v>48.133333333333326</c:v>
                </c:pt>
                <c:pt idx="11">
                  <c:v>40.85</c:v>
                </c:pt>
                <c:pt idx="12">
                  <c:v>34.833333333333336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C1-D545-9963-96C12BCEF993}"/>
            </c:ext>
          </c:extLst>
        </c:ser>
        <c:ser>
          <c:idx val="2"/>
          <c:order val="2"/>
          <c:tx>
            <c:strRef>
              <c:f>Price!$X$33</c:f>
              <c:strCache>
                <c:ptCount val="1"/>
                <c:pt idx="0">
                  <c:v>Television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Price!$Y$33:$AK$33</c:f>
              <c:numCache>
                <c:formatCode>General</c:formatCode>
                <c:ptCount val="13"/>
                <c:pt idx="0">
                  <c:v>310.92857142857144</c:v>
                </c:pt>
                <c:pt idx="1">
                  <c:v>323.05</c:v>
                </c:pt>
                <c:pt idx="2">
                  <c:v>328.68571428571431</c:v>
                </c:pt>
                <c:pt idx="3">
                  <c:v>329.40000000000003</c:v>
                </c:pt>
                <c:pt idx="4">
                  <c:v>325.92857142857144</c:v>
                </c:pt>
                <c:pt idx="5">
                  <c:v>348.42857142857144</c:v>
                </c:pt>
                <c:pt idx="6">
                  <c:v>362.2</c:v>
                </c:pt>
                <c:pt idx="7">
                  <c:v>368.80000000000007</c:v>
                </c:pt>
                <c:pt idx="8">
                  <c:v>328.80000000000007</c:v>
                </c:pt>
                <c:pt idx="9">
                  <c:v>293.02857142857141</c:v>
                </c:pt>
                <c:pt idx="10">
                  <c:v>261.25714285714287</c:v>
                </c:pt>
                <c:pt idx="11">
                  <c:v>232.91428571428568</c:v>
                </c:pt>
                <c:pt idx="12">
                  <c:v>207.54285714285717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C1-D545-9963-96C12BCEF9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9979263"/>
        <c:axId val="906094799"/>
      </c:lineChart>
      <c:catAx>
        <c:axId val="9399792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906094799"/>
        <c:crosses val="autoZero"/>
        <c:auto val="1"/>
        <c:lblAlgn val="ctr"/>
        <c:lblOffset val="100"/>
        <c:noMultiLvlLbl val="0"/>
      </c:catAx>
      <c:valAx>
        <c:axId val="906094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939979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0.10958333333333334"/>
          <c:y val="0.16243073782443862"/>
          <c:w val="0.84597222222222224"/>
          <c:h val="0.6150681685622631"/>
        </c:manualLayout>
      </c:layout>
      <c:lineChart>
        <c:grouping val="standard"/>
        <c:varyColors val="0"/>
        <c:ser>
          <c:idx val="0"/>
          <c:order val="0"/>
          <c:tx>
            <c:strRef>
              <c:f>Price!$G$19</c:f>
              <c:strCache>
                <c:ptCount val="1"/>
                <c:pt idx="0">
                  <c:v>Notebook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Price!$H$18:$T$18</c:f>
              <c:numCache>
                <c:formatCode>General</c:formatCode>
                <c:ptCount val="13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</c:numCache>
            </c:numRef>
          </c:cat>
          <c:val>
            <c:numRef>
              <c:f>Price!$H$19:$T$19</c:f>
              <c:numCache>
                <c:formatCode>0.00</c:formatCode>
                <c:ptCount val="13"/>
                <c:pt idx="0">
                  <c:v>97.5</c:v>
                </c:pt>
                <c:pt idx="1">
                  <c:v>77.5</c:v>
                </c:pt>
                <c:pt idx="2">
                  <c:v>62.5</c:v>
                </c:pt>
                <c:pt idx="3">
                  <c:v>49.5</c:v>
                </c:pt>
                <c:pt idx="4">
                  <c:v>40</c:v>
                </c:pt>
                <c:pt idx="5">
                  <c:v>32</c:v>
                </c:pt>
                <c:pt idx="6">
                  <c:v>25.5</c:v>
                </c:pt>
                <c:pt idx="7">
                  <c:v>20.5</c:v>
                </c:pt>
                <c:pt idx="8">
                  <c:v>16</c:v>
                </c:pt>
                <c:pt idx="9">
                  <c:v>12.5</c:v>
                </c:pt>
                <c:pt idx="10">
                  <c:v>10</c:v>
                </c:pt>
                <c:pt idx="11">
                  <c:v>8.5</c:v>
                </c:pt>
                <c:pt idx="12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40-FB42-A869-D6C221B5258B}"/>
            </c:ext>
          </c:extLst>
        </c:ser>
        <c:ser>
          <c:idx val="1"/>
          <c:order val="1"/>
          <c:tx>
            <c:strRef>
              <c:f>Price!$G$20</c:f>
              <c:strCache>
                <c:ptCount val="1"/>
                <c:pt idx="0">
                  <c:v>Monitor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Price!$H$18:$T$18</c:f>
              <c:numCache>
                <c:formatCode>General</c:formatCode>
                <c:ptCount val="13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</c:numCache>
            </c:numRef>
          </c:cat>
          <c:val>
            <c:numRef>
              <c:f>Price!$H$20:$T$20</c:f>
              <c:numCache>
                <c:formatCode>0.00</c:formatCode>
                <c:ptCount val="13"/>
                <c:pt idx="0">
                  <c:v>255.33333333333334</c:v>
                </c:pt>
                <c:pt idx="1">
                  <c:v>217</c:v>
                </c:pt>
                <c:pt idx="2">
                  <c:v>184.33333333333334</c:v>
                </c:pt>
                <c:pt idx="3">
                  <c:v>156.33333333333334</c:v>
                </c:pt>
                <c:pt idx="4">
                  <c:v>132.66666666666666</c:v>
                </c:pt>
                <c:pt idx="5">
                  <c:v>113</c:v>
                </c:pt>
                <c:pt idx="6">
                  <c:v>95.666666666666671</c:v>
                </c:pt>
                <c:pt idx="7">
                  <c:v>81</c:v>
                </c:pt>
                <c:pt idx="8">
                  <c:v>69.666666666666671</c:v>
                </c:pt>
                <c:pt idx="9">
                  <c:v>59.333333333333336</c:v>
                </c:pt>
                <c:pt idx="10">
                  <c:v>50.666666666666664</c:v>
                </c:pt>
                <c:pt idx="11">
                  <c:v>43</c:v>
                </c:pt>
                <c:pt idx="12">
                  <c:v>36.666666666666664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40-FB42-A869-D6C221B5258B}"/>
            </c:ext>
          </c:extLst>
        </c:ser>
        <c:ser>
          <c:idx val="2"/>
          <c:order val="2"/>
          <c:tx>
            <c:strRef>
              <c:f>Price!$G$21</c:f>
              <c:strCache>
                <c:ptCount val="1"/>
                <c:pt idx="0">
                  <c:v>Television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Price!$H$18:$T$18</c:f>
              <c:numCache>
                <c:formatCode>General</c:formatCode>
                <c:ptCount val="13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</c:numCache>
            </c:numRef>
          </c:cat>
          <c:val>
            <c:numRef>
              <c:f>Price!$H$21:$T$21</c:f>
              <c:numCache>
                <c:formatCode>0.00</c:formatCode>
                <c:ptCount val="13"/>
                <c:pt idx="0">
                  <c:v>1036.4285714285713</c:v>
                </c:pt>
                <c:pt idx="1">
                  <c:v>923</c:v>
                </c:pt>
                <c:pt idx="2">
                  <c:v>821.71428571428567</c:v>
                </c:pt>
                <c:pt idx="3">
                  <c:v>732</c:v>
                </c:pt>
                <c:pt idx="4">
                  <c:v>651.85714285714289</c:v>
                </c:pt>
                <c:pt idx="5">
                  <c:v>580.71428571428567</c:v>
                </c:pt>
                <c:pt idx="6">
                  <c:v>517.42857142857144</c:v>
                </c:pt>
                <c:pt idx="7">
                  <c:v>461</c:v>
                </c:pt>
                <c:pt idx="8">
                  <c:v>411</c:v>
                </c:pt>
                <c:pt idx="9">
                  <c:v>366.28571428571428</c:v>
                </c:pt>
                <c:pt idx="10">
                  <c:v>326.57142857142856</c:v>
                </c:pt>
                <c:pt idx="11">
                  <c:v>291.14285714285717</c:v>
                </c:pt>
                <c:pt idx="12">
                  <c:v>259.42857142857144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40-FB42-A869-D6C221B525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6084879"/>
        <c:axId val="942080783"/>
      </c:lineChart>
      <c:catAx>
        <c:axId val="906084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942080783"/>
        <c:crosses val="autoZero"/>
        <c:auto val="1"/>
        <c:lblAlgn val="ctr"/>
        <c:lblOffset val="100"/>
        <c:noMultiLvlLbl val="0"/>
      </c:catAx>
      <c:valAx>
        <c:axId val="942080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906084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Price!$AM$31</c:f>
              <c:strCache>
                <c:ptCount val="1"/>
                <c:pt idx="0">
                  <c:v>Notebook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Price!$AN$30:$AY$30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</c:numCache>
            </c:numRef>
          </c:cat>
          <c:val>
            <c:numRef>
              <c:f>Price!$AN$31:$AY$31</c:f>
              <c:numCache>
                <c:formatCode>General</c:formatCode>
                <c:ptCount val="12"/>
                <c:pt idx="0">
                  <c:v>1883.4912984569196</c:v>
                </c:pt>
                <c:pt idx="1">
                  <c:v>1596.9430496318498</c:v>
                </c:pt>
                <c:pt idx="2">
                  <c:v>1368.348379220839</c:v>
                </c:pt>
                <c:pt idx="3">
                  <c:v>1147.4808525983694</c:v>
                </c:pt>
                <c:pt idx="4">
                  <c:v>978.77154654855315</c:v>
                </c:pt>
                <c:pt idx="5">
                  <c:v>783.01723723884243</c:v>
                </c:pt>
                <c:pt idx="6">
                  <c:v>623.96686092470259</c:v>
                </c:pt>
                <c:pt idx="7">
                  <c:v>501.6204176061334</c:v>
                </c:pt>
                <c:pt idx="8">
                  <c:v>391.50861861942121</c:v>
                </c:pt>
                <c:pt idx="9">
                  <c:v>244.69288663713829</c:v>
                </c:pt>
                <c:pt idx="10">
                  <c:v>207.98895364156752</c:v>
                </c:pt>
                <c:pt idx="11">
                  <c:v>171.28502064599678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8A-8240-A83B-1F7DF12424E0}"/>
            </c:ext>
          </c:extLst>
        </c:ser>
        <c:ser>
          <c:idx val="1"/>
          <c:order val="1"/>
          <c:tx>
            <c:strRef>
              <c:f>Price!$AM$32</c:f>
              <c:strCache>
                <c:ptCount val="1"/>
                <c:pt idx="0">
                  <c:v>Monitor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Price!$AN$30:$AY$30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</c:numCache>
            </c:numRef>
          </c:cat>
          <c:val>
            <c:numRef>
              <c:f>Price!$AN$32:$AY$32</c:f>
              <c:numCache>
                <c:formatCode>General</c:formatCode>
                <c:ptCount val="12"/>
                <c:pt idx="0">
                  <c:v>1383.943591624788</c:v>
                </c:pt>
                <c:pt idx="1">
                  <c:v>1260.1836229220492</c:v>
                </c:pt>
                <c:pt idx="2">
                  <c:v>1141.8437988340288</c:v>
                </c:pt>
                <c:pt idx="3">
                  <c:v>1028.9241193607268</c:v>
                </c:pt>
                <c:pt idx="4">
                  <c:v>924.52180999626853</c:v>
                </c:pt>
                <c:pt idx="5">
                  <c:v>831.21789198575721</c:v>
                </c:pt>
                <c:pt idx="6">
                  <c:v>703.71544247761733</c:v>
                </c:pt>
                <c:pt idx="7">
                  <c:v>595.8287544322684</c:v>
                </c:pt>
                <c:pt idx="8">
                  <c:v>512.4617682154078</c:v>
                </c:pt>
                <c:pt idx="9">
                  <c:v>372.69946779302381</c:v>
                </c:pt>
                <c:pt idx="10">
                  <c:v>316.30415358750054</c:v>
                </c:pt>
                <c:pt idx="11">
                  <c:v>269.71672011337256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8A-8240-A83B-1F7DF12424E0}"/>
            </c:ext>
          </c:extLst>
        </c:ser>
        <c:ser>
          <c:idx val="2"/>
          <c:order val="2"/>
          <c:tx>
            <c:strRef>
              <c:f>Price!$AM$33</c:f>
              <c:strCache>
                <c:ptCount val="1"/>
                <c:pt idx="0">
                  <c:v>Television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Price!$AN$30:$AY$30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</c:numCache>
            </c:numRef>
          </c:cat>
          <c:val>
            <c:numRef>
              <c:f>Price!$AN$33:$AY$33</c:f>
              <c:numCache>
                <c:formatCode>General</c:formatCode>
                <c:ptCount val="12"/>
                <c:pt idx="0">
                  <c:v>945.98667326458974</c:v>
                </c:pt>
                <c:pt idx="1">
                  <c:v>982.86559319406388</c:v>
                </c:pt>
                <c:pt idx="2">
                  <c:v>1000.012009118846</c:v>
                </c:pt>
                <c:pt idx="3">
                  <c:v>1002.1851923792747</c:v>
                </c:pt>
                <c:pt idx="4">
                  <c:v>991.62352173359136</c:v>
                </c:pt>
                <c:pt idx="5">
                  <c:v>1060.0787944370936</c:v>
                </c:pt>
                <c:pt idx="6">
                  <c:v>1101.977767698158</c:v>
                </c:pt>
                <c:pt idx="7">
                  <c:v>1122.0579810245188</c:v>
                </c:pt>
                <c:pt idx="8">
                  <c:v>1000.3597184405147</c:v>
                </c:pt>
                <c:pt idx="9">
                  <c:v>794.86350933438166</c:v>
                </c:pt>
                <c:pt idx="10">
                  <c:v>708.63159756057291</c:v>
                </c:pt>
                <c:pt idx="11">
                  <c:v>631.44012815014753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8A-8240-A83B-1F7DF12424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8462399"/>
        <c:axId val="944870703"/>
      </c:lineChart>
      <c:catAx>
        <c:axId val="908462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944870703"/>
        <c:crosses val="autoZero"/>
        <c:auto val="1"/>
        <c:lblAlgn val="ctr"/>
        <c:lblOffset val="100"/>
        <c:noMultiLvlLbl val="0"/>
      </c:catAx>
      <c:valAx>
        <c:axId val="944870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908462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Profitability per product</a:t>
            </a:r>
            <a:r>
              <a:rPr lang="en-GB" baseline="0"/>
              <a:t> type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0.10914505623790725"/>
          <c:y val="0.11552346570397112"/>
          <c:w val="0.8674526035280693"/>
          <c:h val="0.71023366212797412"/>
        </c:manualLayout>
      </c:layout>
      <c:lineChart>
        <c:grouping val="standard"/>
        <c:varyColors val="0"/>
        <c:ser>
          <c:idx val="0"/>
          <c:order val="0"/>
          <c:tx>
            <c:strRef>
              <c:f>Price!$AM$37</c:f>
              <c:strCache>
                <c:ptCount val="1"/>
                <c:pt idx="0">
                  <c:v>Notebook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Price!$AN$36:$AY$36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</c:numCache>
            </c:numRef>
          </c:cat>
          <c:val>
            <c:numRef>
              <c:f>Price!$AN$37:$AY$37</c:f>
              <c:numCache>
                <c:formatCode>_-* #,##0_-;\-* #,##0_-;_-* "-"??_-;_-@_-</c:formatCode>
                <c:ptCount val="12"/>
                <c:pt idx="0">
                  <c:v>1046.4912984569196</c:v>
                </c:pt>
                <c:pt idx="1">
                  <c:v>813.94304963184982</c:v>
                </c:pt>
                <c:pt idx="2">
                  <c:v>629.34837922083898</c:v>
                </c:pt>
                <c:pt idx="3">
                  <c:v>457.48085259836944</c:v>
                </c:pt>
                <c:pt idx="4">
                  <c:v>330.77154654855315</c:v>
                </c:pt>
                <c:pt idx="5">
                  <c:v>181.01723723884243</c:v>
                </c:pt>
                <c:pt idx="6">
                  <c:v>51.966860924702587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CA-AF40-8C80-540B3A7C6D0F}"/>
            </c:ext>
          </c:extLst>
        </c:ser>
        <c:ser>
          <c:idx val="1"/>
          <c:order val="1"/>
          <c:tx>
            <c:strRef>
              <c:f>Price!$AM$38</c:f>
              <c:strCache>
                <c:ptCount val="1"/>
                <c:pt idx="0">
                  <c:v>Monitor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Price!$AN$36:$AY$36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</c:numCache>
            </c:numRef>
          </c:cat>
          <c:val>
            <c:numRef>
              <c:f>Price!$AN$38:$AY$38</c:f>
              <c:numCache>
                <c:formatCode>_-* #,##0_-;\-* #,##0_-;_-* "-"??_-;_-@_-</c:formatCode>
                <c:ptCount val="12"/>
                <c:pt idx="0">
                  <c:v>546.94359162478804</c:v>
                </c:pt>
                <c:pt idx="1">
                  <c:v>477.18362292204915</c:v>
                </c:pt>
                <c:pt idx="2">
                  <c:v>402.8437988340288</c:v>
                </c:pt>
                <c:pt idx="3">
                  <c:v>338.92411936072676</c:v>
                </c:pt>
                <c:pt idx="4">
                  <c:v>276.52180999626853</c:v>
                </c:pt>
                <c:pt idx="5">
                  <c:v>229.21789198575721</c:v>
                </c:pt>
                <c:pt idx="6">
                  <c:v>131.71544247761733</c:v>
                </c:pt>
                <c:pt idx="7">
                  <c:v>61.828754432268397</c:v>
                </c:pt>
                <c:pt idx="8">
                  <c:v>4.4617682154078011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CA-AF40-8C80-540B3A7C6D0F}"/>
            </c:ext>
          </c:extLst>
        </c:ser>
        <c:ser>
          <c:idx val="2"/>
          <c:order val="2"/>
          <c:tx>
            <c:strRef>
              <c:f>Price!$AM$39</c:f>
              <c:strCache>
                <c:ptCount val="1"/>
                <c:pt idx="0">
                  <c:v>Television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Price!$AN$36:$AY$36</c:f>
              <c:numCache>
                <c:formatCode>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</c:numCache>
            </c:numRef>
          </c:cat>
          <c:val>
            <c:numRef>
              <c:f>Price!$AN$39:$AY$39</c:f>
              <c:numCache>
                <c:formatCode>_-* #,##0_-;\-* #,##0_-;_-* "-"??_-;_-@_-</c:formatCode>
                <c:ptCount val="12"/>
                <c:pt idx="0">
                  <c:v>108.98667326458974</c:v>
                </c:pt>
                <c:pt idx="1">
                  <c:v>199.86559319406388</c:v>
                </c:pt>
                <c:pt idx="2">
                  <c:v>261.01200911884598</c:v>
                </c:pt>
                <c:pt idx="3">
                  <c:v>312.18519237927467</c:v>
                </c:pt>
                <c:pt idx="4">
                  <c:v>343.62352173359136</c:v>
                </c:pt>
                <c:pt idx="5">
                  <c:v>458.07879443709362</c:v>
                </c:pt>
                <c:pt idx="6">
                  <c:v>529.977767698158</c:v>
                </c:pt>
                <c:pt idx="7">
                  <c:v>588.05798102451877</c:v>
                </c:pt>
                <c:pt idx="8">
                  <c:v>492.35971844051471</c:v>
                </c:pt>
                <c:pt idx="9">
                  <c:v>349.86350933438166</c:v>
                </c:pt>
                <c:pt idx="10">
                  <c:v>285.63159756057291</c:v>
                </c:pt>
                <c:pt idx="11">
                  <c:v>234.44012815014753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CA-AF40-8C80-540B3A7C6D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5639567"/>
        <c:axId val="941040031"/>
      </c:lineChart>
      <c:catAx>
        <c:axId val="895639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(years)</a:t>
                </a:r>
              </a:p>
            </c:rich>
          </c:tx>
          <c:layout>
            <c:manualLayout>
              <c:xMode val="edge"/>
              <c:yMode val="edge"/>
              <c:x val="0.49054012487862964"/>
              <c:y val="0.905865431081042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941040031"/>
        <c:crosses val="autoZero"/>
        <c:auto val="1"/>
        <c:lblAlgn val="ctr"/>
        <c:lblOffset val="100"/>
        <c:noMultiLvlLbl val="0"/>
      </c:catAx>
      <c:valAx>
        <c:axId val="941040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Profitability</a:t>
                </a:r>
                <a:r>
                  <a:rPr lang="en-GB" baseline="0"/>
                  <a:t> per square meter of substrate (€)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1.4401440144014401E-2"/>
              <c:y val="0.136921743085363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895639567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3869068796643435"/>
          <c:y val="0.1881940930668865"/>
          <c:w val="0.51325768797352178"/>
          <c:h val="8.2564029676795811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Yield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Costs!$G$18:$S$18</c:f>
              <c:numCache>
                <c:formatCode>General</c:formatCode>
                <c:ptCount val="13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</c:numCache>
            </c:numRef>
          </c:cat>
          <c:val>
            <c:numRef>
              <c:f>Costs!$G$19:$S$19</c:f>
              <c:numCache>
                <c:formatCode>0%</c:formatCode>
                <c:ptCount val="13"/>
                <c:pt idx="0">
                  <c:v>0.75</c:v>
                </c:pt>
                <c:pt idx="1">
                  <c:v>0.8</c:v>
                </c:pt>
                <c:pt idx="2">
                  <c:v>0.85</c:v>
                </c:pt>
                <c:pt idx="3">
                  <c:v>0.9</c:v>
                </c:pt>
                <c:pt idx="4">
                  <c:v>0.95</c:v>
                </c:pt>
                <c:pt idx="5">
                  <c:v>0.95</c:v>
                </c:pt>
                <c:pt idx="6">
                  <c:v>0.95</c:v>
                </c:pt>
                <c:pt idx="7">
                  <c:v>0.95</c:v>
                </c:pt>
                <c:pt idx="8">
                  <c:v>0.95</c:v>
                </c:pt>
                <c:pt idx="9">
                  <c:v>0.95</c:v>
                </c:pt>
                <c:pt idx="10">
                  <c:v>0.95</c:v>
                </c:pt>
                <c:pt idx="11">
                  <c:v>0.95</c:v>
                </c:pt>
                <c:pt idx="12">
                  <c:v>0.95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7C-254C-86F3-4F83136E75C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Costs!$G$18:$S$18</c:f>
              <c:numCache>
                <c:formatCode>General</c:formatCode>
                <c:ptCount val="13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</c:numCache>
            </c:numRef>
          </c:cat>
          <c:val>
            <c:numRef>
              <c:f>Costs!$G$20:$S$20</c:f>
              <c:numCache>
                <c:formatCode>0%</c:formatCode>
                <c:ptCount val="13"/>
                <c:pt idx="0">
                  <c:v>0.7</c:v>
                </c:pt>
                <c:pt idx="1">
                  <c:v>0.75</c:v>
                </c:pt>
                <c:pt idx="2">
                  <c:v>0.8</c:v>
                </c:pt>
                <c:pt idx="3">
                  <c:v>0.85</c:v>
                </c:pt>
                <c:pt idx="4">
                  <c:v>0.9</c:v>
                </c:pt>
                <c:pt idx="5">
                  <c:v>0.95</c:v>
                </c:pt>
                <c:pt idx="6">
                  <c:v>0.95</c:v>
                </c:pt>
                <c:pt idx="7">
                  <c:v>0.95</c:v>
                </c:pt>
                <c:pt idx="8">
                  <c:v>0.95</c:v>
                </c:pt>
                <c:pt idx="9">
                  <c:v>0.95</c:v>
                </c:pt>
                <c:pt idx="10">
                  <c:v>0.95</c:v>
                </c:pt>
                <c:pt idx="11">
                  <c:v>0.95</c:v>
                </c:pt>
                <c:pt idx="12">
                  <c:v>0.95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7C-254C-86F3-4F83136E75C9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Costs!$G$18:$S$18</c:f>
              <c:numCache>
                <c:formatCode>General</c:formatCode>
                <c:ptCount val="13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</c:numCache>
            </c:numRef>
          </c:cat>
          <c:val>
            <c:numRef>
              <c:f>Costs!$G$21:$S$21</c:f>
              <c:numCache>
                <c:formatCode>0%</c:formatCode>
                <c:ptCount val="13"/>
                <c:pt idx="0">
                  <c:v>0.3</c:v>
                </c:pt>
                <c:pt idx="1">
                  <c:v>0.35</c:v>
                </c:pt>
                <c:pt idx="2">
                  <c:v>0.4</c:v>
                </c:pt>
                <c:pt idx="3">
                  <c:v>0.45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0.8</c:v>
                </c:pt>
                <c:pt idx="9">
                  <c:v>0.8</c:v>
                </c:pt>
                <c:pt idx="10">
                  <c:v>0.8</c:v>
                </c:pt>
                <c:pt idx="11">
                  <c:v>0.8</c:v>
                </c:pt>
                <c:pt idx="12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7C-254C-86F3-4F83136E75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1934271"/>
        <c:axId val="891756479"/>
      </c:lineChart>
      <c:catAx>
        <c:axId val="851934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891756479"/>
        <c:crosses val="autoZero"/>
        <c:auto val="1"/>
        <c:lblAlgn val="ctr"/>
        <c:lblOffset val="100"/>
        <c:noMultiLvlLbl val="0"/>
      </c:catAx>
      <c:valAx>
        <c:axId val="891756479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851934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381000</xdr:colOff>
      <xdr:row>109</xdr:row>
      <xdr:rowOff>0</xdr:rowOff>
    </xdr:from>
    <xdr:to>
      <xdr:col>20</xdr:col>
      <xdr:colOff>88900</xdr:colOff>
      <xdr:row>132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ACA9967-3A7A-DE4A-BF48-08CB243499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1333500</xdr:colOff>
      <xdr:row>123</xdr:row>
      <xdr:rowOff>177800</xdr:rowOff>
    </xdr:from>
    <xdr:to>
      <xdr:col>11</xdr:col>
      <xdr:colOff>482600</xdr:colOff>
      <xdr:row>129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C69FF5E-342A-CB4A-A6EC-E7EF0D26D6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361950</xdr:colOff>
      <xdr:row>1</xdr:row>
      <xdr:rowOff>101600</xdr:rowOff>
    </xdr:from>
    <xdr:to>
      <xdr:col>34</xdr:col>
      <xdr:colOff>222250</xdr:colOff>
      <xdr:row>15</xdr:row>
      <xdr:rowOff>177800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965AC26-D38E-6C46-B3B3-9187E7F074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508000</xdr:colOff>
      <xdr:row>19</xdr:row>
      <xdr:rowOff>50800</xdr:rowOff>
    </xdr:from>
    <xdr:to>
      <xdr:col>6</xdr:col>
      <xdr:colOff>12700</xdr:colOff>
      <xdr:row>32</xdr:row>
      <xdr:rowOff>127000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208BC7A-C42C-DE47-9A4B-1995481CE1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38</xdr:col>
      <xdr:colOff>603250</xdr:colOff>
      <xdr:row>23</xdr:row>
      <xdr:rowOff>152400</xdr:rowOff>
    </xdr:from>
    <xdr:to>
      <xdr:col>45</xdr:col>
      <xdr:colOff>463550</xdr:colOff>
      <xdr:row>37</xdr:row>
      <xdr:rowOff>38100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855E1A2-8E0A-0246-8B49-929B2489DA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45</xdr:col>
      <xdr:colOff>387350</xdr:colOff>
      <xdr:row>22</xdr:row>
      <xdr:rowOff>88900</xdr:rowOff>
    </xdr:from>
    <xdr:to>
      <xdr:col>54</xdr:col>
      <xdr:colOff>622300</xdr:colOff>
      <xdr:row>39</xdr:row>
      <xdr:rowOff>177800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0EC25BD-DC82-764A-ABD1-8E9FB7164A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431800</xdr:colOff>
      <xdr:row>22</xdr:row>
      <xdr:rowOff>139700</xdr:rowOff>
    </xdr:from>
    <xdr:to>
      <xdr:col>24</xdr:col>
      <xdr:colOff>355600</xdr:colOff>
      <xdr:row>39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E5BF45-CFCF-D342-A089-8CFE457BE3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12700</xdr:colOff>
      <xdr:row>50</xdr:row>
      <xdr:rowOff>63500</xdr:rowOff>
    </xdr:from>
    <xdr:to>
      <xdr:col>11</xdr:col>
      <xdr:colOff>12700</xdr:colOff>
      <xdr:row>52</xdr:row>
      <xdr:rowOff>38100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2CBEAB6A-EC94-B943-8493-BF2A1D03F004}"/>
            </a:ext>
          </a:extLst>
        </xdr:cNvPr>
        <xdr:cNvSpPr/>
      </xdr:nvSpPr>
      <xdr:spPr>
        <a:xfrm>
          <a:off x="8470900" y="8153400"/>
          <a:ext cx="495300" cy="24130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19</xdr:col>
      <xdr:colOff>12700</xdr:colOff>
      <xdr:row>50</xdr:row>
      <xdr:rowOff>63500</xdr:rowOff>
    </xdr:from>
    <xdr:to>
      <xdr:col>20</xdr:col>
      <xdr:colOff>12700</xdr:colOff>
      <xdr:row>52</xdr:row>
      <xdr:rowOff>38100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6B54EA16-0F10-6045-9C5D-F7976A1B2FCB}"/>
            </a:ext>
          </a:extLst>
        </xdr:cNvPr>
        <xdr:cNvSpPr/>
      </xdr:nvSpPr>
      <xdr:spPr>
        <a:xfrm>
          <a:off x="17043400" y="8166100"/>
          <a:ext cx="673100" cy="24130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228600</xdr:colOff>
      <xdr:row>50</xdr:row>
      <xdr:rowOff>50800</xdr:rowOff>
    </xdr:from>
    <xdr:to>
      <xdr:col>13</xdr:col>
      <xdr:colOff>25400</xdr:colOff>
      <xdr:row>52</xdr:row>
      <xdr:rowOff>25400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19413C20-5DC7-5A41-A850-505FBE262995}"/>
            </a:ext>
          </a:extLst>
        </xdr:cNvPr>
        <xdr:cNvSpPr/>
      </xdr:nvSpPr>
      <xdr:spPr>
        <a:xfrm>
          <a:off x="14935200" y="8382000"/>
          <a:ext cx="901700" cy="24130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kuno/surfdrive/2017/college/professional%20business%20analytics%20skills/Flows_v03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low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0A2BC-3822-9041-B1B4-1E3418F7F7CD}">
  <dimension ref="A1:CC55"/>
  <sheetViews>
    <sheetView zoomScale="99" zoomScaleNormal="100" workbookViewId="0">
      <selection activeCell="BM6" sqref="BM6"/>
    </sheetView>
  </sheetViews>
  <sheetFormatPr baseColWidth="10" defaultRowHeight="15"/>
  <cols>
    <col min="1" max="1" width="21" bestFit="1" customWidth="1"/>
    <col min="2" max="2" width="18.83203125" customWidth="1"/>
    <col min="3" max="3" width="12.5" customWidth="1"/>
    <col min="4" max="11" width="10.83203125" customWidth="1"/>
    <col min="12" max="12" width="11.6640625" bestFit="1" customWidth="1"/>
    <col min="13" max="13" width="13.6640625" bestFit="1" customWidth="1"/>
    <col min="14" max="16" width="10.83203125" customWidth="1"/>
    <col min="24" max="24" width="12.1640625" bestFit="1" customWidth="1"/>
    <col min="33" max="33" width="10.83203125" customWidth="1"/>
    <col min="34" max="59" width="10.83203125" hidden="1" customWidth="1"/>
    <col min="60" max="62" width="10.83203125" customWidth="1"/>
    <col min="66" max="71" width="10.83203125" customWidth="1"/>
    <col min="73" max="73" width="0" hidden="1" customWidth="1"/>
    <col min="76" max="76" width="25.1640625" customWidth="1"/>
    <col min="79" max="79" width="21.6640625" bestFit="1" customWidth="1"/>
  </cols>
  <sheetData>
    <row r="1" spans="1:81" ht="16" thickBot="1">
      <c r="A1" t="s">
        <v>0</v>
      </c>
      <c r="B1" t="s">
        <v>1</v>
      </c>
      <c r="C1" t="s">
        <v>2</v>
      </c>
      <c r="D1" t="s">
        <v>97</v>
      </c>
      <c r="E1" t="s">
        <v>71</v>
      </c>
      <c r="F1" t="s">
        <v>72</v>
      </c>
      <c r="G1" t="s">
        <v>16</v>
      </c>
      <c r="H1" t="s">
        <v>17</v>
      </c>
      <c r="I1" t="s">
        <v>18</v>
      </c>
      <c r="J1" t="s">
        <v>91</v>
      </c>
      <c r="K1" t="s">
        <v>92</v>
      </c>
      <c r="L1" s="22" t="s">
        <v>100</v>
      </c>
      <c r="M1" s="22" t="s">
        <v>101</v>
      </c>
      <c r="N1" t="s">
        <v>102</v>
      </c>
      <c r="O1" t="s">
        <v>94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1</v>
      </c>
      <c r="X1">
        <v>1</v>
      </c>
      <c r="Y1">
        <v>2</v>
      </c>
      <c r="Z1">
        <v>3</v>
      </c>
      <c r="AA1">
        <v>4</v>
      </c>
      <c r="AB1">
        <v>5</v>
      </c>
      <c r="AC1">
        <v>6</v>
      </c>
      <c r="AD1">
        <v>7</v>
      </c>
      <c r="AE1" t="s">
        <v>104</v>
      </c>
      <c r="AF1" t="s">
        <v>120</v>
      </c>
      <c r="AG1" t="s">
        <v>147</v>
      </c>
      <c r="AH1" t="s">
        <v>118</v>
      </c>
      <c r="AI1" t="s">
        <v>105</v>
      </c>
      <c r="AJ1" t="s">
        <v>114</v>
      </c>
      <c r="AM1" t="s">
        <v>114</v>
      </c>
      <c r="AP1" t="s">
        <v>114</v>
      </c>
      <c r="AS1" t="s">
        <v>114</v>
      </c>
      <c r="AV1" t="s">
        <v>114</v>
      </c>
      <c r="AY1" t="s">
        <v>114</v>
      </c>
      <c r="BB1" t="s">
        <v>114</v>
      </c>
      <c r="BE1" t="s">
        <v>114</v>
      </c>
      <c r="BF1" t="s">
        <v>116</v>
      </c>
      <c r="BH1" t="s">
        <v>121</v>
      </c>
      <c r="BI1" t="s">
        <v>146</v>
      </c>
      <c r="BK1" t="s">
        <v>106</v>
      </c>
      <c r="BM1" s="28" t="s">
        <v>103</v>
      </c>
      <c r="BN1" s="29"/>
      <c r="BP1" t="s">
        <v>94</v>
      </c>
      <c r="BQ1" t="s">
        <v>95</v>
      </c>
      <c r="BR1" t="s">
        <v>96</v>
      </c>
      <c r="BS1" t="s">
        <v>107</v>
      </c>
      <c r="BU1" s="34" t="s">
        <v>111</v>
      </c>
      <c r="BX1" s="40" t="s">
        <v>145</v>
      </c>
      <c r="BY1" s="41" t="s">
        <v>144</v>
      </c>
      <c r="CA1" t="s">
        <v>145</v>
      </c>
      <c r="CB1" t="s">
        <v>144</v>
      </c>
      <c r="CC1" t="s">
        <v>143</v>
      </c>
    </row>
    <row r="2" spans="1:81" ht="16" thickBot="1">
      <c r="A2">
        <v>10.7</v>
      </c>
      <c r="B2" t="s">
        <v>3</v>
      </c>
      <c r="C2" t="s">
        <v>5</v>
      </c>
      <c r="D2" s="6">
        <v>3.5364627672282885E-2</v>
      </c>
      <c r="E2">
        <v>0.16213130122321784</v>
      </c>
      <c r="F2">
        <v>0.21812338151529329</v>
      </c>
      <c r="G2">
        <v>9.1999999999999998E-3</v>
      </c>
      <c r="H2">
        <v>9.1999999999999998E-3</v>
      </c>
      <c r="I2">
        <v>6.0000000000000001E-3</v>
      </c>
      <c r="J2">
        <f>E2+H2+I2</f>
        <v>0.17733130122321783</v>
      </c>
      <c r="K2">
        <f>F2+G2+I2</f>
        <v>0.2333233815152933</v>
      </c>
      <c r="L2" s="22">
        <f>J2</f>
        <v>0.17733130122321783</v>
      </c>
      <c r="M2" s="22">
        <f>K2</f>
        <v>0.2333233815152933</v>
      </c>
      <c r="N2">
        <f>L2*M2</f>
        <v>4.1375538849908251E-2</v>
      </c>
      <c r="O2">
        <f>$BM$2*$BN$2</f>
        <v>2.4240251313314189</v>
      </c>
      <c r="P2">
        <f>L2</f>
        <v>0.17733130122321783</v>
      </c>
      <c r="Q2" s="22">
        <f>L2*2</f>
        <v>0.35466260244643566</v>
      </c>
      <c r="R2">
        <f>L2*3</f>
        <v>0.53199390366965349</v>
      </c>
      <c r="S2">
        <f>L2*4</f>
        <v>0.70932520489287132</v>
      </c>
      <c r="T2">
        <f>L2*5</f>
        <v>0.88665650611608915</v>
      </c>
      <c r="U2">
        <f t="shared" ref="U2:U13" si="0">L2*6</f>
        <v>1.063987807339307</v>
      </c>
      <c r="V2">
        <f>L2*7</f>
        <v>1.2413191085625248</v>
      </c>
      <c r="W2">
        <v>2</v>
      </c>
      <c r="X2">
        <f>M2</f>
        <v>0.2333233815152933</v>
      </c>
      <c r="Y2" s="22">
        <f t="shared" ref="Y2:Y13" si="1">M2*2</f>
        <v>0.46664676303058661</v>
      </c>
      <c r="Z2">
        <f>M2*3</f>
        <v>0.69997014454587991</v>
      </c>
      <c r="AA2">
        <f>M2*4</f>
        <v>0.93329352606117322</v>
      </c>
      <c r="AB2">
        <f>M2*5</f>
        <v>1.1666169075764665</v>
      </c>
      <c r="AC2">
        <f>M2*6</f>
        <v>1.3999402890917598</v>
      </c>
      <c r="AD2">
        <f>M2*7</f>
        <v>1.6332636706070531</v>
      </c>
      <c r="AF2" cm="1">
        <f t="array" ref="AF2">MAX(IF(X2:AD2&lt;$BM$2,X2:AD2,""))</f>
        <v>1.6332636706070531</v>
      </c>
      <c r="AG2">
        <f>IFERROR(MATCH(AF2,X2:AD2),0)</f>
        <v>7</v>
      </c>
      <c r="AH2">
        <f>AG2-1</f>
        <v>6</v>
      </c>
      <c r="AI2">
        <f t="shared" ref="AI2:AI7" si="2">IFERROR(HLOOKUP(AG2,$P$1:$V$13,W2),0)</f>
        <v>1.2413191085625248</v>
      </c>
      <c r="AJ2" t="str">
        <f t="shared" ref="AJ2:AJ13" si="3">IF(AI2&gt;$BU$2,0,"a")</f>
        <v>a</v>
      </c>
      <c r="AK2">
        <f>IF(AJ2=0,AH2,AG2)</f>
        <v>7</v>
      </c>
      <c r="AL2">
        <f>IFERROR(HLOOKUP(AK2,$P$1:$V$13,W2),0)</f>
        <v>1.2413191085625248</v>
      </c>
      <c r="AM2" t="str">
        <f t="shared" ref="AM2:AM13" si="4">IF(AL2&gt;$BU$2,0,"a")</f>
        <v>a</v>
      </c>
      <c r="AN2">
        <f>IF(AM2=0,AK2-1,AK2)</f>
        <v>7</v>
      </c>
      <c r="AO2">
        <f>IFERROR(HLOOKUP(AN2,$P$1:$V$13,W2),0)</f>
        <v>1.2413191085625248</v>
      </c>
      <c r="AP2" t="str">
        <f t="shared" ref="AP2:AP13" si="5">IF(AO2&gt;$BU$2,0,"a")</f>
        <v>a</v>
      </c>
      <c r="AQ2">
        <f>IF(AP2=0,AN2-1,AN2)</f>
        <v>7</v>
      </c>
      <c r="AR2">
        <f>IFERROR(HLOOKUP(AQ2,$P$1:$V$13,W2),0)</f>
        <v>1.2413191085625248</v>
      </c>
      <c r="AS2" t="str">
        <f t="shared" ref="AS2:AS13" si="6">IF(AR2&gt;$BU$2,0,"a")</f>
        <v>a</v>
      </c>
      <c r="AT2">
        <f>IF(AS2=0,AQ2-1,AQ2)</f>
        <v>7</v>
      </c>
      <c r="AU2">
        <f>IFERROR(HLOOKUP(AT2,$P$1:$V$13,W2),0)</f>
        <v>1.2413191085625248</v>
      </c>
      <c r="AV2" t="str">
        <f t="shared" ref="AV2:AV13" si="7">IF(AU2&gt;$BU$2,0,"a")</f>
        <v>a</v>
      </c>
      <c r="AW2">
        <f>IF(AV2=0,AT2-1,AT2)</f>
        <v>7</v>
      </c>
      <c r="AX2">
        <f>IFERROR(HLOOKUP(AW2,$P$1:$V$13,W2),0)</f>
        <v>1.2413191085625248</v>
      </c>
      <c r="AY2" t="str">
        <f t="shared" ref="AY2:AY13" si="8">IF(AX2&gt;$BU$2,0,"a")</f>
        <v>a</v>
      </c>
      <c r="AZ2">
        <f>IF(AY2=0,AW2-1,AW2)</f>
        <v>7</v>
      </c>
      <c r="BA2">
        <f>IFERROR(HLOOKUP(AZ2,$P$1:$V$13,W2),0)</f>
        <v>1.2413191085625248</v>
      </c>
      <c r="BB2" t="str">
        <f t="shared" ref="BB2:BB13" si="9">IF(BA2&gt;$BU$2,0,"a")</f>
        <v>a</v>
      </c>
      <c r="BC2">
        <f>IF(BB2=0,AZ2-1,AZ2)</f>
        <v>7</v>
      </c>
      <c r="BD2">
        <f>IFERROR(HLOOKUP(BC2,$P$1:$V$13,W2),0)</f>
        <v>1.2413191085625248</v>
      </c>
      <c r="BE2" t="str">
        <f>IF(BD2&gt;$BU$2,0,"a")</f>
        <v>a</v>
      </c>
      <c r="BF2">
        <f>IFERROR(MATCH("a",AI2:AZ2,0),0)</f>
        <v>2</v>
      </c>
      <c r="BG2">
        <f>BF2+1</f>
        <v>3</v>
      </c>
      <c r="BH2">
        <f ca="1">OFFSET(AI2,0,BG2)</f>
        <v>1.2413191085625248</v>
      </c>
      <c r="BI2">
        <f t="shared" ref="BI2:BI7" ca="1" si="10">IFERROR(MATCH(BH2,P2:V2),0)</f>
        <v>7</v>
      </c>
      <c r="BK2">
        <f ca="1">BI2*AG2</f>
        <v>49</v>
      </c>
      <c r="BM2" s="30">
        <v>1.7990404822579369</v>
      </c>
      <c r="BN2" s="31">
        <v>1.3473988802570342</v>
      </c>
      <c r="BP2">
        <f>$BM$2*$BN$2</f>
        <v>2.4240251313314189</v>
      </c>
      <c r="BQ2">
        <f t="shared" ref="BQ2:BQ13" ca="1" si="11">N2*BK2</f>
        <v>2.0274014036455044</v>
      </c>
      <c r="BR2">
        <f ca="1">$BP$2-BQ2</f>
        <v>0.39662372768591458</v>
      </c>
      <c r="BS2" s="5">
        <f ca="1">BR2/$BP$2</f>
        <v>0.16362195365031765</v>
      </c>
      <c r="BU2" s="34">
        <f>BN2</f>
        <v>1.3473988802570342</v>
      </c>
      <c r="BX2" s="38" t="s">
        <v>125</v>
      </c>
      <c r="BY2" s="39">
        <v>0</v>
      </c>
      <c r="CA2" t="s">
        <v>124</v>
      </c>
      <c r="CB2">
        <v>-5.0799999999999998E-2</v>
      </c>
      <c r="CC2" s="1">
        <v>0.25</v>
      </c>
    </row>
    <row r="3" spans="1:81">
      <c r="A3">
        <v>11.7</v>
      </c>
      <c r="B3" t="s">
        <v>4</v>
      </c>
      <c r="C3" t="s">
        <v>5</v>
      </c>
      <c r="D3" s="6">
        <v>4.2283726806348183E-2</v>
      </c>
      <c r="E3">
        <v>0.17728375928146251</v>
      </c>
      <c r="F3">
        <v>0.23850874427373189</v>
      </c>
      <c r="G3">
        <v>9.1999999999999998E-3</v>
      </c>
      <c r="H3">
        <v>9.1999999999999998E-3</v>
      </c>
      <c r="I3">
        <v>6.0000000000000001E-3</v>
      </c>
      <c r="J3">
        <f t="shared" ref="J3:J13" si="12">E3+H3+I3</f>
        <v>0.1924837592814625</v>
      </c>
      <c r="K3">
        <f t="shared" ref="K3:K13" si="13">F3+G3+I3</f>
        <v>0.25370874427373191</v>
      </c>
      <c r="L3" s="22">
        <f t="shared" ref="L3:M6" si="14">J3</f>
        <v>0.1924837592814625</v>
      </c>
      <c r="M3" s="22">
        <f t="shared" si="14"/>
        <v>0.25370874427373191</v>
      </c>
      <c r="N3">
        <f t="shared" ref="N3:N13" si="15">L3*M3</f>
        <v>4.8834812860387142E-2</v>
      </c>
      <c r="P3">
        <f t="shared" ref="P3:P13" si="16">L3</f>
        <v>0.1924837592814625</v>
      </c>
      <c r="Q3" s="22">
        <f t="shared" ref="Q3:Q13" si="17">L3*2</f>
        <v>0.38496751856292499</v>
      </c>
      <c r="R3">
        <f t="shared" ref="R3:R13" si="18">L3*3</f>
        <v>0.57745127784438743</v>
      </c>
      <c r="S3">
        <f t="shared" ref="S3:S13" si="19">L3*4</f>
        <v>0.76993503712584999</v>
      </c>
      <c r="T3">
        <f t="shared" ref="T3:T13" si="20">L3*5</f>
        <v>0.96241879640731254</v>
      </c>
      <c r="U3">
        <f t="shared" si="0"/>
        <v>1.1549025556887749</v>
      </c>
      <c r="V3">
        <f t="shared" ref="V3:V13" si="21">L3*7</f>
        <v>1.3473863149702374</v>
      </c>
      <c r="W3">
        <v>3</v>
      </c>
      <c r="X3">
        <f t="shared" ref="X3:X13" si="22">M3</f>
        <v>0.25370874427373191</v>
      </c>
      <c r="Y3" s="22">
        <f t="shared" si="1"/>
        <v>0.50741748854746382</v>
      </c>
      <c r="Z3">
        <f t="shared" ref="Z3:Z13" si="23">M3*3</f>
        <v>0.76112623282119574</v>
      </c>
      <c r="AA3">
        <f t="shared" ref="AA3:AA13" si="24">M3*4</f>
        <v>1.0148349770949276</v>
      </c>
      <c r="AB3">
        <f t="shared" ref="AB3:AB13" si="25">M3*5</f>
        <v>1.2685437213686597</v>
      </c>
      <c r="AC3">
        <f t="shared" ref="AC3:AC13" si="26">M3*6</f>
        <v>1.5222524656423915</v>
      </c>
      <c r="AD3">
        <f t="shared" ref="AD3:AD13" si="27">M3*7</f>
        <v>1.7759612099161233</v>
      </c>
      <c r="AF3" cm="1">
        <f t="array" ref="AF3">MAX(IF(X3:AD3&lt;$BM$2,X3:AD3,""))</f>
        <v>1.7759612099161233</v>
      </c>
      <c r="AG3">
        <f t="shared" ref="AG3:AG7" si="28">IFERROR(MATCH(AF3,X3:AD3),0)</f>
        <v>7</v>
      </c>
      <c r="AH3">
        <f t="shared" ref="AH3:AH13" si="29">AG3-1</f>
        <v>6</v>
      </c>
      <c r="AI3">
        <f t="shared" si="2"/>
        <v>1.3473863149702374</v>
      </c>
      <c r="AJ3" t="str">
        <f t="shared" si="3"/>
        <v>a</v>
      </c>
      <c r="AK3">
        <f t="shared" ref="AK3:AK13" si="30">IF(AJ3=0,AH3,AG3)</f>
        <v>7</v>
      </c>
      <c r="AL3">
        <f t="shared" ref="AL3:AL7" si="31">IFERROR(HLOOKUP(AK3,$P$1:$V$13,W3),0)</f>
        <v>1.3473863149702374</v>
      </c>
      <c r="AM3" t="str">
        <f t="shared" si="4"/>
        <v>a</v>
      </c>
      <c r="AN3">
        <f t="shared" ref="AN3:AN13" si="32">IF(AM3=0,AK3-1,AK3)</f>
        <v>7</v>
      </c>
      <c r="AO3">
        <f t="shared" ref="AO3:AO7" si="33">IFERROR(HLOOKUP(AN3,$P$1:$V$13,W3),0)</f>
        <v>1.3473863149702374</v>
      </c>
      <c r="AP3" t="str">
        <f t="shared" si="5"/>
        <v>a</v>
      </c>
      <c r="AQ3">
        <f t="shared" ref="AQ3:AQ13" si="34">IF(AP3=0,AN3-1,AN3)</f>
        <v>7</v>
      </c>
      <c r="AR3">
        <f t="shared" ref="AR3:AR7" si="35">IFERROR(HLOOKUP(AQ3,$P$1:$V$13,W3),0)</f>
        <v>1.3473863149702374</v>
      </c>
      <c r="AS3" t="str">
        <f t="shared" si="6"/>
        <v>a</v>
      </c>
      <c r="AT3">
        <f t="shared" ref="AT3:AT13" si="36">IF(AS3=0,AQ3-1,AQ3)</f>
        <v>7</v>
      </c>
      <c r="AU3">
        <f t="shared" ref="AU3:AU7" si="37">IFERROR(HLOOKUP(AT3,$P$1:$V$13,W3),0)</f>
        <v>1.3473863149702374</v>
      </c>
      <c r="AV3" t="str">
        <f t="shared" si="7"/>
        <v>a</v>
      </c>
      <c r="AW3">
        <f t="shared" ref="AW3:AW13" si="38">IF(AV3=0,AT3-1,AT3)</f>
        <v>7</v>
      </c>
      <c r="AX3">
        <f t="shared" ref="AX3:AX7" si="39">IFERROR(HLOOKUP(AW3,$P$1:$V$13,W3),0)</f>
        <v>1.3473863149702374</v>
      </c>
      <c r="AY3" t="str">
        <f t="shared" si="8"/>
        <v>a</v>
      </c>
      <c r="AZ3">
        <f t="shared" ref="AZ3:AZ13" si="40">IF(AY3=0,AW3-1,AW3)</f>
        <v>7</v>
      </c>
      <c r="BA3">
        <f t="shared" ref="BA3:BA7" si="41">IFERROR(HLOOKUP(AZ3,$P$1:$V$13,W3),0)</f>
        <v>1.3473863149702374</v>
      </c>
      <c r="BB3" t="str">
        <f t="shared" si="9"/>
        <v>a</v>
      </c>
      <c r="BC3">
        <f t="shared" ref="BC3:BC8" si="42">IF(BB3=0,AZ3-1,AZ3)</f>
        <v>7</v>
      </c>
      <c r="BF3">
        <f t="shared" ref="BF3:BF13" si="43">IFERROR(MATCH("a",AI3:AZ3,0),0)</f>
        <v>2</v>
      </c>
      <c r="BG3">
        <f t="shared" ref="BG3:BG13" si="44">BF3+1</f>
        <v>3</v>
      </c>
      <c r="BH3">
        <f t="shared" ref="BH3:BH12" ca="1" si="45">OFFSET(AI3,0,BG3)</f>
        <v>1.3473863149702374</v>
      </c>
      <c r="BI3">
        <f t="shared" ca="1" si="10"/>
        <v>7</v>
      </c>
      <c r="BK3">
        <f t="shared" ref="BK3:BK13" ca="1" si="46">BI3*AG3</f>
        <v>49</v>
      </c>
      <c r="BQ3">
        <f t="shared" ca="1" si="11"/>
        <v>2.3929058301589698</v>
      </c>
      <c r="BR3">
        <f t="shared" ref="BR3:BR13" ca="1" si="47">$BP$2-BQ3</f>
        <v>3.1119301172449099E-2</v>
      </c>
      <c r="BS3" s="5">
        <f t="shared" ref="BS3:BS13" ca="1" si="48">BR3/$BP$2</f>
        <v>1.2837862433941237E-2</v>
      </c>
      <c r="BX3" s="38" t="s">
        <v>126</v>
      </c>
      <c r="BY3" s="39">
        <v>1</v>
      </c>
      <c r="CA3" t="s">
        <v>138</v>
      </c>
      <c r="CB3">
        <v>0</v>
      </c>
      <c r="CC3" s="1">
        <v>0.5</v>
      </c>
    </row>
    <row r="4" spans="1:81" ht="16" thickBot="1">
      <c r="A4">
        <v>16.5</v>
      </c>
      <c r="B4" t="s">
        <v>6</v>
      </c>
      <c r="C4" t="s">
        <v>7</v>
      </c>
      <c r="D4" s="6">
        <v>7.755129554286265E-2</v>
      </c>
      <c r="E4">
        <v>0.21589042811593984</v>
      </c>
      <c r="F4">
        <v>0.35921599776167568</v>
      </c>
      <c r="G4">
        <v>8.6999999999999994E-3</v>
      </c>
      <c r="H4">
        <v>8.6999999999999994E-3</v>
      </c>
      <c r="I4">
        <v>7.0000000000000001E-3</v>
      </c>
      <c r="J4">
        <f t="shared" si="12"/>
        <v>0.23159042811593983</v>
      </c>
      <c r="K4">
        <f t="shared" si="13"/>
        <v>0.37491599776167567</v>
      </c>
      <c r="L4" s="22">
        <f t="shared" si="14"/>
        <v>0.23159042811593983</v>
      </c>
      <c r="M4" s="22">
        <f t="shared" si="14"/>
        <v>0.37491599776167567</v>
      </c>
      <c r="N4">
        <f t="shared" si="15"/>
        <v>8.6826956429141205E-2</v>
      </c>
      <c r="P4">
        <f t="shared" si="16"/>
        <v>0.23159042811593983</v>
      </c>
      <c r="Q4" s="22">
        <f t="shared" si="17"/>
        <v>0.46318085623187966</v>
      </c>
      <c r="R4">
        <f t="shared" si="18"/>
        <v>0.69477128434781954</v>
      </c>
      <c r="S4">
        <f t="shared" si="19"/>
        <v>0.92636171246375931</v>
      </c>
      <c r="T4">
        <f t="shared" si="20"/>
        <v>1.1579521405796991</v>
      </c>
      <c r="U4">
        <f t="shared" si="0"/>
        <v>1.3895425686956391</v>
      </c>
      <c r="V4">
        <f t="shared" si="21"/>
        <v>1.6211329968115789</v>
      </c>
      <c r="W4">
        <v>4</v>
      </c>
      <c r="X4">
        <f t="shared" si="22"/>
        <v>0.37491599776167567</v>
      </c>
      <c r="Y4" s="22">
        <f t="shared" si="1"/>
        <v>0.74983199552335134</v>
      </c>
      <c r="Z4">
        <f t="shared" si="23"/>
        <v>1.1247479932850271</v>
      </c>
      <c r="AA4">
        <f t="shared" si="24"/>
        <v>1.4996639910467027</v>
      </c>
      <c r="AB4">
        <f t="shared" si="25"/>
        <v>1.8745799888083783</v>
      </c>
      <c r="AC4">
        <f t="shared" si="26"/>
        <v>2.2494959865700541</v>
      </c>
      <c r="AD4">
        <f t="shared" si="27"/>
        <v>2.6244119843317297</v>
      </c>
      <c r="AF4" cm="1">
        <f t="array" ref="AF4">MAX(IF(X4:AD4&lt;$BM$2,X4:AD4,""))</f>
        <v>1.4996639910467027</v>
      </c>
      <c r="AG4">
        <f t="shared" si="28"/>
        <v>4</v>
      </c>
      <c r="AH4">
        <f t="shared" si="29"/>
        <v>3</v>
      </c>
      <c r="AI4">
        <f t="shared" si="2"/>
        <v>0.92636171246375931</v>
      </c>
      <c r="AJ4" t="str">
        <f t="shared" si="3"/>
        <v>a</v>
      </c>
      <c r="AK4">
        <f t="shared" si="30"/>
        <v>4</v>
      </c>
      <c r="AL4">
        <f t="shared" si="31"/>
        <v>0.92636171246375931</v>
      </c>
      <c r="AM4" t="str">
        <f t="shared" si="4"/>
        <v>a</v>
      </c>
      <c r="AN4">
        <f t="shared" si="32"/>
        <v>4</v>
      </c>
      <c r="AO4">
        <f t="shared" si="33"/>
        <v>0.92636171246375931</v>
      </c>
      <c r="AP4" t="str">
        <f t="shared" si="5"/>
        <v>a</v>
      </c>
      <c r="AQ4">
        <f t="shared" si="34"/>
        <v>4</v>
      </c>
      <c r="AR4">
        <f t="shared" si="35"/>
        <v>0.92636171246375931</v>
      </c>
      <c r="AS4" t="str">
        <f t="shared" si="6"/>
        <v>a</v>
      </c>
      <c r="AT4">
        <f t="shared" si="36"/>
        <v>4</v>
      </c>
      <c r="AU4">
        <f t="shared" si="37"/>
        <v>0.92636171246375931</v>
      </c>
      <c r="AV4" t="str">
        <f t="shared" si="7"/>
        <v>a</v>
      </c>
      <c r="AW4">
        <f t="shared" si="38"/>
        <v>4</v>
      </c>
      <c r="AX4">
        <f t="shared" si="39"/>
        <v>0.92636171246375931</v>
      </c>
      <c r="AY4" t="str">
        <f t="shared" si="8"/>
        <v>a</v>
      </c>
      <c r="AZ4">
        <f t="shared" si="40"/>
        <v>4</v>
      </c>
      <c r="BA4">
        <f t="shared" si="41"/>
        <v>0.92636171246375931</v>
      </c>
      <c r="BB4" t="str">
        <f t="shared" si="9"/>
        <v>a</v>
      </c>
      <c r="BC4">
        <f t="shared" si="42"/>
        <v>4</v>
      </c>
      <c r="BF4">
        <f t="shared" si="43"/>
        <v>2</v>
      </c>
      <c r="BG4">
        <f t="shared" si="44"/>
        <v>3</v>
      </c>
      <c r="BH4">
        <f t="shared" ca="1" si="45"/>
        <v>0.92636171246375931</v>
      </c>
      <c r="BI4">
        <f t="shared" ca="1" si="10"/>
        <v>4</v>
      </c>
      <c r="BK4">
        <f t="shared" ca="1" si="46"/>
        <v>16</v>
      </c>
      <c r="BQ4">
        <f t="shared" ca="1" si="11"/>
        <v>1.3892313028662593</v>
      </c>
      <c r="BR4">
        <f t="shared" ca="1" si="47"/>
        <v>1.0347938284651597</v>
      </c>
      <c r="BS4" s="5">
        <f t="shared" ca="1" si="48"/>
        <v>0.42689071787667038</v>
      </c>
      <c r="BX4" s="38" t="s">
        <v>131</v>
      </c>
      <c r="BY4" s="39">
        <v>1</v>
      </c>
      <c r="CA4" s="20" t="s">
        <v>123</v>
      </c>
      <c r="CB4">
        <v>2.5399999999999999E-2</v>
      </c>
      <c r="CC4" s="1">
        <v>0.25</v>
      </c>
    </row>
    <row r="5" spans="1:81" ht="16" thickBot="1">
      <c r="A5">
        <v>20.9</v>
      </c>
      <c r="B5" t="s">
        <v>8</v>
      </c>
      <c r="C5" t="s">
        <v>7</v>
      </c>
      <c r="D5" s="6">
        <v>0.13492552199781541</v>
      </c>
      <c r="E5">
        <v>0.31668637341731337</v>
      </c>
      <c r="F5">
        <v>0.42605408165136727</v>
      </c>
      <c r="G5">
        <v>8.6999999999999994E-3</v>
      </c>
      <c r="H5">
        <v>8.6999999999999994E-3</v>
      </c>
      <c r="I5">
        <v>7.0000000000000001E-3</v>
      </c>
      <c r="J5">
        <f t="shared" si="12"/>
        <v>0.33238637341731336</v>
      </c>
      <c r="K5">
        <f t="shared" si="13"/>
        <v>0.44175408165136726</v>
      </c>
      <c r="L5" s="22">
        <f t="shared" si="14"/>
        <v>0.33238637341731336</v>
      </c>
      <c r="M5" s="22">
        <f t="shared" si="14"/>
        <v>0.44175408165136726</v>
      </c>
      <c r="N5">
        <f t="shared" si="15"/>
        <v>0.14683303714239371</v>
      </c>
      <c r="P5">
        <f t="shared" si="16"/>
        <v>0.33238637341731336</v>
      </c>
      <c r="Q5" s="22">
        <f t="shared" si="17"/>
        <v>0.66477274683462673</v>
      </c>
      <c r="R5">
        <f t="shared" si="18"/>
        <v>0.99715912025194009</v>
      </c>
      <c r="S5">
        <f t="shared" si="19"/>
        <v>1.3295454936692535</v>
      </c>
      <c r="T5">
        <f t="shared" si="20"/>
        <v>1.6619318670865668</v>
      </c>
      <c r="U5">
        <f t="shared" si="0"/>
        <v>1.9943182405038802</v>
      </c>
      <c r="V5">
        <f t="shared" si="21"/>
        <v>2.3267046139211933</v>
      </c>
      <c r="W5">
        <v>5</v>
      </c>
      <c r="X5">
        <f t="shared" si="22"/>
        <v>0.44175408165136726</v>
      </c>
      <c r="Y5" s="22">
        <f t="shared" si="1"/>
        <v>0.88350816330273452</v>
      </c>
      <c r="Z5">
        <f t="shared" si="23"/>
        <v>1.3252622449541018</v>
      </c>
      <c r="AA5">
        <f t="shared" si="24"/>
        <v>1.767016326605469</v>
      </c>
      <c r="AB5">
        <f t="shared" si="25"/>
        <v>2.2087704082568362</v>
      </c>
      <c r="AC5">
        <f t="shared" si="26"/>
        <v>2.6505244899082037</v>
      </c>
      <c r="AD5">
        <f t="shared" si="27"/>
        <v>3.0922785715595706</v>
      </c>
      <c r="AF5" cm="1">
        <f t="array" ref="AF5">MAX(IF(X5:AD5&lt;$BM$2,X5:AD5,""))</f>
        <v>1.767016326605469</v>
      </c>
      <c r="AG5">
        <f t="shared" si="28"/>
        <v>4</v>
      </c>
      <c r="AH5">
        <f t="shared" si="29"/>
        <v>3</v>
      </c>
      <c r="AI5">
        <f t="shared" si="2"/>
        <v>1.3295454936692535</v>
      </c>
      <c r="AJ5" t="str">
        <f t="shared" si="3"/>
        <v>a</v>
      </c>
      <c r="AK5">
        <f t="shared" si="30"/>
        <v>4</v>
      </c>
      <c r="AL5">
        <f t="shared" si="31"/>
        <v>1.3295454936692535</v>
      </c>
      <c r="AM5" t="str">
        <f t="shared" si="4"/>
        <v>a</v>
      </c>
      <c r="AN5">
        <f t="shared" si="32"/>
        <v>4</v>
      </c>
      <c r="AO5">
        <f t="shared" si="33"/>
        <v>1.3295454936692535</v>
      </c>
      <c r="AP5" t="str">
        <f t="shared" si="5"/>
        <v>a</v>
      </c>
      <c r="AQ5">
        <f t="shared" si="34"/>
        <v>4</v>
      </c>
      <c r="AR5">
        <f t="shared" si="35"/>
        <v>1.3295454936692535</v>
      </c>
      <c r="AS5" t="str">
        <f t="shared" si="6"/>
        <v>a</v>
      </c>
      <c r="AT5">
        <f t="shared" si="36"/>
        <v>4</v>
      </c>
      <c r="AU5">
        <f t="shared" si="37"/>
        <v>1.3295454936692535</v>
      </c>
      <c r="AV5" t="str">
        <f t="shared" si="7"/>
        <v>a</v>
      </c>
      <c r="AW5">
        <f t="shared" si="38"/>
        <v>4</v>
      </c>
      <c r="AX5">
        <f t="shared" si="39"/>
        <v>1.3295454936692535</v>
      </c>
      <c r="AY5" t="str">
        <f t="shared" si="8"/>
        <v>a</v>
      </c>
      <c r="AZ5">
        <f t="shared" si="40"/>
        <v>4</v>
      </c>
      <c r="BA5">
        <f t="shared" si="41"/>
        <v>1.3295454936692535</v>
      </c>
      <c r="BB5" t="str">
        <f t="shared" si="9"/>
        <v>a</v>
      </c>
      <c r="BC5">
        <f t="shared" si="42"/>
        <v>4</v>
      </c>
      <c r="BF5">
        <f t="shared" si="43"/>
        <v>2</v>
      </c>
      <c r="BG5">
        <f t="shared" si="44"/>
        <v>3</v>
      </c>
      <c r="BH5">
        <f t="shared" ca="1" si="45"/>
        <v>1.3295454936692535</v>
      </c>
      <c r="BI5">
        <f t="shared" ca="1" si="10"/>
        <v>4</v>
      </c>
      <c r="BK5">
        <f t="shared" ca="1" si="46"/>
        <v>16</v>
      </c>
      <c r="BM5" s="34" t="s">
        <v>109</v>
      </c>
      <c r="BN5" s="35">
        <f ca="1">P35</f>
        <v>465.55011965798803</v>
      </c>
      <c r="BQ5">
        <f t="shared" ca="1" si="11"/>
        <v>2.3493285942782993</v>
      </c>
      <c r="BR5">
        <f t="shared" ca="1" si="47"/>
        <v>7.4696537053119627E-2</v>
      </c>
      <c r="BS5" s="5">
        <f t="shared" ca="1" si="48"/>
        <v>3.0815083592838761E-2</v>
      </c>
      <c r="BX5" s="38" t="s">
        <v>134</v>
      </c>
      <c r="BY5" s="39">
        <v>1</v>
      </c>
    </row>
    <row r="6" spans="1:81" ht="16" thickBot="1">
      <c r="A6">
        <v>23.8</v>
      </c>
      <c r="B6" t="s">
        <v>9</v>
      </c>
      <c r="C6" t="s">
        <v>7</v>
      </c>
      <c r="D6" s="6">
        <v>0.17496671935267638</v>
      </c>
      <c r="E6">
        <v>0.36062850178622291</v>
      </c>
      <c r="F6">
        <v>0.48517163365083926</v>
      </c>
      <c r="G6">
        <v>8.6999999999999994E-3</v>
      </c>
      <c r="H6">
        <v>8.6999999999999994E-3</v>
      </c>
      <c r="I6">
        <v>7.0000000000000001E-3</v>
      </c>
      <c r="J6">
        <f t="shared" si="12"/>
        <v>0.3763285017862229</v>
      </c>
      <c r="K6">
        <f t="shared" si="13"/>
        <v>0.5008716336508392</v>
      </c>
      <c r="L6" s="22">
        <f t="shared" si="14"/>
        <v>0.3763285017862229</v>
      </c>
      <c r="M6" s="22">
        <f t="shared" si="14"/>
        <v>0.5008716336508392</v>
      </c>
      <c r="N6">
        <f t="shared" si="15"/>
        <v>0.18849227147903821</v>
      </c>
      <c r="P6">
        <f t="shared" si="16"/>
        <v>0.3763285017862229</v>
      </c>
      <c r="Q6" s="22">
        <f t="shared" si="17"/>
        <v>0.7526570035724458</v>
      </c>
      <c r="R6">
        <f t="shared" si="18"/>
        <v>1.1289855053586688</v>
      </c>
      <c r="S6">
        <f t="shared" si="19"/>
        <v>1.5053140071448916</v>
      </c>
      <c r="T6">
        <f t="shared" si="20"/>
        <v>1.8816425089311144</v>
      </c>
      <c r="U6">
        <f t="shared" si="0"/>
        <v>2.2579710107173376</v>
      </c>
      <c r="V6">
        <f t="shared" si="21"/>
        <v>2.6342995125035604</v>
      </c>
      <c r="W6">
        <v>6</v>
      </c>
      <c r="X6">
        <f t="shared" si="22"/>
        <v>0.5008716336508392</v>
      </c>
      <c r="Y6" s="22">
        <f t="shared" si="1"/>
        <v>1.0017432673016784</v>
      </c>
      <c r="Z6">
        <f t="shared" si="23"/>
        <v>1.5026149009525176</v>
      </c>
      <c r="AA6">
        <f t="shared" si="24"/>
        <v>2.0034865346033568</v>
      </c>
      <c r="AB6">
        <f t="shared" si="25"/>
        <v>2.5043581682541962</v>
      </c>
      <c r="AC6">
        <f t="shared" si="26"/>
        <v>3.0052298019050352</v>
      </c>
      <c r="AD6">
        <f t="shared" si="27"/>
        <v>3.5061014355558742</v>
      </c>
      <c r="AF6" cm="1">
        <f t="array" ref="AF6">MAX(IF(X6:AD6&lt;$BM$2,X6:AD6,""))</f>
        <v>1.5026149009525176</v>
      </c>
      <c r="AG6">
        <f t="shared" si="28"/>
        <v>3</v>
      </c>
      <c r="AH6">
        <f t="shared" si="29"/>
        <v>2</v>
      </c>
      <c r="AI6">
        <f t="shared" si="2"/>
        <v>1.1289855053586688</v>
      </c>
      <c r="AJ6" t="str">
        <f t="shared" si="3"/>
        <v>a</v>
      </c>
      <c r="AK6">
        <f t="shared" si="30"/>
        <v>3</v>
      </c>
      <c r="AL6">
        <f t="shared" si="31"/>
        <v>1.1289855053586688</v>
      </c>
      <c r="AM6" t="str">
        <f t="shared" si="4"/>
        <v>a</v>
      </c>
      <c r="AN6">
        <f t="shared" si="32"/>
        <v>3</v>
      </c>
      <c r="AO6">
        <f t="shared" si="33"/>
        <v>1.1289855053586688</v>
      </c>
      <c r="AP6" t="str">
        <f t="shared" si="5"/>
        <v>a</v>
      </c>
      <c r="AQ6">
        <f t="shared" si="34"/>
        <v>3</v>
      </c>
      <c r="AR6">
        <f t="shared" si="35"/>
        <v>1.1289855053586688</v>
      </c>
      <c r="AS6" t="str">
        <f t="shared" si="6"/>
        <v>a</v>
      </c>
      <c r="AT6">
        <f t="shared" si="36"/>
        <v>3</v>
      </c>
      <c r="AU6">
        <f t="shared" si="37"/>
        <v>1.1289855053586688</v>
      </c>
      <c r="AV6" t="str">
        <f t="shared" si="7"/>
        <v>a</v>
      </c>
      <c r="AW6">
        <f t="shared" si="38"/>
        <v>3</v>
      </c>
      <c r="AX6">
        <f t="shared" si="39"/>
        <v>1.1289855053586688</v>
      </c>
      <c r="AY6" t="str">
        <f t="shared" si="8"/>
        <v>a</v>
      </c>
      <c r="AZ6">
        <f t="shared" si="40"/>
        <v>3</v>
      </c>
      <c r="BA6">
        <f t="shared" si="41"/>
        <v>1.1289855053586688</v>
      </c>
      <c r="BB6" t="str">
        <f t="shared" si="9"/>
        <v>a</v>
      </c>
      <c r="BC6">
        <f t="shared" si="42"/>
        <v>3</v>
      </c>
      <c r="BF6">
        <f t="shared" si="43"/>
        <v>2</v>
      </c>
      <c r="BG6">
        <f t="shared" si="44"/>
        <v>3</v>
      </c>
      <c r="BH6">
        <f t="shared" ca="1" si="45"/>
        <v>1.1289855053586688</v>
      </c>
      <c r="BI6">
        <f t="shared" ca="1" si="10"/>
        <v>3</v>
      </c>
      <c r="BK6">
        <f t="shared" ca="1" si="46"/>
        <v>9</v>
      </c>
      <c r="BQ6">
        <f t="shared" ca="1" si="11"/>
        <v>1.696430443311344</v>
      </c>
      <c r="BR6">
        <f t="shared" ca="1" si="47"/>
        <v>0.72759468802007499</v>
      </c>
      <c r="BS6" s="5">
        <f t="shared" ca="1" si="48"/>
        <v>0.30015971312163608</v>
      </c>
      <c r="BX6" s="30" t="s">
        <v>137</v>
      </c>
      <c r="BY6" s="31">
        <v>1</v>
      </c>
      <c r="CA6" t="s">
        <v>127</v>
      </c>
      <c r="CB6">
        <v>1.2</v>
      </c>
      <c r="CC6" s="1">
        <v>0.25</v>
      </c>
    </row>
    <row r="7" spans="1:81">
      <c r="A7">
        <v>19.2</v>
      </c>
      <c r="B7" t="s">
        <v>10</v>
      </c>
      <c r="C7" t="s">
        <v>11</v>
      </c>
      <c r="D7" s="6">
        <v>0.11386860289204613</v>
      </c>
      <c r="E7">
        <v>0.29092719471829742</v>
      </c>
      <c r="F7">
        <v>0.39139896496202159</v>
      </c>
      <c r="G7">
        <v>9.1999999999999998E-3</v>
      </c>
      <c r="H7">
        <v>9.1999999999999998E-3</v>
      </c>
      <c r="I7">
        <v>8.0000000000000002E-3</v>
      </c>
      <c r="J7">
        <f t="shared" si="12"/>
        <v>0.30812719471829741</v>
      </c>
      <c r="K7">
        <f t="shared" si="13"/>
        <v>0.40859896496202158</v>
      </c>
      <c r="L7" s="22">
        <f>J7+$BY$2</f>
        <v>0.30812719471829741</v>
      </c>
      <c r="M7" s="22">
        <f>K7+$BY$2</f>
        <v>0.40859896496202158</v>
      </c>
      <c r="N7">
        <f t="shared" si="15"/>
        <v>0.12590045283854762</v>
      </c>
      <c r="P7">
        <f t="shared" si="16"/>
        <v>0.30812719471829741</v>
      </c>
      <c r="Q7" s="22">
        <f t="shared" si="17"/>
        <v>0.61625438943659483</v>
      </c>
      <c r="R7">
        <f t="shared" si="18"/>
        <v>0.92438158415489224</v>
      </c>
      <c r="S7">
        <f t="shared" si="19"/>
        <v>1.2325087788731897</v>
      </c>
      <c r="T7">
        <f t="shared" si="20"/>
        <v>1.540635973591487</v>
      </c>
      <c r="U7">
        <f t="shared" si="0"/>
        <v>1.8487631683097845</v>
      </c>
      <c r="V7">
        <f t="shared" si="21"/>
        <v>2.156890363028082</v>
      </c>
      <c r="W7">
        <v>7</v>
      </c>
      <c r="X7">
        <f t="shared" si="22"/>
        <v>0.40859896496202158</v>
      </c>
      <c r="Y7" s="22">
        <f t="shared" si="1"/>
        <v>0.81719792992404316</v>
      </c>
      <c r="Z7">
        <f t="shared" si="23"/>
        <v>1.2257968948860647</v>
      </c>
      <c r="AA7">
        <f t="shared" si="24"/>
        <v>1.6343958598480863</v>
      </c>
      <c r="AB7">
        <f t="shared" si="25"/>
        <v>2.042994824810108</v>
      </c>
      <c r="AC7">
        <f t="shared" si="26"/>
        <v>2.4515937897721294</v>
      </c>
      <c r="AD7">
        <f t="shared" si="27"/>
        <v>2.8601927547341512</v>
      </c>
      <c r="AF7" cm="1">
        <f t="array" ref="AF7">MAX(IF(X7:AD7&lt;$BM$2,X7:AD7,""))</f>
        <v>1.6343958598480863</v>
      </c>
      <c r="AG7">
        <f t="shared" si="28"/>
        <v>4</v>
      </c>
      <c r="AH7">
        <f t="shared" si="29"/>
        <v>3</v>
      </c>
      <c r="AI7">
        <f t="shared" si="2"/>
        <v>1.2325087788731897</v>
      </c>
      <c r="AJ7" t="str">
        <f t="shared" si="3"/>
        <v>a</v>
      </c>
      <c r="AK7">
        <f t="shared" si="30"/>
        <v>4</v>
      </c>
      <c r="AL7">
        <f t="shared" si="31"/>
        <v>1.2325087788731897</v>
      </c>
      <c r="AM7" t="str">
        <f t="shared" si="4"/>
        <v>a</v>
      </c>
      <c r="AN7">
        <f t="shared" si="32"/>
        <v>4</v>
      </c>
      <c r="AO7">
        <f t="shared" si="33"/>
        <v>1.2325087788731897</v>
      </c>
      <c r="AP7" t="str">
        <f t="shared" si="5"/>
        <v>a</v>
      </c>
      <c r="AQ7">
        <f t="shared" si="34"/>
        <v>4</v>
      </c>
      <c r="AR7">
        <f t="shared" si="35"/>
        <v>1.2325087788731897</v>
      </c>
      <c r="AS7" t="str">
        <f t="shared" si="6"/>
        <v>a</v>
      </c>
      <c r="AT7">
        <f t="shared" si="36"/>
        <v>4</v>
      </c>
      <c r="AU7">
        <f t="shared" si="37"/>
        <v>1.2325087788731897</v>
      </c>
      <c r="AV7" t="str">
        <f t="shared" si="7"/>
        <v>a</v>
      </c>
      <c r="AW7">
        <f t="shared" si="38"/>
        <v>4</v>
      </c>
      <c r="AX7">
        <f t="shared" si="39"/>
        <v>1.2325087788731897</v>
      </c>
      <c r="AY7" t="str">
        <f t="shared" si="8"/>
        <v>a</v>
      </c>
      <c r="AZ7">
        <f t="shared" si="40"/>
        <v>4</v>
      </c>
      <c r="BA7">
        <f t="shared" si="41"/>
        <v>1.2325087788731897</v>
      </c>
      <c r="BB7" t="str">
        <f t="shared" si="9"/>
        <v>a</v>
      </c>
      <c r="BC7">
        <f t="shared" si="42"/>
        <v>4</v>
      </c>
      <c r="BF7">
        <f t="shared" si="43"/>
        <v>2</v>
      </c>
      <c r="BG7">
        <f t="shared" si="44"/>
        <v>3</v>
      </c>
      <c r="BH7">
        <f t="shared" ca="1" si="45"/>
        <v>1.2325087788731897</v>
      </c>
      <c r="BI7">
        <f t="shared" ca="1" si="10"/>
        <v>4</v>
      </c>
      <c r="BK7">
        <f t="shared" ca="1" si="46"/>
        <v>16</v>
      </c>
      <c r="BQ7">
        <f t="shared" ca="1" si="11"/>
        <v>2.0144072454167619</v>
      </c>
      <c r="BR7">
        <f t="shared" ca="1" si="47"/>
        <v>0.40961788591465709</v>
      </c>
      <c r="BS7" s="5">
        <f t="shared" ca="1" si="48"/>
        <v>0.16898252440545886</v>
      </c>
      <c r="CA7" t="s">
        <v>139</v>
      </c>
      <c r="CB7">
        <v>1</v>
      </c>
      <c r="CC7" s="1">
        <v>0.5</v>
      </c>
    </row>
    <row r="8" spans="1:81">
      <c r="A8">
        <v>23.4</v>
      </c>
      <c r="B8" t="s">
        <v>63</v>
      </c>
      <c r="C8" t="s">
        <v>11</v>
      </c>
      <c r="D8" s="6">
        <v>0.16821674981757326</v>
      </c>
      <c r="E8">
        <v>0.48010592619111059</v>
      </c>
      <c r="F8">
        <v>0.35037424168476733</v>
      </c>
      <c r="G8">
        <v>9.1999999999999998E-3</v>
      </c>
      <c r="H8">
        <v>9.1999999999999998E-3</v>
      </c>
      <c r="I8">
        <v>8.0000000000000002E-3</v>
      </c>
      <c r="J8">
        <f t="shared" si="12"/>
        <v>0.49730592619111058</v>
      </c>
      <c r="K8">
        <f t="shared" si="13"/>
        <v>0.36757424168476732</v>
      </c>
      <c r="L8" s="22">
        <f t="shared" ref="L8:M13" si="49">J8+$BY$2</f>
        <v>0.49730592619111058</v>
      </c>
      <c r="M8" s="22">
        <f t="shared" si="49"/>
        <v>0.36757424168476732</v>
      </c>
      <c r="N8">
        <f t="shared" si="15"/>
        <v>0.18279684870503835</v>
      </c>
      <c r="P8">
        <f t="shared" si="16"/>
        <v>0.49730592619111058</v>
      </c>
      <c r="Q8">
        <f t="shared" si="17"/>
        <v>0.99461185238222116</v>
      </c>
      <c r="R8">
        <f t="shared" si="18"/>
        <v>1.4919177785733317</v>
      </c>
      <c r="S8">
        <f t="shared" si="19"/>
        <v>1.9892237047644423</v>
      </c>
      <c r="T8">
        <f t="shared" si="20"/>
        <v>2.4865296309555527</v>
      </c>
      <c r="U8">
        <f t="shared" si="0"/>
        <v>2.9838355571466635</v>
      </c>
      <c r="V8">
        <f t="shared" si="21"/>
        <v>3.4811414833377743</v>
      </c>
      <c r="W8">
        <v>8</v>
      </c>
      <c r="X8">
        <f t="shared" si="22"/>
        <v>0.36757424168476732</v>
      </c>
      <c r="Y8">
        <f t="shared" si="1"/>
        <v>0.73514848336953464</v>
      </c>
      <c r="Z8">
        <f t="shared" si="23"/>
        <v>1.1027227250543019</v>
      </c>
      <c r="AA8">
        <f t="shared" si="24"/>
        <v>1.4702969667390693</v>
      </c>
      <c r="AB8">
        <f t="shared" si="25"/>
        <v>1.8378712084238367</v>
      </c>
      <c r="AC8">
        <f t="shared" si="26"/>
        <v>2.2054454501086038</v>
      </c>
      <c r="AD8">
        <f t="shared" si="27"/>
        <v>2.5730196917933714</v>
      </c>
      <c r="AF8" cm="1">
        <f t="array" ref="AF8">MAX(IF(P8:V8&lt;$BM$2,P8:V8,""))</f>
        <v>1.4919177785733317</v>
      </c>
      <c r="AG8">
        <f t="shared" ref="AG8:AG13" si="50">IFERROR(MATCH(AF8,P8:V8),0)</f>
        <v>3</v>
      </c>
      <c r="AH8">
        <f t="shared" si="29"/>
        <v>2</v>
      </c>
      <c r="AI8">
        <f t="shared" ref="AI8:AI13" si="51">IFERROR(HLOOKUP(AG8,$X$1:$AD$13,W8),0)</f>
        <v>1.1027227250543019</v>
      </c>
      <c r="AJ8" t="str">
        <f t="shared" si="3"/>
        <v>a</v>
      </c>
      <c r="AK8">
        <f t="shared" si="30"/>
        <v>3</v>
      </c>
      <c r="AL8">
        <f>IFERROR(HLOOKUP(AK8,$X$1:$AD$13,W8),0)</f>
        <v>1.1027227250543019</v>
      </c>
      <c r="AM8" t="str">
        <f t="shared" si="4"/>
        <v>a</v>
      </c>
      <c r="AN8">
        <f t="shared" si="32"/>
        <v>3</v>
      </c>
      <c r="AO8">
        <f>IFERROR(HLOOKUP(AN8,$X$1:$AD$13,W8),0)</f>
        <v>1.1027227250543019</v>
      </c>
      <c r="AP8" t="str">
        <f t="shared" si="5"/>
        <v>a</v>
      </c>
      <c r="AQ8">
        <f t="shared" si="34"/>
        <v>3</v>
      </c>
      <c r="AR8">
        <f>IFERROR(HLOOKUP(AQ8,$X$1:$AD$13,W8),0)</f>
        <v>1.1027227250543019</v>
      </c>
      <c r="AS8" t="str">
        <f t="shared" si="6"/>
        <v>a</v>
      </c>
      <c r="AT8">
        <f t="shared" si="36"/>
        <v>3</v>
      </c>
      <c r="AU8">
        <f>IFERROR(HLOOKUP(AT8,$X$1:$AD$13,W8),0)</f>
        <v>1.1027227250543019</v>
      </c>
      <c r="AV8" t="str">
        <f t="shared" si="7"/>
        <v>a</v>
      </c>
      <c r="AW8">
        <f t="shared" si="38"/>
        <v>3</v>
      </c>
      <c r="AX8">
        <f>IFERROR(HLOOKUP(AW8,$X$1:$AD$13,W8),0)</f>
        <v>1.1027227250543019</v>
      </c>
      <c r="AY8" t="str">
        <f t="shared" si="8"/>
        <v>a</v>
      </c>
      <c r="AZ8">
        <f t="shared" si="40"/>
        <v>3</v>
      </c>
      <c r="BA8">
        <f>IFERROR(HLOOKUP(AZ8,$X$1:$AD$13,Z8),0)</f>
        <v>3</v>
      </c>
      <c r="BB8">
        <f t="shared" si="9"/>
        <v>0</v>
      </c>
      <c r="BC8">
        <f t="shared" si="42"/>
        <v>2</v>
      </c>
      <c r="BF8">
        <f t="shared" si="43"/>
        <v>2</v>
      </c>
      <c r="BG8">
        <f t="shared" si="44"/>
        <v>3</v>
      </c>
      <c r="BH8">
        <f t="shared" ca="1" si="45"/>
        <v>1.1027227250543019</v>
      </c>
      <c r="BI8">
        <f t="shared" ref="BI8:BI13" ca="1" si="52">IFERROR(MATCH(BH8,X8:AD8),0)</f>
        <v>3</v>
      </c>
      <c r="BK8">
        <f t="shared" ca="1" si="46"/>
        <v>9</v>
      </c>
      <c r="BQ8">
        <f t="shared" ca="1" si="11"/>
        <v>1.6451716383453452</v>
      </c>
      <c r="BR8">
        <f t="shared" ca="1" si="47"/>
        <v>0.77885349298607376</v>
      </c>
      <c r="BS8" s="5">
        <f t="shared" ca="1" si="48"/>
        <v>0.32130586557008223</v>
      </c>
      <c r="CA8" t="s">
        <v>128</v>
      </c>
      <c r="CB8">
        <v>0.8</v>
      </c>
      <c r="CC8" s="1">
        <v>0.25</v>
      </c>
    </row>
    <row r="9" spans="1:81">
      <c r="A9">
        <v>27</v>
      </c>
      <c r="B9" t="s">
        <v>63</v>
      </c>
      <c r="C9" t="s">
        <v>11</v>
      </c>
      <c r="D9" s="6">
        <v>0.22395721129558568</v>
      </c>
      <c r="E9">
        <v>0.55396837637435836</v>
      </c>
      <c r="F9">
        <v>0.40427797117473152</v>
      </c>
      <c r="G9">
        <v>9.1999999999999998E-3</v>
      </c>
      <c r="H9">
        <v>9.1999999999999998E-3</v>
      </c>
      <c r="I9">
        <v>8.0000000000000002E-3</v>
      </c>
      <c r="J9">
        <f t="shared" si="12"/>
        <v>0.57116837637435836</v>
      </c>
      <c r="K9">
        <f t="shared" si="13"/>
        <v>0.42147797117473151</v>
      </c>
      <c r="L9" s="22">
        <f t="shared" si="49"/>
        <v>0.57116837637435836</v>
      </c>
      <c r="M9" s="22">
        <f t="shared" si="49"/>
        <v>0.42147797117473151</v>
      </c>
      <c r="N9">
        <f t="shared" si="15"/>
        <v>0.24073488847343</v>
      </c>
      <c r="P9">
        <f t="shared" si="16"/>
        <v>0.57116837637435836</v>
      </c>
      <c r="Q9">
        <f t="shared" si="17"/>
        <v>1.1423367527487167</v>
      </c>
      <c r="R9">
        <f t="shared" si="18"/>
        <v>1.713505129123075</v>
      </c>
      <c r="S9">
        <f t="shared" si="19"/>
        <v>2.2846735054974334</v>
      </c>
      <c r="T9">
        <f t="shared" si="20"/>
        <v>2.8558418818717919</v>
      </c>
      <c r="U9">
        <f t="shared" si="0"/>
        <v>3.4270102582461499</v>
      </c>
      <c r="V9">
        <f t="shared" si="21"/>
        <v>3.9981786346205084</v>
      </c>
      <c r="W9">
        <v>9</v>
      </c>
      <c r="X9">
        <f t="shared" si="22"/>
        <v>0.42147797117473151</v>
      </c>
      <c r="Y9">
        <f t="shared" si="1"/>
        <v>0.84295594234946303</v>
      </c>
      <c r="Z9">
        <f t="shared" si="23"/>
        <v>1.2644339135241944</v>
      </c>
      <c r="AA9">
        <f t="shared" si="24"/>
        <v>1.6859118846989261</v>
      </c>
      <c r="AB9">
        <f t="shared" si="25"/>
        <v>2.1073898558736577</v>
      </c>
      <c r="AC9">
        <f t="shared" si="26"/>
        <v>2.5288678270483889</v>
      </c>
      <c r="AD9">
        <f t="shared" si="27"/>
        <v>2.9503457982231205</v>
      </c>
      <c r="AF9" cm="1">
        <f t="array" ref="AF9">MAX(IF(P9:V9&lt;$BM$2,P9:V9,""))</f>
        <v>1.713505129123075</v>
      </c>
      <c r="AG9">
        <f t="shared" si="50"/>
        <v>3</v>
      </c>
      <c r="AH9">
        <f t="shared" si="29"/>
        <v>2</v>
      </c>
      <c r="AI9">
        <f t="shared" si="51"/>
        <v>1.2644339135241944</v>
      </c>
      <c r="AJ9" t="str">
        <f t="shared" si="3"/>
        <v>a</v>
      </c>
      <c r="AK9">
        <f t="shared" si="30"/>
        <v>3</v>
      </c>
      <c r="AL9">
        <f t="shared" ref="AL9:AL13" si="53">IFERROR(HLOOKUP(AK9,$X$1:$AD$13,W9),0)</f>
        <v>1.2644339135241944</v>
      </c>
      <c r="AM9" t="str">
        <f t="shared" si="4"/>
        <v>a</v>
      </c>
      <c r="AN9">
        <f t="shared" si="32"/>
        <v>3</v>
      </c>
      <c r="AO9">
        <f t="shared" ref="AO9:AO13" si="54">IFERROR(HLOOKUP(AN9,$X$1:$AD$13,W9),0)</f>
        <v>1.2644339135241944</v>
      </c>
      <c r="AP9" t="str">
        <f t="shared" si="5"/>
        <v>a</v>
      </c>
      <c r="AQ9">
        <f t="shared" si="34"/>
        <v>3</v>
      </c>
      <c r="AR9">
        <f t="shared" ref="AR9:AR13" si="55">IFERROR(HLOOKUP(AQ9,$X$1:$AD$13,W9),0)</f>
        <v>1.2644339135241944</v>
      </c>
      <c r="AS9" t="str">
        <f t="shared" si="6"/>
        <v>a</v>
      </c>
      <c r="AT9">
        <f t="shared" si="36"/>
        <v>3</v>
      </c>
      <c r="AU9">
        <f t="shared" ref="AU9:AU13" si="56">IFERROR(HLOOKUP(AT9,$X$1:$AD$13,W9),0)</f>
        <v>1.2644339135241944</v>
      </c>
      <c r="AV9" t="str">
        <f t="shared" si="7"/>
        <v>a</v>
      </c>
      <c r="AW9">
        <f t="shared" si="38"/>
        <v>3</v>
      </c>
      <c r="AX9">
        <f t="shared" ref="AX9:AX13" si="57">IFERROR(HLOOKUP(AW9,$X$1:$AD$13,W9),0)</f>
        <v>1.2644339135241944</v>
      </c>
      <c r="AY9" t="str">
        <f t="shared" si="8"/>
        <v>a</v>
      </c>
      <c r="AZ9">
        <f t="shared" si="40"/>
        <v>3</v>
      </c>
      <c r="BA9">
        <f t="shared" ref="BA9:BA13" si="58">IFERROR(HLOOKUP(AZ9,$X$1:$AD$13,Z9),0)</f>
        <v>3</v>
      </c>
      <c r="BB9">
        <f t="shared" si="9"/>
        <v>0</v>
      </c>
      <c r="BC9">
        <f t="shared" ref="BC9:BC11" si="59">IF(AY9=0,AW9-1,AW9)</f>
        <v>3</v>
      </c>
      <c r="BF9">
        <f t="shared" si="43"/>
        <v>2</v>
      </c>
      <c r="BG9">
        <f t="shared" si="44"/>
        <v>3</v>
      </c>
      <c r="BH9">
        <f t="shared" ca="1" si="45"/>
        <v>1.2644339135241944</v>
      </c>
      <c r="BI9">
        <f t="shared" ca="1" si="52"/>
        <v>3</v>
      </c>
      <c r="BK9">
        <f t="shared" ca="1" si="46"/>
        <v>9</v>
      </c>
      <c r="BQ9">
        <f t="shared" ca="1" si="11"/>
        <v>2.1666139962608701</v>
      </c>
      <c r="BR9">
        <f t="shared" ca="1" si="47"/>
        <v>0.2574111350705488</v>
      </c>
      <c r="BS9" s="5">
        <f t="shared" ca="1" si="48"/>
        <v>0.10619161152391324</v>
      </c>
    </row>
    <row r="10" spans="1:81">
      <c r="A10">
        <v>32</v>
      </c>
      <c r="B10" t="s">
        <v>63</v>
      </c>
      <c r="C10" t="s">
        <v>11</v>
      </c>
      <c r="D10" s="6">
        <v>0.31458461504345647</v>
      </c>
      <c r="E10">
        <v>0.65655511273998035</v>
      </c>
      <c r="F10">
        <v>0.47914426213301514</v>
      </c>
      <c r="G10">
        <v>9.1999999999999998E-3</v>
      </c>
      <c r="H10">
        <v>9.1999999999999998E-3</v>
      </c>
      <c r="I10">
        <v>8.0000000000000002E-3</v>
      </c>
      <c r="J10">
        <f t="shared" si="12"/>
        <v>0.67375511273998034</v>
      </c>
      <c r="K10">
        <f t="shared" si="13"/>
        <v>0.49634426213301513</v>
      </c>
      <c r="L10" s="22">
        <f t="shared" si="49"/>
        <v>0.67375511273998034</v>
      </c>
      <c r="M10" s="22">
        <f t="shared" si="49"/>
        <v>0.49634426213301513</v>
      </c>
      <c r="N10">
        <f t="shared" si="15"/>
        <v>0.33441448429127196</v>
      </c>
      <c r="P10">
        <f t="shared" si="16"/>
        <v>0.67375511273998034</v>
      </c>
      <c r="Q10">
        <f t="shared" si="17"/>
        <v>1.3475102254799607</v>
      </c>
      <c r="R10">
        <f t="shared" si="18"/>
        <v>2.021265338219941</v>
      </c>
      <c r="S10">
        <f t="shared" si="19"/>
        <v>2.6950204509599214</v>
      </c>
      <c r="T10">
        <f t="shared" si="20"/>
        <v>3.3687755636999017</v>
      </c>
      <c r="U10">
        <f t="shared" si="0"/>
        <v>4.0425306764398821</v>
      </c>
      <c r="V10">
        <f t="shared" si="21"/>
        <v>4.716285789179862</v>
      </c>
      <c r="W10">
        <v>10</v>
      </c>
      <c r="X10">
        <f t="shared" si="22"/>
        <v>0.49634426213301513</v>
      </c>
      <c r="Y10">
        <f t="shared" si="1"/>
        <v>0.99268852426603027</v>
      </c>
      <c r="Z10">
        <f t="shared" si="23"/>
        <v>1.4890327863990453</v>
      </c>
      <c r="AA10">
        <f t="shared" si="24"/>
        <v>1.9853770485320605</v>
      </c>
      <c r="AB10">
        <f t="shared" si="25"/>
        <v>2.4817213106650757</v>
      </c>
      <c r="AC10">
        <f t="shared" si="26"/>
        <v>2.9780655727980907</v>
      </c>
      <c r="AD10">
        <f t="shared" si="27"/>
        <v>3.4744098349311061</v>
      </c>
      <c r="AF10" cm="1">
        <f t="array" ref="AF10">MAX(IF(P10:V10&lt;$BM$2,P10:V10,""))</f>
        <v>1.3475102254799607</v>
      </c>
      <c r="AG10">
        <f t="shared" si="50"/>
        <v>2</v>
      </c>
      <c r="AH10">
        <f t="shared" si="29"/>
        <v>1</v>
      </c>
      <c r="AI10">
        <f t="shared" si="51"/>
        <v>0.99268852426603027</v>
      </c>
      <c r="AJ10" t="str">
        <f t="shared" si="3"/>
        <v>a</v>
      </c>
      <c r="AK10">
        <f t="shared" si="30"/>
        <v>2</v>
      </c>
      <c r="AL10">
        <f t="shared" si="53"/>
        <v>0.99268852426603027</v>
      </c>
      <c r="AM10" t="str">
        <f t="shared" si="4"/>
        <v>a</v>
      </c>
      <c r="AN10">
        <f t="shared" si="32"/>
        <v>2</v>
      </c>
      <c r="AO10">
        <f t="shared" si="54"/>
        <v>0.99268852426603027</v>
      </c>
      <c r="AP10" t="str">
        <f t="shared" si="5"/>
        <v>a</v>
      </c>
      <c r="AQ10">
        <f t="shared" si="34"/>
        <v>2</v>
      </c>
      <c r="AR10">
        <f t="shared" si="55"/>
        <v>0.99268852426603027</v>
      </c>
      <c r="AS10" t="str">
        <f t="shared" si="6"/>
        <v>a</v>
      </c>
      <c r="AT10">
        <f t="shared" si="36"/>
        <v>2</v>
      </c>
      <c r="AU10">
        <f t="shared" si="56"/>
        <v>0.99268852426603027</v>
      </c>
      <c r="AV10" t="str">
        <f t="shared" si="7"/>
        <v>a</v>
      </c>
      <c r="AW10">
        <f t="shared" si="38"/>
        <v>2</v>
      </c>
      <c r="AX10">
        <f t="shared" si="57"/>
        <v>0.99268852426603027</v>
      </c>
      <c r="AY10" t="str">
        <f t="shared" si="8"/>
        <v>a</v>
      </c>
      <c r="AZ10">
        <f t="shared" si="40"/>
        <v>2</v>
      </c>
      <c r="BA10">
        <f t="shared" si="58"/>
        <v>2</v>
      </c>
      <c r="BB10">
        <f t="shared" si="9"/>
        <v>0</v>
      </c>
      <c r="BC10">
        <f t="shared" si="59"/>
        <v>2</v>
      </c>
      <c r="BF10">
        <f t="shared" si="43"/>
        <v>2</v>
      </c>
      <c r="BG10">
        <f t="shared" si="44"/>
        <v>3</v>
      </c>
      <c r="BH10">
        <f t="shared" ca="1" si="45"/>
        <v>0.99268852426603027</v>
      </c>
      <c r="BI10">
        <f t="shared" ca="1" si="52"/>
        <v>2</v>
      </c>
      <c r="BK10">
        <f t="shared" ca="1" si="46"/>
        <v>4</v>
      </c>
      <c r="BQ10">
        <f t="shared" ca="1" si="11"/>
        <v>1.3376579371650879</v>
      </c>
      <c r="BR10">
        <f t="shared" ca="1" si="47"/>
        <v>1.0863671941663311</v>
      </c>
      <c r="BS10" s="5">
        <f t="shared" ca="1" si="48"/>
        <v>0.44816663825990677</v>
      </c>
      <c r="CA10" t="s">
        <v>132</v>
      </c>
      <c r="CB10">
        <v>1.1000000000000001</v>
      </c>
      <c r="CC10" s="1">
        <v>0.25</v>
      </c>
    </row>
    <row r="11" spans="1:81">
      <c r="A11">
        <v>37</v>
      </c>
      <c r="B11" t="s">
        <v>64</v>
      </c>
      <c r="C11" t="s">
        <v>11</v>
      </c>
      <c r="D11" s="6">
        <v>0.42057259569774602</v>
      </c>
      <c r="E11">
        <v>0.75914184910560234</v>
      </c>
      <c r="F11">
        <v>0.55401055309129876</v>
      </c>
      <c r="G11">
        <v>9.1999999999999998E-3</v>
      </c>
      <c r="H11">
        <v>9.1999999999999998E-3</v>
      </c>
      <c r="I11">
        <v>8.0000000000000002E-3</v>
      </c>
      <c r="J11">
        <f t="shared" si="12"/>
        <v>0.77634184910560233</v>
      </c>
      <c r="K11">
        <f t="shared" si="13"/>
        <v>0.57121055309129876</v>
      </c>
      <c r="L11" s="22">
        <f t="shared" si="49"/>
        <v>0.77634184910560233</v>
      </c>
      <c r="M11" s="22">
        <f t="shared" si="49"/>
        <v>0.57121055309129876</v>
      </c>
      <c r="N11">
        <f t="shared" si="15"/>
        <v>0.44345465701553272</v>
      </c>
      <c r="P11">
        <f t="shared" si="16"/>
        <v>0.77634184910560233</v>
      </c>
      <c r="Q11">
        <f t="shared" si="17"/>
        <v>1.5526836982112047</v>
      </c>
      <c r="R11">
        <f t="shared" si="18"/>
        <v>2.3290255473168071</v>
      </c>
      <c r="S11">
        <f t="shared" si="19"/>
        <v>3.1053673964224093</v>
      </c>
      <c r="T11">
        <f t="shared" si="20"/>
        <v>3.8817092455280116</v>
      </c>
      <c r="U11">
        <f t="shared" si="0"/>
        <v>4.6580510946336142</v>
      </c>
      <c r="V11">
        <f t="shared" si="21"/>
        <v>5.4343929437392164</v>
      </c>
      <c r="W11">
        <v>11</v>
      </c>
      <c r="X11">
        <f t="shared" si="22"/>
        <v>0.57121055309129876</v>
      </c>
      <c r="Y11">
        <f t="shared" si="1"/>
        <v>1.1424211061825975</v>
      </c>
      <c r="Z11">
        <f t="shared" si="23"/>
        <v>1.7136316592738963</v>
      </c>
      <c r="AA11">
        <f t="shared" si="24"/>
        <v>2.284842212365195</v>
      </c>
      <c r="AB11">
        <f t="shared" si="25"/>
        <v>2.8560527654564938</v>
      </c>
      <c r="AC11">
        <f t="shared" si="26"/>
        <v>3.4272633185477925</v>
      </c>
      <c r="AD11">
        <f t="shared" si="27"/>
        <v>3.9984738716390913</v>
      </c>
      <c r="AF11" cm="1">
        <f t="array" ref="AF11">MAX(IF(P11:V11&lt;$BM$2,P11:V11,""))</f>
        <v>1.5526836982112047</v>
      </c>
      <c r="AG11">
        <f t="shared" si="50"/>
        <v>2</v>
      </c>
      <c r="AH11">
        <f t="shared" si="29"/>
        <v>1</v>
      </c>
      <c r="AI11">
        <f t="shared" si="51"/>
        <v>1.1424211061825975</v>
      </c>
      <c r="AJ11" t="str">
        <f t="shared" si="3"/>
        <v>a</v>
      </c>
      <c r="AK11">
        <f t="shared" si="30"/>
        <v>2</v>
      </c>
      <c r="AL11">
        <f t="shared" si="53"/>
        <v>1.1424211061825975</v>
      </c>
      <c r="AM11" t="str">
        <f t="shared" si="4"/>
        <v>a</v>
      </c>
      <c r="AN11">
        <f t="shared" si="32"/>
        <v>2</v>
      </c>
      <c r="AO11">
        <f t="shared" si="54"/>
        <v>1.1424211061825975</v>
      </c>
      <c r="AP11" t="str">
        <f t="shared" si="5"/>
        <v>a</v>
      </c>
      <c r="AQ11">
        <f t="shared" si="34"/>
        <v>2</v>
      </c>
      <c r="AR11">
        <f t="shared" si="55"/>
        <v>1.1424211061825975</v>
      </c>
      <c r="AS11" t="str">
        <f t="shared" si="6"/>
        <v>a</v>
      </c>
      <c r="AT11">
        <f t="shared" si="36"/>
        <v>2</v>
      </c>
      <c r="AU11">
        <f t="shared" si="56"/>
        <v>1.1424211061825975</v>
      </c>
      <c r="AV11" t="str">
        <f t="shared" si="7"/>
        <v>a</v>
      </c>
      <c r="AW11">
        <f t="shared" si="38"/>
        <v>2</v>
      </c>
      <c r="AX11">
        <f t="shared" si="57"/>
        <v>1.1424211061825975</v>
      </c>
      <c r="AY11" t="str">
        <f t="shared" si="8"/>
        <v>a</v>
      </c>
      <c r="AZ11">
        <f t="shared" si="40"/>
        <v>2</v>
      </c>
      <c r="BA11">
        <f t="shared" si="58"/>
        <v>2</v>
      </c>
      <c r="BB11">
        <f t="shared" si="9"/>
        <v>0</v>
      </c>
      <c r="BC11">
        <f t="shared" si="59"/>
        <v>2</v>
      </c>
      <c r="BF11">
        <f t="shared" si="43"/>
        <v>2</v>
      </c>
      <c r="BG11">
        <f t="shared" si="44"/>
        <v>3</v>
      </c>
      <c r="BH11">
        <f t="shared" ca="1" si="45"/>
        <v>1.1424211061825975</v>
      </c>
      <c r="BI11">
        <f t="shared" ca="1" si="52"/>
        <v>2</v>
      </c>
      <c r="BK11">
        <f t="shared" ca="1" si="46"/>
        <v>4</v>
      </c>
      <c r="BQ11">
        <f t="shared" ca="1" si="11"/>
        <v>1.7738186280621309</v>
      </c>
      <c r="BR11">
        <f t="shared" ca="1" si="47"/>
        <v>0.65020650326928808</v>
      </c>
      <c r="BS11" s="5">
        <f t="shared" ca="1" si="48"/>
        <v>0.26823422532428776</v>
      </c>
      <c r="CA11" t="s">
        <v>140</v>
      </c>
      <c r="CB11">
        <v>1</v>
      </c>
      <c r="CC11" s="1">
        <v>0.5</v>
      </c>
    </row>
    <row r="12" spans="1:81">
      <c r="A12">
        <v>40</v>
      </c>
      <c r="B12" t="s">
        <v>64</v>
      </c>
      <c r="C12" t="s">
        <v>11</v>
      </c>
      <c r="D12" s="6">
        <v>0.49153846100540061</v>
      </c>
      <c r="E12">
        <v>0.82069389092497536</v>
      </c>
      <c r="F12">
        <v>0.59893032766626886</v>
      </c>
      <c r="G12">
        <v>9.1999999999999998E-3</v>
      </c>
      <c r="H12">
        <v>9.1999999999999998E-3</v>
      </c>
      <c r="I12">
        <v>8.0000000000000002E-3</v>
      </c>
      <c r="J12">
        <f t="shared" si="12"/>
        <v>0.83789389092497535</v>
      </c>
      <c r="K12">
        <f t="shared" si="13"/>
        <v>0.61613032766626885</v>
      </c>
      <c r="L12" s="22">
        <f t="shared" si="49"/>
        <v>0.83789389092497535</v>
      </c>
      <c r="M12" s="22">
        <f t="shared" si="49"/>
        <v>0.61613032766626885</v>
      </c>
      <c r="N12">
        <f t="shared" si="15"/>
        <v>0.51625183756517001</v>
      </c>
      <c r="P12">
        <f t="shared" si="16"/>
        <v>0.83789389092497535</v>
      </c>
      <c r="Q12">
        <f t="shared" si="17"/>
        <v>1.6757877818499507</v>
      </c>
      <c r="R12">
        <f t="shared" si="18"/>
        <v>2.513681672774926</v>
      </c>
      <c r="S12">
        <f t="shared" si="19"/>
        <v>3.3515755636999014</v>
      </c>
      <c r="T12">
        <f t="shared" si="20"/>
        <v>4.1894694546248772</v>
      </c>
      <c r="U12">
        <f t="shared" si="0"/>
        <v>5.0273633455498521</v>
      </c>
      <c r="V12">
        <f t="shared" si="21"/>
        <v>5.865257236474827</v>
      </c>
      <c r="W12">
        <v>12</v>
      </c>
      <c r="X12">
        <f t="shared" si="22"/>
        <v>0.61613032766626885</v>
      </c>
      <c r="Y12">
        <f t="shared" si="1"/>
        <v>1.2322606553325377</v>
      </c>
      <c r="Z12">
        <f t="shared" si="23"/>
        <v>1.8483909829988066</v>
      </c>
      <c r="AA12">
        <f t="shared" si="24"/>
        <v>2.4645213106650754</v>
      </c>
      <c r="AB12">
        <f t="shared" si="25"/>
        <v>3.0806516383313443</v>
      </c>
      <c r="AC12">
        <f t="shared" si="26"/>
        <v>3.6967819659976131</v>
      </c>
      <c r="AD12">
        <f t="shared" si="27"/>
        <v>4.3129122936638815</v>
      </c>
      <c r="AF12" cm="1">
        <f t="array" ref="AF12">MAX(IF(P12:V12&lt;$BM$2,P12:V12,""))</f>
        <v>1.6757877818499507</v>
      </c>
      <c r="AG12">
        <f t="shared" si="50"/>
        <v>2</v>
      </c>
      <c r="AH12">
        <f t="shared" si="29"/>
        <v>1</v>
      </c>
      <c r="AI12">
        <f t="shared" si="51"/>
        <v>1.2322606553325377</v>
      </c>
      <c r="AJ12" t="str">
        <f t="shared" si="3"/>
        <v>a</v>
      </c>
      <c r="AK12">
        <f t="shared" si="30"/>
        <v>2</v>
      </c>
      <c r="AL12">
        <f t="shared" si="53"/>
        <v>1.2322606553325377</v>
      </c>
      <c r="AM12" t="str">
        <f t="shared" si="4"/>
        <v>a</v>
      </c>
      <c r="AN12">
        <f t="shared" si="32"/>
        <v>2</v>
      </c>
      <c r="AO12">
        <f t="shared" si="54"/>
        <v>1.2322606553325377</v>
      </c>
      <c r="AP12" t="str">
        <f t="shared" si="5"/>
        <v>a</v>
      </c>
      <c r="AQ12">
        <f t="shared" si="34"/>
        <v>2</v>
      </c>
      <c r="AR12">
        <f t="shared" si="55"/>
        <v>1.2322606553325377</v>
      </c>
      <c r="AS12" t="str">
        <f t="shared" si="6"/>
        <v>a</v>
      </c>
      <c r="AT12">
        <f t="shared" si="36"/>
        <v>2</v>
      </c>
      <c r="AU12">
        <f t="shared" si="56"/>
        <v>1.2322606553325377</v>
      </c>
      <c r="AV12" t="str">
        <f t="shared" si="7"/>
        <v>a</v>
      </c>
      <c r="AW12">
        <f t="shared" si="38"/>
        <v>2</v>
      </c>
      <c r="AX12">
        <f t="shared" si="57"/>
        <v>1.2322606553325377</v>
      </c>
      <c r="AY12" t="str">
        <f t="shared" si="8"/>
        <v>a</v>
      </c>
      <c r="AZ12">
        <f t="shared" si="40"/>
        <v>2</v>
      </c>
      <c r="BA12">
        <f t="shared" si="58"/>
        <v>2</v>
      </c>
      <c r="BB12">
        <f t="shared" si="9"/>
        <v>0</v>
      </c>
      <c r="BF12">
        <f t="shared" si="43"/>
        <v>2</v>
      </c>
      <c r="BG12">
        <f t="shared" si="44"/>
        <v>3</v>
      </c>
      <c r="BH12">
        <f t="shared" ca="1" si="45"/>
        <v>1.2322606553325377</v>
      </c>
      <c r="BI12">
        <f t="shared" ca="1" si="52"/>
        <v>2</v>
      </c>
      <c r="BK12">
        <f t="shared" ca="1" si="46"/>
        <v>4</v>
      </c>
      <c r="BQ12">
        <f t="shared" ca="1" si="11"/>
        <v>2.0650073502606801</v>
      </c>
      <c r="BR12">
        <f t="shared" ca="1" si="47"/>
        <v>0.3590177810707389</v>
      </c>
      <c r="BS12" s="5">
        <f t="shared" ca="1" si="48"/>
        <v>0.14810811011416575</v>
      </c>
      <c r="CA12" t="s">
        <v>133</v>
      </c>
      <c r="CB12">
        <v>0.9</v>
      </c>
      <c r="CC12" s="1">
        <v>0.25</v>
      </c>
    </row>
    <row r="13" spans="1:81">
      <c r="A13">
        <v>43</v>
      </c>
      <c r="B13" t="s">
        <v>64</v>
      </c>
      <c r="C13" t="s">
        <v>11</v>
      </c>
      <c r="D13" s="6">
        <v>0.56803413399936631</v>
      </c>
      <c r="E13">
        <v>0.88224593274434859</v>
      </c>
      <c r="F13">
        <v>0.64385010224123917</v>
      </c>
      <c r="G13">
        <v>9.1999999999999998E-3</v>
      </c>
      <c r="H13">
        <v>9.1999999999999998E-3</v>
      </c>
      <c r="I13">
        <v>8.0000000000000002E-3</v>
      </c>
      <c r="J13">
        <f t="shared" si="12"/>
        <v>0.89944593274434859</v>
      </c>
      <c r="K13">
        <f t="shared" si="13"/>
        <v>0.66105010224123917</v>
      </c>
      <c r="L13" s="22">
        <f t="shared" si="49"/>
        <v>0.89944593274434859</v>
      </c>
      <c r="M13" s="22">
        <f t="shared" si="49"/>
        <v>0.66105010224123917</v>
      </c>
      <c r="N13">
        <f t="shared" si="15"/>
        <v>0.59457882580111832</v>
      </c>
      <c r="P13">
        <f t="shared" si="16"/>
        <v>0.89944593274434859</v>
      </c>
      <c r="Q13">
        <f t="shared" si="17"/>
        <v>1.7988918654886972</v>
      </c>
      <c r="R13">
        <f t="shared" si="18"/>
        <v>2.6983377982330459</v>
      </c>
      <c r="S13">
        <f t="shared" si="19"/>
        <v>3.5977837309773943</v>
      </c>
      <c r="T13">
        <f t="shared" si="20"/>
        <v>4.4972296637217433</v>
      </c>
      <c r="U13">
        <f t="shared" si="0"/>
        <v>5.3966755964660917</v>
      </c>
      <c r="V13">
        <f t="shared" si="21"/>
        <v>6.2961215292104402</v>
      </c>
      <c r="W13">
        <v>13</v>
      </c>
      <c r="X13">
        <f t="shared" si="22"/>
        <v>0.66105010224123917</v>
      </c>
      <c r="Y13">
        <f t="shared" si="1"/>
        <v>1.3221002044824783</v>
      </c>
      <c r="Z13">
        <f t="shared" si="23"/>
        <v>1.9831503067237175</v>
      </c>
      <c r="AA13">
        <f t="shared" si="24"/>
        <v>2.6442004089649567</v>
      </c>
      <c r="AB13">
        <f t="shared" si="25"/>
        <v>3.3052505112061956</v>
      </c>
      <c r="AC13">
        <f t="shared" si="26"/>
        <v>3.966300613447435</v>
      </c>
      <c r="AD13">
        <f t="shared" si="27"/>
        <v>4.6273507156886744</v>
      </c>
      <c r="AF13" cm="1">
        <f t="array" ref="AF13">MAX(IF(P13:V13&lt;$BM$2,P13:V13,""))</f>
        <v>1.7988918654886972</v>
      </c>
      <c r="AG13">
        <f t="shared" si="50"/>
        <v>2</v>
      </c>
      <c r="AH13">
        <f t="shared" si="29"/>
        <v>1</v>
      </c>
      <c r="AI13">
        <f t="shared" si="51"/>
        <v>1.3221002044824783</v>
      </c>
      <c r="AJ13" t="str">
        <f t="shared" si="3"/>
        <v>a</v>
      </c>
      <c r="AK13">
        <f t="shared" si="30"/>
        <v>2</v>
      </c>
      <c r="AL13">
        <f t="shared" si="53"/>
        <v>1.3221002044824783</v>
      </c>
      <c r="AM13" t="str">
        <f t="shared" si="4"/>
        <v>a</v>
      </c>
      <c r="AN13">
        <f t="shared" si="32"/>
        <v>2</v>
      </c>
      <c r="AO13">
        <f t="shared" si="54"/>
        <v>1.3221002044824783</v>
      </c>
      <c r="AP13" t="str">
        <f t="shared" si="5"/>
        <v>a</v>
      </c>
      <c r="AQ13">
        <f t="shared" si="34"/>
        <v>2</v>
      </c>
      <c r="AR13">
        <f t="shared" si="55"/>
        <v>1.3221002044824783</v>
      </c>
      <c r="AS13" t="str">
        <f t="shared" si="6"/>
        <v>a</v>
      </c>
      <c r="AT13">
        <f t="shared" si="36"/>
        <v>2</v>
      </c>
      <c r="AU13">
        <f t="shared" si="56"/>
        <v>1.3221002044824783</v>
      </c>
      <c r="AV13" t="str">
        <f t="shared" si="7"/>
        <v>a</v>
      </c>
      <c r="AW13">
        <f t="shared" si="38"/>
        <v>2</v>
      </c>
      <c r="AX13">
        <f t="shared" si="57"/>
        <v>1.3221002044824783</v>
      </c>
      <c r="AY13" t="str">
        <f t="shared" si="8"/>
        <v>a</v>
      </c>
      <c r="AZ13">
        <f t="shared" si="40"/>
        <v>2</v>
      </c>
      <c r="BA13">
        <f t="shared" si="58"/>
        <v>2</v>
      </c>
      <c r="BB13">
        <f t="shared" si="9"/>
        <v>0</v>
      </c>
      <c r="BF13">
        <f t="shared" si="43"/>
        <v>2</v>
      </c>
      <c r="BG13">
        <f t="shared" si="44"/>
        <v>3</v>
      </c>
      <c r="BH13">
        <f ca="1">OFFSET(AI13,0,BG13)</f>
        <v>1.3221002044824783</v>
      </c>
      <c r="BI13">
        <f t="shared" ca="1" si="52"/>
        <v>2</v>
      </c>
      <c r="BK13">
        <f t="shared" ca="1" si="46"/>
        <v>4</v>
      </c>
      <c r="BQ13">
        <f t="shared" ca="1" si="11"/>
        <v>2.3783153032044733</v>
      </c>
      <c r="BR13">
        <f t="shared" ca="1" si="47"/>
        <v>4.5709828126945684E-2</v>
      </c>
      <c r="BS13" s="5">
        <f t="shared" ca="1" si="48"/>
        <v>1.8856994317480169E-2</v>
      </c>
    </row>
    <row r="14" spans="1:81">
      <c r="BS14" s="5">
        <f ca="1">AVERAGE(BS2:BS13)</f>
        <v>0.20118094168255826</v>
      </c>
      <c r="CA14" t="s">
        <v>135</v>
      </c>
      <c r="CB14">
        <v>0.85</v>
      </c>
      <c r="CC14" s="1">
        <v>0.25</v>
      </c>
    </row>
    <row r="15" spans="1:81" ht="20">
      <c r="S15" s="21"/>
      <c r="BI15" t="s">
        <v>117</v>
      </c>
      <c r="CA15" t="s">
        <v>141</v>
      </c>
      <c r="CB15">
        <v>1</v>
      </c>
      <c r="CC15" s="1">
        <v>0.5</v>
      </c>
    </row>
    <row r="16" spans="1:81">
      <c r="A16" t="s">
        <v>90</v>
      </c>
      <c r="L16" t="s">
        <v>122</v>
      </c>
      <c r="BI16" s="37" t="s">
        <v>119</v>
      </c>
      <c r="CA16" t="s">
        <v>136</v>
      </c>
      <c r="CB16">
        <v>1.02</v>
      </c>
      <c r="CC16" s="1">
        <v>0.25</v>
      </c>
    </row>
    <row r="18" spans="1:81">
      <c r="CA18" t="s">
        <v>136</v>
      </c>
      <c r="CB18">
        <v>1.1000000000000001</v>
      </c>
      <c r="CC18" s="1">
        <v>0.25</v>
      </c>
    </row>
    <row r="19" spans="1:81">
      <c r="A19" t="s">
        <v>93</v>
      </c>
      <c r="BI19" t="s">
        <v>111</v>
      </c>
      <c r="BN19" t="s">
        <v>148</v>
      </c>
      <c r="CA19" t="s">
        <v>142</v>
      </c>
      <c r="CB19">
        <v>1</v>
      </c>
      <c r="CC19" s="1">
        <v>0.5</v>
      </c>
    </row>
    <row r="20" spans="1:81" ht="20">
      <c r="B20" t="s">
        <v>99</v>
      </c>
      <c r="C20" t="s">
        <v>98</v>
      </c>
      <c r="X20" s="24"/>
      <c r="CA20" t="s">
        <v>135</v>
      </c>
      <c r="CB20">
        <v>0.9</v>
      </c>
      <c r="CC20" s="1">
        <v>0.25</v>
      </c>
    </row>
    <row r="22" spans="1:81">
      <c r="A22" s="25" t="s">
        <v>1</v>
      </c>
      <c r="B22" s="25" t="s">
        <v>2</v>
      </c>
      <c r="C22" s="25">
        <v>2005</v>
      </c>
      <c r="D22" s="25">
        <v>2006</v>
      </c>
      <c r="E22" s="25">
        <v>2007</v>
      </c>
      <c r="F22" s="25">
        <v>2008</v>
      </c>
      <c r="G22" s="25">
        <v>2009</v>
      </c>
      <c r="H22" s="25">
        <v>2010</v>
      </c>
      <c r="I22" s="25">
        <v>2011</v>
      </c>
      <c r="J22" s="25">
        <v>2012</v>
      </c>
      <c r="K22" s="25">
        <v>2013</v>
      </c>
      <c r="L22" s="25">
        <v>2014</v>
      </c>
      <c r="M22" s="25">
        <v>2015</v>
      </c>
      <c r="N22" s="25">
        <v>2016</v>
      </c>
      <c r="O22" s="25">
        <v>2017</v>
      </c>
      <c r="P22" s="25"/>
    </row>
    <row r="23" spans="1:81">
      <c r="A23" s="25" t="s">
        <v>3</v>
      </c>
      <c r="B23" s="25" t="s">
        <v>5</v>
      </c>
      <c r="C23" s="4">
        <f ca="1">IFERROR( ($BK$2*Costs!G19*Price!H5)-Costs!G4*'Minimizing glass loss'!$BP$2,0)</f>
        <v>1094.8409650756023</v>
      </c>
      <c r="D23" s="4">
        <f ca="1">IFERROR( ($BK$2*Costs!H19*Price!I5)-Costs!H4*'Minimizing glass loss'!$BP$2,0)</f>
        <v>728.38832216749915</v>
      </c>
      <c r="E23" s="4">
        <f ca="1">IFERROR( ($BK$2*Costs!I19*Price!J5)-Costs!I4*'Minimizing glass loss'!$BP$2,0)</f>
        <v>457.74542794608124</v>
      </c>
      <c r="F23" s="4">
        <f ca="1">IFERROR( ($BK$2*Costs!J19*Price!K5)-Costs!J4*'Minimizing glass loss'!$BP$2,0)</f>
        <v>223.72265938132091</v>
      </c>
      <c r="G23" s="4">
        <f ca="1">IFERROR( ($BK$2*Costs!K19*Price!L5)-Costs!K4*'Minimizing glass loss'!$BP$2,0)</f>
        <v>58.481714897240636</v>
      </c>
      <c r="H23" s="4">
        <f ca="1">IFERROR( ($BK$2*Costs!L19*Price!M5)-Costs!L4*'Minimizing glass loss'!$BP$2,0)</f>
        <v>-155.86312906151443</v>
      </c>
      <c r="I23" s="4">
        <f ca="1">IFERROR( ($BK$2*Costs!M19*Price!N5)-Costs!M4*'Minimizing glass loss'!$BP$2,0)</f>
        <v>-362.44237512157179</v>
      </c>
      <c r="J23" s="4">
        <f ca="1">IFERROR( ($BK$2*Costs!N19*Price!O5)-Costs!N4*'Minimizing glass loss'!$BP$2,0)</f>
        <v>-456.52942013097766</v>
      </c>
      <c r="K23" s="4">
        <f ca="1">IFERROR( ($BK$2*Costs!O19*Price!P5)-Costs!O4*'Minimizing glass loss'!$BP$2,0)</f>
        <v>-579.70476671636095</v>
      </c>
      <c r="L23" s="4">
        <f ca="1">IFERROR( ($BK$2*Costs!P19*Price!Q5)-Costs!P4*'Minimizing glass loss'!$BP$2,0)</f>
        <v>-644.20998764508681</v>
      </c>
      <c r="M23" s="4">
        <f ca="1">IFERROR( ($BK$2*Costs!Q19*Price!R5)-Costs!Q4*'Minimizing glass loss'!$BP$2,0)</f>
        <v>-659.74118344248132</v>
      </c>
      <c r="N23" s="4">
        <f ca="1">IFERROR( ($BK$2*Costs!R19*Price!S5)-Costs!R4*'Minimizing glass loss'!$BP$2,0)</f>
        <v>-699.51263055319032</v>
      </c>
      <c r="O23" s="4">
        <f ca="1">IFERROR( ($BK$2*Costs!S19*Price!T5)-Costs!S4*'Minimizing glass loss'!$BP$2,0)</f>
        <v>-683.03797713857341</v>
      </c>
      <c r="P23" s="4"/>
    </row>
    <row r="24" spans="1:81">
      <c r="A24" s="25" t="s">
        <v>4</v>
      </c>
      <c r="B24" s="25" t="s">
        <v>5</v>
      </c>
      <c r="C24" s="4">
        <f ca="1">IFERROR( ($BK$3*Costs!G19*Price!H6)-Costs!G4*'Minimizing glass loss'!$BP$2,0)</f>
        <v>2013.5909650756023</v>
      </c>
      <c r="D24" s="4">
        <f ca="1">IFERROR( ($BK$3*Costs!H19*Price!I6)-Costs!H4*'Minimizing glass loss'!$BP$2,0)</f>
        <v>1551.5883221674994</v>
      </c>
      <c r="E24" s="4">
        <f ca="1">IFERROR( ($BK$3*Costs!I19*Price!J6)-Costs!I4*'Minimizing glass loss'!$BP$2,0)</f>
        <v>1165.7954279460814</v>
      </c>
      <c r="F24" s="4">
        <f ca="1">IFERROR( ($BK$3*Costs!J19*Price!K6)-Costs!J4*'Minimizing glass loss'!$BP$2,0)</f>
        <v>797.02265938132086</v>
      </c>
      <c r="G24" s="4">
        <f ca="1">IFERROR( ($BK$3*Costs!K19*Price!L6)-Costs!K4*'Minimizing glass loss'!$BP$2,0)</f>
        <v>523.98171489724064</v>
      </c>
      <c r="H24" s="4">
        <f ca="1">IFERROR( ($BK$3*Costs!L19*Price!M6)-Costs!L4*'Minimizing glass loss'!$BP$2,0)</f>
        <v>216.53687093848566</v>
      </c>
      <c r="I24" s="4">
        <f ca="1">IFERROR( ($BK$3*Costs!M19*Price!N6)-Costs!M4*'Minimizing glass loss'!$BP$2,0)</f>
        <v>-36.592375121571877</v>
      </c>
      <c r="J24" s="4">
        <f ca="1">IFERROR( ($BK$3*Costs!N19*Price!O6)-Costs!N4*'Minimizing glass loss'!$BP$2,0)</f>
        <v>-223.77942013097777</v>
      </c>
      <c r="K24" s="4">
        <f ca="1">IFERROR( ($BK$3*Costs!O19*Price!P6)-Costs!O4*'Minimizing glass loss'!$BP$2,0)</f>
        <v>-393.5047667163609</v>
      </c>
      <c r="L24" s="4">
        <f ca="1">IFERROR( ($BK$3*Costs!P19*Price!Q6)-Costs!P4*'Minimizing glass loss'!$BP$2,0)</f>
        <v>-504.55998764508684</v>
      </c>
      <c r="M24" s="4">
        <f ca="1">IFERROR( ($BK$3*Costs!Q19*Price!R6)-Costs!Q4*'Minimizing glass loss'!$BP$2,0)</f>
        <v>-566.64118344248141</v>
      </c>
      <c r="N24" s="4">
        <f ca="1">IFERROR( ($BK$3*Costs!R19*Price!S6)-Costs!R4*'Minimizing glass loss'!$BP$2,0)</f>
        <v>-559.86263055319023</v>
      </c>
      <c r="O24" s="4">
        <f ca="1">IFERROR( ($BK$3*Costs!S19*Price!T6)-Costs!S4*'Minimizing glass loss'!$BP$2,0)</f>
        <v>-589.93797713857339</v>
      </c>
      <c r="P24" s="4"/>
    </row>
    <row r="25" spans="1:81" ht="19">
      <c r="A25" s="25" t="s">
        <v>6</v>
      </c>
      <c r="B25" s="25" t="s">
        <v>7</v>
      </c>
      <c r="C25" s="4">
        <f ca="1">IFERROR( ($BK$4*Costs!G20*Price!H7)-Costs!G4*'Minimizing glass loss'!$BP$2,0)</f>
        <v>-57.709034924397884</v>
      </c>
      <c r="D25" s="4">
        <f ca="1">IFERROR( ($BK$4*Costs!H20*Price!I7)-Costs!H4*'Minimizing glass loss'!$BP$2,0)</f>
        <v>-110.01167783250094</v>
      </c>
      <c r="E25" s="4">
        <f ca="1">IFERROR( ($BK$4*Costs!I20*Price!J7)-Costs!I4*'Minimizing glass loss'!$BP$2,0)</f>
        <v>-165.75457205391854</v>
      </c>
      <c r="F25" s="4">
        <f ca="1">IFERROR( ($BK$4*Costs!J20*Price!K7)-Costs!J4*'Minimizing glass loss'!$BP$2,0)</f>
        <v>-203.77734061867909</v>
      </c>
      <c r="G25" s="4">
        <f ca="1">IFERROR( ($BK$4*Costs!K20*Price!L7)-Costs!K4*'Minimizing glass loss'!$BP$2,0)</f>
        <v>-260.36828510275927</v>
      </c>
      <c r="H25" s="4">
        <f ca="1">IFERROR( ($BK$4*Costs!L20*Price!M7)-Costs!L4*'Minimizing glass loss'!$BP$2,0)</f>
        <v>-273.66312906151438</v>
      </c>
      <c r="I25" s="4">
        <f ca="1">IFERROR( ($BK$4*Costs!M20*Price!N7)-Costs!M4*'Minimizing glass loss'!$BP$2,0)</f>
        <v>-383.34237512157176</v>
      </c>
      <c r="J25" s="4">
        <f ca="1">IFERROR( ($BK$4*Costs!N20*Price!O7)-Costs!N4*'Minimizing glass loss'!$BP$2,0)</f>
        <v>-443.2294201309777</v>
      </c>
      <c r="K25" s="4">
        <f ca="1">IFERROR( ($BK$4*Costs!O20*Price!P7)-Costs!O4*'Minimizing glass loss'!$BP$2,0)</f>
        <v>-501.80476671636097</v>
      </c>
      <c r="L25" s="4">
        <f ca="1">IFERROR( ($BK$4*Costs!P20*Price!Q7)-Costs!P4*'Minimizing glass loss'!$BP$2,0)</f>
        <v>-533.05998764508684</v>
      </c>
      <c r="M25" s="4">
        <f ca="1">IFERROR( ($BK$4*Costs!Q20*Price!R7)-Costs!Q4*'Minimizing glass loss'!$BP$2,0)</f>
        <v>-546.69118344248136</v>
      </c>
      <c r="N25" s="4">
        <f ca="1">IFERROR( ($BK$4*Costs!R20*Price!S7)-Costs!R4*'Minimizing glass loss'!$BP$2,0)</f>
        <v>-569.36263055319023</v>
      </c>
      <c r="O25" s="4">
        <f ca="1">IFERROR( ($BK$4*Costs!S20*Price!T7)-Costs!S4*'Minimizing glass loss'!$BP$2,0)</f>
        <v>-582.33797713857336</v>
      </c>
      <c r="P25" s="4"/>
      <c r="V25" s="23"/>
      <c r="W25" s="23"/>
    </row>
    <row r="26" spans="1:81">
      <c r="A26" s="25" t="s">
        <v>8</v>
      </c>
      <c r="B26" s="25" t="s">
        <v>7</v>
      </c>
      <c r="C26" s="4">
        <f ca="1">IFERROR( ($BK$5*Costs!G20*Price!H8)-Costs!G4*'Minimizing glass loss'!$BP$2,0)</f>
        <v>-113.70903492439788</v>
      </c>
      <c r="D26" s="4">
        <f ca="1">IFERROR( ($BK$5*Costs!H20*Price!I8)-Costs!H4*'Minimizing glass loss'!$BP$2,0)</f>
        <v>-146.01167783250094</v>
      </c>
      <c r="E26" s="4">
        <f ca="1">IFERROR( ($BK$5*Costs!I20*Price!J8)-Costs!I4*'Minimizing glass loss'!$BP$2,0)</f>
        <v>-204.15457205391863</v>
      </c>
      <c r="F26" s="4">
        <f ca="1">IFERROR( ($BK$5*Costs!J20*Price!K8)-Costs!J4*'Minimizing glass loss'!$BP$2,0)</f>
        <v>-244.57734061867905</v>
      </c>
      <c r="G26" s="4">
        <f ca="1">IFERROR( ($BK$5*Costs!K20*Price!L8)-Costs!K4*'Minimizing glass loss'!$BP$2,0)</f>
        <v>-289.16828510275923</v>
      </c>
      <c r="H26" s="4">
        <f ca="1">IFERROR( ($BK$5*Costs!L20*Price!M8)-Costs!L4*'Minimizing glass loss'!$BP$2,0)</f>
        <v>-304.06312906151425</v>
      </c>
      <c r="I26" s="4">
        <f ca="1">IFERROR( ($BK$5*Costs!M20*Price!N8)-Costs!M4*'Minimizing glass loss'!$BP$2,0)</f>
        <v>-413.74237512157174</v>
      </c>
      <c r="J26" s="4">
        <f ca="1">IFERROR( ($BK$5*Costs!N20*Price!O8)-Costs!N4*'Minimizing glass loss'!$BP$2,0)</f>
        <v>-473.62942013097768</v>
      </c>
      <c r="K26" s="4">
        <f ca="1">IFERROR( ($BK$5*Costs!O20*Price!P8)-Costs!O4*'Minimizing glass loss'!$BP$2,0)</f>
        <v>-517.0047667163609</v>
      </c>
      <c r="L26" s="4">
        <f ca="1">IFERROR( ($BK$5*Costs!P20*Price!Q8)-Costs!P4*'Minimizing glass loss'!$BP$2,0)</f>
        <v>-548.25998764508677</v>
      </c>
      <c r="M26" s="4">
        <f ca="1">IFERROR( ($BK$5*Costs!Q20*Price!R8)-Costs!Q4*'Minimizing glass loss'!$BP$2,0)</f>
        <v>-561.89118344248141</v>
      </c>
      <c r="N26" s="4">
        <f ca="1">IFERROR( ($BK$5*Costs!R20*Price!S8)-Costs!R4*'Minimizing glass loss'!$BP$2,0)</f>
        <v>-584.56263055319027</v>
      </c>
      <c r="O26" s="4">
        <f ca="1">IFERROR( ($BK$5*Costs!S20*Price!T8)-Costs!S4*'Minimizing glass loss'!$BP$2,0)</f>
        <v>-582.33797713857336</v>
      </c>
      <c r="P26" s="4"/>
    </row>
    <row r="27" spans="1:81">
      <c r="A27" s="25" t="s">
        <v>9</v>
      </c>
      <c r="B27" s="25" t="s">
        <v>7</v>
      </c>
      <c r="C27" s="4">
        <f ca="1">IFERROR( ($BK$6*Costs!G20*Price!H9)-Costs!G4*'Minimizing glass loss'!$BP$2,0)</f>
        <v>610.79096507560212</v>
      </c>
      <c r="D27" s="4">
        <f ca="1">IFERROR( ($BK$6*Costs!H20*Price!I9)-Costs!H4*'Minimizing glass loss'!$BP$2,0)</f>
        <v>504.98832216749906</v>
      </c>
      <c r="E27" s="4">
        <f ca="1">IFERROR( ($BK$6*Costs!I20*Price!J9)-Costs!I4*'Minimizing glass loss'!$BP$2,0)</f>
        <v>383.04542794608142</v>
      </c>
      <c r="F27" s="4">
        <f ca="1">IFERROR( ($BK$6*Costs!J20*Price!K9)-Costs!J4*'Minimizing glass loss'!$BP$2,0)</f>
        <v>285.82265938132082</v>
      </c>
      <c r="G27" s="4">
        <f ca="1">IFERROR( ($BK$6*Costs!K20*Price!L9)-Costs!K4*'Minimizing glass loss'!$BP$2,0)</f>
        <v>195.03171489724059</v>
      </c>
      <c r="H27" s="4">
        <f ca="1">IFERROR( ($BK$6*Costs!L20*Price!M9)-Costs!L4*'Minimizing glass loss'!$BP$2,0)</f>
        <v>122.48687093848548</v>
      </c>
      <c r="I27" s="4">
        <f ca="1">IFERROR( ($BK$6*Costs!M20*Price!N9)-Costs!M4*'Minimizing glass loss'!$BP$2,0)</f>
        <v>-44.192375121571786</v>
      </c>
      <c r="J27" s="4">
        <f ca="1">IFERROR( ($BK$6*Costs!N20*Price!O9)-Costs!N4*'Minimizing glass loss'!$BP$2,0)</f>
        <v>-157.27942013097777</v>
      </c>
      <c r="K27" s="4">
        <f ca="1">IFERROR( ($BK$6*Costs!O20*Price!P9)-Costs!O4*'Minimizing glass loss'!$BP$2,0)</f>
        <v>-256.70476671636095</v>
      </c>
      <c r="L27" s="4">
        <f ca="1">IFERROR( ($BK$6*Costs!P20*Price!Q9)-Costs!P4*'Minimizing glass loss'!$BP$2,0)</f>
        <v>-326.90998764508686</v>
      </c>
      <c r="M27" s="4">
        <f ca="1">IFERROR( ($BK$6*Costs!Q20*Price!R9)-Costs!Q4*'Minimizing glass loss'!$BP$2,0)</f>
        <v>-369.0411834424815</v>
      </c>
      <c r="N27" s="4">
        <f ca="1">IFERROR( ($BK$6*Costs!R20*Price!S9)-Costs!R4*'Minimizing glass loss'!$BP$2,0)</f>
        <v>-426.86263055319034</v>
      </c>
      <c r="O27" s="4">
        <f ca="1">IFERROR( ($BK$6*Costs!S20*Price!T9)-Costs!S4*'Minimizing glass loss'!$BP$2,0)</f>
        <v>-449.33797713857348</v>
      </c>
      <c r="P27" s="4"/>
    </row>
    <row r="28" spans="1:81">
      <c r="A28" s="25" t="s">
        <v>10</v>
      </c>
      <c r="B28" s="25" t="s">
        <v>11</v>
      </c>
      <c r="C28" s="4">
        <f ca="1">IFERROR( ($BK$7*Costs!G21*Price!H10)-Costs!G4*'Minimizing glass loss'!$BP$2,0)</f>
        <v>-641.70903492439766</v>
      </c>
      <c r="D28" s="4">
        <f ca="1">IFERROR( ($BK$7*Costs!H21*Price!I10)-Costs!H4*'Minimizing glass loss'!$BP$2,0)</f>
        <v>-470.01167783250094</v>
      </c>
      <c r="E28" s="4">
        <f ca="1">IFERROR( ($BK$7*Costs!I21*Price!J10)-Costs!I4*'Minimizing glass loss'!$BP$2,0)</f>
        <v>-357.75457205391854</v>
      </c>
      <c r="F28" s="4">
        <f ca="1">IFERROR( ($BK$7*Costs!J21*Price!K10)-Costs!J4*'Minimizing glass loss'!$BP$2,0)</f>
        <v>-254.17734061867895</v>
      </c>
      <c r="G28" s="4">
        <f ca="1">IFERROR( ($BK$7*Costs!K21*Price!L10)-Costs!K4*'Minimizing glass loss'!$BP$2,0)</f>
        <v>-186.76828510275936</v>
      </c>
      <c r="H28" s="4">
        <f ca="1">IFERROR( ($BK$7*Costs!L21*Price!M10)-Costs!L4*'Minimizing glass loss'!$BP$2,0)</f>
        <v>-6.3129061514246132E-2</v>
      </c>
      <c r="I28" s="4">
        <f ca="1">IFERROR( ($BK$7*Costs!M21*Price!N10)-Costs!M4*'Minimizing glass loss'!$BP$2,0)</f>
        <v>114.25762487842826</v>
      </c>
      <c r="J28" s="4">
        <f ca="1">IFERROR( ($BK$7*Costs!N21*Price!O10)-Costs!N4*'Minimizing glass loss'!$BP$2,0)</f>
        <v>215.97057986902246</v>
      </c>
      <c r="K28" s="4">
        <f ca="1">IFERROR( ($BK$7*Costs!O21*Price!P10)-Costs!O4*'Minimizing glass loss'!$BP$2,0)</f>
        <v>99.795233283639163</v>
      </c>
      <c r="L28" s="4">
        <f ca="1">IFERROR( ($BK$7*Costs!P21*Price!Q10)-Costs!P4*'Minimizing glass loss'!$BP$2,0)</f>
        <v>8.5400123549131877</v>
      </c>
      <c r="M28" s="4">
        <f ca="1">IFERROR( ($BK$7*Costs!Q21*Price!R10)-Costs!Q4*'Minimizing glass loss'!$BP$2,0)</f>
        <v>-41.891183442481406</v>
      </c>
      <c r="N28" s="4">
        <f ca="1">IFERROR( ($BK$7*Costs!R21*Price!S10)-Costs!R4*'Minimizing glass loss'!$BP$2,0)</f>
        <v>-116.56263055319016</v>
      </c>
      <c r="O28" s="4">
        <f ca="1">IFERROR( ($BK$7*Costs!S21*Price!T10)-Costs!S4*'Minimizing glass loss'!$BP$2,0)</f>
        <v>-168.73797713857334</v>
      </c>
      <c r="P28" s="4"/>
    </row>
    <row r="29" spans="1:81">
      <c r="A29" s="25" t="s">
        <v>63</v>
      </c>
      <c r="B29" s="25" t="s">
        <v>11</v>
      </c>
      <c r="C29" s="4">
        <f ca="1">IFERROR( ($BK$8*Costs!G21*Price!H11)-Costs!G4*'Minimizing glass loss'!$BP$2,0)</f>
        <v>-730.20903492439788</v>
      </c>
      <c r="D29" s="4">
        <f ca="1">IFERROR( ($BK$8*Costs!H21*Price!I11)-Costs!H4*'Minimizing glass loss'!$BP$2,0)</f>
        <v>-565.56167783250089</v>
      </c>
      <c r="E29" s="4">
        <f ca="1">IFERROR( ($BK$8*Costs!I21*Price!J11)-Costs!I4*'Minimizing glass loss'!$BP$2,0)</f>
        <v>-452.15457205391863</v>
      </c>
      <c r="F29" s="4">
        <f ca="1">IFERROR( ($BK$8*Costs!J21*Price!K11)-Costs!J4*'Minimizing glass loss'!$BP$2,0)</f>
        <v>-344.17734061867918</v>
      </c>
      <c r="G29" s="4">
        <f ca="1">IFERROR( ($BK$8*Costs!K21*Price!L11)-Costs!K4*'Minimizing glass loss'!$BP$2,0)</f>
        <v>-274.76828510275936</v>
      </c>
      <c r="H29" s="4">
        <f ca="1">IFERROR( ($BK$8*Costs!L21*Price!M11)-Costs!L4*'Minimizing glass loss'!$BP$2,0)</f>
        <v>-93.063129061514474</v>
      </c>
      <c r="I29" s="4">
        <f ca="1">IFERROR( ($BK$8*Costs!M21*Price!N11)-Costs!M4*'Minimizing glass loss'!$BP$2,0)</f>
        <v>18.357624878428169</v>
      </c>
      <c r="J29" s="4">
        <f ca="1">IFERROR( ($BK$8*Costs!N21*Price!O11)-Costs!N4*'Minimizing glass loss'!$BP$2,0)</f>
        <v>116.77057986902241</v>
      </c>
      <c r="K29" s="4">
        <f ca="1">IFERROR( ($BK$8*Costs!O21*Price!P11)-Costs!O4*'Minimizing glass loss'!$BP$2,0)</f>
        <v>14.195233283639254</v>
      </c>
      <c r="L29" s="4">
        <f ca="1">IFERROR( ($BK$8*Costs!P21*Price!Q11)-Costs!P4*'Minimizing glass loss'!$BP$2,0)</f>
        <v>-54.65998764508663</v>
      </c>
      <c r="M29" s="4">
        <f ca="1">IFERROR( ($BK$8*Costs!Q21*Price!R11)-Costs!Q4*'Minimizing glass loss'!$BP$2,0)</f>
        <v>-113.89118344248129</v>
      </c>
      <c r="N29" s="4">
        <f ca="1">IFERROR( ($BK$8*Costs!R21*Price!S11)-Costs!R4*'Minimizing glass loss'!$BP$2,0)</f>
        <v>-175.76263055319021</v>
      </c>
      <c r="O29" s="4">
        <f ca="1">IFERROR( ($BK$8*Costs!S21*Price!T11)-Costs!S4*'Minimizing glass loss'!$BP$2,0)</f>
        <v>-213.5379771385733</v>
      </c>
      <c r="P29" s="4"/>
    </row>
    <row r="30" spans="1:81">
      <c r="A30" s="25" t="s">
        <v>63</v>
      </c>
      <c r="B30" s="25" t="s">
        <v>11</v>
      </c>
      <c r="C30" s="4">
        <f ca="1">IFERROR( ($BK$9*Costs!G21*Price!H12)-Costs!G4*'Minimizing glass loss'!$BP$2,0)</f>
        <v>-627.60903492439775</v>
      </c>
      <c r="D30" s="4">
        <f ca="1">IFERROR( ($BK$9*Costs!H21*Price!I12)-Costs!H4*'Minimizing glass loss'!$BP$2,0)</f>
        <v>-458.46167783250098</v>
      </c>
      <c r="E30" s="4">
        <f ca="1">IFERROR( ($BK$9*Costs!I21*Price!J12)-Costs!I4*'Minimizing glass loss'!$BP$2,0)</f>
        <v>-344.15457205391863</v>
      </c>
      <c r="F30" s="4">
        <f ca="1">IFERROR( ($BK$9*Costs!J21*Price!K12)-Costs!J4*'Minimizing glass loss'!$BP$2,0)</f>
        <v>-238.877340618679</v>
      </c>
      <c r="G30" s="4">
        <f ca="1">IFERROR( ($BK$9*Costs!K21*Price!L12)-Costs!K4*'Minimizing glass loss'!$BP$2,0)</f>
        <v>-166.76828510275936</v>
      </c>
      <c r="H30" s="4">
        <f ca="1">IFERROR( ($BK$9*Costs!L21*Price!M12)-Costs!L4*'Minimizing glass loss'!$BP$2,0)</f>
        <v>25.736870938485481</v>
      </c>
      <c r="I30" s="4">
        <f ca="1">IFERROR( ($BK$9*Costs!M21*Price!N12)-Costs!M4*'Minimizing glass loss'!$BP$2,0)</f>
        <v>138.05762487842821</v>
      </c>
      <c r="J30" s="4">
        <f ca="1">IFERROR( ($BK$9*Costs!N21*Price!O12)-Costs!N4*'Minimizing glass loss'!$BP$2,0)</f>
        <v>239.1705798690225</v>
      </c>
      <c r="K30" s="4">
        <f ca="1">IFERROR( ($BK$9*Costs!O21*Price!P12)-Costs!O4*'Minimizing glass loss'!$BP$2,0)</f>
        <v>114.99523328363921</v>
      </c>
      <c r="L30" s="4">
        <f ca="1">IFERROR( ($BK$9*Costs!P21*Price!Q12)-Costs!P4*'Minimizing glass loss'!$BP$2,0)</f>
        <v>31.740012354913233</v>
      </c>
      <c r="M30" s="4">
        <f ca="1">IFERROR( ($BK$9*Costs!Q21*Price!R12)-Costs!Q4*'Minimizing glass loss'!$BP$2,0)</f>
        <v>-34.691183442481361</v>
      </c>
      <c r="N30" s="4">
        <f ca="1">IFERROR( ($BK$9*Costs!R21*Price!S12)-Costs!R4*'Minimizing glass loss'!$BP$2,0)</f>
        <v>-103.76263055319021</v>
      </c>
      <c r="O30" s="4">
        <f ca="1">IFERROR( ($BK$9*Costs!S21*Price!T12)-Costs!S4*'Minimizing glass loss'!$BP$2,0)</f>
        <v>-148.73797713857334</v>
      </c>
      <c r="P30" s="4"/>
    </row>
    <row r="31" spans="1:81">
      <c r="A31" s="25" t="s">
        <v>63</v>
      </c>
      <c r="B31" s="25" t="s">
        <v>11</v>
      </c>
      <c r="C31" s="4">
        <f ca="1">IFERROR( ($BK$10*Costs!G21*Price!H13)-Costs!G4*'Minimizing glass loss'!$BP$2,0)</f>
        <v>-904.50903492439784</v>
      </c>
      <c r="D31" s="4">
        <f ca="1">IFERROR( ($BK$10*Costs!H21*Price!I13)-Costs!H4*'Minimizing glass loss'!$BP$2,0)</f>
        <v>-743.01167783250094</v>
      </c>
      <c r="E31" s="4">
        <f ca="1">IFERROR( ($BK$10*Costs!I21*Price!J13)-Costs!I4*'Minimizing glass loss'!$BP$2,0)</f>
        <v>-629.75457205391854</v>
      </c>
      <c r="F31" s="4">
        <f ca="1">IFERROR( ($BK$10*Costs!J21*Price!K13)-Costs!J4*'Minimizing glass loss'!$BP$2,0)</f>
        <v>-522.377340618679</v>
      </c>
      <c r="G31" s="4">
        <f ca="1">IFERROR( ($BK$10*Costs!K21*Price!L13)-Costs!K4*'Minimizing glass loss'!$BP$2,0)</f>
        <v>-446.76828510275936</v>
      </c>
      <c r="H31" s="4">
        <f ca="1">IFERROR( ($BK$10*Costs!L21*Price!M13)-Costs!L4*'Minimizing glass loss'!$BP$2,0)</f>
        <v>-271.26312906151429</v>
      </c>
      <c r="I31" s="4">
        <f ca="1">IFERROR( ($BK$10*Costs!M21*Price!N13)-Costs!M4*'Minimizing glass loss'!$BP$2,0)</f>
        <v>-165.74237512157174</v>
      </c>
      <c r="J31" s="4">
        <f ca="1">IFERROR( ($BK$10*Costs!N21*Price!O13)-Costs!N4*'Minimizing glass loss'!$BP$2,0)</f>
        <v>-65.629420130977451</v>
      </c>
      <c r="K31" s="4">
        <f ca="1">IFERROR( ($BK$10*Costs!O21*Price!P13)-Costs!O4*'Minimizing glass loss'!$BP$2,0)</f>
        <v>-149.80476671636075</v>
      </c>
      <c r="L31" s="4">
        <f ca="1">IFERROR( ($BK$10*Costs!P21*Price!Q13)-Costs!P4*'Minimizing glass loss'!$BP$2,0)</f>
        <v>-205.85998764508668</v>
      </c>
      <c r="M31" s="4">
        <f ca="1">IFERROR( ($BK$10*Costs!Q21*Price!R13)-Costs!Q4*'Minimizing glass loss'!$BP$2,0)</f>
        <v>-243.49118344248132</v>
      </c>
      <c r="N31" s="4">
        <f ca="1">IFERROR( ($BK$10*Costs!R21*Price!S13)-Costs!R4*'Minimizing glass loss'!$BP$2,0)</f>
        <v>-289.36263055319023</v>
      </c>
      <c r="O31" s="4">
        <f ca="1">IFERROR( ($BK$10*Costs!S21*Price!T13)-Costs!S4*'Minimizing glass loss'!$BP$2,0)</f>
        <v>-315.93797713857327</v>
      </c>
      <c r="P31" s="4"/>
    </row>
    <row r="32" spans="1:81">
      <c r="A32" s="25" t="s">
        <v>64</v>
      </c>
      <c r="B32" s="25" t="s">
        <v>11</v>
      </c>
      <c r="C32" s="4">
        <f ca="1">IFERROR( ($BK$11*Costs!G21*Price!H14)-Costs!G4*'Minimizing glass loss'!$BP$2,0)</f>
        <v>-476.10903492439775</v>
      </c>
      <c r="D32" s="4">
        <f ca="1">IFERROR( ($BK$11*Costs!H21*Price!I14)-Costs!H4*'Minimizing glass loss'!$BP$2,0)</f>
        <v>-303.41167783250103</v>
      </c>
      <c r="E32" s="4">
        <f ca="1">IFERROR( ($BK$11*Costs!I21*Price!J14)-Costs!I4*'Minimizing glass loss'!$BP$2,0)</f>
        <v>-188.15457205391863</v>
      </c>
      <c r="F32" s="4">
        <f ca="1">IFERROR( ($BK$11*Costs!J21*Price!K14)-Costs!J4*'Minimizing glass loss'!$BP$2,0)</f>
        <v>-84.977340618678909</v>
      </c>
      <c r="G32" s="4">
        <f ca="1">IFERROR( ($BK$11*Costs!K21*Price!L14)-Costs!K4*'Minimizing glass loss'!$BP$2,0)</f>
        <v>-18.768285102759364</v>
      </c>
      <c r="H32" s="4">
        <f ca="1">IFERROR( ($BK$11*Costs!L21*Price!M14)-Costs!L4*'Minimizing glass loss'!$BP$2,0)</f>
        <v>179.93687093848575</v>
      </c>
      <c r="I32" s="4">
        <f ca="1">IFERROR( ($BK$11*Costs!M21*Price!N14)-Costs!M4*'Minimizing glass loss'!$BP$2,0)</f>
        <v>296.25762487842826</v>
      </c>
      <c r="J32" s="4">
        <f ca="1">IFERROR( ($BK$11*Costs!N21*Price!O14)-Costs!N4*'Minimizing glass loss'!$BP$2,0)</f>
        <v>398.37057986902255</v>
      </c>
      <c r="K32" s="4">
        <f ca="1">IFERROR( ($BK$11*Costs!O21*Price!P14)-Costs!O4*'Minimizing glass loss'!$BP$2,0)</f>
        <v>259.79523328363916</v>
      </c>
      <c r="L32" s="4">
        <f ca="1">IFERROR( ($BK$11*Costs!P21*Price!Q14)-Costs!P4*'Minimizing glass loss'!$BP$2,0)</f>
        <v>155.74001235491323</v>
      </c>
      <c r="M32" s="4">
        <f ca="1">IFERROR( ($BK$11*Costs!Q21*Price!R14)-Costs!Q4*'Minimizing glass loss'!$BP$2,0)</f>
        <v>76.508816557518685</v>
      </c>
      <c r="N32" s="4">
        <f ca="1">IFERROR( ($BK$11*Costs!R21*Price!S14)-Costs!R4*'Minimizing glass loss'!$BP$2,0)</f>
        <v>-7.7626305531902062</v>
      </c>
      <c r="O32" s="4">
        <f ca="1">IFERROR( ($BK$11*Costs!S21*Price!T14)-Costs!S4*'Minimizing glass loss'!$BP$2,0)</f>
        <v>-66.337977138573365</v>
      </c>
      <c r="P32" s="4"/>
    </row>
    <row r="33" spans="1:65">
      <c r="A33" s="25" t="s">
        <v>64</v>
      </c>
      <c r="B33" s="25" t="s">
        <v>11</v>
      </c>
      <c r="C33" s="4">
        <f ca="1">IFERROR( ($BK$12*Costs!G21*Price!H15)-Costs!G4*'Minimizing glass loss'!$BP$2,0)</f>
        <v>61.490965075602389</v>
      </c>
      <c r="D33" s="4">
        <f ca="1">IFERROR( ($BK$12*Costs!H21*Price!I15)-Costs!H4*'Minimizing glass loss'!$BP$2,0)</f>
        <v>297.18832216749888</v>
      </c>
      <c r="E33" s="4">
        <f ca="1">IFERROR( ($BK$12*Costs!I21*Price!J15)-Costs!I4*'Minimizing glass loss'!$BP$2,0)</f>
        <v>466.24542794608124</v>
      </c>
      <c r="F33" s="4">
        <f ca="1">IFERROR( ($BK$12*Costs!J21*Price!K15)-Costs!J4*'Minimizing glass loss'!$BP$2,0)</f>
        <v>613.42265938132095</v>
      </c>
      <c r="G33" s="4">
        <f ca="1">IFERROR( ($BK$12*Costs!K21*Price!L15)-Costs!K4*'Minimizing glass loss'!$BP$2,0)</f>
        <v>715.23171489724064</v>
      </c>
      <c r="H33" s="4">
        <f ca="1">IFERROR( ($BK$12*Costs!L21*Price!M15)-Costs!L4*'Minimizing glass loss'!$BP$2,0)</f>
        <v>1010.3368709384856</v>
      </c>
      <c r="I33" s="4">
        <f ca="1">IFERROR( ($BK$12*Costs!M21*Price!N15)-Costs!M4*'Minimizing glass loss'!$BP$2,0)</f>
        <v>1206.257624878428</v>
      </c>
      <c r="J33" s="4">
        <f ca="1">IFERROR( ($BK$12*Costs!N21*Price!O15)-Costs!N4*'Minimizing glass loss'!$BP$2,0)</f>
        <v>1371.1705798690227</v>
      </c>
      <c r="K33" s="4">
        <f ca="1">IFERROR( ($BK$12*Costs!O21*Price!P15)-Costs!O4*'Minimizing glass loss'!$BP$2,0)</f>
        <v>1168.5952332836391</v>
      </c>
      <c r="L33" s="4">
        <f ca="1">IFERROR( ($BK$12*Costs!P21*Price!Q15)-Costs!P4*'Minimizing glass loss'!$BP$2,0)</f>
        <v>1003.7400123549132</v>
      </c>
      <c r="M33" s="4">
        <f ca="1">IFERROR( ($BK$12*Costs!Q21*Price!R15)-Costs!Q4*'Minimizing glass loss'!$BP$2,0)</f>
        <v>866.90881655751878</v>
      </c>
      <c r="N33" s="4">
        <f ca="1">IFERROR( ($BK$12*Costs!R21*Price!S15)-Costs!R4*'Minimizing glass loss'!$BP$2,0)</f>
        <v>725.03736944680986</v>
      </c>
      <c r="O33" s="4">
        <f ca="1">IFERROR( ($BK$12*Costs!S21*Price!T15)-Costs!S4*'Minimizing glass loss'!$BP$2,0)</f>
        <v>612.06202286142673</v>
      </c>
      <c r="P33" s="4"/>
    </row>
    <row r="34" spans="1:65">
      <c r="A34" s="25" t="s">
        <v>64</v>
      </c>
      <c r="B34" s="25" t="s">
        <v>11</v>
      </c>
      <c r="C34" s="4">
        <f ca="1">IFERROR( ($BK$13*Costs!G21*Price!H16)-Costs!G4*'Minimizing glass loss'!$BP$2,0)</f>
        <v>362.69096507560221</v>
      </c>
      <c r="D34" s="4">
        <f ca="1">IFERROR( ($BK$13*Costs!H21*Price!I16)-Costs!H4*'Minimizing glass loss'!$BP$2,0)</f>
        <v>613.58832216749897</v>
      </c>
      <c r="E34" s="4">
        <f ca="1">IFERROR( ($BK$13*Costs!I21*Price!J16)-Costs!I4*'Minimizing glass loss'!$BP$2,0)</f>
        <v>792.64542794608133</v>
      </c>
      <c r="F34" s="4">
        <f ca="1">IFERROR( ($BK$13*Costs!J21*Price!K16)-Costs!J4*'Minimizing glass loss'!$BP$2,0)</f>
        <v>944.62265938132123</v>
      </c>
      <c r="G34" s="4">
        <f ca="1">IFERROR( ($BK$13*Costs!K21*Price!L16)-Costs!K4*'Minimizing glass loss'!$BP$2,0)</f>
        <v>1047.2317148972406</v>
      </c>
      <c r="H34" s="4">
        <f ca="1">IFERROR( ($BK$13*Costs!L21*Price!M16)-Costs!L4*'Minimizing glass loss'!$BP$2,0)</f>
        <v>1367.9368709384855</v>
      </c>
      <c r="I34" s="4">
        <f ca="1">IFERROR( ($BK$13*Costs!M21*Price!N16)-Costs!M4*'Minimizing glass loss'!$BP$2,0)</f>
        <v>1581.4576248784283</v>
      </c>
      <c r="J34" s="4">
        <f ca="1">IFERROR( ($BK$13*Costs!N21*Price!O16)-Costs!N4*'Minimizing glass loss'!$BP$2,0)</f>
        <v>1758.3705798690225</v>
      </c>
      <c r="K34" s="4">
        <f ca="1">IFERROR( ($BK$13*Costs!O21*Price!P16)-Costs!O4*'Minimizing glass loss'!$BP$2,0)</f>
        <v>1517.3952332836393</v>
      </c>
      <c r="L34" s="4">
        <f ca="1">IFERROR( ($BK$13*Costs!P21*Price!Q16)-Costs!P4*'Minimizing glass loss'!$BP$2,0)</f>
        <v>1317.3400123549136</v>
      </c>
      <c r="M34" s="4">
        <f ca="1">IFERROR( ($BK$13*Costs!Q21*Price!R16)-Costs!Q4*'Minimizing glass loss'!$BP$2,0)</f>
        <v>1148.5088165575189</v>
      </c>
      <c r="N34" s="4">
        <f ca="1">IFERROR( ($BK$13*Costs!R21*Price!S16)-Costs!R4*'Minimizing glass loss'!$BP$2,0)</f>
        <v>977.83736944680982</v>
      </c>
      <c r="O34" s="4">
        <f ca="1">IFERROR( ($BK$13*Costs!S21*Price!T16)-Costs!S4*'Minimizing glass loss'!$BP$2,0)</f>
        <v>839.26202286142677</v>
      </c>
      <c r="P34" s="4"/>
    </row>
    <row r="35" spans="1:65">
      <c r="C35" s="4">
        <f ca="1">AVERAGE(C23:C34)</f>
        <v>49.320131742268892</v>
      </c>
      <c r="D35" s="4">
        <f t="shared" ref="D35:O35" ca="1" si="60">AVERAGE(D23:D34)</f>
        <v>74.938322167499066</v>
      </c>
      <c r="E35" s="4">
        <f t="shared" ca="1" si="60"/>
        <v>76.966261279414709</v>
      </c>
      <c r="F35" s="4">
        <f t="shared" ca="1" si="60"/>
        <v>80.972659381320966</v>
      </c>
      <c r="G35" s="4">
        <f t="shared" ca="1" si="60"/>
        <v>74.715048230573984</v>
      </c>
      <c r="H35" s="4">
        <f t="shared" ca="1" si="60"/>
        <v>152.08270427181895</v>
      </c>
      <c r="I35" s="4">
        <f t="shared" ca="1" si="60"/>
        <v>162.38262487842823</v>
      </c>
      <c r="J35" s="4">
        <f t="shared" ca="1" si="60"/>
        <v>189.97891320235576</v>
      </c>
      <c r="K35" s="4">
        <f t="shared" ca="1" si="60"/>
        <v>64.686899950305801</v>
      </c>
      <c r="L35" s="4">
        <f t="shared" ca="1" si="60"/>
        <v>-25.034987645086744</v>
      </c>
      <c r="M35" s="4">
        <f t="shared" ca="1" si="60"/>
        <v>-87.170350109147947</v>
      </c>
      <c r="N35" s="4">
        <f t="shared" ca="1" si="60"/>
        <v>-152.54179721985693</v>
      </c>
      <c r="O35" s="4">
        <f t="shared" ca="1" si="60"/>
        <v>-195.7463104719067</v>
      </c>
      <c r="P35" s="4">
        <f ca="1">SUM(C35:O35)</f>
        <v>465.55011965798803</v>
      </c>
    </row>
    <row r="37" spans="1:65">
      <c r="A37" s="32" t="s">
        <v>112</v>
      </c>
    </row>
    <row r="38" spans="1:65">
      <c r="A38" s="25" t="s">
        <v>1</v>
      </c>
      <c r="B38" s="25" t="s">
        <v>2</v>
      </c>
      <c r="C38" s="25">
        <v>2005</v>
      </c>
      <c r="D38" s="25">
        <v>2006</v>
      </c>
      <c r="E38" s="25">
        <v>2007</v>
      </c>
      <c r="F38" s="25">
        <v>2008</v>
      </c>
      <c r="G38" s="25">
        <v>2009</v>
      </c>
      <c r="H38" s="25">
        <v>2010</v>
      </c>
      <c r="I38" s="25">
        <v>2011</v>
      </c>
      <c r="J38" s="25">
        <v>2012</v>
      </c>
      <c r="K38" s="25">
        <v>2013</v>
      </c>
      <c r="L38" s="25">
        <v>2014</v>
      </c>
      <c r="M38" s="25">
        <v>2015</v>
      </c>
      <c r="N38" s="25">
        <v>2016</v>
      </c>
      <c r="O38" s="25">
        <v>2017</v>
      </c>
    </row>
    <row r="39" spans="1:65">
      <c r="A39" s="25" t="s">
        <v>3</v>
      </c>
      <c r="B39" s="25" t="s">
        <v>5</v>
      </c>
      <c r="C39" s="26">
        <f ca="1">IFERROR( IF(C23&lt;0,0,C23),0)</f>
        <v>1094.8409650756023</v>
      </c>
      <c r="D39" s="26">
        <f ca="1">IFERROR( IF(D23&lt;0,0,D23),0)</f>
        <v>728.38832216749915</v>
      </c>
      <c r="E39" s="26">
        <f t="shared" ref="E39:O39" ca="1" si="61">IFERROR( IF(E23&lt;0,0,E23),0)</f>
        <v>457.74542794608124</v>
      </c>
      <c r="F39" s="26">
        <f t="shared" ca="1" si="61"/>
        <v>223.72265938132091</v>
      </c>
      <c r="G39" s="26">
        <f t="shared" ca="1" si="61"/>
        <v>58.481714897240636</v>
      </c>
      <c r="H39" s="26">
        <f t="shared" ca="1" si="61"/>
        <v>0</v>
      </c>
      <c r="I39" s="26">
        <f t="shared" ca="1" si="61"/>
        <v>0</v>
      </c>
      <c r="J39" s="26">
        <f t="shared" ca="1" si="61"/>
        <v>0</v>
      </c>
      <c r="K39" s="26">
        <f t="shared" ca="1" si="61"/>
        <v>0</v>
      </c>
      <c r="L39" s="26">
        <f t="shared" ca="1" si="61"/>
        <v>0</v>
      </c>
      <c r="M39" s="26">
        <f t="shared" ca="1" si="61"/>
        <v>0</v>
      </c>
      <c r="N39" s="26">
        <f t="shared" ca="1" si="61"/>
        <v>0</v>
      </c>
      <c r="O39" s="26">
        <f t="shared" ca="1" si="61"/>
        <v>0</v>
      </c>
      <c r="P39" s="4"/>
    </row>
    <row r="40" spans="1:65">
      <c r="A40" s="25" t="s">
        <v>4</v>
      </c>
      <c r="B40" s="25" t="s">
        <v>5</v>
      </c>
      <c r="C40" s="26">
        <f t="shared" ref="C40:O50" ca="1" si="62">IFERROR( IF(C24&lt;0,0,C24),0)</f>
        <v>2013.5909650756023</v>
      </c>
      <c r="D40" s="26">
        <f t="shared" ca="1" si="62"/>
        <v>1551.5883221674994</v>
      </c>
      <c r="E40" s="26">
        <f t="shared" ca="1" si="62"/>
        <v>1165.7954279460814</v>
      </c>
      <c r="F40" s="26">
        <f t="shared" ca="1" si="62"/>
        <v>797.02265938132086</v>
      </c>
      <c r="G40" s="26">
        <f t="shared" ca="1" si="62"/>
        <v>523.98171489724064</v>
      </c>
      <c r="H40" s="26">
        <f t="shared" ca="1" si="62"/>
        <v>216.53687093848566</v>
      </c>
      <c r="I40" s="26">
        <f t="shared" ca="1" si="62"/>
        <v>0</v>
      </c>
      <c r="J40" s="26">
        <f t="shared" ca="1" si="62"/>
        <v>0</v>
      </c>
      <c r="K40" s="26">
        <f t="shared" ca="1" si="62"/>
        <v>0</v>
      </c>
      <c r="L40" s="26">
        <f t="shared" ca="1" si="62"/>
        <v>0</v>
      </c>
      <c r="M40" s="26">
        <f t="shared" ca="1" si="62"/>
        <v>0</v>
      </c>
      <c r="N40" s="26">
        <f t="shared" ca="1" si="62"/>
        <v>0</v>
      </c>
      <c r="O40" s="26">
        <f t="shared" ca="1" si="62"/>
        <v>0</v>
      </c>
      <c r="P40" s="4"/>
    </row>
    <row r="41" spans="1:65">
      <c r="A41" s="25" t="s">
        <v>6</v>
      </c>
      <c r="B41" s="25" t="s">
        <v>7</v>
      </c>
      <c r="C41" s="26">
        <f t="shared" ca="1" si="62"/>
        <v>0</v>
      </c>
      <c r="D41" s="26">
        <f t="shared" ca="1" si="62"/>
        <v>0</v>
      </c>
      <c r="E41" s="26">
        <f t="shared" ca="1" si="62"/>
        <v>0</v>
      </c>
      <c r="F41" s="26">
        <f t="shared" ca="1" si="62"/>
        <v>0</v>
      </c>
      <c r="G41" s="26">
        <f t="shared" ca="1" si="62"/>
        <v>0</v>
      </c>
      <c r="H41" s="26">
        <f t="shared" ca="1" si="62"/>
        <v>0</v>
      </c>
      <c r="I41" s="26">
        <f t="shared" ca="1" si="62"/>
        <v>0</v>
      </c>
      <c r="J41" s="26">
        <f t="shared" ca="1" si="62"/>
        <v>0</v>
      </c>
      <c r="K41" s="26">
        <f t="shared" ca="1" si="62"/>
        <v>0</v>
      </c>
      <c r="L41" s="26">
        <f t="shared" ca="1" si="62"/>
        <v>0</v>
      </c>
      <c r="M41" s="26">
        <f t="shared" ca="1" si="62"/>
        <v>0</v>
      </c>
      <c r="N41" s="26">
        <f t="shared" ca="1" si="62"/>
        <v>0</v>
      </c>
      <c r="O41" s="26">
        <f t="shared" ca="1" si="62"/>
        <v>0</v>
      </c>
      <c r="P41" s="4"/>
      <c r="AK41" t="s">
        <v>115</v>
      </c>
      <c r="BM41">
        <v>14308</v>
      </c>
    </row>
    <row r="42" spans="1:65">
      <c r="A42" s="25" t="s">
        <v>8</v>
      </c>
      <c r="B42" s="25" t="s">
        <v>7</v>
      </c>
      <c r="C42" s="26">
        <f t="shared" ca="1" si="62"/>
        <v>0</v>
      </c>
      <c r="D42" s="26">
        <f t="shared" ca="1" si="62"/>
        <v>0</v>
      </c>
      <c r="E42" s="26">
        <f t="shared" ca="1" si="62"/>
        <v>0</v>
      </c>
      <c r="F42" s="26">
        <f t="shared" ca="1" si="62"/>
        <v>0</v>
      </c>
      <c r="G42" s="26">
        <f t="shared" ca="1" si="62"/>
        <v>0</v>
      </c>
      <c r="H42" s="26">
        <f t="shared" ca="1" si="62"/>
        <v>0</v>
      </c>
      <c r="I42" s="26">
        <f t="shared" ca="1" si="62"/>
        <v>0</v>
      </c>
      <c r="J42" s="26">
        <f t="shared" ca="1" si="62"/>
        <v>0</v>
      </c>
      <c r="K42" s="26">
        <f t="shared" ca="1" si="62"/>
        <v>0</v>
      </c>
      <c r="L42" s="26">
        <f t="shared" ca="1" si="62"/>
        <v>0</v>
      </c>
      <c r="M42" s="26">
        <f t="shared" ca="1" si="62"/>
        <v>0</v>
      </c>
      <c r="N42" s="26">
        <f t="shared" ca="1" si="62"/>
        <v>0</v>
      </c>
      <c r="O42" s="26">
        <f t="shared" ca="1" si="62"/>
        <v>0</v>
      </c>
      <c r="P42" s="4"/>
      <c r="W42">
        <f>MAX(IF(AI2+0.01&lt;$BU$2,P2:V2))</f>
        <v>1.2413191085625248</v>
      </c>
    </row>
    <row r="43" spans="1:65">
      <c r="A43" s="25" t="s">
        <v>9</v>
      </c>
      <c r="B43" s="25" t="s">
        <v>7</v>
      </c>
      <c r="C43" s="26">
        <f t="shared" ca="1" si="62"/>
        <v>610.79096507560212</v>
      </c>
      <c r="D43" s="26">
        <f t="shared" ca="1" si="62"/>
        <v>504.98832216749906</v>
      </c>
      <c r="E43" s="26">
        <f t="shared" ca="1" si="62"/>
        <v>383.04542794608142</v>
      </c>
      <c r="F43" s="26">
        <f t="shared" ca="1" si="62"/>
        <v>285.82265938132082</v>
      </c>
      <c r="G43" s="26">
        <f t="shared" ca="1" si="62"/>
        <v>195.03171489724059</v>
      </c>
      <c r="H43" s="26">
        <f t="shared" ca="1" si="62"/>
        <v>122.48687093848548</v>
      </c>
      <c r="I43" s="26">
        <f t="shared" ca="1" si="62"/>
        <v>0</v>
      </c>
      <c r="J43" s="26">
        <f t="shared" ca="1" si="62"/>
        <v>0</v>
      </c>
      <c r="K43" s="26">
        <f t="shared" ca="1" si="62"/>
        <v>0</v>
      </c>
      <c r="L43" s="26">
        <f t="shared" ca="1" si="62"/>
        <v>0</v>
      </c>
      <c r="M43" s="26">
        <f t="shared" ca="1" si="62"/>
        <v>0</v>
      </c>
      <c r="N43" s="26">
        <f t="shared" ca="1" si="62"/>
        <v>0</v>
      </c>
      <c r="O43" s="26">
        <f t="shared" ca="1" si="62"/>
        <v>0</v>
      </c>
      <c r="P43" s="4"/>
    </row>
    <row r="44" spans="1:65">
      <c r="A44" s="25" t="s">
        <v>10</v>
      </c>
      <c r="B44" s="25" t="s">
        <v>11</v>
      </c>
      <c r="C44" s="26">
        <f t="shared" ca="1" si="62"/>
        <v>0</v>
      </c>
      <c r="D44" s="26">
        <f t="shared" ca="1" si="62"/>
        <v>0</v>
      </c>
      <c r="E44" s="26">
        <f t="shared" ca="1" si="62"/>
        <v>0</v>
      </c>
      <c r="F44" s="26">
        <f t="shared" ca="1" si="62"/>
        <v>0</v>
      </c>
      <c r="G44" s="26">
        <f t="shared" ca="1" si="62"/>
        <v>0</v>
      </c>
      <c r="H44" s="26">
        <f t="shared" ca="1" si="62"/>
        <v>0</v>
      </c>
      <c r="I44" s="26">
        <f t="shared" ca="1" si="62"/>
        <v>114.25762487842826</v>
      </c>
      <c r="J44" s="26">
        <f t="shared" ca="1" si="62"/>
        <v>215.97057986902246</v>
      </c>
      <c r="K44" s="26">
        <f t="shared" ca="1" si="62"/>
        <v>99.795233283639163</v>
      </c>
      <c r="L44" s="26">
        <f t="shared" ca="1" si="62"/>
        <v>8.5400123549131877</v>
      </c>
      <c r="M44" s="26">
        <f t="shared" ca="1" si="62"/>
        <v>0</v>
      </c>
      <c r="N44" s="26">
        <f t="shared" ca="1" si="62"/>
        <v>0</v>
      </c>
      <c r="O44" s="26">
        <f t="shared" ca="1" si="62"/>
        <v>0</v>
      </c>
      <c r="P44" s="4"/>
      <c r="AJ44">
        <f>IFERROR(MATCH("a",AJ13:AZ13,0),0)</f>
        <v>1</v>
      </c>
    </row>
    <row r="45" spans="1:65">
      <c r="A45" s="25" t="s">
        <v>63</v>
      </c>
      <c r="B45" s="25" t="s">
        <v>11</v>
      </c>
      <c r="C45" s="26">
        <f t="shared" ca="1" si="62"/>
        <v>0</v>
      </c>
      <c r="D45" s="26">
        <f t="shared" ca="1" si="62"/>
        <v>0</v>
      </c>
      <c r="E45" s="26">
        <f t="shared" ca="1" si="62"/>
        <v>0</v>
      </c>
      <c r="F45" s="26">
        <f t="shared" ca="1" si="62"/>
        <v>0</v>
      </c>
      <c r="G45" s="26">
        <f t="shared" ca="1" si="62"/>
        <v>0</v>
      </c>
      <c r="H45" s="26">
        <f t="shared" ca="1" si="62"/>
        <v>0</v>
      </c>
      <c r="I45" s="26">
        <f t="shared" ca="1" si="62"/>
        <v>18.357624878428169</v>
      </c>
      <c r="J45" s="26">
        <f t="shared" ca="1" si="62"/>
        <v>116.77057986902241</v>
      </c>
      <c r="K45" s="26">
        <f t="shared" ca="1" si="62"/>
        <v>14.195233283639254</v>
      </c>
      <c r="L45" s="26">
        <f t="shared" ca="1" si="62"/>
        <v>0</v>
      </c>
      <c r="M45" s="26">
        <f t="shared" ca="1" si="62"/>
        <v>0</v>
      </c>
      <c r="N45" s="26">
        <f t="shared" ca="1" si="62"/>
        <v>0</v>
      </c>
      <c r="O45" s="26">
        <f t="shared" ca="1" si="62"/>
        <v>0</v>
      </c>
      <c r="P45" s="4"/>
      <c r="AD45" t="e" cm="1">
        <f t="array" aca="1" ref="AD45" ca="1">MAX(IF(AI2+0.001&gt;AK2AND(BU2&gt;AK2),P2:V2,""))</f>
        <v>#NAME?</v>
      </c>
    </row>
    <row r="46" spans="1:65">
      <c r="A46" s="25" t="s">
        <v>63</v>
      </c>
      <c r="B46" s="25" t="s">
        <v>11</v>
      </c>
      <c r="C46" s="26">
        <f t="shared" ca="1" si="62"/>
        <v>0</v>
      </c>
      <c r="D46" s="26">
        <f t="shared" ca="1" si="62"/>
        <v>0</v>
      </c>
      <c r="E46" s="26">
        <f t="shared" ca="1" si="62"/>
        <v>0</v>
      </c>
      <c r="F46" s="26">
        <f t="shared" ca="1" si="62"/>
        <v>0</v>
      </c>
      <c r="G46" s="26">
        <f t="shared" ca="1" si="62"/>
        <v>0</v>
      </c>
      <c r="H46" s="26">
        <f t="shared" ca="1" si="62"/>
        <v>25.736870938485481</v>
      </c>
      <c r="I46" s="26">
        <f t="shared" ca="1" si="62"/>
        <v>138.05762487842821</v>
      </c>
      <c r="J46" s="26">
        <f t="shared" ca="1" si="62"/>
        <v>239.1705798690225</v>
      </c>
      <c r="K46" s="26">
        <f t="shared" ca="1" si="62"/>
        <v>114.99523328363921</v>
      </c>
      <c r="L46" s="26">
        <f t="shared" ca="1" si="62"/>
        <v>31.740012354913233</v>
      </c>
      <c r="M46" s="26">
        <f t="shared" ca="1" si="62"/>
        <v>0</v>
      </c>
      <c r="N46" s="26">
        <f t="shared" ca="1" si="62"/>
        <v>0</v>
      </c>
      <c r="O46" s="26">
        <f t="shared" ca="1" si="62"/>
        <v>0</v>
      </c>
      <c r="P46" s="4"/>
    </row>
    <row r="47" spans="1:65" ht="24">
      <c r="A47" s="25" t="s">
        <v>63</v>
      </c>
      <c r="B47" s="25" t="s">
        <v>11</v>
      </c>
      <c r="C47" s="26">
        <f ca="1">IFERROR( IF(C31&lt;0,0,C31),0)</f>
        <v>0</v>
      </c>
      <c r="D47" s="26">
        <f t="shared" ca="1" si="62"/>
        <v>0</v>
      </c>
      <c r="E47" s="26">
        <f t="shared" ca="1" si="62"/>
        <v>0</v>
      </c>
      <c r="F47" s="26">
        <f t="shared" ca="1" si="62"/>
        <v>0</v>
      </c>
      <c r="G47" s="26">
        <f t="shared" ca="1" si="62"/>
        <v>0</v>
      </c>
      <c r="H47" s="26">
        <f t="shared" ca="1" si="62"/>
        <v>0</v>
      </c>
      <c r="I47" s="26">
        <f t="shared" ca="1" si="62"/>
        <v>0</v>
      </c>
      <c r="J47" s="26">
        <f t="shared" ca="1" si="62"/>
        <v>0</v>
      </c>
      <c r="K47" s="26">
        <f t="shared" ca="1" si="62"/>
        <v>0</v>
      </c>
      <c r="L47" s="26">
        <f t="shared" ca="1" si="62"/>
        <v>0</v>
      </c>
      <c r="M47" s="26">
        <f t="shared" ca="1" si="62"/>
        <v>0</v>
      </c>
      <c r="N47" s="26">
        <f t="shared" ca="1" si="62"/>
        <v>0</v>
      </c>
      <c r="O47" s="26">
        <f t="shared" ca="1" si="62"/>
        <v>0</v>
      </c>
      <c r="P47" s="4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</row>
    <row r="48" spans="1:65">
      <c r="A48" s="25" t="s">
        <v>64</v>
      </c>
      <c r="B48" s="25" t="s">
        <v>11</v>
      </c>
      <c r="C48" s="26">
        <f t="shared" ca="1" si="62"/>
        <v>0</v>
      </c>
      <c r="D48" s="26">
        <f t="shared" ca="1" si="62"/>
        <v>0</v>
      </c>
      <c r="E48" s="26">
        <f t="shared" ca="1" si="62"/>
        <v>0</v>
      </c>
      <c r="F48" s="26">
        <f t="shared" ca="1" si="62"/>
        <v>0</v>
      </c>
      <c r="G48" s="26">
        <f t="shared" ca="1" si="62"/>
        <v>0</v>
      </c>
      <c r="H48" s="26">
        <f t="shared" ca="1" si="62"/>
        <v>179.93687093848575</v>
      </c>
      <c r="I48" s="26">
        <f t="shared" ca="1" si="62"/>
        <v>296.25762487842826</v>
      </c>
      <c r="J48" s="26">
        <f t="shared" ca="1" si="62"/>
        <v>398.37057986902255</v>
      </c>
      <c r="K48" s="26">
        <f t="shared" ca="1" si="62"/>
        <v>259.79523328363916</v>
      </c>
      <c r="L48" s="26">
        <f t="shared" ca="1" si="62"/>
        <v>155.74001235491323</v>
      </c>
      <c r="M48" s="26">
        <f t="shared" ca="1" si="62"/>
        <v>76.508816557518685</v>
      </c>
      <c r="N48" s="26">
        <f t="shared" ca="1" si="62"/>
        <v>0</v>
      </c>
      <c r="O48" s="26">
        <f t="shared" ca="1" si="62"/>
        <v>0</v>
      </c>
      <c r="P48" s="4"/>
      <c r="AD48" t="s">
        <v>113</v>
      </c>
    </row>
    <row r="49" spans="1:16">
      <c r="A49" s="25" t="s">
        <v>64</v>
      </c>
      <c r="B49" s="25" t="s">
        <v>11</v>
      </c>
      <c r="C49" s="26">
        <f t="shared" ca="1" si="62"/>
        <v>61.490965075602389</v>
      </c>
      <c r="D49" s="26">
        <f t="shared" ca="1" si="62"/>
        <v>297.18832216749888</v>
      </c>
      <c r="E49" s="26">
        <f t="shared" ca="1" si="62"/>
        <v>466.24542794608124</v>
      </c>
      <c r="F49" s="26">
        <f t="shared" ca="1" si="62"/>
        <v>613.42265938132095</v>
      </c>
      <c r="G49" s="26">
        <f t="shared" ca="1" si="62"/>
        <v>715.23171489724064</v>
      </c>
      <c r="H49" s="26">
        <f t="shared" ca="1" si="62"/>
        <v>1010.3368709384856</v>
      </c>
      <c r="I49" s="26">
        <f t="shared" ca="1" si="62"/>
        <v>1206.257624878428</v>
      </c>
      <c r="J49" s="26">
        <f t="shared" ca="1" si="62"/>
        <v>1371.1705798690227</v>
      </c>
      <c r="K49" s="26">
        <f t="shared" ca="1" si="62"/>
        <v>1168.5952332836391</v>
      </c>
      <c r="L49" s="26">
        <f t="shared" ca="1" si="62"/>
        <v>1003.7400123549132</v>
      </c>
      <c r="M49" s="26">
        <f t="shared" ca="1" si="62"/>
        <v>866.90881655751878</v>
      </c>
      <c r="N49" s="26">
        <f t="shared" ca="1" si="62"/>
        <v>725.03736944680986</v>
      </c>
      <c r="O49" s="26">
        <f t="shared" ca="1" si="62"/>
        <v>612.06202286142673</v>
      </c>
      <c r="P49" s="4"/>
    </row>
    <row r="50" spans="1:16">
      <c r="A50" s="25" t="s">
        <v>64</v>
      </c>
      <c r="B50" s="25" t="s">
        <v>11</v>
      </c>
      <c r="C50" s="26">
        <f t="shared" ca="1" si="62"/>
        <v>362.69096507560221</v>
      </c>
      <c r="D50" s="26">
        <f t="shared" ca="1" si="62"/>
        <v>613.58832216749897</v>
      </c>
      <c r="E50" s="26">
        <f t="shared" ca="1" si="62"/>
        <v>792.64542794608133</v>
      </c>
      <c r="F50" s="26">
        <f t="shared" ca="1" si="62"/>
        <v>944.62265938132123</v>
      </c>
      <c r="G50" s="26">
        <f t="shared" ca="1" si="62"/>
        <v>1047.2317148972406</v>
      </c>
      <c r="H50" s="26">
        <f t="shared" ca="1" si="62"/>
        <v>1367.9368709384855</v>
      </c>
      <c r="I50" s="26">
        <f t="shared" ca="1" si="62"/>
        <v>1581.4576248784283</v>
      </c>
      <c r="J50" s="26">
        <f t="shared" ca="1" si="62"/>
        <v>1758.3705798690225</v>
      </c>
      <c r="K50" s="26">
        <f t="shared" ca="1" si="62"/>
        <v>1517.3952332836393</v>
      </c>
      <c r="L50" s="26">
        <f t="shared" ca="1" si="62"/>
        <v>1317.3400123549136</v>
      </c>
      <c r="M50" s="26">
        <f t="shared" ca="1" si="62"/>
        <v>1148.5088165575189</v>
      </c>
      <c r="N50" s="26">
        <f t="shared" ca="1" si="62"/>
        <v>977.83736944680982</v>
      </c>
      <c r="O50" s="26">
        <f t="shared" ca="1" si="62"/>
        <v>839.26202286142677</v>
      </c>
      <c r="P50" s="4"/>
    </row>
    <row r="51" spans="1:16">
      <c r="A51" s="32" t="s">
        <v>110</v>
      </c>
      <c r="B51" s="32"/>
      <c r="C51" s="33">
        <f t="shared" ref="C51:O51" ca="1" si="63">MAX(C39:C50)</f>
        <v>2013.5909650756023</v>
      </c>
      <c r="D51" s="33">
        <f t="shared" ca="1" si="63"/>
        <v>1551.5883221674994</v>
      </c>
      <c r="E51" s="33">
        <f t="shared" ca="1" si="63"/>
        <v>1165.7954279460814</v>
      </c>
      <c r="F51" s="33">
        <f t="shared" ca="1" si="63"/>
        <v>944.62265938132123</v>
      </c>
      <c r="G51" s="33">
        <f t="shared" ca="1" si="63"/>
        <v>1047.2317148972406</v>
      </c>
      <c r="H51" s="33">
        <f t="shared" ca="1" si="63"/>
        <v>1367.9368709384855</v>
      </c>
      <c r="I51" s="33">
        <f t="shared" ca="1" si="63"/>
        <v>1581.4576248784283</v>
      </c>
      <c r="J51" s="33">
        <f t="shared" ca="1" si="63"/>
        <v>1758.3705798690225</v>
      </c>
      <c r="K51" s="33">
        <f t="shared" ca="1" si="63"/>
        <v>1517.3952332836393</v>
      </c>
      <c r="L51" s="33">
        <f t="shared" ca="1" si="63"/>
        <v>1317.3400123549136</v>
      </c>
      <c r="M51" s="33">
        <f t="shared" ca="1" si="63"/>
        <v>1148.5088165575189</v>
      </c>
      <c r="N51" s="33">
        <f t="shared" ca="1" si="63"/>
        <v>977.83736944680982</v>
      </c>
      <c r="O51" s="33">
        <f t="shared" ca="1" si="63"/>
        <v>839.26202286142677</v>
      </c>
      <c r="P51" s="33">
        <f ca="1">SUM(C51:O51)</f>
        <v>17230.937619657987</v>
      </c>
    </row>
    <row r="53" spans="1:16">
      <c r="A53" s="25" t="s">
        <v>108</v>
      </c>
      <c r="B53" s="4">
        <f ca="1">SUM(C39:O50)</f>
        <v>37824.632597219774</v>
      </c>
    </row>
    <row r="55" spans="1:16">
      <c r="C55" s="27">
        <f ca="1">IFERROR(IF(C25&lt;0,0,C25),0)</f>
        <v>0</v>
      </c>
    </row>
  </sheetData>
  <conditionalFormatting sqref="AI2:AI13">
    <cfRule type="expression" dxfId="1" priority="1">
      <formula>AJ2=0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8"/>
  <sheetViews>
    <sheetView zoomScaleNormal="100" workbookViewId="0">
      <selection activeCell="B2" sqref="B2"/>
    </sheetView>
  </sheetViews>
  <sheetFormatPr baseColWidth="10" defaultColWidth="8.83203125" defaultRowHeight="15"/>
  <cols>
    <col min="2" max="2" width="12.1640625" customWidth="1"/>
    <col min="3" max="4" width="10.1640625" bestFit="1" customWidth="1"/>
    <col min="5" max="5" width="15.5" bestFit="1" customWidth="1"/>
    <col min="6" max="6" width="15.33203125" bestFit="1" customWidth="1"/>
    <col min="7" max="7" width="15.1640625" customWidth="1"/>
    <col min="8" max="12" width="12" bestFit="1" customWidth="1"/>
    <col min="13" max="13" width="14.83203125" bestFit="1" customWidth="1"/>
  </cols>
  <sheetData>
    <row r="2" spans="2:13">
      <c r="B2" t="s">
        <v>65</v>
      </c>
    </row>
    <row r="4" spans="2:13">
      <c r="B4" t="s">
        <v>0</v>
      </c>
      <c r="C4" t="s">
        <v>1</v>
      </c>
      <c r="D4" t="s">
        <v>2</v>
      </c>
      <c r="E4" t="s">
        <v>16</v>
      </c>
      <c r="F4" t="s">
        <v>17</v>
      </c>
      <c r="G4" t="s">
        <v>18</v>
      </c>
      <c r="H4" t="s">
        <v>69</v>
      </c>
      <c r="I4" t="s">
        <v>70</v>
      </c>
      <c r="J4" t="s">
        <v>68</v>
      </c>
      <c r="K4" t="s">
        <v>71</v>
      </c>
      <c r="L4" t="s">
        <v>72</v>
      </c>
      <c r="M4" t="s">
        <v>73</v>
      </c>
    </row>
    <row r="5" spans="2:13">
      <c r="B5">
        <v>10.7</v>
      </c>
      <c r="C5" t="s">
        <v>3</v>
      </c>
      <c r="D5" t="s">
        <v>5</v>
      </c>
      <c r="E5">
        <v>9.1999999999999993</v>
      </c>
      <c r="F5">
        <v>9.1999999999999993</v>
      </c>
      <c r="G5">
        <v>6</v>
      </c>
      <c r="H5">
        <f>COS(J5)*B5</f>
        <v>6.3831220954022774</v>
      </c>
      <c r="I5">
        <f>SIN(J5)*B5</f>
        <v>8.5875347053265081</v>
      </c>
      <c r="J5">
        <f>TAN(LOOKUP(C5,$19:$19,$21:$21)/LOOKUP(C5,$19:$19,$20:$20))</f>
        <v>0.93159645994407247</v>
      </c>
      <c r="K5">
        <f>H5*25.4/1000</f>
        <v>0.16213130122321784</v>
      </c>
      <c r="L5">
        <f>I5*25.4/1000</f>
        <v>0.21812338151529329</v>
      </c>
      <c r="M5">
        <f>K5*L5</f>
        <v>3.5364627672282885E-2</v>
      </c>
    </row>
    <row r="6" spans="2:13">
      <c r="B6">
        <v>11.7</v>
      </c>
      <c r="C6" t="s">
        <v>4</v>
      </c>
      <c r="D6" t="s">
        <v>5</v>
      </c>
      <c r="E6">
        <v>9.1999999999999993</v>
      </c>
      <c r="F6">
        <v>9.1999999999999993</v>
      </c>
      <c r="G6">
        <v>6</v>
      </c>
      <c r="H6">
        <f t="shared" ref="H6:H16" si="0">COS(J6)*B6</f>
        <v>6.9796755622623037</v>
      </c>
      <c r="I6">
        <f t="shared" ref="I6:I16" si="1">SIN(J6)*B6</f>
        <v>9.3901080422729102</v>
      </c>
      <c r="J6">
        <f t="shared" ref="J6:J16" si="2">TAN(LOOKUP(C6,$19:$19,$21:$21)/LOOKUP(C6,$19:$19,$20:$20))</f>
        <v>0.93159645994407247</v>
      </c>
      <c r="K6">
        <f t="shared" ref="K6:K16" si="3">H6*25.4/1000</f>
        <v>0.17728375928146251</v>
      </c>
      <c r="L6">
        <f t="shared" ref="L6:L16" si="4">I6*25.4/1000</f>
        <v>0.23850874427373189</v>
      </c>
      <c r="M6">
        <f t="shared" ref="M6:M16" si="5">K6*L6</f>
        <v>4.2283726806348183E-2</v>
      </c>
    </row>
    <row r="7" spans="2:13">
      <c r="B7">
        <v>16.5</v>
      </c>
      <c r="C7" t="s">
        <v>6</v>
      </c>
      <c r="D7" t="s">
        <v>7</v>
      </c>
      <c r="E7">
        <v>8.6999999999999993</v>
      </c>
      <c r="F7">
        <v>8.6999999999999993</v>
      </c>
      <c r="G7">
        <v>7</v>
      </c>
      <c r="H7">
        <f t="shared" si="0"/>
        <v>8.4996231541708607</v>
      </c>
      <c r="I7">
        <f t="shared" si="1"/>
        <v>14.142362116601406</v>
      </c>
      <c r="J7">
        <f t="shared" si="2"/>
        <v>1.0296385570503641</v>
      </c>
      <c r="K7">
        <f t="shared" si="3"/>
        <v>0.21589042811593984</v>
      </c>
      <c r="L7">
        <f t="shared" si="4"/>
        <v>0.35921599776167568</v>
      </c>
      <c r="M7">
        <f t="shared" si="5"/>
        <v>7.755129554286265E-2</v>
      </c>
    </row>
    <row r="8" spans="2:13">
      <c r="B8">
        <v>20.9</v>
      </c>
      <c r="C8" t="s">
        <v>8</v>
      </c>
      <c r="D8" t="s">
        <v>7</v>
      </c>
      <c r="E8">
        <v>8.6999999999999993</v>
      </c>
      <c r="F8">
        <v>8.6999999999999993</v>
      </c>
      <c r="G8">
        <v>7</v>
      </c>
      <c r="H8">
        <f t="shared" si="0"/>
        <v>12.467967457374542</v>
      </c>
      <c r="I8">
        <f t="shared" si="1"/>
        <v>16.773782742179815</v>
      </c>
      <c r="J8">
        <f t="shared" si="2"/>
        <v>0.93159645994407247</v>
      </c>
      <c r="K8">
        <f t="shared" si="3"/>
        <v>0.31668637341731337</v>
      </c>
      <c r="L8">
        <f t="shared" si="4"/>
        <v>0.42605408165136727</v>
      </c>
      <c r="M8">
        <f t="shared" si="5"/>
        <v>0.13492552199781541</v>
      </c>
    </row>
    <row r="9" spans="2:13">
      <c r="B9">
        <v>23.8</v>
      </c>
      <c r="C9" t="s">
        <v>9</v>
      </c>
      <c r="D9" t="s">
        <v>7</v>
      </c>
      <c r="E9">
        <v>8.6999999999999993</v>
      </c>
      <c r="F9">
        <v>8.6999999999999993</v>
      </c>
      <c r="G9">
        <v>7</v>
      </c>
      <c r="H9">
        <f t="shared" si="0"/>
        <v>14.197972511268619</v>
      </c>
      <c r="I9">
        <f t="shared" si="1"/>
        <v>19.101245419324382</v>
      </c>
      <c r="J9">
        <f t="shared" si="2"/>
        <v>0.93159645994407247</v>
      </c>
      <c r="K9">
        <f t="shared" si="3"/>
        <v>0.36062850178622291</v>
      </c>
      <c r="L9">
        <f t="shared" si="4"/>
        <v>0.48517163365083926</v>
      </c>
      <c r="M9">
        <f t="shared" si="5"/>
        <v>0.17496671935267638</v>
      </c>
    </row>
    <row r="10" spans="2:13">
      <c r="B10">
        <v>19.2</v>
      </c>
      <c r="C10" t="s">
        <v>10</v>
      </c>
      <c r="D10" t="s">
        <v>11</v>
      </c>
      <c r="E10">
        <v>9.1999999999999993</v>
      </c>
      <c r="F10">
        <v>9.1999999999999993</v>
      </c>
      <c r="G10">
        <v>8</v>
      </c>
      <c r="H10">
        <f t="shared" si="0"/>
        <v>11.453826563712498</v>
      </c>
      <c r="I10">
        <f t="shared" si="1"/>
        <v>15.409408069370929</v>
      </c>
      <c r="J10">
        <f t="shared" si="2"/>
        <v>0.93159645994407247</v>
      </c>
      <c r="K10">
        <f t="shared" si="3"/>
        <v>0.29092719471829742</v>
      </c>
      <c r="L10">
        <f t="shared" si="4"/>
        <v>0.39139896496202159</v>
      </c>
      <c r="M10">
        <f t="shared" si="5"/>
        <v>0.11386860289204613</v>
      </c>
    </row>
    <row r="11" spans="2:13">
      <c r="B11">
        <v>23.4</v>
      </c>
      <c r="C11" t="s">
        <v>63</v>
      </c>
      <c r="D11" t="s">
        <v>11</v>
      </c>
      <c r="E11">
        <v>9.1999999999999993</v>
      </c>
      <c r="F11">
        <v>9.1999999999999993</v>
      </c>
      <c r="G11">
        <v>8</v>
      </c>
      <c r="H11">
        <f t="shared" si="0"/>
        <v>18.901808117760261</v>
      </c>
      <c r="I11">
        <f t="shared" si="1"/>
        <v>13.794261483652258</v>
      </c>
      <c r="J11">
        <f t="shared" si="2"/>
        <v>0.63043767383588478</v>
      </c>
      <c r="K11">
        <f t="shared" si="3"/>
        <v>0.48010592619111059</v>
      </c>
      <c r="L11">
        <f t="shared" si="4"/>
        <v>0.35037424168476733</v>
      </c>
      <c r="M11">
        <f t="shared" si="5"/>
        <v>0.16821674981757326</v>
      </c>
    </row>
    <row r="12" spans="2:13">
      <c r="B12">
        <v>27</v>
      </c>
      <c r="C12" t="s">
        <v>63</v>
      </c>
      <c r="D12" t="s">
        <v>11</v>
      </c>
      <c r="E12">
        <v>9.1999999999999993</v>
      </c>
      <c r="F12">
        <v>9.1999999999999993</v>
      </c>
      <c r="G12">
        <v>8</v>
      </c>
      <c r="H12">
        <f t="shared" si="0"/>
        <v>21.809778597415686</v>
      </c>
      <c r="I12">
        <f t="shared" si="1"/>
        <v>15.916455558060298</v>
      </c>
      <c r="J12">
        <f t="shared" si="2"/>
        <v>0.63043767383588478</v>
      </c>
      <c r="K12">
        <f t="shared" si="3"/>
        <v>0.55396837637435836</v>
      </c>
      <c r="L12">
        <f t="shared" si="4"/>
        <v>0.40427797117473152</v>
      </c>
      <c r="M12">
        <f t="shared" si="5"/>
        <v>0.22395721129558568</v>
      </c>
    </row>
    <row r="13" spans="2:13">
      <c r="B13">
        <v>32</v>
      </c>
      <c r="C13" t="s">
        <v>63</v>
      </c>
      <c r="D13" t="s">
        <v>11</v>
      </c>
      <c r="E13">
        <v>9.1999999999999993</v>
      </c>
      <c r="F13">
        <v>9.1999999999999993</v>
      </c>
      <c r="G13">
        <v>8</v>
      </c>
      <c r="H13">
        <f t="shared" si="0"/>
        <v>25.848626485825999</v>
      </c>
      <c r="I13">
        <f t="shared" si="1"/>
        <v>18.863947328071465</v>
      </c>
      <c r="J13">
        <f t="shared" si="2"/>
        <v>0.63043767383588478</v>
      </c>
      <c r="K13">
        <f t="shared" si="3"/>
        <v>0.65655511273998035</v>
      </c>
      <c r="L13">
        <f t="shared" si="4"/>
        <v>0.47914426213301514</v>
      </c>
      <c r="M13">
        <f t="shared" si="5"/>
        <v>0.31458461504345647</v>
      </c>
    </row>
    <row r="14" spans="2:13">
      <c r="B14">
        <v>37</v>
      </c>
      <c r="C14" t="s">
        <v>64</v>
      </c>
      <c r="D14" t="s">
        <v>11</v>
      </c>
      <c r="E14">
        <v>9.1999999999999993</v>
      </c>
      <c r="F14">
        <v>9.1999999999999993</v>
      </c>
      <c r="G14">
        <v>8</v>
      </c>
      <c r="H14">
        <f t="shared" si="0"/>
        <v>29.887474374236312</v>
      </c>
      <c r="I14">
        <f t="shared" si="1"/>
        <v>21.81143909808263</v>
      </c>
      <c r="J14">
        <f t="shared" si="2"/>
        <v>0.63043767383588478</v>
      </c>
      <c r="K14">
        <f t="shared" si="3"/>
        <v>0.75914184910560234</v>
      </c>
      <c r="L14">
        <f t="shared" si="4"/>
        <v>0.55401055309129876</v>
      </c>
      <c r="M14">
        <f t="shared" si="5"/>
        <v>0.42057259569774602</v>
      </c>
    </row>
    <row r="15" spans="2:13">
      <c r="B15">
        <v>40</v>
      </c>
      <c r="C15" t="s">
        <v>64</v>
      </c>
      <c r="D15" t="s">
        <v>11</v>
      </c>
      <c r="E15">
        <v>9.1999999999999993</v>
      </c>
      <c r="F15">
        <v>9.1999999999999993</v>
      </c>
      <c r="G15">
        <v>8</v>
      </c>
      <c r="H15">
        <f t="shared" si="0"/>
        <v>32.310783107282496</v>
      </c>
      <c r="I15">
        <f t="shared" si="1"/>
        <v>23.57993416008933</v>
      </c>
      <c r="J15">
        <f t="shared" si="2"/>
        <v>0.63043767383588478</v>
      </c>
      <c r="K15">
        <f t="shared" si="3"/>
        <v>0.82069389092497536</v>
      </c>
      <c r="L15">
        <f t="shared" si="4"/>
        <v>0.59893032766626886</v>
      </c>
      <c r="M15">
        <f t="shared" si="5"/>
        <v>0.49153846100540061</v>
      </c>
    </row>
    <row r="16" spans="2:13">
      <c r="B16">
        <v>43</v>
      </c>
      <c r="C16" t="s">
        <v>64</v>
      </c>
      <c r="D16" t="s">
        <v>11</v>
      </c>
      <c r="E16">
        <v>9.1999999999999993</v>
      </c>
      <c r="F16">
        <v>9.1999999999999993</v>
      </c>
      <c r="G16">
        <v>8</v>
      </c>
      <c r="H16">
        <f t="shared" si="0"/>
        <v>34.734091840328688</v>
      </c>
      <c r="I16">
        <f t="shared" si="1"/>
        <v>25.34842922209603</v>
      </c>
      <c r="J16">
        <f t="shared" si="2"/>
        <v>0.63043767383588478</v>
      </c>
      <c r="K16">
        <f t="shared" si="3"/>
        <v>0.88224593274434859</v>
      </c>
      <c r="L16">
        <f t="shared" si="4"/>
        <v>0.64385010224123917</v>
      </c>
      <c r="M16">
        <f t="shared" si="5"/>
        <v>0.56803413399936631</v>
      </c>
    </row>
    <row r="19" spans="2:13">
      <c r="B19" t="s">
        <v>12</v>
      </c>
      <c r="C19" t="s">
        <v>64</v>
      </c>
      <c r="D19" t="s">
        <v>63</v>
      </c>
      <c r="E19" t="s">
        <v>10</v>
      </c>
      <c r="F19" t="s">
        <v>13</v>
      </c>
      <c r="G19" t="s">
        <v>6</v>
      </c>
      <c r="H19" t="s">
        <v>9</v>
      </c>
      <c r="I19" t="s">
        <v>3</v>
      </c>
      <c r="J19" t="s">
        <v>4</v>
      </c>
      <c r="K19" t="s">
        <v>8</v>
      </c>
    </row>
    <row r="20" spans="2:13">
      <c r="B20" t="s">
        <v>14</v>
      </c>
      <c r="C20">
        <v>1920</v>
      </c>
      <c r="D20">
        <v>1280</v>
      </c>
      <c r="E20">
        <v>640</v>
      </c>
      <c r="F20">
        <v>800</v>
      </c>
      <c r="G20">
        <v>1280</v>
      </c>
      <c r="H20">
        <v>1600</v>
      </c>
      <c r="I20">
        <v>640</v>
      </c>
      <c r="J20">
        <v>1024</v>
      </c>
      <c r="K20">
        <v>1280</v>
      </c>
    </row>
    <row r="21" spans="2:13">
      <c r="B21" t="s">
        <v>15</v>
      </c>
      <c r="C21">
        <v>1080</v>
      </c>
      <c r="D21">
        <v>720</v>
      </c>
      <c r="E21">
        <v>480</v>
      </c>
      <c r="F21">
        <v>600</v>
      </c>
      <c r="G21">
        <v>1024</v>
      </c>
      <c r="H21">
        <v>1200</v>
      </c>
      <c r="I21">
        <v>480</v>
      </c>
      <c r="J21">
        <v>768</v>
      </c>
      <c r="K21">
        <v>768</v>
      </c>
    </row>
    <row r="24" spans="2:13">
      <c r="M24">
        <f>1*25.4/1000</f>
        <v>2.5399999999999999E-2</v>
      </c>
    </row>
    <row r="26" spans="2:13">
      <c r="B26" t="s">
        <v>41</v>
      </c>
    </row>
    <row r="27" spans="2:13">
      <c r="B27" t="s">
        <v>60</v>
      </c>
    </row>
    <row r="28" spans="2:13">
      <c r="B28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BQ107"/>
  <sheetViews>
    <sheetView zoomScaleNormal="100" workbookViewId="0">
      <selection activeCell="AL16" sqref="AL16"/>
    </sheetView>
  </sheetViews>
  <sheetFormatPr baseColWidth="10" defaultColWidth="8.83203125" defaultRowHeight="15"/>
  <cols>
    <col min="2" max="4" width="17.6640625" customWidth="1"/>
    <col min="5" max="5" width="4.6640625" bestFit="1" customWidth="1"/>
    <col min="6" max="6" width="23" customWidth="1"/>
    <col min="7" max="7" width="9.1640625" bestFit="1" customWidth="1"/>
    <col min="8" max="8" width="9.6640625" customWidth="1"/>
    <col min="9" max="10" width="9.1640625" bestFit="1" customWidth="1"/>
    <col min="11" max="11" width="9" bestFit="1" customWidth="1"/>
    <col min="12" max="15" width="9.1640625" bestFit="1" customWidth="1"/>
    <col min="16" max="19" width="9" bestFit="1" customWidth="1"/>
    <col min="23" max="23" width="10.6640625" bestFit="1" customWidth="1"/>
    <col min="38" max="38" width="22.6640625" bestFit="1" customWidth="1"/>
    <col min="40" max="40" width="9.1640625" bestFit="1" customWidth="1"/>
    <col min="41" max="51" width="9" bestFit="1" customWidth="1"/>
    <col min="52" max="52" width="19.83203125" customWidth="1"/>
  </cols>
  <sheetData>
    <row r="3" spans="2:69">
      <c r="Y3">
        <f>1.55*1.85</f>
        <v>2.8675000000000002</v>
      </c>
    </row>
    <row r="4" spans="2:69">
      <c r="B4" t="s">
        <v>0</v>
      </c>
      <c r="C4" t="s">
        <v>1</v>
      </c>
      <c r="D4" t="s">
        <v>2</v>
      </c>
      <c r="E4" t="s">
        <v>19</v>
      </c>
      <c r="F4">
        <v>2003</v>
      </c>
      <c r="G4">
        <v>2004</v>
      </c>
      <c r="H4">
        <v>2005</v>
      </c>
      <c r="I4">
        <v>2006</v>
      </c>
      <c r="J4">
        <v>2007</v>
      </c>
      <c r="K4">
        <v>2008</v>
      </c>
      <c r="L4">
        <v>2009</v>
      </c>
      <c r="M4">
        <v>2010</v>
      </c>
      <c r="N4">
        <v>2011</v>
      </c>
      <c r="O4">
        <v>2012</v>
      </c>
      <c r="P4">
        <v>2013</v>
      </c>
      <c r="Q4">
        <v>2014</v>
      </c>
      <c r="R4">
        <v>2015</v>
      </c>
      <c r="S4">
        <v>2016</v>
      </c>
      <c r="T4">
        <v>2017</v>
      </c>
    </row>
    <row r="5" spans="2:69">
      <c r="B5">
        <v>10.7</v>
      </c>
      <c r="C5" t="s">
        <v>3</v>
      </c>
      <c r="D5" t="s">
        <v>5</v>
      </c>
      <c r="E5" t="s">
        <v>20</v>
      </c>
      <c r="F5">
        <f>132*'Maximizing Profit'!$BY$3</f>
        <v>132</v>
      </c>
      <c r="G5">
        <f>106*'Maximizing Profit'!$BY$3</f>
        <v>106</v>
      </c>
      <c r="H5">
        <f>85*'Maximizing Profit'!$BY$3</f>
        <v>85</v>
      </c>
      <c r="I5">
        <f>67*'Maximizing Profit'!$BY$3</f>
        <v>67</v>
      </c>
      <c r="J5">
        <f>54*'Maximizing Profit'!$BY$3</f>
        <v>54</v>
      </c>
      <c r="K5">
        <f>43*'Maximizing Profit'!$BY$3</f>
        <v>43</v>
      </c>
      <c r="L5">
        <f>35*'Maximizing Profit'!$BY$3</f>
        <v>35</v>
      </c>
      <c r="M5">
        <f>28*'Maximizing Profit'!$BY$3</f>
        <v>28</v>
      </c>
      <c r="N5">
        <f>22*'Maximizing Profit'!$BY$3</f>
        <v>22</v>
      </c>
      <c r="O5">
        <f>18*'Maximizing Profit'!$BY$3</f>
        <v>18</v>
      </c>
      <c r="P5">
        <f>14*'Maximizing Profit'!$BY$3</f>
        <v>14</v>
      </c>
      <c r="Q5">
        <f>11*'Maximizing Profit'!$BY$3</f>
        <v>11</v>
      </c>
      <c r="R5">
        <f>9*'Maximizing Profit'!$BY$3</f>
        <v>9</v>
      </c>
      <c r="S5">
        <f>7*'Maximizing Profit'!$BY$3</f>
        <v>7</v>
      </c>
      <c r="T5">
        <f>6*'Maximizing Profit'!$BY$3</f>
        <v>6</v>
      </c>
      <c r="V5" s="6">
        <f>AVERAGE(W5:W6)</f>
        <v>3.8824177239315534E-2</v>
      </c>
      <c r="W5" s="6">
        <v>3.5364627672282885E-2</v>
      </c>
      <c r="Y5">
        <f>$Y$3/W5</f>
        <v>81.083845320600119</v>
      </c>
      <c r="AJ5" t="s">
        <v>129</v>
      </c>
    </row>
    <row r="6" spans="2:69">
      <c r="B6">
        <v>11.7</v>
      </c>
      <c r="C6" t="s">
        <v>4</v>
      </c>
      <c r="D6" t="s">
        <v>5</v>
      </c>
      <c r="E6" t="s">
        <v>20</v>
      </c>
      <c r="F6">
        <f>172*'Maximizing Profit'!$BY$3</f>
        <v>172</v>
      </c>
      <c r="G6">
        <f>138*'Maximizing Profit'!$BY$3</f>
        <v>138</v>
      </c>
      <c r="H6">
        <f>110*'Maximizing Profit'!$BY$3</f>
        <v>110</v>
      </c>
      <c r="I6">
        <f>88*'Maximizing Profit'!$BY$3</f>
        <v>88</v>
      </c>
      <c r="J6">
        <f>71*'Maximizing Profit'!$BY$3</f>
        <v>71</v>
      </c>
      <c r="K6">
        <f>56*'Maximizing Profit'!$BY$3</f>
        <v>56</v>
      </c>
      <c r="L6">
        <f>45*'Maximizing Profit'!$BY$3</f>
        <v>45</v>
      </c>
      <c r="M6">
        <f>36*'Maximizing Profit'!$BY$3</f>
        <v>36</v>
      </c>
      <c r="N6">
        <f>29*'Maximizing Profit'!$BY$3</f>
        <v>29</v>
      </c>
      <c r="O6">
        <f>23*'Maximizing Profit'!$BY$3</f>
        <v>23</v>
      </c>
      <c r="P6">
        <f>18*'Maximizing Profit'!$BY$3</f>
        <v>18</v>
      </c>
      <c r="Q6">
        <f>14*'Maximizing Profit'!$BY$3</f>
        <v>14</v>
      </c>
      <c r="R6">
        <f>11*'Maximizing Profit'!$BY$3</f>
        <v>11</v>
      </c>
      <c r="S6">
        <f>10*'Maximizing Profit'!$BY$3</f>
        <v>10</v>
      </c>
      <c r="T6">
        <f>8*'Maximizing Profit'!$BY$3</f>
        <v>8</v>
      </c>
      <c r="W6" s="6">
        <v>4.2283726806348183E-2</v>
      </c>
      <c r="Y6">
        <f t="shared" ref="Y6:Y16" si="0">$Y$3/W6</f>
        <v>67.815687418770608</v>
      </c>
      <c r="AJ6">
        <v>132</v>
      </c>
      <c r="AK6">
        <v>106</v>
      </c>
      <c r="AL6">
        <v>85</v>
      </c>
      <c r="AM6">
        <v>67</v>
      </c>
      <c r="AN6">
        <v>54</v>
      </c>
      <c r="AO6">
        <v>43</v>
      </c>
      <c r="AP6">
        <v>35</v>
      </c>
      <c r="AQ6">
        <v>28</v>
      </c>
      <c r="AR6">
        <v>22</v>
      </c>
      <c r="AS6">
        <v>18</v>
      </c>
      <c r="AT6">
        <v>14</v>
      </c>
      <c r="AU6">
        <v>11</v>
      </c>
      <c r="AV6">
        <v>9</v>
      </c>
      <c r="AW6">
        <v>7</v>
      </c>
      <c r="AX6">
        <v>6</v>
      </c>
      <c r="AZ6" t="str">
        <f>CONCATENATE($AJ$5,AJ6,$AK$18)</f>
        <v>=132*'Maximizing Profit'!$BY$4</v>
      </c>
      <c r="BA6" t="str">
        <f t="shared" ref="BA6:BL17" si="1">CONCATENATE($AJ$5,AK6,$AK$18)</f>
        <v>=106*'Maximizing Profit'!$BY$4</v>
      </c>
      <c r="BB6" t="str">
        <f t="shared" si="1"/>
        <v>=85*'Maximizing Profit'!$BY$4</v>
      </c>
      <c r="BC6" t="str">
        <f t="shared" si="1"/>
        <v>=67*'Maximizing Profit'!$BY$4</v>
      </c>
      <c r="BD6" t="str">
        <f t="shared" si="1"/>
        <v>=54*'Maximizing Profit'!$BY$4</v>
      </c>
      <c r="BE6" t="str">
        <f t="shared" si="1"/>
        <v>=43*'Maximizing Profit'!$BY$4</v>
      </c>
      <c r="BF6" t="str">
        <f t="shared" si="1"/>
        <v>=35*'Maximizing Profit'!$BY$4</v>
      </c>
      <c r="BG6" t="str">
        <f t="shared" si="1"/>
        <v>=28*'Maximizing Profit'!$BY$4</v>
      </c>
      <c r="BH6" t="str">
        <f t="shared" si="1"/>
        <v>=22*'Maximizing Profit'!$BY$4</v>
      </c>
      <c r="BI6" t="str">
        <f t="shared" si="1"/>
        <v>=18*'Maximizing Profit'!$BY$4</v>
      </c>
      <c r="BJ6" t="str">
        <f t="shared" si="1"/>
        <v>=14*'Maximizing Profit'!$BY$4</v>
      </c>
      <c r="BK6" t="str">
        <f t="shared" si="1"/>
        <v>=11*'Maximizing Profit'!$BY$4</v>
      </c>
      <c r="BL6" t="str">
        <f t="shared" si="1"/>
        <v>=9*'Maximizing Profit'!$BY$4</v>
      </c>
      <c r="BM6" t="str">
        <f>CONCATENATE($AJ$5,AW6,$AK$18)</f>
        <v>=7*'Maximizing Profit'!$BY$4</v>
      </c>
      <c r="BN6" t="str">
        <f t="shared" ref="BN6:BN17" si="2">CONCATENATE($AJ$5,AX6,$AK$18)</f>
        <v>=6*'Maximizing Profit'!$BY$4</v>
      </c>
      <c r="BO6" t="str">
        <f t="shared" ref="BO6:BO17" si="3">CONCATENATE($AJ$5,AY6,$AK$18)</f>
        <v>=*'Maximizing Profit'!$BY$4</v>
      </c>
      <c r="BP6" t="str">
        <f t="shared" ref="BP6:BP17" si="4">CONCATENATE($AJ$5,AZ6,$AK$18)</f>
        <v>==132*'Maximizing Profit'!$BY$4*'Maximizing Profit'!$BY$4</v>
      </c>
      <c r="BQ6" t="str">
        <f t="shared" ref="BQ6:BQ17" si="5">CONCATENATE($AJ$5,BA6,$AK$18)</f>
        <v>==106*'Maximizing Profit'!$BY$4*'Maximizing Profit'!$BY$4</v>
      </c>
    </row>
    <row r="7" spans="2:69">
      <c r="B7">
        <v>16.5</v>
      </c>
      <c r="C7" t="s">
        <v>6</v>
      </c>
      <c r="D7" t="s">
        <v>7</v>
      </c>
      <c r="E7" t="s">
        <v>20</v>
      </c>
      <c r="F7">
        <f>242*'Maximizing Profit'!$BY$3</f>
        <v>242</v>
      </c>
      <c r="G7">
        <f>207*'Maximizing Profit'!$BY$3</f>
        <v>207</v>
      </c>
      <c r="H7">
        <f>176*'Maximizing Profit'!$BY$3</f>
        <v>176</v>
      </c>
      <c r="I7">
        <f>149*'Maximizing Profit'!$BY$3</f>
        <v>149</v>
      </c>
      <c r="J7">
        <f>127*'Maximizing Profit'!$BY$3</f>
        <v>127</v>
      </c>
      <c r="K7">
        <f>108*'Maximizing Profit'!$BY$3</f>
        <v>108</v>
      </c>
      <c r="L7">
        <f>91*'Maximizing Profit'!$BY$3</f>
        <v>91</v>
      </c>
      <c r="M7">
        <f>78*'Maximizing Profit'!$BY$3</f>
        <v>78</v>
      </c>
      <c r="N7">
        <f>66*'Maximizing Profit'!$BY$3</f>
        <v>66</v>
      </c>
      <c r="O7">
        <f>56*'Maximizing Profit'!$BY$3</f>
        <v>56</v>
      </c>
      <c r="P7">
        <f>48*'Maximizing Profit'!$BY$3</f>
        <v>48</v>
      </c>
      <c r="Q7">
        <f>41*'Maximizing Profit'!$BY$3</f>
        <v>41</v>
      </c>
      <c r="R7">
        <f>35*'Maximizing Profit'!$BY$3</f>
        <v>35</v>
      </c>
      <c r="S7">
        <f>30*'Maximizing Profit'!$BY$3</f>
        <v>30</v>
      </c>
      <c r="T7">
        <f>25*'Maximizing Profit'!$BY$3</f>
        <v>25</v>
      </c>
      <c r="V7" s="6">
        <f>AVERAGE(W7:W9)</f>
        <v>0.12914784563111814</v>
      </c>
      <c r="W7" s="6">
        <v>7.755129554286265E-2</v>
      </c>
      <c r="Y7">
        <f t="shared" si="0"/>
        <v>36.975526713349758</v>
      </c>
      <c r="AJ7">
        <v>172</v>
      </c>
      <c r="AK7">
        <v>138</v>
      </c>
      <c r="AL7">
        <v>110</v>
      </c>
      <c r="AM7">
        <v>88</v>
      </c>
      <c r="AN7">
        <v>71</v>
      </c>
      <c r="AO7">
        <v>56</v>
      </c>
      <c r="AP7">
        <v>45</v>
      </c>
      <c r="AQ7">
        <v>36</v>
      </c>
      <c r="AR7">
        <v>29</v>
      </c>
      <c r="AS7">
        <v>23</v>
      </c>
      <c r="AT7">
        <v>18</v>
      </c>
      <c r="AU7">
        <v>14</v>
      </c>
      <c r="AV7">
        <v>11</v>
      </c>
      <c r="AW7">
        <v>10</v>
      </c>
      <c r="AX7">
        <v>8</v>
      </c>
      <c r="AZ7" t="str">
        <f t="shared" ref="AZ7:AZ17" si="6">CONCATENATE($AJ$5,AJ7,$AK$18)</f>
        <v>=172*'Maximizing Profit'!$BY$4</v>
      </c>
      <c r="BA7" t="str">
        <f t="shared" si="1"/>
        <v>=138*'Maximizing Profit'!$BY$4</v>
      </c>
      <c r="BB7" t="str">
        <f t="shared" si="1"/>
        <v>=110*'Maximizing Profit'!$BY$4</v>
      </c>
      <c r="BC7" t="str">
        <f t="shared" si="1"/>
        <v>=88*'Maximizing Profit'!$BY$4</v>
      </c>
      <c r="BD7" t="str">
        <f t="shared" si="1"/>
        <v>=71*'Maximizing Profit'!$BY$4</v>
      </c>
      <c r="BE7" t="str">
        <f t="shared" si="1"/>
        <v>=56*'Maximizing Profit'!$BY$4</v>
      </c>
      <c r="BF7" t="str">
        <f t="shared" si="1"/>
        <v>=45*'Maximizing Profit'!$BY$4</v>
      </c>
      <c r="BG7" t="str">
        <f t="shared" si="1"/>
        <v>=36*'Maximizing Profit'!$BY$4</v>
      </c>
      <c r="BH7" t="str">
        <f t="shared" si="1"/>
        <v>=29*'Maximizing Profit'!$BY$4</v>
      </c>
      <c r="BI7" t="str">
        <f t="shared" si="1"/>
        <v>=23*'Maximizing Profit'!$BY$4</v>
      </c>
      <c r="BJ7" t="str">
        <f t="shared" si="1"/>
        <v>=18*'Maximizing Profit'!$BY$4</v>
      </c>
      <c r="BK7" t="str">
        <f t="shared" si="1"/>
        <v>=14*'Maximizing Profit'!$BY$4</v>
      </c>
      <c r="BL7" t="str">
        <f t="shared" si="1"/>
        <v>=11*'Maximizing Profit'!$BY$4</v>
      </c>
      <c r="BM7" t="str">
        <f t="shared" ref="BM7:BM17" si="7">CONCATENATE($AJ$5,AW7,$AK$18)</f>
        <v>=10*'Maximizing Profit'!$BY$4</v>
      </c>
      <c r="BN7" t="str">
        <f t="shared" si="2"/>
        <v>=8*'Maximizing Profit'!$BY$4</v>
      </c>
      <c r="BO7" t="str">
        <f t="shared" si="3"/>
        <v>=*'Maximizing Profit'!$BY$4</v>
      </c>
      <c r="BP7" t="str">
        <f t="shared" si="4"/>
        <v>==172*'Maximizing Profit'!$BY$4*'Maximizing Profit'!$BY$4</v>
      </c>
      <c r="BQ7" t="str">
        <f t="shared" si="5"/>
        <v>==138*'Maximizing Profit'!$BY$4*'Maximizing Profit'!$BY$4</v>
      </c>
    </row>
    <row r="8" spans="2:69">
      <c r="B8">
        <v>20.9</v>
      </c>
      <c r="C8" t="s">
        <v>8</v>
      </c>
      <c r="D8" t="s">
        <v>7</v>
      </c>
      <c r="E8" t="s">
        <v>20</v>
      </c>
      <c r="F8">
        <f>238*'Maximizing Profit'!$BY$3</f>
        <v>238</v>
      </c>
      <c r="G8">
        <f>202*'Maximizing Profit'!$BY$3</f>
        <v>202</v>
      </c>
      <c r="H8">
        <f>171*'Maximizing Profit'!$BY$3</f>
        <v>171</v>
      </c>
      <c r="I8">
        <f>146*'Maximizing Profit'!$BY$3</f>
        <v>146</v>
      </c>
      <c r="J8">
        <f>124*'Maximizing Profit'!$BY$3</f>
        <v>124</v>
      </c>
      <c r="K8">
        <f>105*'Maximizing Profit'!$BY$3</f>
        <v>105</v>
      </c>
      <c r="L8">
        <f>89*'Maximizing Profit'!$BY$3</f>
        <v>89</v>
      </c>
      <c r="M8">
        <f>76*'Maximizing Profit'!$BY$3</f>
        <v>76</v>
      </c>
      <c r="N8">
        <f>64*'Maximizing Profit'!$BY$3</f>
        <v>64</v>
      </c>
      <c r="O8">
        <f>54*'Maximizing Profit'!$BY$3</f>
        <v>54</v>
      </c>
      <c r="P8">
        <f>47*'Maximizing Profit'!$BY$3</f>
        <v>47</v>
      </c>
      <c r="Q8">
        <f>40*'Maximizing Profit'!$BY$3</f>
        <v>40</v>
      </c>
      <c r="R8">
        <f>34*'Maximizing Profit'!$BY$3</f>
        <v>34</v>
      </c>
      <c r="S8">
        <f>29*'Maximizing Profit'!$BY$3</f>
        <v>29</v>
      </c>
      <c r="T8">
        <f>25*'Maximizing Profit'!$BY$3</f>
        <v>25</v>
      </c>
      <c r="W8" s="6">
        <v>0.13492552199781541</v>
      </c>
      <c r="Y8">
        <f t="shared" si="0"/>
        <v>21.252465490157068</v>
      </c>
      <c r="AJ8">
        <v>242</v>
      </c>
      <c r="AK8">
        <v>207</v>
      </c>
      <c r="AL8">
        <v>176</v>
      </c>
      <c r="AM8">
        <v>149</v>
      </c>
      <c r="AN8">
        <v>127</v>
      </c>
      <c r="AO8">
        <v>108</v>
      </c>
      <c r="AP8">
        <v>91</v>
      </c>
      <c r="AQ8">
        <v>78</v>
      </c>
      <c r="AR8">
        <v>66</v>
      </c>
      <c r="AS8">
        <v>56</v>
      </c>
      <c r="AT8">
        <v>48</v>
      </c>
      <c r="AU8">
        <v>41</v>
      </c>
      <c r="AV8">
        <v>35</v>
      </c>
      <c r="AW8">
        <v>30</v>
      </c>
      <c r="AX8">
        <v>25</v>
      </c>
      <c r="AZ8" t="str">
        <f t="shared" si="6"/>
        <v>=242*'Maximizing Profit'!$BY$4</v>
      </c>
      <c r="BA8" t="str">
        <f t="shared" si="1"/>
        <v>=207*'Maximizing Profit'!$BY$4</v>
      </c>
      <c r="BB8" t="str">
        <f t="shared" si="1"/>
        <v>=176*'Maximizing Profit'!$BY$4</v>
      </c>
      <c r="BC8" t="str">
        <f t="shared" si="1"/>
        <v>=149*'Maximizing Profit'!$BY$4</v>
      </c>
      <c r="BD8" t="str">
        <f t="shared" si="1"/>
        <v>=127*'Maximizing Profit'!$BY$4</v>
      </c>
      <c r="BE8" t="str">
        <f t="shared" si="1"/>
        <v>=108*'Maximizing Profit'!$BY$4</v>
      </c>
      <c r="BF8" t="str">
        <f t="shared" si="1"/>
        <v>=91*'Maximizing Profit'!$BY$4</v>
      </c>
      <c r="BG8" t="str">
        <f t="shared" si="1"/>
        <v>=78*'Maximizing Profit'!$BY$4</v>
      </c>
      <c r="BH8" t="str">
        <f t="shared" si="1"/>
        <v>=66*'Maximizing Profit'!$BY$4</v>
      </c>
      <c r="BI8" t="str">
        <f t="shared" si="1"/>
        <v>=56*'Maximizing Profit'!$BY$4</v>
      </c>
      <c r="BJ8" t="str">
        <f t="shared" si="1"/>
        <v>=48*'Maximizing Profit'!$BY$4</v>
      </c>
      <c r="BK8" t="str">
        <f t="shared" si="1"/>
        <v>=41*'Maximizing Profit'!$BY$4</v>
      </c>
      <c r="BL8" t="str">
        <f t="shared" si="1"/>
        <v>=35*'Maximizing Profit'!$BY$4</v>
      </c>
      <c r="BM8" t="str">
        <f t="shared" si="7"/>
        <v>=30*'Maximizing Profit'!$BY$4</v>
      </c>
      <c r="BN8" t="str">
        <f t="shared" si="2"/>
        <v>=25*'Maximizing Profit'!$BY$4</v>
      </c>
      <c r="BO8" t="str">
        <f t="shared" si="3"/>
        <v>=*'Maximizing Profit'!$BY$4</v>
      </c>
      <c r="BP8" t="str">
        <f t="shared" si="4"/>
        <v>==242*'Maximizing Profit'!$BY$4*'Maximizing Profit'!$BY$4</v>
      </c>
      <c r="BQ8" t="str">
        <f t="shared" si="5"/>
        <v>==207*'Maximizing Profit'!$BY$4*'Maximizing Profit'!$BY$4</v>
      </c>
    </row>
    <row r="9" spans="2:69">
      <c r="B9">
        <v>23.8</v>
      </c>
      <c r="C9" t="s">
        <v>9</v>
      </c>
      <c r="D9" t="s">
        <v>7</v>
      </c>
      <c r="E9" t="s">
        <v>20</v>
      </c>
      <c r="F9">
        <f>579*'Maximizing Profit'!$BY$3</f>
        <v>579</v>
      </c>
      <c r="G9">
        <f>492*'Maximizing Profit'!$BY$3</f>
        <v>492</v>
      </c>
      <c r="H9">
        <f>419*'Maximizing Profit'!$BY$3</f>
        <v>419</v>
      </c>
      <c r="I9">
        <f>356*'Maximizing Profit'!$BY$3</f>
        <v>356</v>
      </c>
      <c r="J9">
        <f>302*'Maximizing Profit'!$BY$3</f>
        <v>302</v>
      </c>
      <c r="K9">
        <f>256*'Maximizing Profit'!$BY$3</f>
        <v>256</v>
      </c>
      <c r="L9">
        <f>218*'Maximizing Profit'!$BY$3</f>
        <v>218</v>
      </c>
      <c r="M9">
        <f>185*'Maximizing Profit'!$BY$3</f>
        <v>185</v>
      </c>
      <c r="N9">
        <f>157*'Maximizing Profit'!$BY$3</f>
        <v>157</v>
      </c>
      <c r="O9">
        <f>133*'Maximizing Profit'!$BY$3</f>
        <v>133</v>
      </c>
      <c r="P9">
        <f>114*'Maximizing Profit'!$BY$3</f>
        <v>114</v>
      </c>
      <c r="Q9">
        <f>97*'Maximizing Profit'!$BY$3</f>
        <v>97</v>
      </c>
      <c r="R9">
        <f>83*'Maximizing Profit'!$BY$3</f>
        <v>83</v>
      </c>
      <c r="S9">
        <f>70*'Maximizing Profit'!$BY$3</f>
        <v>70</v>
      </c>
      <c r="T9">
        <f>60*'Maximizing Profit'!$BY$3</f>
        <v>60</v>
      </c>
      <c r="W9" s="6">
        <v>0.17496671935267638</v>
      </c>
      <c r="Y9">
        <f t="shared" si="0"/>
        <v>16.388831033746747</v>
      </c>
      <c r="AJ9">
        <v>238</v>
      </c>
      <c r="AK9">
        <v>202</v>
      </c>
      <c r="AL9">
        <v>171</v>
      </c>
      <c r="AM9">
        <v>146</v>
      </c>
      <c r="AN9">
        <v>124</v>
      </c>
      <c r="AO9">
        <v>105</v>
      </c>
      <c r="AP9">
        <v>89</v>
      </c>
      <c r="AQ9">
        <v>76</v>
      </c>
      <c r="AR9">
        <v>64</v>
      </c>
      <c r="AS9">
        <v>54</v>
      </c>
      <c r="AT9">
        <v>47</v>
      </c>
      <c r="AU9">
        <v>40</v>
      </c>
      <c r="AV9">
        <v>34</v>
      </c>
      <c r="AW9">
        <v>29</v>
      </c>
      <c r="AX9">
        <v>25</v>
      </c>
      <c r="AZ9" t="str">
        <f t="shared" si="6"/>
        <v>=238*'Maximizing Profit'!$BY$4</v>
      </c>
      <c r="BA9" t="str">
        <f t="shared" si="1"/>
        <v>=202*'Maximizing Profit'!$BY$4</v>
      </c>
      <c r="BB9" t="str">
        <f t="shared" si="1"/>
        <v>=171*'Maximizing Profit'!$BY$4</v>
      </c>
      <c r="BC9" t="str">
        <f t="shared" si="1"/>
        <v>=146*'Maximizing Profit'!$BY$4</v>
      </c>
      <c r="BD9" t="str">
        <f t="shared" si="1"/>
        <v>=124*'Maximizing Profit'!$BY$4</v>
      </c>
      <c r="BE9" t="str">
        <f t="shared" si="1"/>
        <v>=105*'Maximizing Profit'!$BY$4</v>
      </c>
      <c r="BF9" t="str">
        <f t="shared" si="1"/>
        <v>=89*'Maximizing Profit'!$BY$4</v>
      </c>
      <c r="BG9" t="str">
        <f t="shared" si="1"/>
        <v>=76*'Maximizing Profit'!$BY$4</v>
      </c>
      <c r="BH9" t="str">
        <f t="shared" si="1"/>
        <v>=64*'Maximizing Profit'!$BY$4</v>
      </c>
      <c r="BI9" t="str">
        <f t="shared" si="1"/>
        <v>=54*'Maximizing Profit'!$BY$4</v>
      </c>
      <c r="BJ9" t="str">
        <f t="shared" si="1"/>
        <v>=47*'Maximizing Profit'!$BY$4</v>
      </c>
      <c r="BK9" t="str">
        <f t="shared" si="1"/>
        <v>=40*'Maximizing Profit'!$BY$4</v>
      </c>
      <c r="BL9" t="str">
        <f t="shared" si="1"/>
        <v>=34*'Maximizing Profit'!$BY$4</v>
      </c>
      <c r="BM9" t="str">
        <f t="shared" si="7"/>
        <v>=29*'Maximizing Profit'!$BY$4</v>
      </c>
      <c r="BN9" t="str">
        <f t="shared" si="2"/>
        <v>=25*'Maximizing Profit'!$BY$4</v>
      </c>
      <c r="BO9" t="str">
        <f t="shared" si="3"/>
        <v>=*'Maximizing Profit'!$BY$4</v>
      </c>
      <c r="BP9" t="str">
        <f t="shared" si="4"/>
        <v>==238*'Maximizing Profit'!$BY$4*'Maximizing Profit'!$BY$4</v>
      </c>
      <c r="BQ9" t="str">
        <f t="shared" si="5"/>
        <v>==202*'Maximizing Profit'!$BY$4*'Maximizing Profit'!$BY$4</v>
      </c>
    </row>
    <row r="10" spans="2:69">
      <c r="B10">
        <v>19.2</v>
      </c>
      <c r="C10" t="s">
        <v>10</v>
      </c>
      <c r="D10" t="s">
        <v>11</v>
      </c>
      <c r="E10" t="s">
        <v>20</v>
      </c>
      <c r="F10">
        <f>374*'Maximizing Profit'!$BY$3</f>
        <v>374</v>
      </c>
      <c r="G10">
        <f>329*'Maximizing Profit'!$BY$3</f>
        <v>329</v>
      </c>
      <c r="H10">
        <f>289*'Maximizing Profit'!$BY$3</f>
        <v>289</v>
      </c>
      <c r="I10">
        <f>255*'Maximizing Profit'!$BY$3</f>
        <v>255</v>
      </c>
      <c r="J10">
        <f>224*'Maximizing Profit'!$BY$3</f>
        <v>224</v>
      </c>
      <c r="K10">
        <f>197*'Maximizing Profit'!$BY$3</f>
        <v>197</v>
      </c>
      <c r="L10">
        <f>173*'Maximizing Profit'!$BY$3</f>
        <v>173</v>
      </c>
      <c r="M10">
        <f>152*'Maximizing Profit'!$BY$3</f>
        <v>152</v>
      </c>
      <c r="N10">
        <f>134*'Maximizing Profit'!$BY$3</f>
        <v>134</v>
      </c>
      <c r="O10">
        <f>118*'Maximizing Profit'!$BY$3</f>
        <v>118</v>
      </c>
      <c r="P10">
        <f>104*'Maximizing Profit'!$BY$3</f>
        <v>104</v>
      </c>
      <c r="Q10">
        <f>91*'Maximizing Profit'!$BY$3</f>
        <v>91</v>
      </c>
      <c r="R10">
        <f>81*'Maximizing Profit'!$BY$3</f>
        <v>81</v>
      </c>
      <c r="S10">
        <f>71*'Maximizing Profit'!$BY$3</f>
        <v>71</v>
      </c>
      <c r="T10">
        <f>62*'Maximizing Profit'!$BY$3</f>
        <v>62</v>
      </c>
      <c r="V10" s="6">
        <f>AVERAGE(W10:W16)</f>
        <v>0.32868176710731062</v>
      </c>
      <c r="W10" s="6">
        <v>0.11386860289204613</v>
      </c>
      <c r="Y10">
        <f t="shared" si="0"/>
        <v>25.182534317370628</v>
      </c>
      <c r="AJ10">
        <v>579</v>
      </c>
      <c r="AK10">
        <v>492</v>
      </c>
      <c r="AL10">
        <v>419</v>
      </c>
      <c r="AM10">
        <v>356</v>
      </c>
      <c r="AN10">
        <v>302</v>
      </c>
      <c r="AO10">
        <v>256</v>
      </c>
      <c r="AP10">
        <v>218</v>
      </c>
      <c r="AQ10">
        <v>185</v>
      </c>
      <c r="AR10">
        <v>157</v>
      </c>
      <c r="AS10">
        <v>133</v>
      </c>
      <c r="AT10">
        <v>114</v>
      </c>
      <c r="AU10">
        <v>97</v>
      </c>
      <c r="AV10">
        <v>83</v>
      </c>
      <c r="AW10">
        <v>70</v>
      </c>
      <c r="AX10">
        <v>60</v>
      </c>
      <c r="AZ10" t="str">
        <f t="shared" si="6"/>
        <v>=579*'Maximizing Profit'!$BY$4</v>
      </c>
      <c r="BA10" t="str">
        <f t="shared" si="1"/>
        <v>=492*'Maximizing Profit'!$BY$4</v>
      </c>
      <c r="BB10" t="str">
        <f t="shared" si="1"/>
        <v>=419*'Maximizing Profit'!$BY$4</v>
      </c>
      <c r="BC10" t="str">
        <f t="shared" si="1"/>
        <v>=356*'Maximizing Profit'!$BY$4</v>
      </c>
      <c r="BD10" t="str">
        <f t="shared" si="1"/>
        <v>=302*'Maximizing Profit'!$BY$4</v>
      </c>
      <c r="BE10" t="str">
        <f t="shared" si="1"/>
        <v>=256*'Maximizing Profit'!$BY$4</v>
      </c>
      <c r="BF10" t="str">
        <f t="shared" si="1"/>
        <v>=218*'Maximizing Profit'!$BY$4</v>
      </c>
      <c r="BG10" t="str">
        <f t="shared" si="1"/>
        <v>=185*'Maximizing Profit'!$BY$4</v>
      </c>
      <c r="BH10" t="str">
        <f t="shared" si="1"/>
        <v>=157*'Maximizing Profit'!$BY$4</v>
      </c>
      <c r="BI10" t="str">
        <f t="shared" si="1"/>
        <v>=133*'Maximizing Profit'!$BY$4</v>
      </c>
      <c r="BJ10" t="str">
        <f t="shared" si="1"/>
        <v>=114*'Maximizing Profit'!$BY$4</v>
      </c>
      <c r="BK10" t="str">
        <f t="shared" si="1"/>
        <v>=97*'Maximizing Profit'!$BY$4</v>
      </c>
      <c r="BL10" t="str">
        <f t="shared" si="1"/>
        <v>=83*'Maximizing Profit'!$BY$4</v>
      </c>
      <c r="BM10" t="str">
        <f t="shared" si="7"/>
        <v>=70*'Maximizing Profit'!$BY$4</v>
      </c>
      <c r="BN10" t="str">
        <f t="shared" si="2"/>
        <v>=60*'Maximizing Profit'!$BY$4</v>
      </c>
      <c r="BO10" t="str">
        <f t="shared" si="3"/>
        <v>=*'Maximizing Profit'!$BY$4</v>
      </c>
      <c r="BP10" t="str">
        <f t="shared" si="4"/>
        <v>==579*'Maximizing Profit'!$BY$4*'Maximizing Profit'!$BY$4</v>
      </c>
      <c r="BQ10" t="str">
        <f t="shared" si="5"/>
        <v>==492*'Maximizing Profit'!$BY$4*'Maximizing Profit'!$BY$4</v>
      </c>
    </row>
    <row r="11" spans="2:69">
      <c r="B11">
        <v>23.4</v>
      </c>
      <c r="C11" t="s">
        <v>63</v>
      </c>
      <c r="D11" t="s">
        <v>11</v>
      </c>
      <c r="E11" t="s">
        <v>20</v>
      </c>
      <c r="F11">
        <f>620*'Maximizing Profit'!$BY$3</f>
        <v>620</v>
      </c>
      <c r="G11">
        <f>546*'Maximizing Profit'!$BY$3</f>
        <v>546</v>
      </c>
      <c r="H11">
        <f>481*'Maximizing Profit'!$BY$3</f>
        <v>481</v>
      </c>
      <c r="I11">
        <f>423*'Maximizing Profit'!$BY$3</f>
        <v>423</v>
      </c>
      <c r="J11">
        <f>372*'Maximizing Profit'!$BY$3</f>
        <v>372</v>
      </c>
      <c r="K11">
        <f>328*'Maximizing Profit'!$BY$3</f>
        <v>328</v>
      </c>
      <c r="L11">
        <f>288*'Maximizing Profit'!$BY$3</f>
        <v>288</v>
      </c>
      <c r="M11">
        <f>253*'Maximizing Profit'!$BY$3</f>
        <v>253</v>
      </c>
      <c r="N11">
        <f>223*'Maximizing Profit'!$BY$3</f>
        <v>223</v>
      </c>
      <c r="O11">
        <f>196*'Maximizing Profit'!$BY$3</f>
        <v>196</v>
      </c>
      <c r="P11">
        <f>173*'Maximizing Profit'!$BY$3</f>
        <v>173</v>
      </c>
      <c r="Q11">
        <f>153*'Maximizing Profit'!$BY$3</f>
        <v>153</v>
      </c>
      <c r="R11">
        <f>134*'Maximizing Profit'!$BY$3</f>
        <v>134</v>
      </c>
      <c r="S11">
        <f>118*'Maximizing Profit'!$BY$3</f>
        <v>118</v>
      </c>
      <c r="T11">
        <f>104*'Maximizing Profit'!$BY$3</f>
        <v>104</v>
      </c>
      <c r="W11" s="6">
        <v>0.16821674981757326</v>
      </c>
      <c r="Y11">
        <f t="shared" si="0"/>
        <v>17.046459422796662</v>
      </c>
      <c r="AJ11">
        <v>374</v>
      </c>
      <c r="AK11">
        <v>329</v>
      </c>
      <c r="AL11">
        <v>289</v>
      </c>
      <c r="AM11">
        <v>255</v>
      </c>
      <c r="AN11">
        <v>224</v>
      </c>
      <c r="AO11">
        <v>197</v>
      </c>
      <c r="AP11">
        <v>173</v>
      </c>
      <c r="AQ11">
        <v>152</v>
      </c>
      <c r="AR11">
        <v>134</v>
      </c>
      <c r="AS11">
        <v>118</v>
      </c>
      <c r="AT11">
        <v>104</v>
      </c>
      <c r="AU11">
        <v>91</v>
      </c>
      <c r="AV11">
        <v>81</v>
      </c>
      <c r="AW11">
        <v>71</v>
      </c>
      <c r="AX11">
        <v>62</v>
      </c>
      <c r="AZ11" t="str">
        <f t="shared" si="6"/>
        <v>=374*'Maximizing Profit'!$BY$4</v>
      </c>
      <c r="BA11" t="str">
        <f t="shared" si="1"/>
        <v>=329*'Maximizing Profit'!$BY$4</v>
      </c>
      <c r="BB11" t="str">
        <f t="shared" si="1"/>
        <v>=289*'Maximizing Profit'!$BY$4</v>
      </c>
      <c r="BC11" t="str">
        <f t="shared" si="1"/>
        <v>=255*'Maximizing Profit'!$BY$4</v>
      </c>
      <c r="BD11" t="str">
        <f t="shared" si="1"/>
        <v>=224*'Maximizing Profit'!$BY$4</v>
      </c>
      <c r="BE11" t="str">
        <f t="shared" si="1"/>
        <v>=197*'Maximizing Profit'!$BY$4</v>
      </c>
      <c r="BF11" t="str">
        <f t="shared" si="1"/>
        <v>=173*'Maximizing Profit'!$BY$4</v>
      </c>
      <c r="BG11" t="str">
        <f t="shared" si="1"/>
        <v>=152*'Maximizing Profit'!$BY$4</v>
      </c>
      <c r="BH11" t="str">
        <f t="shared" si="1"/>
        <v>=134*'Maximizing Profit'!$BY$4</v>
      </c>
      <c r="BI11" t="str">
        <f t="shared" si="1"/>
        <v>=118*'Maximizing Profit'!$BY$4</v>
      </c>
      <c r="BJ11" t="str">
        <f t="shared" si="1"/>
        <v>=104*'Maximizing Profit'!$BY$4</v>
      </c>
      <c r="BK11" t="str">
        <f t="shared" si="1"/>
        <v>=91*'Maximizing Profit'!$BY$4</v>
      </c>
      <c r="BL11" t="str">
        <f t="shared" si="1"/>
        <v>=81*'Maximizing Profit'!$BY$4</v>
      </c>
      <c r="BM11" t="str">
        <f t="shared" si="7"/>
        <v>=71*'Maximizing Profit'!$BY$4</v>
      </c>
      <c r="BN11" t="str">
        <f t="shared" si="2"/>
        <v>=62*'Maximizing Profit'!$BY$4</v>
      </c>
      <c r="BO11" t="str">
        <f t="shared" si="3"/>
        <v>=*'Maximizing Profit'!$BY$4</v>
      </c>
      <c r="BP11" t="str">
        <f t="shared" si="4"/>
        <v>==374*'Maximizing Profit'!$BY$4*'Maximizing Profit'!$BY$4</v>
      </c>
      <c r="BQ11" t="str">
        <f t="shared" si="5"/>
        <v>==329*'Maximizing Profit'!$BY$4*'Maximizing Profit'!$BY$4</v>
      </c>
    </row>
    <row r="12" spans="2:69">
      <c r="B12">
        <v>27</v>
      </c>
      <c r="C12" t="s">
        <v>63</v>
      </c>
      <c r="D12" t="s">
        <v>11</v>
      </c>
      <c r="E12" t="s">
        <v>20</v>
      </c>
      <c r="F12">
        <f>670*'Maximizing Profit'!$BY$3</f>
        <v>670</v>
      </c>
      <c r="G12">
        <f>590*'Maximizing Profit'!$BY$3</f>
        <v>590</v>
      </c>
      <c r="H12">
        <f>519*'Maximizing Profit'!$BY$3</f>
        <v>519</v>
      </c>
      <c r="I12">
        <f>457*'Maximizing Profit'!$BY$3</f>
        <v>457</v>
      </c>
      <c r="J12">
        <f>402*'Maximizing Profit'!$BY$3</f>
        <v>402</v>
      </c>
      <c r="K12">
        <f>354*'Maximizing Profit'!$BY$3</f>
        <v>354</v>
      </c>
      <c r="L12">
        <f>312*'Maximizing Profit'!$BY$3</f>
        <v>312</v>
      </c>
      <c r="M12">
        <f>275*'Maximizing Profit'!$BY$3</f>
        <v>275</v>
      </c>
      <c r="N12">
        <f>242*'Maximizing Profit'!$BY$3</f>
        <v>242</v>
      </c>
      <c r="O12">
        <f>213*'Maximizing Profit'!$BY$3</f>
        <v>213</v>
      </c>
      <c r="P12">
        <f>187*'Maximizing Profit'!$BY$3</f>
        <v>187</v>
      </c>
      <c r="Q12">
        <f>165*'Maximizing Profit'!$BY$3</f>
        <v>165</v>
      </c>
      <c r="R12">
        <f>145*'Maximizing Profit'!$BY$3</f>
        <v>145</v>
      </c>
      <c r="S12">
        <f>128*'Maximizing Profit'!$BY$3</f>
        <v>128</v>
      </c>
      <c r="T12">
        <f>113*'Maximizing Profit'!$BY$3</f>
        <v>113</v>
      </c>
      <c r="W12" s="6">
        <v>0.22395721129558568</v>
      </c>
      <c r="Y12">
        <f t="shared" si="0"/>
        <v>12.803785077567271</v>
      </c>
      <c r="AJ12">
        <v>620</v>
      </c>
      <c r="AK12">
        <v>546</v>
      </c>
      <c r="AL12">
        <v>481</v>
      </c>
      <c r="AM12">
        <v>423</v>
      </c>
      <c r="AN12">
        <v>372</v>
      </c>
      <c r="AO12">
        <v>328</v>
      </c>
      <c r="AP12">
        <v>288</v>
      </c>
      <c r="AQ12">
        <v>253</v>
      </c>
      <c r="AR12">
        <v>223</v>
      </c>
      <c r="AS12">
        <v>196</v>
      </c>
      <c r="AT12">
        <v>173</v>
      </c>
      <c r="AU12">
        <v>153</v>
      </c>
      <c r="AV12">
        <v>134</v>
      </c>
      <c r="AW12">
        <v>118</v>
      </c>
      <c r="AX12">
        <v>104</v>
      </c>
      <c r="AZ12" t="str">
        <f t="shared" si="6"/>
        <v>=620*'Maximizing Profit'!$BY$4</v>
      </c>
      <c r="BA12" t="str">
        <f t="shared" si="1"/>
        <v>=546*'Maximizing Profit'!$BY$4</v>
      </c>
      <c r="BB12" t="str">
        <f t="shared" si="1"/>
        <v>=481*'Maximizing Profit'!$BY$4</v>
      </c>
      <c r="BC12" t="str">
        <f t="shared" si="1"/>
        <v>=423*'Maximizing Profit'!$BY$4</v>
      </c>
      <c r="BD12" t="str">
        <f t="shared" si="1"/>
        <v>=372*'Maximizing Profit'!$BY$4</v>
      </c>
      <c r="BE12" t="str">
        <f t="shared" si="1"/>
        <v>=328*'Maximizing Profit'!$BY$4</v>
      </c>
      <c r="BF12" t="str">
        <f t="shared" si="1"/>
        <v>=288*'Maximizing Profit'!$BY$4</v>
      </c>
      <c r="BG12" t="str">
        <f t="shared" si="1"/>
        <v>=253*'Maximizing Profit'!$BY$4</v>
      </c>
      <c r="BH12" t="str">
        <f t="shared" si="1"/>
        <v>=223*'Maximizing Profit'!$BY$4</v>
      </c>
      <c r="BI12" t="str">
        <f t="shared" si="1"/>
        <v>=196*'Maximizing Profit'!$BY$4</v>
      </c>
      <c r="BJ12" t="str">
        <f t="shared" si="1"/>
        <v>=173*'Maximizing Profit'!$BY$4</v>
      </c>
      <c r="BK12" t="str">
        <f t="shared" si="1"/>
        <v>=153*'Maximizing Profit'!$BY$4</v>
      </c>
      <c r="BL12" t="str">
        <f t="shared" si="1"/>
        <v>=134*'Maximizing Profit'!$BY$4</v>
      </c>
      <c r="BM12" t="str">
        <f t="shared" si="7"/>
        <v>=118*'Maximizing Profit'!$BY$4</v>
      </c>
      <c r="BN12" t="str">
        <f t="shared" si="2"/>
        <v>=104*'Maximizing Profit'!$BY$4</v>
      </c>
      <c r="BO12" t="str">
        <f t="shared" si="3"/>
        <v>=*'Maximizing Profit'!$BY$4</v>
      </c>
      <c r="BP12" t="str">
        <f t="shared" si="4"/>
        <v>==620*'Maximizing Profit'!$BY$4*'Maximizing Profit'!$BY$4</v>
      </c>
      <c r="BQ12" t="str">
        <f t="shared" si="5"/>
        <v>==546*'Maximizing Profit'!$BY$4*'Maximizing Profit'!$BY$4</v>
      </c>
    </row>
    <row r="13" spans="2:69">
      <c r="B13">
        <v>32</v>
      </c>
      <c r="C13" t="s">
        <v>63</v>
      </c>
      <c r="D13" t="s">
        <v>11</v>
      </c>
      <c r="E13" t="s">
        <v>20</v>
      </c>
      <c r="F13">
        <f>1210*'Maximizing Profit'!$BY$3</f>
        <v>1210</v>
      </c>
      <c r="G13">
        <f>1065*'Maximizing Profit'!$BY$3</f>
        <v>1065</v>
      </c>
      <c r="H13">
        <f>937*'Maximizing Profit'!$BY$3</f>
        <v>937</v>
      </c>
      <c r="I13">
        <f>825*'Maximizing Profit'!$BY$3</f>
        <v>825</v>
      </c>
      <c r="J13">
        <f>726*'Maximizing Profit'!$BY$3</f>
        <v>726</v>
      </c>
      <c r="K13">
        <f>639*'Maximizing Profit'!$BY$3</f>
        <v>639</v>
      </c>
      <c r="L13">
        <f>562*'Maximizing Profit'!$BY$3</f>
        <v>562</v>
      </c>
      <c r="M13">
        <f>495*'Maximizing Profit'!$BY$3</f>
        <v>495</v>
      </c>
      <c r="N13">
        <f>436*'Maximizing Profit'!$BY$3</f>
        <v>436</v>
      </c>
      <c r="O13">
        <f>384*'Maximizing Profit'!$BY$3</f>
        <v>384</v>
      </c>
      <c r="P13">
        <f>338*'Maximizing Profit'!$BY$3</f>
        <v>338</v>
      </c>
      <c r="Q13">
        <f>297*'Maximizing Profit'!$BY$3</f>
        <v>297</v>
      </c>
      <c r="R13">
        <f>261*'Maximizing Profit'!$BY$3</f>
        <v>261</v>
      </c>
      <c r="S13">
        <f>230*'Maximizing Profit'!$BY$3</f>
        <v>230</v>
      </c>
      <c r="T13">
        <f>202*'Maximizing Profit'!$BY$3</f>
        <v>202</v>
      </c>
      <c r="W13" s="6">
        <v>0.31458461504345647</v>
      </c>
      <c r="Y13">
        <f t="shared" si="0"/>
        <v>9.1151946499477923</v>
      </c>
      <c r="AJ13">
        <v>670</v>
      </c>
      <c r="AK13">
        <v>590</v>
      </c>
      <c r="AL13">
        <v>519</v>
      </c>
      <c r="AM13">
        <v>457</v>
      </c>
      <c r="AN13">
        <v>402</v>
      </c>
      <c r="AO13">
        <v>354</v>
      </c>
      <c r="AP13">
        <v>312</v>
      </c>
      <c r="AQ13">
        <v>275</v>
      </c>
      <c r="AR13">
        <v>242</v>
      </c>
      <c r="AS13">
        <v>213</v>
      </c>
      <c r="AT13">
        <v>187</v>
      </c>
      <c r="AU13">
        <v>165</v>
      </c>
      <c r="AV13">
        <v>145</v>
      </c>
      <c r="AW13">
        <v>128</v>
      </c>
      <c r="AX13">
        <v>113</v>
      </c>
      <c r="AZ13" t="str">
        <f t="shared" si="6"/>
        <v>=670*'Maximizing Profit'!$BY$4</v>
      </c>
      <c r="BA13" t="str">
        <f t="shared" si="1"/>
        <v>=590*'Maximizing Profit'!$BY$4</v>
      </c>
      <c r="BB13" t="str">
        <f>CONCATENATE($AJ$5,AL13,$AK$18)</f>
        <v>=519*'Maximizing Profit'!$BY$4</v>
      </c>
      <c r="BC13" t="str">
        <f t="shared" si="1"/>
        <v>=457*'Maximizing Profit'!$BY$4</v>
      </c>
      <c r="BD13" t="str">
        <f t="shared" si="1"/>
        <v>=402*'Maximizing Profit'!$BY$4</v>
      </c>
      <c r="BE13" t="str">
        <f t="shared" si="1"/>
        <v>=354*'Maximizing Profit'!$BY$4</v>
      </c>
      <c r="BF13" t="str">
        <f t="shared" si="1"/>
        <v>=312*'Maximizing Profit'!$BY$4</v>
      </c>
      <c r="BG13" t="str">
        <f t="shared" si="1"/>
        <v>=275*'Maximizing Profit'!$BY$4</v>
      </c>
      <c r="BH13" t="str">
        <f t="shared" si="1"/>
        <v>=242*'Maximizing Profit'!$BY$4</v>
      </c>
      <c r="BI13" t="str">
        <f t="shared" si="1"/>
        <v>=213*'Maximizing Profit'!$BY$4</v>
      </c>
      <c r="BJ13" t="str">
        <f t="shared" si="1"/>
        <v>=187*'Maximizing Profit'!$BY$4</v>
      </c>
      <c r="BK13" t="str">
        <f t="shared" si="1"/>
        <v>=165*'Maximizing Profit'!$BY$4</v>
      </c>
      <c r="BL13" t="str">
        <f t="shared" si="1"/>
        <v>=145*'Maximizing Profit'!$BY$4</v>
      </c>
      <c r="BM13" t="str">
        <f t="shared" si="7"/>
        <v>=128*'Maximizing Profit'!$BY$4</v>
      </c>
      <c r="BN13" t="str">
        <f t="shared" si="2"/>
        <v>=113*'Maximizing Profit'!$BY$4</v>
      </c>
      <c r="BO13" t="str">
        <f t="shared" si="3"/>
        <v>=*'Maximizing Profit'!$BY$4</v>
      </c>
      <c r="BP13" t="str">
        <f t="shared" si="4"/>
        <v>==670*'Maximizing Profit'!$BY$4*'Maximizing Profit'!$BY$4</v>
      </c>
      <c r="BQ13" t="str">
        <f t="shared" si="5"/>
        <v>==590*'Maximizing Profit'!$BY$4*'Maximizing Profit'!$BY$4</v>
      </c>
    </row>
    <row r="14" spans="2:69">
      <c r="B14">
        <v>37</v>
      </c>
      <c r="C14" t="s">
        <v>64</v>
      </c>
      <c r="D14" t="s">
        <v>11</v>
      </c>
      <c r="E14" t="s">
        <v>20</v>
      </c>
      <c r="F14">
        <f>1670*'Maximizing Profit'!$BY$3</f>
        <v>1670</v>
      </c>
      <c r="G14">
        <f>1470*'Maximizing Profit'!$BY$3</f>
        <v>1470</v>
      </c>
      <c r="H14">
        <f>1294*'Maximizing Profit'!$BY$3</f>
        <v>1294</v>
      </c>
      <c r="I14">
        <f>1139*'Maximizing Profit'!$BY$3</f>
        <v>1139</v>
      </c>
      <c r="J14">
        <f>1002*'Maximizing Profit'!$BY$3</f>
        <v>1002</v>
      </c>
      <c r="K14">
        <f>882*'Maximizing Profit'!$BY$3</f>
        <v>882</v>
      </c>
      <c r="L14">
        <f>776*'Maximizing Profit'!$BY$3</f>
        <v>776</v>
      </c>
      <c r="M14">
        <f>683*'Maximizing Profit'!$BY$3</f>
        <v>683</v>
      </c>
      <c r="N14">
        <f>601*'Maximizing Profit'!$BY$3</f>
        <v>601</v>
      </c>
      <c r="O14">
        <f>529*'Maximizing Profit'!$BY$3</f>
        <v>529</v>
      </c>
      <c r="P14">
        <f>466*'Maximizing Profit'!$BY$3</f>
        <v>466</v>
      </c>
      <c r="Q14">
        <f>410*'Maximizing Profit'!$BY$3</f>
        <v>410</v>
      </c>
      <c r="R14">
        <f>361*'Maximizing Profit'!$BY$3</f>
        <v>361</v>
      </c>
      <c r="S14">
        <f>318*'Maximizing Profit'!$BY$3</f>
        <v>318</v>
      </c>
      <c r="T14">
        <f>280*'Maximizing Profit'!$BY$3</f>
        <v>280</v>
      </c>
      <c r="W14" s="6">
        <v>0.42057259569774602</v>
      </c>
      <c r="Y14">
        <f t="shared" si="0"/>
        <v>6.818085698719166</v>
      </c>
      <c r="AJ14">
        <v>1210</v>
      </c>
      <c r="AK14">
        <v>1065</v>
      </c>
      <c r="AL14">
        <v>937</v>
      </c>
      <c r="AM14">
        <v>825</v>
      </c>
      <c r="AN14">
        <v>726</v>
      </c>
      <c r="AO14">
        <v>639</v>
      </c>
      <c r="AP14">
        <v>562</v>
      </c>
      <c r="AQ14">
        <v>495</v>
      </c>
      <c r="AR14">
        <v>436</v>
      </c>
      <c r="AS14">
        <v>384</v>
      </c>
      <c r="AT14">
        <v>338</v>
      </c>
      <c r="AU14">
        <v>297</v>
      </c>
      <c r="AV14">
        <v>261</v>
      </c>
      <c r="AW14">
        <v>230</v>
      </c>
      <c r="AX14">
        <v>202</v>
      </c>
      <c r="AZ14" t="str">
        <f t="shared" si="6"/>
        <v>=1210*'Maximizing Profit'!$BY$4</v>
      </c>
      <c r="BA14" t="str">
        <f t="shared" si="1"/>
        <v>=1065*'Maximizing Profit'!$BY$4</v>
      </c>
      <c r="BB14" t="str">
        <f t="shared" si="1"/>
        <v>=937*'Maximizing Profit'!$BY$4</v>
      </c>
      <c r="BC14" t="str">
        <f t="shared" si="1"/>
        <v>=825*'Maximizing Profit'!$BY$4</v>
      </c>
      <c r="BD14" t="str">
        <f t="shared" si="1"/>
        <v>=726*'Maximizing Profit'!$BY$4</v>
      </c>
      <c r="BE14" t="str">
        <f t="shared" si="1"/>
        <v>=639*'Maximizing Profit'!$BY$4</v>
      </c>
      <c r="BF14" t="str">
        <f t="shared" si="1"/>
        <v>=562*'Maximizing Profit'!$BY$4</v>
      </c>
      <c r="BG14" t="str">
        <f t="shared" si="1"/>
        <v>=495*'Maximizing Profit'!$BY$4</v>
      </c>
      <c r="BH14" t="str">
        <f t="shared" si="1"/>
        <v>=436*'Maximizing Profit'!$BY$4</v>
      </c>
      <c r="BI14" t="str">
        <f t="shared" si="1"/>
        <v>=384*'Maximizing Profit'!$BY$4</v>
      </c>
      <c r="BJ14" t="str">
        <f t="shared" si="1"/>
        <v>=338*'Maximizing Profit'!$BY$4</v>
      </c>
      <c r="BK14" t="str">
        <f t="shared" si="1"/>
        <v>=297*'Maximizing Profit'!$BY$4</v>
      </c>
      <c r="BL14" t="str">
        <f t="shared" si="1"/>
        <v>=261*'Maximizing Profit'!$BY$4</v>
      </c>
      <c r="BM14" t="str">
        <f t="shared" si="7"/>
        <v>=230*'Maximizing Profit'!$BY$4</v>
      </c>
      <c r="BN14" t="str">
        <f t="shared" si="2"/>
        <v>=202*'Maximizing Profit'!$BY$4</v>
      </c>
      <c r="BO14" t="str">
        <f t="shared" si="3"/>
        <v>=*'Maximizing Profit'!$BY$4</v>
      </c>
      <c r="BP14" t="str">
        <f t="shared" si="4"/>
        <v>==1210*'Maximizing Profit'!$BY$4*'Maximizing Profit'!$BY$4</v>
      </c>
      <c r="BQ14" t="str">
        <f t="shared" si="5"/>
        <v>==1065*'Maximizing Profit'!$BY$4*'Maximizing Profit'!$BY$4</v>
      </c>
    </row>
    <row r="15" spans="2:69">
      <c r="B15">
        <v>40</v>
      </c>
      <c r="C15" t="s">
        <v>64</v>
      </c>
      <c r="D15" t="s">
        <v>11</v>
      </c>
      <c r="E15" t="s">
        <v>20</v>
      </c>
      <c r="F15">
        <f>2150*'Maximizing Profit'!$BY$3</f>
        <v>2150</v>
      </c>
      <c r="G15">
        <f>1935*'Maximizing Profit'!$BY$3</f>
        <v>1935</v>
      </c>
      <c r="H15">
        <f>1742*'Maximizing Profit'!$BY$3</f>
        <v>1742</v>
      </c>
      <c r="I15">
        <f>1568*'Maximizing Profit'!$BY$3</f>
        <v>1568</v>
      </c>
      <c r="J15">
        <f>1411*'Maximizing Profit'!$BY$3</f>
        <v>1411</v>
      </c>
      <c r="K15">
        <f>1270*'Maximizing Profit'!$BY$3</f>
        <v>1270</v>
      </c>
      <c r="L15">
        <f>1143*'Maximizing Profit'!$BY$3</f>
        <v>1143</v>
      </c>
      <c r="M15">
        <f>1029*'Maximizing Profit'!$BY$3</f>
        <v>1029</v>
      </c>
      <c r="N15">
        <f>926*'Maximizing Profit'!$BY$3</f>
        <v>926</v>
      </c>
      <c r="O15">
        <f>833*'Maximizing Profit'!$BY$3</f>
        <v>833</v>
      </c>
      <c r="P15">
        <f>750*'Maximizing Profit'!$BY$3</f>
        <v>750</v>
      </c>
      <c r="Q15">
        <f>675*'Maximizing Profit'!$BY$3</f>
        <v>675</v>
      </c>
      <c r="R15">
        <f>608*'Maximizing Profit'!$BY$3</f>
        <v>608</v>
      </c>
      <c r="S15">
        <f>547*'Maximizing Profit'!$BY$3</f>
        <v>547</v>
      </c>
      <c r="T15">
        <f>492*'Maximizing Profit'!$BY$3</f>
        <v>492</v>
      </c>
      <c r="W15" s="6">
        <v>0.49153846100540061</v>
      </c>
      <c r="Y15">
        <f t="shared" si="0"/>
        <v>5.8337245759665883</v>
      </c>
      <c r="AJ15">
        <v>1670</v>
      </c>
      <c r="AK15">
        <v>1470</v>
      </c>
      <c r="AL15">
        <v>1294</v>
      </c>
      <c r="AM15">
        <v>1139</v>
      </c>
      <c r="AN15">
        <v>1002</v>
      </c>
      <c r="AO15">
        <v>882</v>
      </c>
      <c r="AP15">
        <v>776</v>
      </c>
      <c r="AQ15">
        <v>683</v>
      </c>
      <c r="AR15">
        <v>601</v>
      </c>
      <c r="AS15">
        <v>529</v>
      </c>
      <c r="AT15">
        <v>466</v>
      </c>
      <c r="AU15">
        <v>410</v>
      </c>
      <c r="AV15">
        <v>361</v>
      </c>
      <c r="AW15">
        <v>318</v>
      </c>
      <c r="AX15">
        <v>280</v>
      </c>
      <c r="AZ15" t="str">
        <f t="shared" si="6"/>
        <v>=1670*'Maximizing Profit'!$BY$4</v>
      </c>
      <c r="BA15" t="str">
        <f t="shared" si="1"/>
        <v>=1470*'Maximizing Profit'!$BY$4</v>
      </c>
      <c r="BB15" t="str">
        <f t="shared" si="1"/>
        <v>=1294*'Maximizing Profit'!$BY$4</v>
      </c>
      <c r="BC15" t="str">
        <f t="shared" si="1"/>
        <v>=1139*'Maximizing Profit'!$BY$4</v>
      </c>
      <c r="BD15" t="str">
        <f t="shared" si="1"/>
        <v>=1002*'Maximizing Profit'!$BY$4</v>
      </c>
      <c r="BE15" t="str">
        <f t="shared" si="1"/>
        <v>=882*'Maximizing Profit'!$BY$4</v>
      </c>
      <c r="BF15" t="str">
        <f t="shared" si="1"/>
        <v>=776*'Maximizing Profit'!$BY$4</v>
      </c>
      <c r="BG15" t="str">
        <f t="shared" si="1"/>
        <v>=683*'Maximizing Profit'!$BY$4</v>
      </c>
      <c r="BH15" t="str">
        <f t="shared" si="1"/>
        <v>=601*'Maximizing Profit'!$BY$4</v>
      </c>
      <c r="BI15" t="str">
        <f t="shared" si="1"/>
        <v>=529*'Maximizing Profit'!$BY$4</v>
      </c>
      <c r="BJ15" t="str">
        <f t="shared" si="1"/>
        <v>=466*'Maximizing Profit'!$BY$4</v>
      </c>
      <c r="BK15" t="str">
        <f t="shared" si="1"/>
        <v>=410*'Maximizing Profit'!$BY$4</v>
      </c>
      <c r="BL15" t="str">
        <f t="shared" si="1"/>
        <v>=361*'Maximizing Profit'!$BY$4</v>
      </c>
      <c r="BM15" t="str">
        <f t="shared" si="7"/>
        <v>=318*'Maximizing Profit'!$BY$4</v>
      </c>
      <c r="BN15" t="str">
        <f t="shared" si="2"/>
        <v>=280*'Maximizing Profit'!$BY$4</v>
      </c>
      <c r="BO15" t="str">
        <f t="shared" si="3"/>
        <v>=*'Maximizing Profit'!$BY$4</v>
      </c>
      <c r="BP15" t="str">
        <f t="shared" si="4"/>
        <v>==1670*'Maximizing Profit'!$BY$4*'Maximizing Profit'!$BY$4</v>
      </c>
      <c r="BQ15" t="str">
        <f t="shared" si="5"/>
        <v>==1470*'Maximizing Profit'!$BY$4*'Maximizing Profit'!$BY$4</v>
      </c>
    </row>
    <row r="16" spans="2:69">
      <c r="B16">
        <v>43</v>
      </c>
      <c r="C16" t="s">
        <v>64</v>
      </c>
      <c r="D16" t="s">
        <v>11</v>
      </c>
      <c r="E16" t="s">
        <v>20</v>
      </c>
      <c r="F16">
        <f>2460*'Maximizing Profit'!$BY$3</f>
        <v>2460</v>
      </c>
      <c r="G16">
        <f>2214*'Maximizing Profit'!$BY$3</f>
        <v>2214</v>
      </c>
      <c r="H16">
        <f>1993*'Maximizing Profit'!$BY$3</f>
        <v>1993</v>
      </c>
      <c r="I16">
        <f>1794*'Maximizing Profit'!$BY$3</f>
        <v>1794</v>
      </c>
      <c r="J16">
        <f>1615*'Maximizing Profit'!$BY$3</f>
        <v>1615</v>
      </c>
      <c r="K16">
        <f>1454*'Maximizing Profit'!$BY$3</f>
        <v>1454</v>
      </c>
      <c r="L16">
        <f>1309*'Maximizing Profit'!$BY$3</f>
        <v>1309</v>
      </c>
      <c r="M16">
        <f>1178*'Maximizing Profit'!$BY$3</f>
        <v>1178</v>
      </c>
      <c r="N16">
        <f>1060*'Maximizing Profit'!$BY$3</f>
        <v>1060</v>
      </c>
      <c r="O16">
        <f>954*'Maximizing Profit'!$BY$3</f>
        <v>954</v>
      </c>
      <c r="P16">
        <f>859*'Maximizing Profit'!$BY$3</f>
        <v>859</v>
      </c>
      <c r="Q16">
        <f>773*'Maximizing Profit'!$BY$3</f>
        <v>773</v>
      </c>
      <c r="R16">
        <f>696*'Maximizing Profit'!$BY$3</f>
        <v>696</v>
      </c>
      <c r="S16">
        <f>626*'Maximizing Profit'!$BY$3</f>
        <v>626</v>
      </c>
      <c r="T16">
        <f>563*'Maximizing Profit'!$BY$3</f>
        <v>563</v>
      </c>
      <c r="W16" s="6">
        <v>0.56803413399936631</v>
      </c>
      <c r="Y16">
        <f t="shared" si="0"/>
        <v>5.0481121263096469</v>
      </c>
      <c r="AJ16">
        <v>2150</v>
      </c>
      <c r="AK16">
        <v>1935</v>
      </c>
      <c r="AL16">
        <v>1742</v>
      </c>
      <c r="AM16">
        <v>1568</v>
      </c>
      <c r="AN16">
        <v>1411</v>
      </c>
      <c r="AO16">
        <v>1270</v>
      </c>
      <c r="AP16">
        <v>1143</v>
      </c>
      <c r="AQ16">
        <v>1029</v>
      </c>
      <c r="AR16">
        <v>926</v>
      </c>
      <c r="AS16">
        <v>833</v>
      </c>
      <c r="AT16">
        <v>750</v>
      </c>
      <c r="AU16">
        <v>675</v>
      </c>
      <c r="AV16">
        <v>608</v>
      </c>
      <c r="AW16">
        <v>547</v>
      </c>
      <c r="AX16">
        <v>492</v>
      </c>
      <c r="AZ16" t="str">
        <f t="shared" si="6"/>
        <v>=2150*'Maximizing Profit'!$BY$4</v>
      </c>
      <c r="BA16" t="str">
        <f t="shared" si="1"/>
        <v>=1935*'Maximizing Profit'!$BY$4</v>
      </c>
      <c r="BB16" t="str">
        <f t="shared" si="1"/>
        <v>=1742*'Maximizing Profit'!$BY$4</v>
      </c>
      <c r="BC16" t="str">
        <f t="shared" si="1"/>
        <v>=1568*'Maximizing Profit'!$BY$4</v>
      </c>
      <c r="BD16" t="str">
        <f t="shared" si="1"/>
        <v>=1411*'Maximizing Profit'!$BY$4</v>
      </c>
      <c r="BE16" t="str">
        <f t="shared" si="1"/>
        <v>=1270*'Maximizing Profit'!$BY$4</v>
      </c>
      <c r="BF16" t="str">
        <f t="shared" si="1"/>
        <v>=1143*'Maximizing Profit'!$BY$4</v>
      </c>
      <c r="BG16" t="str">
        <f t="shared" si="1"/>
        <v>=1029*'Maximizing Profit'!$BY$4</v>
      </c>
      <c r="BH16" t="str">
        <f t="shared" si="1"/>
        <v>=926*'Maximizing Profit'!$BY$4</v>
      </c>
      <c r="BI16" t="str">
        <f t="shared" si="1"/>
        <v>=833*'Maximizing Profit'!$BY$4</v>
      </c>
      <c r="BJ16" t="str">
        <f t="shared" si="1"/>
        <v>=750*'Maximizing Profit'!$BY$4</v>
      </c>
      <c r="BK16" t="str">
        <f t="shared" si="1"/>
        <v>=675*'Maximizing Profit'!$BY$4</v>
      </c>
      <c r="BL16" t="str">
        <f t="shared" si="1"/>
        <v>=608*'Maximizing Profit'!$BY$4</v>
      </c>
      <c r="BM16" t="str">
        <f t="shared" si="7"/>
        <v>=547*'Maximizing Profit'!$BY$4</v>
      </c>
      <c r="BN16" t="str">
        <f t="shared" si="2"/>
        <v>=492*'Maximizing Profit'!$BY$4</v>
      </c>
      <c r="BO16" t="str">
        <f t="shared" si="3"/>
        <v>=*'Maximizing Profit'!$BY$4</v>
      </c>
      <c r="BP16" t="str">
        <f t="shared" si="4"/>
        <v>==2150*'Maximizing Profit'!$BY$4*'Maximizing Profit'!$BY$4</v>
      </c>
      <c r="BQ16" t="str">
        <f t="shared" si="5"/>
        <v>==1935*'Maximizing Profit'!$BY$4*'Maximizing Profit'!$BY$4</v>
      </c>
    </row>
    <row r="17" spans="2:69">
      <c r="W17" s="6"/>
      <c r="AJ17">
        <v>2460</v>
      </c>
      <c r="AK17">
        <v>2214</v>
      </c>
      <c r="AL17">
        <v>1993</v>
      </c>
      <c r="AM17">
        <v>1794</v>
      </c>
      <c r="AN17">
        <v>1615</v>
      </c>
      <c r="AO17">
        <v>1454</v>
      </c>
      <c r="AP17">
        <v>1309</v>
      </c>
      <c r="AQ17">
        <v>1178</v>
      </c>
      <c r="AR17">
        <v>1060</v>
      </c>
      <c r="AS17">
        <v>954</v>
      </c>
      <c r="AT17">
        <v>859</v>
      </c>
      <c r="AU17">
        <v>773</v>
      </c>
      <c r="AV17">
        <v>696</v>
      </c>
      <c r="AW17">
        <v>626</v>
      </c>
      <c r="AX17">
        <v>563</v>
      </c>
      <c r="AZ17" t="str">
        <f t="shared" si="6"/>
        <v>=2460*'Maximizing Profit'!$BY$4</v>
      </c>
      <c r="BA17" t="str">
        <f t="shared" si="1"/>
        <v>=2214*'Maximizing Profit'!$BY$4</v>
      </c>
      <c r="BB17" t="str">
        <f t="shared" si="1"/>
        <v>=1993*'Maximizing Profit'!$BY$4</v>
      </c>
      <c r="BC17" t="str">
        <f t="shared" si="1"/>
        <v>=1794*'Maximizing Profit'!$BY$4</v>
      </c>
      <c r="BD17" t="str">
        <f t="shared" si="1"/>
        <v>=1615*'Maximizing Profit'!$BY$4</v>
      </c>
      <c r="BE17" t="str">
        <f t="shared" si="1"/>
        <v>=1454*'Maximizing Profit'!$BY$4</v>
      </c>
      <c r="BF17" t="str">
        <f t="shared" si="1"/>
        <v>=1309*'Maximizing Profit'!$BY$4</v>
      </c>
      <c r="BG17" t="str">
        <f t="shared" si="1"/>
        <v>=1178*'Maximizing Profit'!$BY$4</v>
      </c>
      <c r="BH17" t="str">
        <f t="shared" si="1"/>
        <v>=1060*'Maximizing Profit'!$BY$4</v>
      </c>
      <c r="BI17" t="str">
        <f t="shared" si="1"/>
        <v>=954*'Maximizing Profit'!$BY$4</v>
      </c>
      <c r="BJ17" t="str">
        <f t="shared" si="1"/>
        <v>=859*'Maximizing Profit'!$BY$4</v>
      </c>
      <c r="BK17" t="str">
        <f t="shared" si="1"/>
        <v>=773*'Maximizing Profit'!$BY$4</v>
      </c>
      <c r="BL17" t="str">
        <f t="shared" si="1"/>
        <v>=696*'Maximizing Profit'!$BY$4</v>
      </c>
      <c r="BM17" t="str">
        <f t="shared" si="7"/>
        <v>=626*'Maximizing Profit'!$BY$4</v>
      </c>
      <c r="BN17" t="str">
        <f t="shared" si="2"/>
        <v>=563*'Maximizing Profit'!$BY$4</v>
      </c>
      <c r="BO17" t="str">
        <f t="shared" si="3"/>
        <v>=*'Maximizing Profit'!$BY$4</v>
      </c>
      <c r="BP17" t="str">
        <f t="shared" si="4"/>
        <v>==2460*'Maximizing Profit'!$BY$4*'Maximizing Profit'!$BY$4</v>
      </c>
      <c r="BQ17" t="str">
        <f t="shared" si="5"/>
        <v>==2214*'Maximizing Profit'!$BY$4*'Maximizing Profit'!$BY$4</v>
      </c>
    </row>
    <row r="18" spans="2:69">
      <c r="H18">
        <v>2005</v>
      </c>
      <c r="I18">
        <v>2006</v>
      </c>
      <c r="J18">
        <v>2007</v>
      </c>
      <c r="K18">
        <v>2008</v>
      </c>
      <c r="L18">
        <v>2009</v>
      </c>
      <c r="M18">
        <v>2010</v>
      </c>
      <c r="N18">
        <v>2011</v>
      </c>
      <c r="O18">
        <v>2012</v>
      </c>
      <c r="P18">
        <v>2013</v>
      </c>
      <c r="Q18">
        <v>2014</v>
      </c>
      <c r="R18">
        <v>2015</v>
      </c>
      <c r="S18">
        <v>2016</v>
      </c>
      <c r="T18">
        <v>2017</v>
      </c>
      <c r="W18" s="6"/>
      <c r="AJ18" t="str">
        <f t="shared" ref="AJ18:AJ24" si="8">CONCATENATE($AJ$5,F17)</f>
        <v>=</v>
      </c>
      <c r="AK18" t="s">
        <v>130</v>
      </c>
    </row>
    <row r="19" spans="2:69">
      <c r="G19" t="s">
        <v>5</v>
      </c>
      <c r="H19" s="9">
        <f>AVERAGE(H5:H6)</f>
        <v>97.5</v>
      </c>
      <c r="I19" s="9">
        <f t="shared" ref="I19:T19" si="9">AVERAGE(I5:I6)</f>
        <v>77.5</v>
      </c>
      <c r="J19" s="9">
        <f t="shared" si="9"/>
        <v>62.5</v>
      </c>
      <c r="K19" s="9">
        <f t="shared" si="9"/>
        <v>49.5</v>
      </c>
      <c r="L19" s="9">
        <f t="shared" si="9"/>
        <v>40</v>
      </c>
      <c r="M19" s="9">
        <f t="shared" si="9"/>
        <v>32</v>
      </c>
      <c r="N19" s="9">
        <f t="shared" si="9"/>
        <v>25.5</v>
      </c>
      <c r="O19" s="9">
        <f t="shared" si="9"/>
        <v>20.5</v>
      </c>
      <c r="P19" s="9">
        <f t="shared" si="9"/>
        <v>16</v>
      </c>
      <c r="Q19" s="9">
        <f t="shared" si="9"/>
        <v>12.5</v>
      </c>
      <c r="R19" s="9">
        <f t="shared" si="9"/>
        <v>10</v>
      </c>
      <c r="S19" s="9">
        <f t="shared" si="9"/>
        <v>8.5</v>
      </c>
      <c r="T19" s="9">
        <f t="shared" si="9"/>
        <v>7</v>
      </c>
      <c r="U19" s="9">
        <f>T19/H19</f>
        <v>7.179487179487179E-2</v>
      </c>
      <c r="W19" s="6"/>
      <c r="AJ19" t="str">
        <f t="shared" si="8"/>
        <v>=</v>
      </c>
    </row>
    <row r="20" spans="2:69">
      <c r="G20" t="s">
        <v>7</v>
      </c>
      <c r="H20" s="9">
        <f>AVERAGE(H7:H9)</f>
        <v>255.33333333333334</v>
      </c>
      <c r="I20" s="9">
        <f t="shared" ref="I20:T20" si="10">AVERAGE(I7:I9)</f>
        <v>217</v>
      </c>
      <c r="J20" s="9">
        <f t="shared" si="10"/>
        <v>184.33333333333334</v>
      </c>
      <c r="K20" s="9">
        <f t="shared" si="10"/>
        <v>156.33333333333334</v>
      </c>
      <c r="L20" s="9">
        <f t="shared" si="10"/>
        <v>132.66666666666666</v>
      </c>
      <c r="M20" s="9">
        <f t="shared" si="10"/>
        <v>113</v>
      </c>
      <c r="N20" s="9">
        <f t="shared" si="10"/>
        <v>95.666666666666671</v>
      </c>
      <c r="O20" s="9">
        <f t="shared" si="10"/>
        <v>81</v>
      </c>
      <c r="P20" s="9">
        <f t="shared" si="10"/>
        <v>69.666666666666671</v>
      </c>
      <c r="Q20" s="9">
        <f t="shared" si="10"/>
        <v>59.333333333333336</v>
      </c>
      <c r="R20" s="9">
        <f t="shared" si="10"/>
        <v>50.666666666666664</v>
      </c>
      <c r="S20" s="9">
        <f t="shared" si="10"/>
        <v>43</v>
      </c>
      <c r="T20" s="9">
        <f t="shared" si="10"/>
        <v>36.666666666666664</v>
      </c>
      <c r="U20" s="9">
        <f>T20/H20</f>
        <v>0.14360313315926893</v>
      </c>
      <c r="W20" s="6"/>
      <c r="AJ20" t="str">
        <f t="shared" si="8"/>
        <v>=</v>
      </c>
    </row>
    <row r="21" spans="2:69">
      <c r="G21" t="s">
        <v>11</v>
      </c>
      <c r="H21" s="9">
        <f>AVERAGE(H10:H16)</f>
        <v>1036.4285714285713</v>
      </c>
      <c r="I21" s="9">
        <f t="shared" ref="I21:T21" si="11">AVERAGE(I10:I16)</f>
        <v>923</v>
      </c>
      <c r="J21" s="9">
        <f t="shared" si="11"/>
        <v>821.71428571428567</v>
      </c>
      <c r="K21" s="9">
        <f t="shared" si="11"/>
        <v>732</v>
      </c>
      <c r="L21" s="9">
        <f t="shared" si="11"/>
        <v>651.85714285714289</v>
      </c>
      <c r="M21" s="9">
        <f t="shared" si="11"/>
        <v>580.71428571428567</v>
      </c>
      <c r="N21" s="9">
        <f t="shared" si="11"/>
        <v>517.42857142857144</v>
      </c>
      <c r="O21" s="9">
        <f t="shared" si="11"/>
        <v>461</v>
      </c>
      <c r="P21" s="9">
        <f t="shared" si="11"/>
        <v>411</v>
      </c>
      <c r="Q21" s="9">
        <f t="shared" si="11"/>
        <v>366.28571428571428</v>
      </c>
      <c r="R21" s="9">
        <f t="shared" si="11"/>
        <v>326.57142857142856</v>
      </c>
      <c r="S21" s="9">
        <f t="shared" si="11"/>
        <v>291.14285714285717</v>
      </c>
      <c r="T21" s="9">
        <f t="shared" si="11"/>
        <v>259.42857142857144</v>
      </c>
      <c r="U21" s="9">
        <f>T21/H21</f>
        <v>0.25031013094417648</v>
      </c>
      <c r="W21" s="6"/>
      <c r="AJ21" t="str">
        <f t="shared" si="8"/>
        <v>=</v>
      </c>
    </row>
    <row r="22" spans="2:69">
      <c r="W22" s="6"/>
      <c r="AJ22" t="str">
        <f t="shared" si="8"/>
        <v>=</v>
      </c>
    </row>
    <row r="23" spans="2:69">
      <c r="W23" s="6"/>
      <c r="AJ23" t="str">
        <f t="shared" si="8"/>
        <v>=</v>
      </c>
      <c r="AN23" t="s">
        <v>85</v>
      </c>
    </row>
    <row r="24" spans="2:69">
      <c r="W24" s="6"/>
      <c r="AJ24" t="str">
        <f t="shared" si="8"/>
        <v>=</v>
      </c>
    </row>
    <row r="25" spans="2:69">
      <c r="W25" s="6"/>
    </row>
    <row r="26" spans="2:69">
      <c r="W26" s="6"/>
    </row>
    <row r="27" spans="2:69" ht="30" customHeight="1"/>
    <row r="28" spans="2:69">
      <c r="B28" t="s">
        <v>42</v>
      </c>
    </row>
    <row r="29" spans="2:69">
      <c r="B29" t="s">
        <v>43</v>
      </c>
    </row>
    <row r="30" spans="2:69">
      <c r="AN30">
        <v>2005</v>
      </c>
      <c r="AO30">
        <v>2006</v>
      </c>
      <c r="AP30">
        <v>2007</v>
      </c>
      <c r="AQ30">
        <v>2008</v>
      </c>
      <c r="AR30">
        <v>2009</v>
      </c>
      <c r="AS30">
        <v>2010</v>
      </c>
      <c r="AT30">
        <v>2011</v>
      </c>
      <c r="AU30">
        <v>2012</v>
      </c>
      <c r="AV30">
        <v>2013</v>
      </c>
      <c r="AW30">
        <v>2015</v>
      </c>
      <c r="AX30">
        <v>2016</v>
      </c>
      <c r="AY30">
        <v>2017</v>
      </c>
    </row>
    <row r="31" spans="2:69">
      <c r="D31" t="s">
        <v>75</v>
      </c>
      <c r="G31" t="s">
        <v>5</v>
      </c>
      <c r="H31">
        <f>H5*Costs!G19</f>
        <v>63.75</v>
      </c>
      <c r="I31">
        <f>I5*Costs!H19</f>
        <v>53.6</v>
      </c>
      <c r="J31">
        <f>J5*Costs!I19</f>
        <v>45.9</v>
      </c>
      <c r="K31">
        <f>K5*Costs!J19</f>
        <v>38.700000000000003</v>
      </c>
      <c r="L31">
        <f>L5*Costs!K19</f>
        <v>33.25</v>
      </c>
      <c r="M31">
        <f>M5*Costs!L19</f>
        <v>26.599999999999998</v>
      </c>
      <c r="N31">
        <f>N5*Costs!M19</f>
        <v>20.9</v>
      </c>
      <c r="O31">
        <f>O5*Costs!N19</f>
        <v>17.099999999999998</v>
      </c>
      <c r="P31">
        <f>P5*Costs!O19</f>
        <v>13.299999999999999</v>
      </c>
      <c r="Q31">
        <f>Q5*Costs!P19</f>
        <v>10.45</v>
      </c>
      <c r="R31">
        <f>R5*Costs!Q19</f>
        <v>8.5499999999999989</v>
      </c>
      <c r="S31">
        <f>S5*Costs!R19</f>
        <v>6.6499999999999995</v>
      </c>
      <c r="T31">
        <f>T5*Costs!S19</f>
        <v>5.6999999999999993</v>
      </c>
      <c r="X31" t="s">
        <v>5</v>
      </c>
      <c r="Y31">
        <f>AVERAGE(H31:H32)</f>
        <v>73.125</v>
      </c>
      <c r="Z31">
        <f t="shared" ref="Z31:AK31" si="12">AVERAGE(I31:I32)</f>
        <v>62</v>
      </c>
      <c r="AA31">
        <f t="shared" si="12"/>
        <v>53.125</v>
      </c>
      <c r="AB31">
        <f t="shared" si="12"/>
        <v>44.55</v>
      </c>
      <c r="AC31">
        <f t="shared" si="12"/>
        <v>38</v>
      </c>
      <c r="AD31">
        <f t="shared" si="12"/>
        <v>30.4</v>
      </c>
      <c r="AE31">
        <f t="shared" si="12"/>
        <v>24.224999999999998</v>
      </c>
      <c r="AF31">
        <f t="shared" si="12"/>
        <v>19.474999999999998</v>
      </c>
      <c r="AG31">
        <f t="shared" si="12"/>
        <v>15.2</v>
      </c>
      <c r="AH31">
        <f t="shared" si="12"/>
        <v>11.875</v>
      </c>
      <c r="AI31">
        <f t="shared" si="12"/>
        <v>9.5</v>
      </c>
      <c r="AJ31">
        <f t="shared" si="12"/>
        <v>8.0749999999999993</v>
      </c>
      <c r="AK31">
        <f t="shared" si="12"/>
        <v>6.6499999999999995</v>
      </c>
      <c r="AL31">
        <f>AK31/Y31</f>
        <v>9.0940170940170928E-2</v>
      </c>
      <c r="AM31" t="s">
        <v>5</v>
      </c>
      <c r="AN31">
        <f t="shared" ref="AN31:AV31" si="13">Y31/$V$5</f>
        <v>1883.4912984569196</v>
      </c>
      <c r="AO31">
        <f t="shared" si="13"/>
        <v>1596.9430496318498</v>
      </c>
      <c r="AP31">
        <f t="shared" si="13"/>
        <v>1368.348379220839</v>
      </c>
      <c r="AQ31">
        <f t="shared" si="13"/>
        <v>1147.4808525983694</v>
      </c>
      <c r="AR31">
        <f t="shared" si="13"/>
        <v>978.77154654855315</v>
      </c>
      <c r="AS31">
        <f t="shared" si="13"/>
        <v>783.01723723884243</v>
      </c>
      <c r="AT31">
        <f t="shared" si="13"/>
        <v>623.96686092470259</v>
      </c>
      <c r="AU31">
        <f t="shared" si="13"/>
        <v>501.6204176061334</v>
      </c>
      <c r="AV31">
        <f t="shared" si="13"/>
        <v>391.50861861942121</v>
      </c>
      <c r="AW31">
        <f>AI31/$V$5</f>
        <v>244.69288663713829</v>
      </c>
      <c r="AX31">
        <f>AJ31/$V$5</f>
        <v>207.98895364156752</v>
      </c>
      <c r="AY31">
        <f>AK31/$V$5</f>
        <v>171.28502064599678</v>
      </c>
    </row>
    <row r="32" spans="2:69">
      <c r="G32" t="s">
        <v>5</v>
      </c>
      <c r="H32">
        <f>H6*Costs!G$19</f>
        <v>82.5</v>
      </c>
      <c r="I32">
        <f>I6*Costs!H$19</f>
        <v>70.400000000000006</v>
      </c>
      <c r="J32">
        <f>J6*Costs!I$19</f>
        <v>60.35</v>
      </c>
      <c r="K32">
        <f>K6*Costs!J$19</f>
        <v>50.4</v>
      </c>
      <c r="L32">
        <f>L6*Costs!K$19</f>
        <v>42.75</v>
      </c>
      <c r="M32">
        <f>M6*Costs!L$19</f>
        <v>34.199999999999996</v>
      </c>
      <c r="N32">
        <f>N6*Costs!M$19</f>
        <v>27.549999999999997</v>
      </c>
      <c r="O32">
        <f>O6*Costs!N$19</f>
        <v>21.849999999999998</v>
      </c>
      <c r="P32">
        <f>P6*Costs!O$19</f>
        <v>17.099999999999998</v>
      </c>
      <c r="Q32">
        <f>Q6*Costs!P$19</f>
        <v>13.299999999999999</v>
      </c>
      <c r="R32">
        <f>R6*Costs!Q$19</f>
        <v>10.45</v>
      </c>
      <c r="S32">
        <f>S6*Costs!R$19</f>
        <v>9.5</v>
      </c>
      <c r="T32">
        <f>T6*Costs!S$19</f>
        <v>7.6</v>
      </c>
      <c r="X32" t="s">
        <v>7</v>
      </c>
      <c r="Y32">
        <f>AVERAGE(H33:H35)</f>
        <v>178.73333333333332</v>
      </c>
      <c r="Z32">
        <f t="shared" ref="Z32:AK32" si="14">AVERAGE(I33:I35)</f>
        <v>162.75</v>
      </c>
      <c r="AA32">
        <f t="shared" si="14"/>
        <v>147.46666666666667</v>
      </c>
      <c r="AB32">
        <f t="shared" si="14"/>
        <v>132.88333333333333</v>
      </c>
      <c r="AC32">
        <f t="shared" si="14"/>
        <v>119.40000000000002</v>
      </c>
      <c r="AD32">
        <f t="shared" si="14"/>
        <v>107.35000000000001</v>
      </c>
      <c r="AE32">
        <f t="shared" si="14"/>
        <v>90.883333333333326</v>
      </c>
      <c r="AF32">
        <f t="shared" si="14"/>
        <v>76.95</v>
      </c>
      <c r="AG32">
        <f t="shared" si="14"/>
        <v>66.183333333333337</v>
      </c>
      <c r="AH32">
        <f t="shared" si="14"/>
        <v>56.366666666666653</v>
      </c>
      <c r="AI32">
        <f t="shared" si="14"/>
        <v>48.133333333333326</v>
      </c>
      <c r="AJ32">
        <f t="shared" si="14"/>
        <v>40.85</v>
      </c>
      <c r="AK32">
        <f t="shared" si="14"/>
        <v>34.833333333333336</v>
      </c>
      <c r="AL32">
        <f>AK32/Y32</f>
        <v>0.19488996643043643</v>
      </c>
      <c r="AM32" t="s">
        <v>7</v>
      </c>
      <c r="AN32">
        <f t="shared" ref="AN32:AV32" si="15">Y32/$V$7</f>
        <v>1383.943591624788</v>
      </c>
      <c r="AO32">
        <f t="shared" si="15"/>
        <v>1260.1836229220492</v>
      </c>
      <c r="AP32">
        <f t="shared" si="15"/>
        <v>1141.8437988340288</v>
      </c>
      <c r="AQ32">
        <f t="shared" si="15"/>
        <v>1028.9241193607268</v>
      </c>
      <c r="AR32">
        <f t="shared" si="15"/>
        <v>924.52180999626853</v>
      </c>
      <c r="AS32">
        <f t="shared" si="15"/>
        <v>831.21789198575721</v>
      </c>
      <c r="AT32">
        <f t="shared" si="15"/>
        <v>703.71544247761733</v>
      </c>
      <c r="AU32">
        <f t="shared" si="15"/>
        <v>595.8287544322684</v>
      </c>
      <c r="AV32">
        <f t="shared" si="15"/>
        <v>512.4617682154078</v>
      </c>
      <c r="AW32">
        <f>AI32/$V$7</f>
        <v>372.69946779302381</v>
      </c>
      <c r="AX32">
        <f>AJ32/$V$7</f>
        <v>316.30415358750054</v>
      </c>
      <c r="AY32">
        <f>AK32/$V$7</f>
        <v>269.71672011337256</v>
      </c>
    </row>
    <row r="33" spans="2:51">
      <c r="G33" t="s">
        <v>7</v>
      </c>
      <c r="H33">
        <f>H7*Costs!G$20</f>
        <v>123.19999999999999</v>
      </c>
      <c r="I33">
        <f>I7*Costs!H$20</f>
        <v>111.75</v>
      </c>
      <c r="J33">
        <f>J7*Costs!I$20</f>
        <v>101.60000000000001</v>
      </c>
      <c r="K33">
        <f>K7*Costs!J$20</f>
        <v>91.8</v>
      </c>
      <c r="L33">
        <f>L7*Costs!K$20</f>
        <v>81.900000000000006</v>
      </c>
      <c r="M33">
        <f>M7*Costs!L$20</f>
        <v>74.099999999999994</v>
      </c>
      <c r="N33">
        <f>N7*Costs!M$20</f>
        <v>62.699999999999996</v>
      </c>
      <c r="O33">
        <f>O7*Costs!N$20</f>
        <v>53.199999999999996</v>
      </c>
      <c r="P33">
        <f>P7*Costs!O$20</f>
        <v>45.599999999999994</v>
      </c>
      <c r="Q33">
        <f>Q7*Costs!P$20</f>
        <v>38.949999999999996</v>
      </c>
      <c r="R33">
        <f>R7*Costs!Q$20</f>
        <v>33.25</v>
      </c>
      <c r="S33">
        <f>S7*Costs!R$20</f>
        <v>28.5</v>
      </c>
      <c r="T33">
        <f>T7*Costs!S$20</f>
        <v>23.75</v>
      </c>
      <c r="X33" t="s">
        <v>11</v>
      </c>
      <c r="Y33">
        <f>AVERAGE(H36:H42)</f>
        <v>310.92857142857144</v>
      </c>
      <c r="Z33">
        <f t="shared" ref="Z33:AK33" si="16">AVERAGE(I36:I42)</f>
        <v>323.05</v>
      </c>
      <c r="AA33">
        <f t="shared" si="16"/>
        <v>328.68571428571431</v>
      </c>
      <c r="AB33">
        <f t="shared" si="16"/>
        <v>329.40000000000003</v>
      </c>
      <c r="AC33">
        <f t="shared" si="16"/>
        <v>325.92857142857144</v>
      </c>
      <c r="AD33">
        <f t="shared" si="16"/>
        <v>348.42857142857144</v>
      </c>
      <c r="AE33">
        <f t="shared" si="16"/>
        <v>362.2</v>
      </c>
      <c r="AF33">
        <f t="shared" si="16"/>
        <v>368.80000000000007</v>
      </c>
      <c r="AG33">
        <f t="shared" si="16"/>
        <v>328.80000000000007</v>
      </c>
      <c r="AH33">
        <f t="shared" si="16"/>
        <v>293.02857142857141</v>
      </c>
      <c r="AI33">
        <f t="shared" si="16"/>
        <v>261.25714285714287</v>
      </c>
      <c r="AJ33">
        <f t="shared" si="16"/>
        <v>232.91428571428568</v>
      </c>
      <c r="AK33">
        <f t="shared" si="16"/>
        <v>207.54285714285717</v>
      </c>
      <c r="AL33">
        <f>AK33/Y33</f>
        <v>0.66749368251780383</v>
      </c>
      <c r="AM33" t="s">
        <v>11</v>
      </c>
      <c r="AN33">
        <f t="shared" ref="AN33:AV33" si="17">Y33/$V$10</f>
        <v>945.98667326458974</v>
      </c>
      <c r="AO33">
        <f t="shared" si="17"/>
        <v>982.86559319406388</v>
      </c>
      <c r="AP33">
        <f t="shared" si="17"/>
        <v>1000.012009118846</v>
      </c>
      <c r="AQ33">
        <f t="shared" si="17"/>
        <v>1002.1851923792747</v>
      </c>
      <c r="AR33">
        <f t="shared" si="17"/>
        <v>991.62352173359136</v>
      </c>
      <c r="AS33">
        <f t="shared" si="17"/>
        <v>1060.0787944370936</v>
      </c>
      <c r="AT33">
        <f t="shared" si="17"/>
        <v>1101.977767698158</v>
      </c>
      <c r="AU33">
        <f t="shared" si="17"/>
        <v>1122.0579810245188</v>
      </c>
      <c r="AV33">
        <f t="shared" si="17"/>
        <v>1000.3597184405147</v>
      </c>
      <c r="AW33">
        <f>AI33/$V$10</f>
        <v>794.86350933438166</v>
      </c>
      <c r="AX33">
        <f>AJ33/$V$10</f>
        <v>708.63159756057291</v>
      </c>
      <c r="AY33">
        <f>AK33/$V$10</f>
        <v>631.44012815014753</v>
      </c>
    </row>
    <row r="34" spans="2:51">
      <c r="G34" t="s">
        <v>7</v>
      </c>
      <c r="H34">
        <f>H8*Costs!G$20</f>
        <v>119.69999999999999</v>
      </c>
      <c r="I34">
        <f>I8*Costs!H$20</f>
        <v>109.5</v>
      </c>
      <c r="J34">
        <f>J8*Costs!I$20</f>
        <v>99.2</v>
      </c>
      <c r="K34">
        <f>K8*Costs!J$20</f>
        <v>89.25</v>
      </c>
      <c r="L34">
        <f>L8*Costs!K$20</f>
        <v>80.100000000000009</v>
      </c>
      <c r="M34">
        <f>M8*Costs!L$20</f>
        <v>72.2</v>
      </c>
      <c r="N34">
        <f>N8*Costs!M$20</f>
        <v>60.8</v>
      </c>
      <c r="O34">
        <f>O8*Costs!N$20</f>
        <v>51.3</v>
      </c>
      <c r="P34">
        <f>P8*Costs!O$20</f>
        <v>44.65</v>
      </c>
      <c r="Q34">
        <f>Q8*Costs!P$20</f>
        <v>38</v>
      </c>
      <c r="R34">
        <f>R8*Costs!Q$20</f>
        <v>32.299999999999997</v>
      </c>
      <c r="S34">
        <f>S8*Costs!R$20</f>
        <v>27.549999999999997</v>
      </c>
      <c r="T34">
        <f>T8*Costs!S$20</f>
        <v>23.75</v>
      </c>
    </row>
    <row r="35" spans="2:51">
      <c r="G35" t="s">
        <v>7</v>
      </c>
      <c r="H35">
        <f>H9*Costs!G$20</f>
        <v>293.29999999999995</v>
      </c>
      <c r="I35">
        <f>I9*Costs!H$20</f>
        <v>267</v>
      </c>
      <c r="J35">
        <f>J9*Costs!I$20</f>
        <v>241.60000000000002</v>
      </c>
      <c r="K35">
        <f>K9*Costs!J$20</f>
        <v>217.6</v>
      </c>
      <c r="L35">
        <f>L9*Costs!K$20</f>
        <v>196.20000000000002</v>
      </c>
      <c r="M35">
        <f>M9*Costs!L$20</f>
        <v>175.75</v>
      </c>
      <c r="N35">
        <f>N9*Costs!M$20</f>
        <v>149.15</v>
      </c>
      <c r="O35">
        <f>O9*Costs!N$20</f>
        <v>126.35</v>
      </c>
      <c r="P35">
        <f>P9*Costs!O$20</f>
        <v>108.3</v>
      </c>
      <c r="Q35">
        <f>Q9*Costs!P$20</f>
        <v>92.149999999999991</v>
      </c>
      <c r="R35">
        <f>R9*Costs!Q$20</f>
        <v>78.849999999999994</v>
      </c>
      <c r="S35">
        <f>S9*Costs!R$20</f>
        <v>66.5</v>
      </c>
      <c r="T35">
        <f>T9*Costs!S$20</f>
        <v>57</v>
      </c>
      <c r="X35" t="s">
        <v>5</v>
      </c>
      <c r="Y35" s="4">
        <f>AVERAGE(H46:H47)</f>
        <v>32.495836349307098</v>
      </c>
      <c r="Z35" s="4">
        <f t="shared" ref="Z35:AK35" si="18">AVERAGE(I46:I47)</f>
        <v>30.399330778384062</v>
      </c>
      <c r="AA35" s="4">
        <f t="shared" si="18"/>
        <v>28.691066979854178</v>
      </c>
      <c r="AB35" s="4">
        <f t="shared" si="18"/>
        <v>26.788682295127721</v>
      </c>
      <c r="AC35" s="4">
        <f t="shared" si="18"/>
        <v>25.158066851076466</v>
      </c>
      <c r="AD35" s="4">
        <f t="shared" si="18"/>
        <v>23.372154698067952</v>
      </c>
      <c r="AE35" s="4">
        <f t="shared" si="18"/>
        <v>22.207429380888485</v>
      </c>
      <c r="AF35" s="4">
        <f t="shared" si="18"/>
        <v>20.732110645794496</v>
      </c>
      <c r="AG35" s="4">
        <f t="shared" si="18"/>
        <v>19.722682037572291</v>
      </c>
      <c r="AH35" s="4">
        <f t="shared" si="18"/>
        <v>18.519132543153511</v>
      </c>
      <c r="AI35" s="4">
        <f t="shared" si="18"/>
        <v>17.276758871495414</v>
      </c>
      <c r="AJ35" s="4">
        <f t="shared" si="18"/>
        <v>16.422626972230471</v>
      </c>
      <c r="AK35" s="4">
        <f t="shared" si="18"/>
        <v>15.413198364008267</v>
      </c>
      <c r="AL35" s="4"/>
      <c r="AN35">
        <v>837</v>
      </c>
      <c r="AO35">
        <v>783</v>
      </c>
      <c r="AP35">
        <v>739</v>
      </c>
      <c r="AQ35">
        <v>690</v>
      </c>
      <c r="AR35">
        <v>648</v>
      </c>
      <c r="AS35">
        <v>602</v>
      </c>
      <c r="AT35">
        <v>572</v>
      </c>
      <c r="AU35">
        <v>534</v>
      </c>
      <c r="AV35">
        <v>508</v>
      </c>
      <c r="AW35">
        <v>445</v>
      </c>
      <c r="AX35">
        <v>423</v>
      </c>
      <c r="AY35">
        <v>397</v>
      </c>
    </row>
    <row r="36" spans="2:51">
      <c r="G36" t="s">
        <v>11</v>
      </c>
      <c r="H36">
        <f>H10*Costs!G$21</f>
        <v>86.7</v>
      </c>
      <c r="I36">
        <f>I10*Costs!H$21</f>
        <v>89.25</v>
      </c>
      <c r="J36">
        <f>J10*Costs!I$21</f>
        <v>89.600000000000009</v>
      </c>
      <c r="K36">
        <f>K10*Costs!J$21</f>
        <v>88.65</v>
      </c>
      <c r="L36">
        <f>L10*Costs!K$21</f>
        <v>86.5</v>
      </c>
      <c r="M36">
        <f>M10*Costs!L$21</f>
        <v>91.2</v>
      </c>
      <c r="N36">
        <f>N10*Costs!M$21</f>
        <v>93.8</v>
      </c>
      <c r="O36">
        <f>O10*Costs!N$21</f>
        <v>94.4</v>
      </c>
      <c r="P36">
        <f>P10*Costs!O$21</f>
        <v>83.2</v>
      </c>
      <c r="Q36">
        <f>Q10*Costs!P$21</f>
        <v>72.8</v>
      </c>
      <c r="R36">
        <f>R10*Costs!Q$21</f>
        <v>64.8</v>
      </c>
      <c r="S36">
        <f>S10*Costs!R$21</f>
        <v>56.800000000000004</v>
      </c>
      <c r="T36">
        <f>T10*Costs!S$21</f>
        <v>49.6</v>
      </c>
      <c r="X36" t="s">
        <v>7</v>
      </c>
      <c r="Y36" s="4">
        <f>AVERAGE(H48:H50)</f>
        <v>108.09674679324588</v>
      </c>
      <c r="Z36" s="4">
        <f t="shared" ref="Z36:AK36" si="19">AVERAGE(I48:I50)</f>
        <v>101.12276312916549</v>
      </c>
      <c r="AA36" s="4">
        <f t="shared" si="19"/>
        <v>95.440257921396324</v>
      </c>
      <c r="AB36" s="4">
        <f t="shared" si="19"/>
        <v>89.112013485471536</v>
      </c>
      <c r="AC36" s="4">
        <f t="shared" si="19"/>
        <v>83.687803968964559</v>
      </c>
      <c r="AD36" s="4">
        <f t="shared" si="19"/>
        <v>77.747003069933115</v>
      </c>
      <c r="AE36" s="4">
        <f t="shared" si="19"/>
        <v>73.872567700999582</v>
      </c>
      <c r="AF36" s="4">
        <f t="shared" si="19"/>
        <v>68.964949567017086</v>
      </c>
      <c r="AG36" s="4">
        <f t="shared" si="19"/>
        <v>65.607105580608021</v>
      </c>
      <c r="AH36" s="4">
        <f t="shared" si="19"/>
        <v>61.603522366043343</v>
      </c>
      <c r="AI36" s="4">
        <f t="shared" si="19"/>
        <v>57.47079130584757</v>
      </c>
      <c r="AJ36" s="4">
        <f t="shared" si="19"/>
        <v>54.629538701962979</v>
      </c>
      <c r="AK36" s="4">
        <f t="shared" si="19"/>
        <v>51.271694715553906</v>
      </c>
      <c r="AL36" s="4"/>
      <c r="AN36">
        <v>2005</v>
      </c>
      <c r="AO36">
        <v>2006</v>
      </c>
      <c r="AP36">
        <v>2007</v>
      </c>
      <c r="AQ36">
        <v>2008</v>
      </c>
      <c r="AR36">
        <v>2009</v>
      </c>
      <c r="AS36">
        <v>2010</v>
      </c>
      <c r="AT36">
        <v>2011</v>
      </c>
      <c r="AU36">
        <v>2012</v>
      </c>
      <c r="AV36">
        <v>2013</v>
      </c>
      <c r="AW36">
        <v>2015</v>
      </c>
      <c r="AX36">
        <v>2016</v>
      </c>
      <c r="AY36">
        <v>2017</v>
      </c>
    </row>
    <row r="37" spans="2:51">
      <c r="G37" t="s">
        <v>11</v>
      </c>
      <c r="H37">
        <f>H11*Costs!G$21</f>
        <v>144.29999999999998</v>
      </c>
      <c r="I37">
        <f>I11*Costs!H$21</f>
        <v>148.04999999999998</v>
      </c>
      <c r="J37">
        <f>J11*Costs!I$21</f>
        <v>148.80000000000001</v>
      </c>
      <c r="K37">
        <f>K11*Costs!J$21</f>
        <v>147.6</v>
      </c>
      <c r="L37">
        <f>L11*Costs!K$21</f>
        <v>144</v>
      </c>
      <c r="M37">
        <f>M11*Costs!L$21</f>
        <v>151.79999999999998</v>
      </c>
      <c r="N37">
        <f>N11*Costs!M$21</f>
        <v>156.1</v>
      </c>
      <c r="O37">
        <f>O11*Costs!N$21</f>
        <v>156.80000000000001</v>
      </c>
      <c r="P37">
        <f>P11*Costs!O$21</f>
        <v>138.4</v>
      </c>
      <c r="Q37">
        <f>Q11*Costs!P$21</f>
        <v>122.4</v>
      </c>
      <c r="R37">
        <f>R11*Costs!Q$21</f>
        <v>107.2</v>
      </c>
      <c r="S37">
        <f>S11*Costs!R$21</f>
        <v>94.4</v>
      </c>
      <c r="T37">
        <f>T11*Costs!S$21</f>
        <v>83.2</v>
      </c>
      <c r="X37" t="s">
        <v>11</v>
      </c>
      <c r="Y37" s="4">
        <f>AVERAGE(H51:H57)</f>
        <v>275.10663906881899</v>
      </c>
      <c r="Z37" s="4">
        <f t="shared" ref="Z37:AK37" si="20">AVERAGE(I51:I57)</f>
        <v>257.35782364502427</v>
      </c>
      <c r="AA37" s="4">
        <f t="shared" si="20"/>
        <v>242.89582589230258</v>
      </c>
      <c r="AB37" s="4">
        <f t="shared" si="20"/>
        <v>226.79041930404432</v>
      </c>
      <c r="AC37" s="4">
        <f t="shared" si="20"/>
        <v>212.98578508553732</v>
      </c>
      <c r="AD37" s="4">
        <f t="shared" si="20"/>
        <v>197.86642379860103</v>
      </c>
      <c r="AE37" s="4">
        <f t="shared" si="20"/>
        <v>188.00597078538172</v>
      </c>
      <c r="AF37" s="4">
        <f t="shared" si="20"/>
        <v>175.51606363530388</v>
      </c>
      <c r="AG37" s="4">
        <f t="shared" si="20"/>
        <v>166.97033769051382</v>
      </c>
      <c r="AH37" s="4">
        <f t="shared" si="20"/>
        <v>156.7812029101872</v>
      </c>
      <c r="AI37" s="4">
        <f t="shared" si="20"/>
        <v>146.26338636275321</v>
      </c>
      <c r="AJ37" s="4">
        <f t="shared" si="20"/>
        <v>139.03238748639239</v>
      </c>
      <c r="AK37" s="4">
        <f t="shared" si="20"/>
        <v>130.48666154160233</v>
      </c>
      <c r="AL37" s="4"/>
      <c r="AM37" t="s">
        <v>5</v>
      </c>
      <c r="AN37" s="8">
        <f>AN31-AN35</f>
        <v>1046.4912984569196</v>
      </c>
      <c r="AO37" s="8">
        <f t="shared" ref="AO37:AT37" si="21">AO31-AO35</f>
        <v>813.94304963184982</v>
      </c>
      <c r="AP37" s="8">
        <f t="shared" si="21"/>
        <v>629.34837922083898</v>
      </c>
      <c r="AQ37" s="8">
        <f t="shared" si="21"/>
        <v>457.48085259836944</v>
      </c>
      <c r="AR37" s="8">
        <f t="shared" si="21"/>
        <v>330.77154654855315</v>
      </c>
      <c r="AS37" s="8">
        <f t="shared" si="21"/>
        <v>181.01723723884243</v>
      </c>
      <c r="AT37" s="8">
        <f t="shared" si="21"/>
        <v>51.966860924702587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</row>
    <row r="38" spans="2:51">
      <c r="G38" t="s">
        <v>11</v>
      </c>
      <c r="H38">
        <f>H12*Costs!G$21</f>
        <v>155.69999999999999</v>
      </c>
      <c r="I38">
        <f>I12*Costs!H$21</f>
        <v>159.94999999999999</v>
      </c>
      <c r="J38">
        <f>J12*Costs!I$21</f>
        <v>160.80000000000001</v>
      </c>
      <c r="K38">
        <f>K12*Costs!J$21</f>
        <v>159.30000000000001</v>
      </c>
      <c r="L38">
        <f>L12*Costs!K$21</f>
        <v>156</v>
      </c>
      <c r="M38">
        <f>M12*Costs!L$21</f>
        <v>165</v>
      </c>
      <c r="N38">
        <f>N12*Costs!M$21</f>
        <v>169.39999999999998</v>
      </c>
      <c r="O38">
        <f>O12*Costs!N$21</f>
        <v>170.4</v>
      </c>
      <c r="P38">
        <f>P12*Costs!O$21</f>
        <v>149.6</v>
      </c>
      <c r="Q38">
        <f>Q12*Costs!P$21</f>
        <v>132</v>
      </c>
      <c r="R38">
        <f>R12*Costs!Q$21</f>
        <v>116</v>
      </c>
      <c r="S38">
        <f>S12*Costs!R$21</f>
        <v>102.4</v>
      </c>
      <c r="T38">
        <f>T12*Costs!S$21</f>
        <v>90.4</v>
      </c>
      <c r="AM38" t="s">
        <v>7</v>
      </c>
      <c r="AN38" s="8">
        <f>AN32-AN35</f>
        <v>546.94359162478804</v>
      </c>
      <c r="AO38" s="8">
        <f t="shared" ref="AO38:AV38" si="22">AO32-AO35</f>
        <v>477.18362292204915</v>
      </c>
      <c r="AP38" s="8">
        <f t="shared" si="22"/>
        <v>402.8437988340288</v>
      </c>
      <c r="AQ38" s="8">
        <f t="shared" si="22"/>
        <v>338.92411936072676</v>
      </c>
      <c r="AR38" s="8">
        <f t="shared" si="22"/>
        <v>276.52180999626853</v>
      </c>
      <c r="AS38" s="8">
        <f t="shared" si="22"/>
        <v>229.21789198575721</v>
      </c>
      <c r="AT38" s="8">
        <f t="shared" si="22"/>
        <v>131.71544247761733</v>
      </c>
      <c r="AU38" s="8">
        <f t="shared" si="22"/>
        <v>61.828754432268397</v>
      </c>
      <c r="AV38" s="8">
        <f t="shared" si="22"/>
        <v>4.4617682154078011</v>
      </c>
      <c r="AW38" s="8">
        <v>0</v>
      </c>
      <c r="AX38" s="8">
        <v>0</v>
      </c>
      <c r="AY38" s="8">
        <v>0</v>
      </c>
    </row>
    <row r="39" spans="2:51">
      <c r="G39" t="s">
        <v>11</v>
      </c>
      <c r="H39">
        <f>H13*Costs!G$21</f>
        <v>281.09999999999997</v>
      </c>
      <c r="I39">
        <f>I13*Costs!H$21</f>
        <v>288.75</v>
      </c>
      <c r="J39">
        <f>J13*Costs!I$21</f>
        <v>290.40000000000003</v>
      </c>
      <c r="K39">
        <f>K13*Costs!J$21</f>
        <v>287.55</v>
      </c>
      <c r="L39">
        <f>L13*Costs!K$21</f>
        <v>281</v>
      </c>
      <c r="M39">
        <f>M13*Costs!L$21</f>
        <v>297</v>
      </c>
      <c r="N39">
        <f>N13*Costs!M$21</f>
        <v>305.2</v>
      </c>
      <c r="O39">
        <f>O13*Costs!N$21</f>
        <v>307.20000000000005</v>
      </c>
      <c r="P39">
        <f>P13*Costs!O$21</f>
        <v>270.40000000000003</v>
      </c>
      <c r="Q39">
        <f>Q13*Costs!P$21</f>
        <v>237.60000000000002</v>
      </c>
      <c r="R39">
        <f>R13*Costs!Q$21</f>
        <v>208.8</v>
      </c>
      <c r="S39">
        <f>S13*Costs!R$21</f>
        <v>184</v>
      </c>
      <c r="T39">
        <f>T13*Costs!S$21</f>
        <v>161.60000000000002</v>
      </c>
      <c r="X39" t="s">
        <v>5</v>
      </c>
      <c r="Y39" s="4">
        <f>Y31-Y35</f>
        <v>40.629163650692902</v>
      </c>
      <c r="Z39" s="4">
        <f t="shared" ref="Z39:AE39" si="23">Z31-Z35</f>
        <v>31.600669221615938</v>
      </c>
      <c r="AA39" s="4">
        <f t="shared" si="23"/>
        <v>24.433933020145822</v>
      </c>
      <c r="AB39" s="4">
        <f t="shared" si="23"/>
        <v>17.761317704872276</v>
      </c>
      <c r="AC39" s="4">
        <f t="shared" si="23"/>
        <v>12.841933148923534</v>
      </c>
      <c r="AD39" s="4">
        <f t="shared" si="23"/>
        <v>7.0278453019320466</v>
      </c>
      <c r="AE39" s="4">
        <f t="shared" si="23"/>
        <v>2.0175706191115133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/>
      <c r="AM39" t="s">
        <v>11</v>
      </c>
      <c r="AN39" s="8">
        <f>AN33-AN35</f>
        <v>108.98667326458974</v>
      </c>
      <c r="AO39" s="8">
        <f t="shared" ref="AO39:AY39" si="24">AO33-AO35</f>
        <v>199.86559319406388</v>
      </c>
      <c r="AP39" s="8">
        <f t="shared" si="24"/>
        <v>261.01200911884598</v>
      </c>
      <c r="AQ39" s="8">
        <f t="shared" si="24"/>
        <v>312.18519237927467</v>
      </c>
      <c r="AR39" s="8">
        <f t="shared" si="24"/>
        <v>343.62352173359136</v>
      </c>
      <c r="AS39" s="8">
        <f t="shared" si="24"/>
        <v>458.07879443709362</v>
      </c>
      <c r="AT39" s="8">
        <f t="shared" si="24"/>
        <v>529.977767698158</v>
      </c>
      <c r="AU39" s="8">
        <f t="shared" si="24"/>
        <v>588.05798102451877</v>
      </c>
      <c r="AV39" s="8">
        <f t="shared" si="24"/>
        <v>492.35971844051471</v>
      </c>
      <c r="AW39" s="8">
        <f t="shared" si="24"/>
        <v>349.86350933438166</v>
      </c>
      <c r="AX39" s="8">
        <f t="shared" si="24"/>
        <v>285.63159756057291</v>
      </c>
      <c r="AY39" s="8">
        <f t="shared" si="24"/>
        <v>234.44012815014753</v>
      </c>
    </row>
    <row r="40" spans="2:51">
      <c r="G40" t="s">
        <v>11</v>
      </c>
      <c r="H40">
        <f>H14*Costs!G$21</f>
        <v>388.2</v>
      </c>
      <c r="I40">
        <f>I14*Costs!H$21</f>
        <v>398.65</v>
      </c>
      <c r="J40">
        <f>J14*Costs!I$21</f>
        <v>400.8</v>
      </c>
      <c r="K40">
        <f>K14*Costs!J$21</f>
        <v>396.90000000000003</v>
      </c>
      <c r="L40">
        <f>L14*Costs!K$21</f>
        <v>388</v>
      </c>
      <c r="M40">
        <f>M14*Costs!L$21</f>
        <v>409.8</v>
      </c>
      <c r="N40">
        <f>N14*Costs!M$21</f>
        <v>420.7</v>
      </c>
      <c r="O40">
        <f>O14*Costs!N$21</f>
        <v>423.20000000000005</v>
      </c>
      <c r="P40">
        <f>P14*Costs!O$21</f>
        <v>372.8</v>
      </c>
      <c r="Q40">
        <f>Q14*Costs!P$21</f>
        <v>328</v>
      </c>
      <c r="R40">
        <f>R14*Costs!Q$21</f>
        <v>288.8</v>
      </c>
      <c r="S40">
        <f>S14*Costs!R$21</f>
        <v>254.4</v>
      </c>
      <c r="T40">
        <f>T14*Costs!S$21</f>
        <v>224</v>
      </c>
      <c r="X40" t="s">
        <v>7</v>
      </c>
      <c r="Y40" s="4">
        <f t="shared" ref="Y40:AK41" si="25">Y32-Y36</f>
        <v>70.636586540087436</v>
      </c>
      <c r="Z40" s="4">
        <f t="shared" si="25"/>
        <v>61.627236870834508</v>
      </c>
      <c r="AA40" s="4">
        <f t="shared" si="25"/>
        <v>52.026408745270345</v>
      </c>
      <c r="AB40" s="4">
        <f t="shared" si="25"/>
        <v>43.77131984786179</v>
      </c>
      <c r="AC40" s="4">
        <f t="shared" si="25"/>
        <v>35.712196031035461</v>
      </c>
      <c r="AD40" s="4">
        <f t="shared" si="25"/>
        <v>29.602996930066894</v>
      </c>
      <c r="AE40" s="4">
        <f t="shared" si="25"/>
        <v>17.010765632333744</v>
      </c>
      <c r="AF40" s="4">
        <f t="shared" si="25"/>
        <v>7.9850504329829164</v>
      </c>
      <c r="AG40" s="4">
        <f t="shared" si="25"/>
        <v>0.57622775272531612</v>
      </c>
      <c r="AH40" s="4">
        <v>0</v>
      </c>
      <c r="AI40" s="4">
        <v>0</v>
      </c>
      <c r="AJ40" s="4">
        <v>0</v>
      </c>
      <c r="AK40" s="4">
        <v>0</v>
      </c>
      <c r="AL40" s="4"/>
    </row>
    <row r="41" spans="2:51">
      <c r="G41" t="s">
        <v>11</v>
      </c>
      <c r="H41">
        <f>H15*Costs!G$21</f>
        <v>522.6</v>
      </c>
      <c r="I41">
        <f>I15*Costs!H$21</f>
        <v>548.79999999999995</v>
      </c>
      <c r="J41">
        <f>J15*Costs!I$21</f>
        <v>564.4</v>
      </c>
      <c r="K41">
        <f>K15*Costs!J$21</f>
        <v>571.5</v>
      </c>
      <c r="L41">
        <f>L15*Costs!K$21</f>
        <v>571.5</v>
      </c>
      <c r="M41">
        <f>M15*Costs!L$21</f>
        <v>617.4</v>
      </c>
      <c r="N41">
        <f>N15*Costs!M$21</f>
        <v>648.19999999999993</v>
      </c>
      <c r="O41">
        <f>O15*Costs!N$21</f>
        <v>666.40000000000009</v>
      </c>
      <c r="P41">
        <f>P15*Costs!O$21</f>
        <v>600</v>
      </c>
      <c r="Q41">
        <f>Q15*Costs!P$21</f>
        <v>540</v>
      </c>
      <c r="R41">
        <f>R15*Costs!Q$21</f>
        <v>486.40000000000003</v>
      </c>
      <c r="S41">
        <f>S15*Costs!R$21</f>
        <v>437.6</v>
      </c>
      <c r="T41">
        <f>T15*Costs!S$21</f>
        <v>393.6</v>
      </c>
      <c r="X41" t="s">
        <v>11</v>
      </c>
      <c r="Y41" s="4">
        <f t="shared" si="25"/>
        <v>35.821932359752452</v>
      </c>
      <c r="Z41" s="4">
        <f t="shared" si="25"/>
        <v>65.692176354975743</v>
      </c>
      <c r="AA41" s="4">
        <f t="shared" si="25"/>
        <v>85.789888393411729</v>
      </c>
      <c r="AB41" s="4">
        <f t="shared" si="25"/>
        <v>102.60958069595571</v>
      </c>
      <c r="AC41" s="4">
        <f t="shared" si="25"/>
        <v>112.94278634303413</v>
      </c>
      <c r="AD41" s="4">
        <f t="shared" si="25"/>
        <v>150.56214762997041</v>
      </c>
      <c r="AE41" s="4">
        <f t="shared" si="25"/>
        <v>174.19402921461827</v>
      </c>
      <c r="AF41" s="4">
        <f t="shared" si="25"/>
        <v>193.28393636469619</v>
      </c>
      <c r="AG41" s="4">
        <f t="shared" si="25"/>
        <v>161.82966230948625</v>
      </c>
      <c r="AH41" s="4">
        <f t="shared" si="25"/>
        <v>136.24736851838421</v>
      </c>
      <c r="AI41" s="4">
        <f t="shared" si="25"/>
        <v>114.99375649438966</v>
      </c>
      <c r="AJ41" s="4">
        <f t="shared" si="25"/>
        <v>93.881898227893288</v>
      </c>
      <c r="AK41" s="4">
        <f t="shared" si="25"/>
        <v>77.056195601254842</v>
      </c>
      <c r="AL41" s="4"/>
    </row>
    <row r="42" spans="2:51">
      <c r="G42" t="s">
        <v>11</v>
      </c>
      <c r="H42">
        <f>H16*Costs!G$21</f>
        <v>597.9</v>
      </c>
      <c r="I42">
        <f>I16*Costs!H$21</f>
        <v>627.9</v>
      </c>
      <c r="J42">
        <f>J16*Costs!I$21</f>
        <v>646</v>
      </c>
      <c r="K42">
        <f>K16*Costs!J$21</f>
        <v>654.30000000000007</v>
      </c>
      <c r="L42">
        <f>L16*Costs!K$21</f>
        <v>654.5</v>
      </c>
      <c r="M42">
        <f>M16*Costs!L$21</f>
        <v>706.8</v>
      </c>
      <c r="N42">
        <f>N16*Costs!M$21</f>
        <v>742</v>
      </c>
      <c r="O42">
        <f>O16*Costs!N$21</f>
        <v>763.2</v>
      </c>
      <c r="P42">
        <f>P16*Costs!O$21</f>
        <v>687.2</v>
      </c>
      <c r="Q42">
        <f>Q16*Costs!P$21</f>
        <v>618.40000000000009</v>
      </c>
      <c r="R42">
        <f>R16*Costs!Q$21</f>
        <v>556.80000000000007</v>
      </c>
      <c r="S42">
        <f>S16*Costs!R$21</f>
        <v>500.8</v>
      </c>
      <c r="T42">
        <f>T16*Costs!S$21</f>
        <v>450.40000000000003</v>
      </c>
    </row>
    <row r="44" spans="2:51">
      <c r="B44" s="2"/>
    </row>
    <row r="45" spans="2:51">
      <c r="B45" s="3"/>
      <c r="F45" s="4" t="s">
        <v>74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2:51">
      <c r="B46" s="3"/>
      <c r="F46" s="4"/>
      <c r="G46" s="4"/>
      <c r="H46" s="4">
        <f>$W$5*Costs!G4</f>
        <v>29.600193361700775</v>
      </c>
      <c r="I46" s="4">
        <f>$W$5*Costs!H4</f>
        <v>27.690503467397498</v>
      </c>
      <c r="J46" s="4">
        <f>$W$5*Costs!I4</f>
        <v>26.134459849817052</v>
      </c>
      <c r="K46" s="4">
        <f>$W$5*Costs!J4</f>
        <v>24.401593093875192</v>
      </c>
      <c r="L46" s="4">
        <f>$W$5*Costs!K4</f>
        <v>22.916278731639309</v>
      </c>
      <c r="M46" s="4">
        <f>$W$5*Costs!L4</f>
        <v>21.289505858714296</v>
      </c>
      <c r="N46" s="4">
        <f>$W$5*Costs!M4</f>
        <v>20.228567028545811</v>
      </c>
      <c r="O46" s="4">
        <f>$W$5*Costs!N4</f>
        <v>18.884711176999062</v>
      </c>
      <c r="P46" s="4">
        <f>$W$5*Costs!O4</f>
        <v>17.965230857519707</v>
      </c>
      <c r="Q46" s="4">
        <f>$W$5*Costs!P4</f>
        <v>16.868927399678935</v>
      </c>
      <c r="R46" s="4">
        <f>$W$5*Costs!Q4</f>
        <v>15.737259314165884</v>
      </c>
      <c r="S46" s="4">
        <f>$W$5*Costs!R4</f>
        <v>14.959237505375659</v>
      </c>
      <c r="T46" s="4">
        <f>$W$5*Costs!S4</f>
        <v>14.039757185896304</v>
      </c>
    </row>
    <row r="47" spans="2:51">
      <c r="B47" s="3"/>
      <c r="F47" s="4"/>
      <c r="G47" s="4"/>
      <c r="H47" s="4">
        <f>$W$6*Costs!G4</f>
        <v>35.391479336913427</v>
      </c>
      <c r="I47" s="4">
        <f>$W$6*Costs!H4</f>
        <v>33.108158089370626</v>
      </c>
      <c r="J47" s="4">
        <f>$W$6*Costs!I4</f>
        <v>31.247674109891307</v>
      </c>
      <c r="K47" s="4">
        <f>$W$6*Costs!J4</f>
        <v>29.175771496380246</v>
      </c>
      <c r="L47" s="4">
        <f>$W$6*Costs!K4</f>
        <v>27.399854970513623</v>
      </c>
      <c r="M47" s="4">
        <f>$W$6*Costs!L4</f>
        <v>25.454803537421608</v>
      </c>
      <c r="N47" s="4">
        <f>$W$6*Costs!M4</f>
        <v>24.186291733231162</v>
      </c>
      <c r="O47" s="4">
        <f>$W$6*Costs!N4</f>
        <v>22.57951011458993</v>
      </c>
      <c r="P47" s="4">
        <f>$W$6*Costs!O4</f>
        <v>21.480133217624878</v>
      </c>
      <c r="Q47" s="4">
        <f>$W$6*Costs!P4</f>
        <v>20.169337686628083</v>
      </c>
      <c r="R47" s="4">
        <f>$W$6*Costs!Q4</f>
        <v>18.816258428824941</v>
      </c>
      <c r="S47" s="4">
        <f>$W$6*Costs!R4</f>
        <v>17.886016439085282</v>
      </c>
      <c r="T47" s="4">
        <f>$W$6*Costs!S4</f>
        <v>16.786639542120227</v>
      </c>
    </row>
    <row r="48" spans="2:51">
      <c r="B48" s="3"/>
      <c r="F48" s="4"/>
      <c r="G48" s="4"/>
      <c r="H48" s="4">
        <f>$W$7*Costs!G4</f>
        <v>64.910434369376034</v>
      </c>
      <c r="I48" s="4">
        <f>$W$7*Costs!H4</f>
        <v>60.722664410061455</v>
      </c>
      <c r="J48" s="4">
        <f>$W$7*Costs!I4</f>
        <v>57.3104074061755</v>
      </c>
      <c r="K48" s="4">
        <f>$W$7*Costs!J4</f>
        <v>53.510393924575226</v>
      </c>
      <c r="L48" s="4">
        <f>$W$7*Costs!K4</f>
        <v>50.253239511775</v>
      </c>
      <c r="M48" s="4">
        <f>$W$7*Costs!L4</f>
        <v>46.685879916803316</v>
      </c>
      <c r="N48" s="4">
        <f>$W$7*Costs!M4</f>
        <v>44.359341050517436</v>
      </c>
      <c r="O48" s="4">
        <f>$W$7*Costs!N4</f>
        <v>41.412391819888654</v>
      </c>
      <c r="P48" s="4">
        <f>$W$7*Costs!O4</f>
        <v>39.396058135774226</v>
      </c>
      <c r="Q48" s="4">
        <f>$W$7*Costs!P4</f>
        <v>36.991967973945485</v>
      </c>
      <c r="R48" s="4">
        <f>$W$7*Costs!Q4</f>
        <v>34.510326516573876</v>
      </c>
      <c r="S48" s="4">
        <f>$W$7*Costs!R4</f>
        <v>32.804198014630899</v>
      </c>
      <c r="T48" s="4">
        <f>$W$7*Costs!S4</f>
        <v>30.787864330516474</v>
      </c>
    </row>
    <row r="49" spans="2:20">
      <c r="B49" s="3"/>
      <c r="F49" s="4"/>
      <c r="G49" s="4"/>
      <c r="H49" s="4">
        <f>$W$8*Costs!G4</f>
        <v>112.9326619121715</v>
      </c>
      <c r="I49" s="4">
        <f>$W$8*Costs!H4</f>
        <v>105.64668372428946</v>
      </c>
      <c r="J49" s="4">
        <f>$W$8*Costs!I4</f>
        <v>99.709960756385584</v>
      </c>
      <c r="K49" s="4">
        <f>$W$8*Costs!J4</f>
        <v>93.098610178492635</v>
      </c>
      <c r="L49" s="4">
        <f>$W$8*Costs!K4</f>
        <v>87.431738254584388</v>
      </c>
      <c r="M49" s="4">
        <f>$W$8*Costs!L4</f>
        <v>81.225164242684869</v>
      </c>
      <c r="N49" s="4">
        <f>$W$8*Costs!M4</f>
        <v>77.177398582750413</v>
      </c>
      <c r="O49" s="4">
        <f>$W$8*Costs!N4</f>
        <v>72.050228746833426</v>
      </c>
      <c r="P49" s="4">
        <f>$W$8*Costs!O4</f>
        <v>68.542165174890229</v>
      </c>
      <c r="Q49" s="4">
        <f>$W$8*Costs!P4</f>
        <v>64.359473992957945</v>
      </c>
      <c r="R49" s="4">
        <f>$W$8*Costs!Q4</f>
        <v>60.041857289027853</v>
      </c>
      <c r="S49" s="4">
        <f>$W$8*Costs!R4</f>
        <v>57.073495805075915</v>
      </c>
      <c r="T49" s="4">
        <f>$W$8*Costs!S4</f>
        <v>53.565432233132718</v>
      </c>
    </row>
    <row r="50" spans="2:20">
      <c r="B50" s="3"/>
      <c r="F50" s="4"/>
      <c r="G50" s="4"/>
      <c r="H50" s="4">
        <f>$W$9*Costs!G4</f>
        <v>146.44714409819014</v>
      </c>
      <c r="I50" s="4">
        <f>$W$9*Costs!H4</f>
        <v>136.9989412531456</v>
      </c>
      <c r="J50" s="4">
        <f>$W$9*Costs!I4</f>
        <v>129.30040560162786</v>
      </c>
      <c r="K50" s="4">
        <f>$W$9*Costs!J4</f>
        <v>120.7270363533467</v>
      </c>
      <c r="L50" s="4">
        <f>$W$9*Costs!K4</f>
        <v>113.3784341405343</v>
      </c>
      <c r="M50" s="4">
        <f>$W$9*Costs!L4</f>
        <v>105.32996505031119</v>
      </c>
      <c r="N50" s="4">
        <f>$W$9*Costs!M4</f>
        <v>100.08096346973089</v>
      </c>
      <c r="O50" s="4">
        <f>$W$9*Costs!N4</f>
        <v>93.432228134329193</v>
      </c>
      <c r="P50" s="4">
        <f>$W$9*Costs!O4</f>
        <v>88.883093431159608</v>
      </c>
      <c r="Q50" s="4">
        <f>$W$9*Costs!P4</f>
        <v>83.459125131226628</v>
      </c>
      <c r="R50" s="4">
        <f>$W$9*Costs!Q4</f>
        <v>77.860190111940994</v>
      </c>
      <c r="S50" s="4">
        <f>$W$9*Costs!R4</f>
        <v>74.010922286182108</v>
      </c>
      <c r="T50" s="4">
        <f>$W$9*Costs!S4</f>
        <v>69.461787583012523</v>
      </c>
    </row>
    <row r="51" spans="2:20">
      <c r="B51" s="3"/>
      <c r="F51" s="4"/>
      <c r="G51" s="4"/>
      <c r="H51" s="4">
        <f>$W$10*Costs!G4</f>
        <v>95.308020620642608</v>
      </c>
      <c r="I51" s="4">
        <f>$W$10*Costs!H4</f>
        <v>89.159116064472116</v>
      </c>
      <c r="J51" s="4">
        <f>$W$10*Costs!I4</f>
        <v>84.148897537222084</v>
      </c>
      <c r="K51" s="4">
        <f>$W$10*Costs!J4</f>
        <v>78.569335995511835</v>
      </c>
      <c r="L51" s="4">
        <f>$W$10*Costs!K4</f>
        <v>73.786854674045898</v>
      </c>
      <c r="M51" s="4">
        <f>$W$10*Costs!L4</f>
        <v>68.548898941011771</v>
      </c>
      <c r="N51" s="4">
        <f>$W$10*Costs!M4</f>
        <v>65.132840854250389</v>
      </c>
      <c r="O51" s="4">
        <f>$W$10*Costs!N4</f>
        <v>60.805833944352635</v>
      </c>
      <c r="P51" s="4">
        <f>$W$10*Costs!O4</f>
        <v>57.845250269159436</v>
      </c>
      <c r="Q51" s="4">
        <f>$W$10*Costs!P4</f>
        <v>54.315323579506007</v>
      </c>
      <c r="R51" s="4">
        <f>$W$10*Costs!Q4</f>
        <v>50.67152828696053</v>
      </c>
      <c r="S51" s="4">
        <f>$W$10*Costs!R4</f>
        <v>48.166419023335514</v>
      </c>
      <c r="T51" s="4">
        <f>$W$10*Costs!S4</f>
        <v>45.205835348142315</v>
      </c>
    </row>
    <row r="52" spans="2:20">
      <c r="B52" s="3"/>
      <c r="F52" s="4"/>
      <c r="G52" s="4"/>
      <c r="H52" s="4">
        <f>$W$11*Costs!G4</f>
        <v>140.79741959730882</v>
      </c>
      <c r="I52" s="4">
        <f>$W$11*Costs!H4</f>
        <v>131.71371510715986</v>
      </c>
      <c r="J52" s="4">
        <f>$W$11*Costs!I4</f>
        <v>124.31217811518664</v>
      </c>
      <c r="K52" s="4">
        <f>$W$11*Costs!J4</f>
        <v>116.06955737412555</v>
      </c>
      <c r="L52" s="4">
        <f>$W$11*Costs!K4</f>
        <v>109.00445388178747</v>
      </c>
      <c r="M52" s="4">
        <f>$W$11*Costs!L4</f>
        <v>101.2664833901791</v>
      </c>
      <c r="N52" s="4">
        <f>$W$11*Costs!M4</f>
        <v>96.219980895651901</v>
      </c>
      <c r="O52" s="4">
        <f>$W$11*Costs!N4</f>
        <v>89.827744402584116</v>
      </c>
      <c r="P52" s="4">
        <f>$W$11*Costs!O4</f>
        <v>85.45410890732721</v>
      </c>
      <c r="Q52" s="4">
        <f>$W$11*Costs!P4</f>
        <v>80.239389662982447</v>
      </c>
      <c r="R52" s="4">
        <f>$W$11*Costs!Q4</f>
        <v>74.856453668820095</v>
      </c>
      <c r="S52" s="4">
        <f>$W$11*Costs!R4</f>
        <v>71.155685172833486</v>
      </c>
      <c r="T52" s="4">
        <f>$W$11*Costs!S4</f>
        <v>66.78204967757658</v>
      </c>
    </row>
    <row r="53" spans="2:20">
      <c r="B53" s="3"/>
      <c r="F53" s="4"/>
      <c r="G53" s="4"/>
      <c r="H53" s="4">
        <f>$W$12*Costs!G4</f>
        <v>187.45218585440523</v>
      </c>
      <c r="I53" s="4">
        <f>$W$12*Costs!H4</f>
        <v>175.3584964444436</v>
      </c>
      <c r="J53" s="4">
        <f>$W$12*Costs!I4</f>
        <v>165.50437914743782</v>
      </c>
      <c r="K53" s="4">
        <f>$W$12*Costs!J4</f>
        <v>154.53047579395411</v>
      </c>
      <c r="L53" s="4">
        <f>$W$12*Costs!K4</f>
        <v>145.12427291953952</v>
      </c>
      <c r="M53" s="4">
        <f>$W$12*Costs!L4</f>
        <v>134.8222411999426</v>
      </c>
      <c r="N53" s="4">
        <f>$W$12*Costs!M4</f>
        <v>128.10352486107502</v>
      </c>
      <c r="O53" s="4">
        <f>$W$12*Costs!N4</f>
        <v>119.59315083184275</v>
      </c>
      <c r="P53" s="4">
        <f>$W$12*Costs!O4</f>
        <v>113.77026333815753</v>
      </c>
      <c r="Q53" s="4">
        <f>$W$12*Costs!P4</f>
        <v>106.82758978799437</v>
      </c>
      <c r="R53" s="4">
        <f>$W$12*Costs!Q4</f>
        <v>99.660959026535636</v>
      </c>
      <c r="S53" s="4">
        <f>$W$12*Costs!R4</f>
        <v>94.733900378032743</v>
      </c>
      <c r="T53" s="4">
        <f>$W$12*Costs!S4</f>
        <v>88.911012884347514</v>
      </c>
    </row>
    <row r="54" spans="2:20">
      <c r="B54" s="3"/>
      <c r="F54" s="4"/>
      <c r="G54" s="4"/>
      <c r="H54" s="4">
        <f>$W$13*Costs!G4</f>
        <v>263.30732279137305</v>
      </c>
      <c r="I54" s="4">
        <f>$W$13*Costs!H4</f>
        <v>246.31975357902641</v>
      </c>
      <c r="J54" s="4">
        <f>$W$13*Costs!I4</f>
        <v>232.47803051711432</v>
      </c>
      <c r="K54" s="4">
        <f>$W$13*Costs!J4</f>
        <v>217.06338437998497</v>
      </c>
      <c r="L54" s="4">
        <f>$W$13*Costs!K4</f>
        <v>203.85083054815979</v>
      </c>
      <c r="M54" s="4">
        <f>$W$13*Costs!L4</f>
        <v>189.37993825616078</v>
      </c>
      <c r="N54" s="4">
        <f>$W$13*Costs!M4</f>
        <v>179.9423998048571</v>
      </c>
      <c r="O54" s="4">
        <f>$W$13*Costs!N4</f>
        <v>167.98818443320576</v>
      </c>
      <c r="P54" s="4">
        <f>$W$13*Costs!O4</f>
        <v>159.80898444207588</v>
      </c>
      <c r="Q54" s="4">
        <f>$W$13*Costs!P4</f>
        <v>150.05686137572874</v>
      </c>
      <c r="R54" s="4">
        <f>$W$13*Costs!Q4</f>
        <v>139.99015369433812</v>
      </c>
      <c r="S54" s="4">
        <f>$W$13*Costs!R4</f>
        <v>133.0692921633821</v>
      </c>
      <c r="T54" s="4">
        <f>$W$13*Costs!S4</f>
        <v>124.89009217225222</v>
      </c>
    </row>
    <row r="55" spans="2:20">
      <c r="B55" s="3"/>
      <c r="F55" s="4"/>
      <c r="G55" s="4"/>
      <c r="H55" s="4">
        <f>$W$14*Costs!G4</f>
        <v>352.01926259901342</v>
      </c>
      <c r="I55" s="4">
        <f>$W$14*Costs!H4</f>
        <v>329.30834243133512</v>
      </c>
      <c r="J55" s="4">
        <f>$W$14*Costs!I4</f>
        <v>310.80314822063428</v>
      </c>
      <c r="K55" s="4">
        <f>$W$14*Costs!J4</f>
        <v>290.19509103144475</v>
      </c>
      <c r="L55" s="4">
        <f>$W$14*Costs!K4</f>
        <v>272.53104201213944</v>
      </c>
      <c r="M55" s="4">
        <f>$W$14*Costs!L4</f>
        <v>253.1847026100431</v>
      </c>
      <c r="N55" s="4">
        <f>$W$14*Costs!M4</f>
        <v>240.56752473911072</v>
      </c>
      <c r="O55" s="4">
        <f>$W$14*Costs!N4</f>
        <v>224.58576610259638</v>
      </c>
      <c r="P55" s="4">
        <f>$W$14*Costs!O4</f>
        <v>213.65087861445497</v>
      </c>
      <c r="Q55" s="4">
        <f>$W$14*Costs!P4</f>
        <v>200.61312814782485</v>
      </c>
      <c r="R55" s="4">
        <f>$W$14*Costs!Q4</f>
        <v>187.15480508549697</v>
      </c>
      <c r="S55" s="4">
        <f>$W$14*Costs!R4</f>
        <v>177.90220798014656</v>
      </c>
      <c r="T55" s="4">
        <f>$W$14*Costs!S4</f>
        <v>166.96732049200517</v>
      </c>
    </row>
    <row r="56" spans="2:20">
      <c r="B56" s="3"/>
      <c r="F56" s="4"/>
      <c r="G56" s="4"/>
      <c r="H56" s="4">
        <f>$W$15*Costs!G4</f>
        <v>411.41769186152032</v>
      </c>
      <c r="I56" s="4">
        <f>$W$15*Costs!H4</f>
        <v>384.87461496722869</v>
      </c>
      <c r="J56" s="4">
        <f>$W$15*Costs!I4</f>
        <v>363.24692268299106</v>
      </c>
      <c r="K56" s="4">
        <f>$W$15*Costs!J4</f>
        <v>339.16153809372639</v>
      </c>
      <c r="L56" s="4">
        <f>$W$15*Costs!K4</f>
        <v>318.51692273149962</v>
      </c>
      <c r="M56" s="4">
        <f>$W$15*Costs!L4</f>
        <v>295.90615352525117</v>
      </c>
      <c r="N56" s="4">
        <f>$W$15*Costs!M4</f>
        <v>281.15999969508914</v>
      </c>
      <c r="O56" s="4">
        <f>$W$15*Costs!N4</f>
        <v>262.48153817688393</v>
      </c>
      <c r="P56" s="4">
        <f>$W$15*Costs!O4</f>
        <v>249.70153819074352</v>
      </c>
      <c r="Q56" s="4">
        <f>$W$15*Costs!P4</f>
        <v>234.46384589957609</v>
      </c>
      <c r="R56" s="4">
        <f>$W$15*Costs!Q4</f>
        <v>218.73461514740328</v>
      </c>
      <c r="S56" s="4">
        <f>$W$15*Costs!R4</f>
        <v>207.92076900528446</v>
      </c>
      <c r="T56" s="4">
        <f>$W$15*Costs!S4</f>
        <v>195.14076901914405</v>
      </c>
    </row>
    <row r="57" spans="2:20">
      <c r="H57" s="4">
        <f>$W$16*Costs!G4</f>
        <v>475.44457015746963</v>
      </c>
      <c r="I57" s="4">
        <f>$W$16*Costs!H4</f>
        <v>444.77072692150381</v>
      </c>
      <c r="J57" s="4">
        <f>$W$16*Costs!I4</f>
        <v>419.77722502553172</v>
      </c>
      <c r="K57" s="4">
        <f>$W$16*Costs!J4</f>
        <v>391.94355245956274</v>
      </c>
      <c r="L57" s="4">
        <f>$W$16*Costs!K4</f>
        <v>368.08611883158937</v>
      </c>
      <c r="M57" s="4">
        <f>$W$16*Costs!L4</f>
        <v>341.95654866761851</v>
      </c>
      <c r="N57" s="4">
        <f>$W$16*Costs!M4</f>
        <v>324.91552464763754</v>
      </c>
      <c r="O57" s="4">
        <f>$W$16*Costs!N4</f>
        <v>303.33022755566162</v>
      </c>
      <c r="P57" s="4">
        <f>$W$16*Costs!O4</f>
        <v>288.5613400716781</v>
      </c>
      <c r="Q57" s="4">
        <f>$W$16*Costs!P4</f>
        <v>270.95228191769775</v>
      </c>
      <c r="R57" s="4">
        <f>$W$16*Costs!Q4</f>
        <v>252.775189629718</v>
      </c>
      <c r="S57" s="4">
        <f>$W$16*Costs!R4</f>
        <v>240.27843868173196</v>
      </c>
      <c r="T57" s="4">
        <f>$W$16*Costs!S4</f>
        <v>225.50955119774844</v>
      </c>
    </row>
    <row r="59" spans="2:20">
      <c r="F59" t="s">
        <v>76</v>
      </c>
      <c r="G59" t="s">
        <v>5</v>
      </c>
      <c r="H59" s="4">
        <f>H31-H46</f>
        <v>34.149806638299225</v>
      </c>
      <c r="I59" s="4">
        <f t="shared" ref="I59:T59" si="26">I31-I46</f>
        <v>25.909496532602503</v>
      </c>
      <c r="J59" s="4">
        <f t="shared" si="26"/>
        <v>19.765540150182947</v>
      </c>
      <c r="K59" s="4">
        <f t="shared" si="26"/>
        <v>14.298406906124811</v>
      </c>
      <c r="L59" s="4">
        <f t="shared" si="26"/>
        <v>10.333721268360691</v>
      </c>
      <c r="M59" s="4">
        <f t="shared" si="26"/>
        <v>5.3104941412857016</v>
      </c>
      <c r="N59" s="4">
        <f t="shared" si="26"/>
        <v>0.67143297145418757</v>
      </c>
      <c r="O59" s="4">
        <f t="shared" si="26"/>
        <v>-1.784711176999064</v>
      </c>
      <c r="P59" s="4">
        <f t="shared" si="26"/>
        <v>-4.6652308575197079</v>
      </c>
      <c r="Q59" s="4">
        <f t="shared" si="26"/>
        <v>-6.4189273996789353</v>
      </c>
      <c r="R59" s="4">
        <f t="shared" si="26"/>
        <v>-7.1872593141658854</v>
      </c>
      <c r="S59" s="4">
        <f t="shared" si="26"/>
        <v>-8.3092375053756591</v>
      </c>
      <c r="T59" s="4">
        <f t="shared" si="26"/>
        <v>-8.3397571858963051</v>
      </c>
    </row>
    <row r="60" spans="2:20">
      <c r="G60" t="s">
        <v>5</v>
      </c>
      <c r="H60" s="4">
        <f t="shared" ref="H60:T70" si="27">H32-H47</f>
        <v>47.108520663086573</v>
      </c>
      <c r="I60" s="4">
        <f t="shared" si="27"/>
        <v>37.29184191062938</v>
      </c>
      <c r="J60" s="4">
        <f t="shared" si="27"/>
        <v>29.102325890108695</v>
      </c>
      <c r="K60" s="4">
        <f t="shared" si="27"/>
        <v>21.224228503619752</v>
      </c>
      <c r="L60" s="4">
        <f t="shared" si="27"/>
        <v>15.350145029486377</v>
      </c>
      <c r="M60" s="4">
        <f t="shared" si="27"/>
        <v>8.745196462578388</v>
      </c>
      <c r="N60" s="4">
        <f t="shared" si="27"/>
        <v>3.3637082667688354</v>
      </c>
      <c r="O60" s="4">
        <f t="shared" si="27"/>
        <v>-0.72951011458993165</v>
      </c>
      <c r="P60" s="4">
        <f t="shared" si="27"/>
        <v>-4.3801332176248806</v>
      </c>
      <c r="Q60" s="4">
        <f t="shared" si="27"/>
        <v>-6.869337686628084</v>
      </c>
      <c r="R60" s="4">
        <f t="shared" si="27"/>
        <v>-8.366258428824942</v>
      </c>
      <c r="S60" s="4">
        <f t="shared" si="27"/>
        <v>-8.3860164390852816</v>
      </c>
      <c r="T60" s="4">
        <f t="shared" si="27"/>
        <v>-9.1866395421202274</v>
      </c>
    </row>
    <row r="61" spans="2:20">
      <c r="G61" t="s">
        <v>7</v>
      </c>
      <c r="H61" s="4">
        <f t="shared" si="27"/>
        <v>58.289565630623954</v>
      </c>
      <c r="I61" s="4">
        <f t="shared" si="27"/>
        <v>51.027335589938545</v>
      </c>
      <c r="J61" s="4">
        <f t="shared" si="27"/>
        <v>44.289592593824509</v>
      </c>
      <c r="K61" s="4">
        <f t="shared" si="27"/>
        <v>38.289606075424771</v>
      </c>
      <c r="L61" s="4">
        <f t="shared" si="27"/>
        <v>31.646760488225006</v>
      </c>
      <c r="M61" s="4">
        <f t="shared" si="27"/>
        <v>27.414120083196678</v>
      </c>
      <c r="N61" s="4">
        <f t="shared" si="27"/>
        <v>18.34065894948256</v>
      </c>
      <c r="O61" s="4">
        <f t="shared" si="27"/>
        <v>11.787608180111341</v>
      </c>
      <c r="P61" s="4">
        <f t="shared" si="27"/>
        <v>6.2039418642257687</v>
      </c>
      <c r="Q61" s="4">
        <f t="shared" si="27"/>
        <v>1.9580320260545108</v>
      </c>
      <c r="R61" s="4">
        <f t="shared" si="27"/>
        <v>-1.2603265165738762</v>
      </c>
      <c r="S61" s="4">
        <f t="shared" si="27"/>
        <v>-4.3041980146308987</v>
      </c>
      <c r="T61" s="4">
        <f t="shared" si="27"/>
        <v>-7.0378643305164736</v>
      </c>
    </row>
    <row r="62" spans="2:20">
      <c r="G62" t="s">
        <v>7</v>
      </c>
      <c r="H62" s="4">
        <f t="shared" si="27"/>
        <v>6.7673380878284917</v>
      </c>
      <c r="I62" s="4">
        <f t="shared" si="27"/>
        <v>3.8533162757105401</v>
      </c>
      <c r="J62" s="4">
        <f t="shared" si="27"/>
        <v>-0.50996075638558125</v>
      </c>
      <c r="K62" s="4">
        <f t="shared" si="27"/>
        <v>-3.8486101784926348</v>
      </c>
      <c r="L62" s="4">
        <f t="shared" si="27"/>
        <v>-7.3317382545843799</v>
      </c>
      <c r="M62" s="4">
        <f t="shared" si="27"/>
        <v>-9.0251642426848662</v>
      </c>
      <c r="N62" s="4">
        <f t="shared" si="27"/>
        <v>-16.377398582750416</v>
      </c>
      <c r="O62" s="4">
        <f t="shared" si="27"/>
        <v>-20.750228746833429</v>
      </c>
      <c r="P62" s="4">
        <f t="shared" si="27"/>
        <v>-23.892165174890231</v>
      </c>
      <c r="Q62" s="4">
        <f t="shared" si="27"/>
        <v>-26.359473992957945</v>
      </c>
      <c r="R62" s="4">
        <f t="shared" si="27"/>
        <v>-27.741857289027855</v>
      </c>
      <c r="S62" s="4">
        <f t="shared" si="27"/>
        <v>-29.523495805075918</v>
      </c>
      <c r="T62" s="4">
        <f t="shared" si="27"/>
        <v>-29.815432233132718</v>
      </c>
    </row>
    <row r="63" spans="2:20">
      <c r="G63" t="s">
        <v>7</v>
      </c>
      <c r="H63" s="4">
        <f t="shared" si="27"/>
        <v>146.85285590180982</v>
      </c>
      <c r="I63" s="4">
        <f t="shared" si="27"/>
        <v>130.0010587468544</v>
      </c>
      <c r="J63" s="4">
        <f t="shared" si="27"/>
        <v>112.29959439837216</v>
      </c>
      <c r="K63" s="4">
        <f t="shared" si="27"/>
        <v>96.87296364665329</v>
      </c>
      <c r="L63" s="4">
        <f t="shared" si="27"/>
        <v>82.821565859465721</v>
      </c>
      <c r="M63" s="4">
        <f t="shared" si="27"/>
        <v>70.420034949688812</v>
      </c>
      <c r="N63" s="4">
        <f t="shared" si="27"/>
        <v>49.069036530269116</v>
      </c>
      <c r="O63" s="4">
        <f t="shared" si="27"/>
        <v>32.917771865670801</v>
      </c>
      <c r="P63" s="4">
        <f t="shared" si="27"/>
        <v>19.416906568840389</v>
      </c>
      <c r="Q63" s="4">
        <f t="shared" si="27"/>
        <v>8.6908748687733635</v>
      </c>
      <c r="R63" s="4">
        <f t="shared" si="27"/>
        <v>0.98980988805899983</v>
      </c>
      <c r="S63" s="4">
        <f t="shared" si="27"/>
        <v>-7.5109222861821081</v>
      </c>
      <c r="T63" s="4">
        <f t="shared" si="27"/>
        <v>-12.461787583012523</v>
      </c>
    </row>
    <row r="64" spans="2:20">
      <c r="G64" t="s">
        <v>11</v>
      </c>
      <c r="H64" s="4">
        <f t="shared" si="27"/>
        <v>-8.6080206206426055</v>
      </c>
      <c r="I64" s="4">
        <f t="shared" si="27"/>
        <v>9.0883935527884319E-2</v>
      </c>
      <c r="J64" s="4">
        <f t="shared" si="27"/>
        <v>5.451102462777925</v>
      </c>
      <c r="K64" s="4">
        <f t="shared" si="27"/>
        <v>10.08066400448817</v>
      </c>
      <c r="L64" s="4">
        <f t="shared" si="27"/>
        <v>12.713145325954102</v>
      </c>
      <c r="M64" s="4">
        <f t="shared" si="27"/>
        <v>22.651101058988232</v>
      </c>
      <c r="N64" s="4">
        <f t="shared" si="27"/>
        <v>28.667159145749608</v>
      </c>
      <c r="O64" s="4">
        <f t="shared" si="27"/>
        <v>33.594166055647371</v>
      </c>
      <c r="P64" s="4">
        <f t="shared" si="27"/>
        <v>25.354749730840567</v>
      </c>
      <c r="Q64" s="4">
        <f t="shared" si="27"/>
        <v>18.48467642049399</v>
      </c>
      <c r="R64" s="4">
        <f t="shared" si="27"/>
        <v>14.128471713039467</v>
      </c>
      <c r="S64" s="4">
        <f t="shared" si="27"/>
        <v>8.63358097666449</v>
      </c>
      <c r="T64" s="4">
        <f t="shared" si="27"/>
        <v>4.394164651857686</v>
      </c>
    </row>
    <row r="65" spans="6:20">
      <c r="G65" t="s">
        <v>11</v>
      </c>
      <c r="H65" s="4">
        <f t="shared" si="27"/>
        <v>3.5025804026911658</v>
      </c>
      <c r="I65" s="4">
        <f t="shared" si="27"/>
        <v>16.336284892840126</v>
      </c>
      <c r="J65" s="4">
        <f t="shared" si="27"/>
        <v>24.487821884813371</v>
      </c>
      <c r="K65" s="4">
        <f t="shared" si="27"/>
        <v>31.530442625874443</v>
      </c>
      <c r="L65" s="4">
        <f t="shared" si="27"/>
        <v>34.99554611821253</v>
      </c>
      <c r="M65" s="4">
        <f t="shared" si="27"/>
        <v>50.533516609820879</v>
      </c>
      <c r="N65" s="4">
        <f t="shared" si="27"/>
        <v>59.880019104348094</v>
      </c>
      <c r="O65" s="4">
        <f t="shared" si="27"/>
        <v>66.972255597415895</v>
      </c>
      <c r="P65" s="4">
        <f t="shared" si="27"/>
        <v>52.945891092672795</v>
      </c>
      <c r="Q65" s="4">
        <f t="shared" si="27"/>
        <v>42.160610337017559</v>
      </c>
      <c r="R65" s="4">
        <f t="shared" si="27"/>
        <v>32.343546331179908</v>
      </c>
      <c r="S65" s="4">
        <f t="shared" si="27"/>
        <v>23.244314827166519</v>
      </c>
      <c r="T65" s="4">
        <f t="shared" si="27"/>
        <v>16.417950322423422</v>
      </c>
    </row>
    <row r="66" spans="6:20">
      <c r="G66" t="s">
        <v>11</v>
      </c>
      <c r="H66" s="4">
        <f t="shared" si="27"/>
        <v>-31.752185854405241</v>
      </c>
      <c r="I66" s="4">
        <f t="shared" si="27"/>
        <v>-15.408496444443614</v>
      </c>
      <c r="J66" s="4">
        <f t="shared" si="27"/>
        <v>-4.7043791474378054</v>
      </c>
      <c r="K66" s="4">
        <f t="shared" si="27"/>
        <v>4.7695242060459009</v>
      </c>
      <c r="L66" s="4">
        <f t="shared" si="27"/>
        <v>10.875727080460479</v>
      </c>
      <c r="M66" s="4">
        <f t="shared" si="27"/>
        <v>30.177758800057404</v>
      </c>
      <c r="N66" s="4">
        <f t="shared" si="27"/>
        <v>41.296475138924961</v>
      </c>
      <c r="O66" s="4">
        <f t="shared" si="27"/>
        <v>50.806849168157257</v>
      </c>
      <c r="P66" s="4">
        <f t="shared" si="27"/>
        <v>35.82973666184246</v>
      </c>
      <c r="Q66" s="4">
        <f t="shared" si="27"/>
        <v>25.17241021200563</v>
      </c>
      <c r="R66" s="4">
        <f t="shared" si="27"/>
        <v>16.339040973464364</v>
      </c>
      <c r="S66" s="4">
        <f t="shared" si="27"/>
        <v>7.6660996219672626</v>
      </c>
      <c r="T66" s="4">
        <f t="shared" si="27"/>
        <v>1.4889871156524919</v>
      </c>
    </row>
    <row r="67" spans="6:20">
      <c r="G67" t="s">
        <v>11</v>
      </c>
      <c r="H67" s="4">
        <f t="shared" si="27"/>
        <v>17.792677208626912</v>
      </c>
      <c r="I67" s="4">
        <f t="shared" si="27"/>
        <v>42.430246420973589</v>
      </c>
      <c r="J67" s="4">
        <f t="shared" si="27"/>
        <v>57.921969482885714</v>
      </c>
      <c r="K67" s="4">
        <f t="shared" si="27"/>
        <v>70.486615620015044</v>
      </c>
      <c r="L67" s="4">
        <f t="shared" si="27"/>
        <v>77.149169451840208</v>
      </c>
      <c r="M67" s="4">
        <f t="shared" si="27"/>
        <v>107.62006174383922</v>
      </c>
      <c r="N67" s="4">
        <f t="shared" si="27"/>
        <v>125.25760019514289</v>
      </c>
      <c r="O67" s="4">
        <f t="shared" si="27"/>
        <v>139.21181556679429</v>
      </c>
      <c r="P67" s="4">
        <f t="shared" si="27"/>
        <v>110.59101555792415</v>
      </c>
      <c r="Q67" s="4">
        <f t="shared" si="27"/>
        <v>87.543138624271279</v>
      </c>
      <c r="R67" s="4">
        <f t="shared" si="27"/>
        <v>68.809846305661893</v>
      </c>
      <c r="S67" s="4">
        <f t="shared" si="27"/>
        <v>50.930707836617898</v>
      </c>
      <c r="T67" s="4">
        <f t="shared" si="27"/>
        <v>36.709907827747799</v>
      </c>
    </row>
    <row r="68" spans="6:20">
      <c r="G68" t="s">
        <v>11</v>
      </c>
      <c r="H68" s="4">
        <f t="shared" si="27"/>
        <v>36.180737400986573</v>
      </c>
      <c r="I68" s="4">
        <f t="shared" si="27"/>
        <v>69.341657568664857</v>
      </c>
      <c r="J68" s="4">
        <f t="shared" si="27"/>
        <v>89.996851779365727</v>
      </c>
      <c r="K68" s="4">
        <f t="shared" si="27"/>
        <v>106.70490896855529</v>
      </c>
      <c r="L68" s="4">
        <f t="shared" si="27"/>
        <v>115.46895798786056</v>
      </c>
      <c r="M68" s="4">
        <f t="shared" si="27"/>
        <v>156.61529738995691</v>
      </c>
      <c r="N68" s="4">
        <f t="shared" si="27"/>
        <v>180.13247526088927</v>
      </c>
      <c r="O68" s="4">
        <f t="shared" si="27"/>
        <v>198.61423389740366</v>
      </c>
      <c r="P68" s="4">
        <f t="shared" si="27"/>
        <v>159.14912138554504</v>
      </c>
      <c r="Q68" s="4">
        <f t="shared" si="27"/>
        <v>127.38687185217515</v>
      </c>
      <c r="R68" s="4">
        <f t="shared" si="27"/>
        <v>101.64519491450304</v>
      </c>
      <c r="S68" s="4">
        <f t="shared" si="27"/>
        <v>76.497792019853449</v>
      </c>
      <c r="T68" s="4">
        <f t="shared" si="27"/>
        <v>57.032679507994828</v>
      </c>
    </row>
    <row r="69" spans="6:20">
      <c r="G69" t="s">
        <v>11</v>
      </c>
      <c r="H69" s="4">
        <f t="shared" si="27"/>
        <v>111.1823081384797</v>
      </c>
      <c r="I69" s="4">
        <f t="shared" si="27"/>
        <v>163.92538503277126</v>
      </c>
      <c r="J69" s="4">
        <f t="shared" si="27"/>
        <v>201.15307731700892</v>
      </c>
      <c r="K69" s="4">
        <f t="shared" si="27"/>
        <v>232.33846190627361</v>
      </c>
      <c r="L69" s="4">
        <f t="shared" si="27"/>
        <v>252.98307726850038</v>
      </c>
      <c r="M69" s="4">
        <f t="shared" si="27"/>
        <v>321.49384647474881</v>
      </c>
      <c r="N69" s="4">
        <f t="shared" si="27"/>
        <v>367.04000030491079</v>
      </c>
      <c r="O69" s="4">
        <f t="shared" si="27"/>
        <v>403.91846182311616</v>
      </c>
      <c r="P69" s="4">
        <f t="shared" si="27"/>
        <v>350.29846180925648</v>
      </c>
      <c r="Q69" s="4">
        <f t="shared" si="27"/>
        <v>305.53615410042391</v>
      </c>
      <c r="R69" s="4">
        <f t="shared" si="27"/>
        <v>267.66538485259673</v>
      </c>
      <c r="S69" s="4">
        <f t="shared" si="27"/>
        <v>229.67923099471557</v>
      </c>
      <c r="T69" s="4">
        <f t="shared" si="27"/>
        <v>198.45923098085598</v>
      </c>
    </row>
    <row r="70" spans="6:20">
      <c r="G70" t="s">
        <v>11</v>
      </c>
      <c r="H70" s="4">
        <f t="shared" si="27"/>
        <v>122.45542984253035</v>
      </c>
      <c r="I70" s="4">
        <f t="shared" si="27"/>
        <v>183.12927307849617</v>
      </c>
      <c r="J70" s="4">
        <f t="shared" si="27"/>
        <v>226.22277497446828</v>
      </c>
      <c r="K70" s="4">
        <f t="shared" si="27"/>
        <v>262.35644754043733</v>
      </c>
      <c r="L70" s="4">
        <f t="shared" si="27"/>
        <v>286.41388116841063</v>
      </c>
      <c r="M70" s="4">
        <f t="shared" si="27"/>
        <v>364.84345133238145</v>
      </c>
      <c r="N70" s="4">
        <f t="shared" si="27"/>
        <v>417.08447535236246</v>
      </c>
      <c r="O70" s="4">
        <f t="shared" si="27"/>
        <v>459.86977244433842</v>
      </c>
      <c r="P70" s="4">
        <f t="shared" si="27"/>
        <v>398.63865992832194</v>
      </c>
      <c r="Q70" s="4">
        <f t="shared" si="27"/>
        <v>347.44771808230234</v>
      </c>
      <c r="R70" s="4">
        <f t="shared" si="27"/>
        <v>304.02481037028207</v>
      </c>
      <c r="S70" s="4">
        <f t="shared" si="27"/>
        <v>260.52156131826803</v>
      </c>
      <c r="T70" s="4">
        <f t="shared" si="27"/>
        <v>224.8904488022516</v>
      </c>
    </row>
    <row r="72" spans="6:20">
      <c r="F72" t="s">
        <v>77</v>
      </c>
      <c r="G72" t="s">
        <v>5</v>
      </c>
      <c r="H72" s="4">
        <f>H59*Y5</f>
        <v>2768.9976391882574</v>
      </c>
      <c r="I72" s="4">
        <f t="shared" ref="I72:T72" si="28">I59*$Y$5</f>
        <v>2100.8416091841664</v>
      </c>
      <c r="J72" s="4">
        <f t="shared" si="28"/>
        <v>1602.6660002155452</v>
      </c>
      <c r="K72" s="4">
        <f t="shared" si="28"/>
        <v>1159.3698139072246</v>
      </c>
      <c r="L72" s="4">
        <f t="shared" si="28"/>
        <v>837.89785690995393</v>
      </c>
      <c r="M72" s="4">
        <f t="shared" si="28"/>
        <v>430.59528552796297</v>
      </c>
      <c r="N72" s="4">
        <f t="shared" si="28"/>
        <v>54.442367200542257</v>
      </c>
      <c r="O72" s="4">
        <f t="shared" si="28"/>
        <v>-144.71124501773829</v>
      </c>
      <c r="P72" s="4">
        <f t="shared" si="28"/>
        <v>-378.27485723601865</v>
      </c>
      <c r="Q72" s="4">
        <f t="shared" si="28"/>
        <v>-520.47131639972872</v>
      </c>
      <c r="R72" s="4">
        <f t="shared" si="28"/>
        <v>-582.77062250886911</v>
      </c>
      <c r="S72" s="4">
        <f t="shared" si="28"/>
        <v>-673.74492861800911</v>
      </c>
      <c r="T72" s="4">
        <f t="shared" si="28"/>
        <v>-676.21958167257935</v>
      </c>
    </row>
    <row r="73" spans="6:20">
      <c r="G73" t="s">
        <v>5</v>
      </c>
      <c r="H73" s="4">
        <f t="shared" ref="H73:H83" si="29">H60*$Y6</f>
        <v>3194.6967120485751</v>
      </c>
      <c r="I73" s="4">
        <f t="shared" ref="I73:T73" si="30">I60*$Y6</f>
        <v>2528.9718942814511</v>
      </c>
      <c r="J73" s="4">
        <f t="shared" si="30"/>
        <v>1973.5942357228064</v>
      </c>
      <c r="K73" s="4">
        <f t="shared" si="30"/>
        <v>1439.3356459060385</v>
      </c>
      <c r="L73" s="4">
        <f t="shared" si="30"/>
        <v>1040.9806371524435</v>
      </c>
      <c r="M73" s="4">
        <f t="shared" si="30"/>
        <v>593.06150972195439</v>
      </c>
      <c r="N73" s="4">
        <f t="shared" si="30"/>
        <v>228.11218838713</v>
      </c>
      <c r="O73" s="4">
        <f t="shared" si="30"/>
        <v>-49.472229899862334</v>
      </c>
      <c r="P73" s="4">
        <f t="shared" si="30"/>
        <v>-297.04174513902285</v>
      </c>
      <c r="Q73" s="4">
        <f t="shared" si="30"/>
        <v>-465.84885733035094</v>
      </c>
      <c r="R73" s="4">
        <f t="shared" si="30"/>
        <v>-567.36356647384719</v>
      </c>
      <c r="S73" s="4">
        <f t="shared" si="30"/>
        <v>-568.70346952167927</v>
      </c>
      <c r="T73" s="4">
        <f t="shared" si="30"/>
        <v>-622.99827561734332</v>
      </c>
    </row>
    <row r="74" spans="6:20">
      <c r="G74" t="s">
        <v>7</v>
      </c>
      <c r="H74" s="4">
        <f t="shared" si="29"/>
        <v>2155.2873910846902</v>
      </c>
      <c r="I74" s="4">
        <f t="shared" ref="I74:T74" si="31">I61*$Y7</f>
        <v>1886.7626102168356</v>
      </c>
      <c r="J74" s="4">
        <f t="shared" si="31"/>
        <v>1637.6310140763358</v>
      </c>
      <c r="K74" s="4">
        <f t="shared" si="31"/>
        <v>1415.7783522855079</v>
      </c>
      <c r="L74" s="4">
        <f t="shared" si="31"/>
        <v>1170.1556378233454</v>
      </c>
      <c r="M74" s="4">
        <f t="shared" si="31"/>
        <v>1013.6515294592169</v>
      </c>
      <c r="N74" s="4">
        <f t="shared" si="31"/>
        <v>678.15552492702966</v>
      </c>
      <c r="O74" s="4">
        <f t="shared" si="31"/>
        <v>435.85302115020704</v>
      </c>
      <c r="P74" s="4">
        <f t="shared" si="31"/>
        <v>229.3940181287488</v>
      </c>
      <c r="Q74" s="4">
        <f t="shared" si="31"/>
        <v>72.399265484972915</v>
      </c>
      <c r="R74" s="4">
        <f t="shared" si="31"/>
        <v>-46.601236781120406</v>
      </c>
      <c r="S74" s="4">
        <f t="shared" si="31"/>
        <v>-159.14998866953178</v>
      </c>
      <c r="T74" s="4">
        <f t="shared" si="31"/>
        <v>-260.2287405579433</v>
      </c>
    </row>
    <row r="75" spans="6:20">
      <c r="G75" t="s">
        <v>7</v>
      </c>
      <c r="H75" s="4">
        <f t="shared" si="29"/>
        <v>143.82261917180054</v>
      </c>
      <c r="I75" s="4">
        <f t="shared" ref="I75:T75" si="32">I62*$Y8</f>
        <v>81.89247117219881</v>
      </c>
      <c r="J75" s="4">
        <f t="shared" si="32"/>
        <v>-10.837923376418962</v>
      </c>
      <c r="K75" s="4">
        <f t="shared" si="32"/>
        <v>-81.792455003481948</v>
      </c>
      <c r="L75" s="4">
        <f t="shared" si="32"/>
        <v>-155.81751423841894</v>
      </c>
      <c r="M75" s="4">
        <f t="shared" si="32"/>
        <v>-191.80699161065968</v>
      </c>
      <c r="N75" s="4">
        <f t="shared" si="32"/>
        <v>-348.06009819845048</v>
      </c>
      <c r="O75" s="4">
        <f t="shared" si="32"/>
        <v>-440.99352035494258</v>
      </c>
      <c r="P75" s="4">
        <f t="shared" si="32"/>
        <v>-507.76741586448713</v>
      </c>
      <c r="Q75" s="4">
        <f t="shared" si="32"/>
        <v>-560.20381137403149</v>
      </c>
      <c r="R75" s="4">
        <f t="shared" si="32"/>
        <v>-589.58286466792686</v>
      </c>
      <c r="S75" s="4">
        <f t="shared" si="32"/>
        <v>-627.44707574617291</v>
      </c>
      <c r="T75" s="4">
        <f t="shared" si="32"/>
        <v>-633.65144460876979</v>
      </c>
    </row>
    <row r="76" spans="6:20">
      <c r="G76" t="s">
        <v>7</v>
      </c>
      <c r="H76" s="4">
        <f t="shared" si="29"/>
        <v>2406.7466421979198</v>
      </c>
      <c r="I76" s="4">
        <f t="shared" ref="I76:T76" si="33">I63*$Y9</f>
        <v>2130.5653860103812</v>
      </c>
      <c r="J76" s="4">
        <f t="shared" si="33"/>
        <v>1840.4590777532142</v>
      </c>
      <c r="K76" s="4">
        <f t="shared" si="33"/>
        <v>1587.634632943292</v>
      </c>
      <c r="L76" s="4">
        <f t="shared" si="33"/>
        <v>1357.348648821112</v>
      </c>
      <c r="M76" s="4">
        <f t="shared" si="33"/>
        <v>1154.1020541809905</v>
      </c>
      <c r="N76" s="4">
        <f t="shared" si="33"/>
        <v>804.18414868332729</v>
      </c>
      <c r="O76" s="4">
        <f t="shared" si="33"/>
        <v>539.48380111390122</v>
      </c>
      <c r="P76" s="4">
        <f t="shared" si="33"/>
        <v>318.22040095477246</v>
      </c>
      <c r="Q76" s="4">
        <f t="shared" si="33"/>
        <v>142.4332797597626</v>
      </c>
      <c r="R76" s="4">
        <f t="shared" si="33"/>
        <v>16.221827010930731</v>
      </c>
      <c r="S76" s="4">
        <f t="shared" si="33"/>
        <v>-123.0952362558414</v>
      </c>
      <c r="T76" s="4">
        <f t="shared" si="33"/>
        <v>-204.23413107643552</v>
      </c>
    </row>
    <row r="77" spans="6:20">
      <c r="G77" t="s">
        <v>11</v>
      </c>
      <c r="H77" s="4">
        <f t="shared" si="29"/>
        <v>-216.77177468396641</v>
      </c>
      <c r="I77" s="4">
        <f t="shared" ref="I77:T77" si="34">I64*$Y10</f>
        <v>2.2886878253286467</v>
      </c>
      <c r="J77" s="4">
        <f t="shared" si="34"/>
        <v>137.27257483640864</v>
      </c>
      <c r="K77" s="4">
        <f t="shared" si="34"/>
        <v>253.85666723490615</v>
      </c>
      <c r="L77" s="4">
        <f t="shared" si="34"/>
        <v>320.14921845255918</v>
      </c>
      <c r="M77" s="4">
        <f t="shared" si="34"/>
        <v>570.41212974420137</v>
      </c>
      <c r="N77" s="4">
        <f t="shared" si="34"/>
        <v>721.91171896936476</v>
      </c>
      <c r="O77" s="4">
        <f t="shared" si="34"/>
        <v>845.98623955978735</v>
      </c>
      <c r="P77" s="4">
        <f t="shared" si="34"/>
        <v>638.49685520523622</v>
      </c>
      <c r="Q77" s="4">
        <f t="shared" si="34"/>
        <v>465.49099830458158</v>
      </c>
      <c r="R77" s="4">
        <f t="shared" si="34"/>
        <v>355.79072376561658</v>
      </c>
      <c r="S77" s="4">
        <f t="shared" si="34"/>
        <v>217.41544922665173</v>
      </c>
      <c r="T77" s="4">
        <f t="shared" si="34"/>
        <v>110.65620214158314</v>
      </c>
    </row>
    <row r="78" spans="6:20">
      <c r="G78" t="s">
        <v>11</v>
      </c>
      <c r="H78" s="4">
        <f t="shared" si="29"/>
        <v>59.706594709557749</v>
      </c>
      <c r="I78" s="4">
        <f t="shared" ref="I78:T78" si="35">I65*$Y11</f>
        <v>278.47581754504535</v>
      </c>
      <c r="J78" s="4">
        <f t="shared" si="35"/>
        <v>417.43066211214324</v>
      </c>
      <c r="K78" s="4">
        <f t="shared" si="35"/>
        <v>537.48241080478692</v>
      </c>
      <c r="L78" s="4">
        <f t="shared" si="35"/>
        <v>596.55015688271919</v>
      </c>
      <c r="M78" s="4">
        <f t="shared" si="35"/>
        <v>861.41754038053273</v>
      </c>
      <c r="N78" s="4">
        <f t="shared" si="35"/>
        <v>1020.7423158985587</v>
      </c>
      <c r="O78" s="4">
        <f t="shared" si="35"/>
        <v>1141.6398374945168</v>
      </c>
      <c r="P78" s="4">
        <f t="shared" si="35"/>
        <v>902.53998411505802</v>
      </c>
      <c r="Q78" s="4">
        <f t="shared" si="35"/>
        <v>718.68913335031129</v>
      </c>
      <c r="R78" s="4">
        <f t="shared" si="35"/>
        <v>551.34295012380221</v>
      </c>
      <c r="S78" s="4">
        <f t="shared" si="35"/>
        <v>396.23326951200488</v>
      </c>
      <c r="T78" s="4">
        <f t="shared" si="35"/>
        <v>279.86792397668222</v>
      </c>
    </row>
    <row r="79" spans="6:20">
      <c r="G79" t="s">
        <v>11</v>
      </c>
      <c r="H79" s="4">
        <f t="shared" si="29"/>
        <v>-406.54816342277644</v>
      </c>
      <c r="I79" s="4">
        <f t="shared" ref="I79:T79" si="36">I66*$Y12</f>
        <v>-197.2870768431155</v>
      </c>
      <c r="J79" s="4">
        <f t="shared" si="36"/>
        <v>-60.233859527182815</v>
      </c>
      <c r="K79" s="4">
        <f t="shared" si="36"/>
        <v>61.067962856466394</v>
      </c>
      <c r="L79" s="4">
        <f t="shared" si="36"/>
        <v>139.25047210049414</v>
      </c>
      <c r="M79" s="4">
        <f t="shared" si="36"/>
        <v>386.38953779859941</v>
      </c>
      <c r="N79" s="4">
        <f t="shared" si="36"/>
        <v>528.75119213989524</v>
      </c>
      <c r="O79" s="4">
        <f t="shared" si="36"/>
        <v>650.51997721746307</v>
      </c>
      <c r="P79" s="4">
        <f t="shared" si="36"/>
        <v>458.75624760406345</v>
      </c>
      <c r="Q79" s="4">
        <f t="shared" si="36"/>
        <v>322.30213023887967</v>
      </c>
      <c r="R79" s="4">
        <f t="shared" si="36"/>
        <v>209.20156899780324</v>
      </c>
      <c r="S79" s="4">
        <f t="shared" si="36"/>
        <v>98.155091942888532</v>
      </c>
      <c r="T79" s="4">
        <f t="shared" si="36"/>
        <v>19.064671012081309</v>
      </c>
    </row>
    <row r="80" spans="6:20">
      <c r="G80" t="s">
        <v>11</v>
      </c>
      <c r="H80" s="4">
        <f t="shared" si="29"/>
        <v>162.18371610032406</v>
      </c>
      <c r="I80" s="4">
        <f t="shared" ref="I80:T80" si="37">I67*$Y13</f>
        <v>386.7599551724249</v>
      </c>
      <c r="J80" s="4">
        <f t="shared" si="37"/>
        <v>527.9700263448392</v>
      </c>
      <c r="K80" s="4">
        <f t="shared" si="37"/>
        <v>642.49922159248763</v>
      </c>
      <c r="L80" s="4">
        <f t="shared" si="37"/>
        <v>703.22969663532956</v>
      </c>
      <c r="M80" s="4">
        <f t="shared" si="37"/>
        <v>980.97781103449427</v>
      </c>
      <c r="N80" s="4">
        <f t="shared" si="37"/>
        <v>1141.7474071640659</v>
      </c>
      <c r="O80" s="4">
        <f t="shared" si="37"/>
        <v>1268.9427964639622</v>
      </c>
      <c r="P80" s="4">
        <f t="shared" si="37"/>
        <v>1008.0586333458833</v>
      </c>
      <c r="Q80" s="4">
        <f t="shared" si="37"/>
        <v>797.97274882759552</v>
      </c>
      <c r="R80" s="4">
        <f t="shared" si="37"/>
        <v>627.21514290909909</v>
      </c>
      <c r="S80" s="4">
        <f t="shared" si="37"/>
        <v>464.24331559039359</v>
      </c>
      <c r="T80" s="4">
        <f t="shared" si="37"/>
        <v>334.6179554315633</v>
      </c>
    </row>
    <row r="81" spans="6:20">
      <c r="G81" t="s">
        <v>11</v>
      </c>
      <c r="H81" s="4">
        <f t="shared" si="29"/>
        <v>246.6833682427802</v>
      </c>
      <c r="I81" s="4">
        <f t="shared" ref="I81:T81" si="38">I68*$Y14</f>
        <v>472.77736379439546</v>
      </c>
      <c r="J81" s="4">
        <f t="shared" si="38"/>
        <v>613.60624804664201</v>
      </c>
      <c r="K81" s="4">
        <f t="shared" si="38"/>
        <v>727.52321382163723</v>
      </c>
      <c r="L81" s="4">
        <f t="shared" si="38"/>
        <v>787.27725110303629</v>
      </c>
      <c r="M81" s="4">
        <f t="shared" si="38"/>
        <v>1067.8165193351144</v>
      </c>
      <c r="N81" s="4">
        <f t="shared" si="38"/>
        <v>1228.158653451153</v>
      </c>
      <c r="O81" s="4">
        <f t="shared" si="38"/>
        <v>1354.1688676979513</v>
      </c>
      <c r="P81" s="4">
        <f t="shared" si="38"/>
        <v>1085.0923484825053</v>
      </c>
      <c r="Q81" s="4">
        <f t="shared" si="38"/>
        <v>868.5346091798865</v>
      </c>
      <c r="R81" s="4">
        <f t="shared" si="38"/>
        <v>693.02564979009526</v>
      </c>
      <c r="S81" s="4">
        <f t="shared" si="38"/>
        <v>521.56850175415593</v>
      </c>
      <c r="T81" s="4">
        <f t="shared" si="38"/>
        <v>388.85369651309315</v>
      </c>
    </row>
    <row r="82" spans="6:20">
      <c r="G82" t="s">
        <v>11</v>
      </c>
      <c r="H82" s="4">
        <f t="shared" si="29"/>
        <v>648.60696340013908</v>
      </c>
      <c r="I82" s="4">
        <f t="shared" ref="I82:T82" si="39">I69*$Y15</f>
        <v>956.29554729046322</v>
      </c>
      <c r="J82" s="4">
        <f t="shared" si="39"/>
        <v>1173.4716506755422</v>
      </c>
      <c r="K82" s="4">
        <f t="shared" si="39"/>
        <v>1355.3985951649054</v>
      </c>
      <c r="L82" s="4">
        <f t="shared" si="39"/>
        <v>1475.8335951649051</v>
      </c>
      <c r="M82" s="4">
        <f t="shared" si="39"/>
        <v>1875.5065532017713</v>
      </c>
      <c r="N82" s="4">
        <f t="shared" si="39"/>
        <v>2141.210270141542</v>
      </c>
      <c r="O82" s="4">
        <f t="shared" si="39"/>
        <v>2356.349057424135</v>
      </c>
      <c r="P82" s="4">
        <f t="shared" si="39"/>
        <v>2043.5447455799529</v>
      </c>
      <c r="Q82" s="4">
        <f t="shared" si="39"/>
        <v>1782.4137710219577</v>
      </c>
      <c r="R82" s="4">
        <f t="shared" si="39"/>
        <v>1561.4861337501486</v>
      </c>
      <c r="S82" s="4">
        <f t="shared" si="39"/>
        <v>1339.8853744429791</v>
      </c>
      <c r="T82" s="4">
        <f t="shared" si="39"/>
        <v>1157.7564931004492</v>
      </c>
    </row>
    <row r="83" spans="6:20">
      <c r="G83" t="s">
        <v>11</v>
      </c>
      <c r="H83" s="4">
        <f t="shared" si="29"/>
        <v>618.16874032053772</v>
      </c>
      <c r="I83" s="4">
        <f t="shared" ref="I83:T83" si="40">I70*$Y16</f>
        <v>924.45710410982724</v>
      </c>
      <c r="J83" s="4">
        <f t="shared" si="40"/>
        <v>1141.9979335960318</v>
      </c>
      <c r="K83" s="4">
        <f t="shared" si="40"/>
        <v>1324.4047642444025</v>
      </c>
      <c r="L83" s="4">
        <f t="shared" si="40"/>
        <v>1445.849386669664</v>
      </c>
      <c r="M83" s="4">
        <f t="shared" si="40"/>
        <v>1841.7706508756582</v>
      </c>
      <c r="N83" s="4">
        <f t="shared" si="40"/>
        <v>2105.489197721758</v>
      </c>
      <c r="O83" s="4">
        <f t="shared" si="40"/>
        <v>2321.4741747995226</v>
      </c>
      <c r="P83" s="4">
        <f t="shared" si="40"/>
        <v>2012.3726531999896</v>
      </c>
      <c r="Q83" s="4">
        <f t="shared" si="40"/>
        <v>1753.9550389098861</v>
      </c>
      <c r="R83" s="4">
        <f t="shared" si="40"/>
        <v>1534.7513319292118</v>
      </c>
      <c r="S83" s="4">
        <f t="shared" si="40"/>
        <v>1315.142052855871</v>
      </c>
      <c r="T83" s="4">
        <f t="shared" si="40"/>
        <v>1135.2722016898651</v>
      </c>
    </row>
    <row r="85" spans="6:20">
      <c r="G85">
        <v>2005</v>
      </c>
      <c r="H85">
        <v>2006</v>
      </c>
      <c r="I85">
        <v>2007</v>
      </c>
      <c r="J85">
        <v>2008</v>
      </c>
      <c r="K85">
        <v>2009</v>
      </c>
      <c r="L85">
        <v>2010</v>
      </c>
      <c r="M85">
        <v>2011</v>
      </c>
      <c r="N85">
        <v>2012</v>
      </c>
      <c r="O85">
        <v>2013</v>
      </c>
      <c r="P85">
        <v>2014</v>
      </c>
      <c r="Q85">
        <v>2015</v>
      </c>
      <c r="R85">
        <v>2016</v>
      </c>
      <c r="S85">
        <v>2017</v>
      </c>
    </row>
    <row r="86" spans="6:20">
      <c r="F86" t="s">
        <v>5</v>
      </c>
      <c r="G86" s="4">
        <v>2768.9976391882574</v>
      </c>
      <c r="H86" s="4">
        <v>2100.8416091841664</v>
      </c>
      <c r="I86" s="4">
        <v>1602.6660002155459</v>
      </c>
      <c r="J86" s="4">
        <v>1159.3698139072246</v>
      </c>
      <c r="K86" s="4">
        <v>837.8978569099545</v>
      </c>
      <c r="L86" s="4">
        <v>430.59528552796354</v>
      </c>
      <c r="M86" s="4">
        <v>54.442367200542833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6:20">
      <c r="F87" t="s">
        <v>5</v>
      </c>
      <c r="G87" s="4">
        <v>3194.6967120485751</v>
      </c>
      <c r="H87" s="4">
        <v>2528.9718942814511</v>
      </c>
      <c r="I87" s="4">
        <v>1973.5942357228068</v>
      </c>
      <c r="J87" s="4">
        <v>1439.335645906039</v>
      </c>
      <c r="K87" s="4">
        <v>1040.9806371524439</v>
      </c>
      <c r="L87" s="4">
        <v>593.06150972195485</v>
      </c>
      <c r="M87" s="4">
        <v>228.11218838713049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6:20">
      <c r="F88" t="s">
        <v>7</v>
      </c>
      <c r="G88" s="4">
        <v>2155.2873910846902</v>
      </c>
      <c r="H88" s="4">
        <v>1886.7626102168356</v>
      </c>
      <c r="I88" s="4">
        <v>1637.6310140763358</v>
      </c>
      <c r="J88" s="4">
        <v>1415.7783522855084</v>
      </c>
      <c r="K88" s="4">
        <v>1170.1556378233454</v>
      </c>
      <c r="L88" s="4">
        <v>1013.6515294592174</v>
      </c>
      <c r="M88" s="4">
        <v>678.15552492702966</v>
      </c>
      <c r="N88" s="4">
        <v>435.85302115020704</v>
      </c>
      <c r="O88" s="4">
        <v>229.3940181287488</v>
      </c>
      <c r="P88" s="4">
        <v>72.399265484972915</v>
      </c>
      <c r="Q88" s="4">
        <v>0</v>
      </c>
      <c r="R88" s="4">
        <v>0</v>
      </c>
      <c r="S88" s="4">
        <v>0</v>
      </c>
    </row>
    <row r="89" spans="6:20">
      <c r="F89" t="s">
        <v>7</v>
      </c>
      <c r="G89" s="4">
        <v>143.82261917180054</v>
      </c>
      <c r="H89" s="4">
        <v>81.89247117219881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6:20">
      <c r="F90" t="s">
        <v>7</v>
      </c>
      <c r="G90" s="4">
        <v>2406.7466421979198</v>
      </c>
      <c r="H90" s="4">
        <v>2130.5653860103812</v>
      </c>
      <c r="I90" s="4">
        <v>1840.4590777532142</v>
      </c>
      <c r="J90" s="4">
        <v>1587.6346329432924</v>
      </c>
      <c r="K90" s="4">
        <v>1357.348648821112</v>
      </c>
      <c r="L90" s="4">
        <v>1154.102054180991</v>
      </c>
      <c r="M90" s="4">
        <v>804.18414868332729</v>
      </c>
      <c r="N90" s="4">
        <v>539.48380111390122</v>
      </c>
      <c r="O90" s="4">
        <v>318.22040095477246</v>
      </c>
      <c r="P90" s="4">
        <v>142.4332797597626</v>
      </c>
      <c r="Q90" s="4">
        <v>16.221827010930731</v>
      </c>
      <c r="R90" s="4">
        <v>0</v>
      </c>
      <c r="S90" s="4">
        <v>0</v>
      </c>
    </row>
    <row r="91" spans="6:20">
      <c r="F91" t="s">
        <v>11</v>
      </c>
      <c r="G91" s="4">
        <v>0</v>
      </c>
      <c r="H91" s="4">
        <v>2.2886878253286467</v>
      </c>
      <c r="I91" s="4">
        <v>137.27257483640864</v>
      </c>
      <c r="J91" s="4">
        <v>253.85666723490615</v>
      </c>
      <c r="K91" s="4">
        <v>320.14921845255918</v>
      </c>
      <c r="L91" s="4">
        <v>570.41212974420137</v>
      </c>
      <c r="M91" s="4">
        <v>721.91171896936476</v>
      </c>
      <c r="N91" s="4">
        <v>845.98623955978735</v>
      </c>
      <c r="O91" s="4">
        <v>638.49685520523622</v>
      </c>
      <c r="P91" s="4">
        <v>465.49099830458158</v>
      </c>
      <c r="Q91" s="4">
        <v>355.79072376561658</v>
      </c>
      <c r="R91" s="4">
        <v>217.41544922665173</v>
      </c>
      <c r="S91" s="4">
        <v>110.65620214158314</v>
      </c>
    </row>
    <row r="92" spans="6:20">
      <c r="F92" t="s">
        <v>11</v>
      </c>
      <c r="G92" s="4">
        <v>59.706594709557749</v>
      </c>
      <c r="H92" s="4">
        <v>278.47581754504535</v>
      </c>
      <c r="I92" s="4">
        <v>417.43066211214324</v>
      </c>
      <c r="J92" s="4">
        <v>537.48241080478692</v>
      </c>
      <c r="K92" s="4">
        <v>596.55015688271919</v>
      </c>
      <c r="L92" s="4">
        <v>861.41754038053273</v>
      </c>
      <c r="M92" s="4">
        <v>1020.7423158985587</v>
      </c>
      <c r="N92" s="4">
        <v>1141.6398374945168</v>
      </c>
      <c r="O92" s="4">
        <v>902.53998411505802</v>
      </c>
      <c r="P92" s="4">
        <v>718.68913335031129</v>
      </c>
      <c r="Q92" s="4">
        <v>551.34295012380221</v>
      </c>
      <c r="R92" s="4">
        <v>396.23326951200488</v>
      </c>
      <c r="S92" s="4">
        <v>279.86792397668222</v>
      </c>
    </row>
    <row r="93" spans="6:20">
      <c r="F93" t="s">
        <v>11</v>
      </c>
      <c r="G93" s="4">
        <v>0</v>
      </c>
      <c r="H93" s="4">
        <v>0</v>
      </c>
      <c r="I93" s="4">
        <v>0</v>
      </c>
      <c r="J93" s="4">
        <v>61.067962856466394</v>
      </c>
      <c r="K93" s="4">
        <v>139.25047210049414</v>
      </c>
      <c r="L93" s="4">
        <v>386.38953779859941</v>
      </c>
      <c r="M93" s="4">
        <v>528.75119213989524</v>
      </c>
      <c r="N93" s="4">
        <v>650.51997721746307</v>
      </c>
      <c r="O93" s="4">
        <v>458.75624760406345</v>
      </c>
      <c r="P93" s="4">
        <v>322.30213023887967</v>
      </c>
      <c r="Q93" s="4">
        <v>209.20156899780324</v>
      </c>
      <c r="R93" s="4">
        <v>98.155091942888532</v>
      </c>
      <c r="S93" s="4">
        <v>19.064671012081309</v>
      </c>
    </row>
    <row r="94" spans="6:20">
      <c r="F94" t="s">
        <v>11</v>
      </c>
      <c r="G94" s="4">
        <v>162.18371610032406</v>
      </c>
      <c r="H94" s="4">
        <v>386.7599551724249</v>
      </c>
      <c r="I94" s="4">
        <v>527.9700263448392</v>
      </c>
      <c r="J94" s="4">
        <v>642.49922159248763</v>
      </c>
      <c r="K94" s="4">
        <v>703.22969663532956</v>
      </c>
      <c r="L94" s="4">
        <v>980.97781103449427</v>
      </c>
      <c r="M94" s="4">
        <v>1141.7474071640659</v>
      </c>
      <c r="N94" s="4">
        <v>1268.9427964639622</v>
      </c>
      <c r="O94" s="4">
        <v>1008.0586333458833</v>
      </c>
      <c r="P94" s="4">
        <v>797.97274882759552</v>
      </c>
      <c r="Q94" s="4">
        <v>627.21514290909909</v>
      </c>
      <c r="R94" s="4">
        <v>464.24331559039359</v>
      </c>
      <c r="S94" s="4">
        <v>334.6179554315633</v>
      </c>
    </row>
    <row r="95" spans="6:20">
      <c r="F95" t="s">
        <v>11</v>
      </c>
      <c r="G95" s="4">
        <v>246.6833682427802</v>
      </c>
      <c r="H95" s="4">
        <v>472.77736379439546</v>
      </c>
      <c r="I95" s="4">
        <v>613.60624804664201</v>
      </c>
      <c r="J95" s="4">
        <v>727.52321382163723</v>
      </c>
      <c r="K95" s="4">
        <v>787.27725110303629</v>
      </c>
      <c r="L95" s="4">
        <v>1067.8165193351144</v>
      </c>
      <c r="M95" s="4">
        <v>1228.158653451153</v>
      </c>
      <c r="N95" s="4">
        <v>1354.1688676979513</v>
      </c>
      <c r="O95" s="4">
        <v>1085.0923484825053</v>
      </c>
      <c r="P95" s="4">
        <v>868.5346091798865</v>
      </c>
      <c r="Q95" s="4">
        <v>693.02564979009526</v>
      </c>
      <c r="R95" s="4">
        <v>521.56850175415593</v>
      </c>
      <c r="S95" s="4">
        <v>388.85369651309315</v>
      </c>
    </row>
    <row r="96" spans="6:20">
      <c r="F96" t="s">
        <v>11</v>
      </c>
      <c r="G96" s="4">
        <v>648.60696340013908</v>
      </c>
      <c r="H96" s="4">
        <v>956.29554729046322</v>
      </c>
      <c r="I96" s="4">
        <v>1173.4716506755422</v>
      </c>
      <c r="J96" s="4">
        <v>1355.3985951649054</v>
      </c>
      <c r="K96" s="4">
        <v>1475.8335951649051</v>
      </c>
      <c r="L96" s="4">
        <v>1875.5065532017713</v>
      </c>
      <c r="M96" s="4">
        <v>2141.210270141542</v>
      </c>
      <c r="N96" s="4">
        <v>2356.349057424135</v>
      </c>
      <c r="O96" s="4">
        <v>2043.5447455799529</v>
      </c>
      <c r="P96" s="4">
        <v>1782.4137710219577</v>
      </c>
      <c r="Q96" s="4">
        <v>1561.4861337501486</v>
      </c>
      <c r="R96" s="4">
        <v>1339.8853744429791</v>
      </c>
      <c r="S96" s="4">
        <v>1157.7564931004492</v>
      </c>
    </row>
    <row r="97" spans="6:20">
      <c r="F97" t="s">
        <v>11</v>
      </c>
      <c r="G97" s="4">
        <v>618.16874032053772</v>
      </c>
      <c r="H97" s="4">
        <v>924.45710410982724</v>
      </c>
      <c r="I97" s="4">
        <v>1141.9979335960318</v>
      </c>
      <c r="J97" s="4">
        <v>1324.4047642444025</v>
      </c>
      <c r="K97" s="4">
        <v>1445.849386669664</v>
      </c>
      <c r="L97" s="4">
        <v>1841.7706508756582</v>
      </c>
      <c r="M97" s="4">
        <v>2105.489197721758</v>
      </c>
      <c r="N97" s="4">
        <v>2321.4741747995226</v>
      </c>
      <c r="O97" s="4">
        <v>2012.3726531999896</v>
      </c>
      <c r="P97" s="4">
        <v>1753.9550389098861</v>
      </c>
      <c r="Q97" s="4">
        <v>1534.7513319292118</v>
      </c>
      <c r="R97" s="4">
        <v>1315.142052855871</v>
      </c>
      <c r="S97" s="4">
        <v>1135.2722016898651</v>
      </c>
    </row>
    <row r="102" spans="6:20">
      <c r="G102" t="s">
        <v>78</v>
      </c>
    </row>
    <row r="103" spans="6:20">
      <c r="G103" t="s">
        <v>79</v>
      </c>
    </row>
    <row r="104" spans="6:20">
      <c r="G104">
        <v>2005</v>
      </c>
      <c r="H104">
        <v>2006</v>
      </c>
      <c r="I104">
        <v>2007</v>
      </c>
      <c r="J104">
        <v>2008</v>
      </c>
      <c r="K104">
        <v>2009</v>
      </c>
      <c r="L104">
        <v>2010</v>
      </c>
      <c r="M104">
        <v>2011</v>
      </c>
      <c r="N104">
        <v>2012</v>
      </c>
      <c r="O104">
        <v>2013</v>
      </c>
      <c r="P104">
        <v>2014</v>
      </c>
      <c r="Q104">
        <v>2015</v>
      </c>
      <c r="R104">
        <v>2016</v>
      </c>
      <c r="S104">
        <v>2017</v>
      </c>
    </row>
    <row r="105" spans="6:20">
      <c r="F105" t="s">
        <v>5</v>
      </c>
      <c r="G105" s="8">
        <f>AVERAGE(G86:G87)</f>
        <v>2981.8471756184163</v>
      </c>
      <c r="H105" s="8">
        <f t="shared" ref="H105:S105" si="41">AVERAGE(H86:H87)</f>
        <v>2314.9067517328085</v>
      </c>
      <c r="I105" s="8">
        <f t="shared" si="41"/>
        <v>1788.1301179691764</v>
      </c>
      <c r="J105" s="8">
        <f t="shared" si="41"/>
        <v>1299.3527299066318</v>
      </c>
      <c r="K105" s="8">
        <f t="shared" si="41"/>
        <v>939.43924703119922</v>
      </c>
      <c r="L105" s="8">
        <f t="shared" si="41"/>
        <v>511.82839762495917</v>
      </c>
      <c r="M105" s="8">
        <f t="shared" si="41"/>
        <v>141.27727779383667</v>
      </c>
      <c r="N105" s="8">
        <f t="shared" si="41"/>
        <v>0</v>
      </c>
      <c r="O105" s="8">
        <f t="shared" si="41"/>
        <v>0</v>
      </c>
      <c r="P105" s="8">
        <f t="shared" si="41"/>
        <v>0</v>
      </c>
      <c r="Q105" s="8">
        <f t="shared" si="41"/>
        <v>0</v>
      </c>
      <c r="R105" s="8">
        <f t="shared" si="41"/>
        <v>0</v>
      </c>
      <c r="S105" s="8">
        <f t="shared" si="41"/>
        <v>0</v>
      </c>
      <c r="T105" s="7"/>
    </row>
    <row r="106" spans="6:20">
      <c r="F106" t="s">
        <v>7</v>
      </c>
      <c r="G106" s="8">
        <f>AVERAGE(G88:G90)</f>
        <v>1568.6188841514702</v>
      </c>
      <c r="H106" s="8">
        <f t="shared" ref="H106:S106" si="42">AVERAGE(H88:H90)</f>
        <v>1366.4068224664718</v>
      </c>
      <c r="I106" s="8">
        <f t="shared" si="42"/>
        <v>1159.3633639431835</v>
      </c>
      <c r="J106" s="8">
        <f t="shared" si="42"/>
        <v>1001.1376617429336</v>
      </c>
      <c r="K106" s="8">
        <f t="shared" si="42"/>
        <v>842.50142888148582</v>
      </c>
      <c r="L106" s="8">
        <f t="shared" si="42"/>
        <v>722.58452788006946</v>
      </c>
      <c r="M106" s="8">
        <f t="shared" si="42"/>
        <v>494.11322453678559</v>
      </c>
      <c r="N106" s="8">
        <f t="shared" si="42"/>
        <v>325.11227408803609</v>
      </c>
      <c r="O106" s="8">
        <f t="shared" si="42"/>
        <v>182.53813969450709</v>
      </c>
      <c r="P106" s="8">
        <f t="shared" si="42"/>
        <v>71.610848414911842</v>
      </c>
      <c r="Q106" s="8">
        <f t="shared" si="42"/>
        <v>5.407275670310244</v>
      </c>
      <c r="R106" s="8">
        <f t="shared" si="42"/>
        <v>0</v>
      </c>
      <c r="S106" s="8">
        <f t="shared" si="42"/>
        <v>0</v>
      </c>
      <c r="T106" s="7"/>
    </row>
    <row r="107" spans="6:20">
      <c r="F107" t="s">
        <v>11</v>
      </c>
      <c r="G107" s="8">
        <f>AVERAGE(G91:G97)</f>
        <v>247.90705468190552</v>
      </c>
      <c r="H107" s="8">
        <f t="shared" ref="H107:S107" si="43">AVERAGE(H91:H97)</f>
        <v>431.57921081964065</v>
      </c>
      <c r="I107" s="8">
        <f t="shared" si="43"/>
        <v>573.10701365880107</v>
      </c>
      <c r="J107" s="8">
        <f t="shared" si="43"/>
        <v>700.31897653137037</v>
      </c>
      <c r="K107" s="8">
        <f t="shared" si="43"/>
        <v>781.16282528695831</v>
      </c>
      <c r="L107" s="8">
        <f t="shared" si="43"/>
        <v>1083.4701060529103</v>
      </c>
      <c r="M107" s="8">
        <f t="shared" si="43"/>
        <v>1269.7158222123339</v>
      </c>
      <c r="N107" s="8">
        <f t="shared" si="43"/>
        <v>1419.8687072367627</v>
      </c>
      <c r="O107" s="8">
        <f t="shared" si="43"/>
        <v>1164.123066790384</v>
      </c>
      <c r="P107" s="8">
        <f t="shared" si="43"/>
        <v>958.47977569044258</v>
      </c>
      <c r="Q107" s="8">
        <f t="shared" si="43"/>
        <v>790.40192875225387</v>
      </c>
      <c r="R107" s="8">
        <f t="shared" si="43"/>
        <v>621.80615076070637</v>
      </c>
      <c r="S107" s="8">
        <f t="shared" si="43"/>
        <v>489.44130626647393</v>
      </c>
      <c r="T107" s="7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9BC07-5941-0E4C-9D3D-F2B5CA1D08AB}">
  <dimension ref="A1:CC114"/>
  <sheetViews>
    <sheetView tabSelected="1" topLeftCell="AG1" zoomScale="98" zoomScaleNormal="100" workbookViewId="0">
      <selection activeCell="BX24" sqref="BX24"/>
    </sheetView>
  </sheetViews>
  <sheetFormatPr baseColWidth="10" defaultRowHeight="15"/>
  <cols>
    <col min="1" max="1" width="21" bestFit="1" customWidth="1"/>
    <col min="2" max="2" width="18.83203125" customWidth="1"/>
    <col min="3" max="3" width="12.5" customWidth="1"/>
    <col min="4" max="4" width="10.83203125" customWidth="1"/>
    <col min="5" max="5" width="12.33203125" bestFit="1" customWidth="1"/>
    <col min="6" max="11" width="10.83203125" customWidth="1"/>
    <col min="12" max="12" width="11.6640625" bestFit="1" customWidth="1"/>
    <col min="13" max="13" width="13.6640625" bestFit="1" customWidth="1"/>
    <col min="14" max="16" width="10.83203125" customWidth="1"/>
    <col min="18" max="18" width="11.33203125" bestFit="1" customWidth="1"/>
    <col min="24" max="24" width="12.1640625" bestFit="1" customWidth="1"/>
    <col min="33" max="33" width="10.83203125" customWidth="1"/>
    <col min="34" max="59" width="10.83203125" hidden="1" customWidth="1"/>
    <col min="60" max="62" width="10.83203125" customWidth="1"/>
    <col min="65" max="65" width="14.1640625" customWidth="1"/>
    <col min="66" max="66" width="13.5" customWidth="1"/>
    <col min="67" max="71" width="10.83203125" customWidth="1"/>
    <col min="73" max="73" width="0" hidden="1" customWidth="1"/>
    <col min="76" max="76" width="25.1640625" customWidth="1"/>
    <col min="79" max="79" width="21.6640625" bestFit="1" customWidth="1"/>
  </cols>
  <sheetData>
    <row r="1" spans="1:81" ht="16" thickBot="1">
      <c r="A1" t="s">
        <v>0</v>
      </c>
      <c r="B1" t="s">
        <v>1</v>
      </c>
      <c r="C1" t="s">
        <v>2</v>
      </c>
      <c r="D1" t="s">
        <v>97</v>
      </c>
      <c r="E1" t="s">
        <v>71</v>
      </c>
      <c r="F1" t="s">
        <v>72</v>
      </c>
      <c r="G1" t="s">
        <v>16</v>
      </c>
      <c r="H1" t="s">
        <v>17</v>
      </c>
      <c r="I1" t="s">
        <v>18</v>
      </c>
      <c r="J1" t="s">
        <v>91</v>
      </c>
      <c r="K1" t="s">
        <v>92</v>
      </c>
      <c r="L1" s="22" t="s">
        <v>100</v>
      </c>
      <c r="M1" s="22" t="s">
        <v>101</v>
      </c>
      <c r="N1" t="s">
        <v>102</v>
      </c>
      <c r="O1" t="s">
        <v>94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1</v>
      </c>
      <c r="X1">
        <v>1</v>
      </c>
      <c r="Y1">
        <v>2</v>
      </c>
      <c r="Z1">
        <v>3</v>
      </c>
      <c r="AA1">
        <v>4</v>
      </c>
      <c r="AB1">
        <v>5</v>
      </c>
      <c r="AC1">
        <v>6</v>
      </c>
      <c r="AD1">
        <v>7</v>
      </c>
      <c r="AE1" t="s">
        <v>104</v>
      </c>
      <c r="AF1" t="s">
        <v>120</v>
      </c>
      <c r="AG1" t="s">
        <v>147</v>
      </c>
      <c r="AH1" t="s">
        <v>118</v>
      </c>
      <c r="AI1" t="s">
        <v>105</v>
      </c>
      <c r="AJ1" t="s">
        <v>114</v>
      </c>
      <c r="AM1" t="s">
        <v>114</v>
      </c>
      <c r="AP1" t="s">
        <v>114</v>
      </c>
      <c r="AS1" t="s">
        <v>114</v>
      </c>
      <c r="AV1" t="s">
        <v>114</v>
      </c>
      <c r="AY1" t="s">
        <v>114</v>
      </c>
      <c r="BB1" t="s">
        <v>114</v>
      </c>
      <c r="BE1" t="s">
        <v>114</v>
      </c>
      <c r="BF1" t="s">
        <v>116</v>
      </c>
      <c r="BH1" t="s">
        <v>121</v>
      </c>
      <c r="BI1" t="s">
        <v>146</v>
      </c>
      <c r="BK1" t="s">
        <v>106</v>
      </c>
      <c r="BM1" s="28" t="s">
        <v>103</v>
      </c>
      <c r="BN1" s="29"/>
      <c r="BP1" t="s">
        <v>94</v>
      </c>
      <c r="BQ1" t="s">
        <v>95</v>
      </c>
      <c r="BR1" t="s">
        <v>96</v>
      </c>
      <c r="BS1" t="s">
        <v>107</v>
      </c>
      <c r="BU1" s="34" t="s">
        <v>111</v>
      </c>
      <c r="BX1" s="40" t="s">
        <v>145</v>
      </c>
      <c r="BY1" s="41" t="s">
        <v>144</v>
      </c>
      <c r="CA1" t="s">
        <v>145</v>
      </c>
      <c r="CB1" t="s">
        <v>144</v>
      </c>
      <c r="CC1" t="s">
        <v>143</v>
      </c>
    </row>
    <row r="2" spans="1:81" ht="16" thickBot="1">
      <c r="A2">
        <v>10.7</v>
      </c>
      <c r="B2" t="s">
        <v>3</v>
      </c>
      <c r="C2" t="s">
        <v>5</v>
      </c>
      <c r="D2" s="6">
        <v>3.5364627672282885E-2</v>
      </c>
      <c r="E2">
        <v>0.16213130122321784</v>
      </c>
      <c r="F2">
        <v>0.21812338151529329</v>
      </c>
      <c r="G2">
        <v>9.1999999999999998E-3</v>
      </c>
      <c r="H2">
        <v>9.1999999999999998E-3</v>
      </c>
      <c r="I2">
        <v>6.0000000000000001E-3</v>
      </c>
      <c r="J2">
        <f>E2+H2+I2</f>
        <v>0.17733130122321783</v>
      </c>
      <c r="K2">
        <f>F2+G2+I2</f>
        <v>0.2333233815152933</v>
      </c>
      <c r="L2" s="22">
        <f>J2</f>
        <v>0.17733130122321783</v>
      </c>
      <c r="M2" s="22">
        <f>K2</f>
        <v>0.2333233815152933</v>
      </c>
      <c r="N2">
        <f>L2*M2</f>
        <v>4.1375538849908251E-2</v>
      </c>
      <c r="O2">
        <f>$BM$2*$BN$2</f>
        <v>2.4238592370884842</v>
      </c>
      <c r="P2">
        <f>L2</f>
        <v>0.17733130122321783</v>
      </c>
      <c r="Q2" s="22">
        <f>L2*2</f>
        <v>0.35466260244643566</v>
      </c>
      <c r="R2">
        <f>L2*3</f>
        <v>0.53199390366965349</v>
      </c>
      <c r="S2">
        <f>L2*4</f>
        <v>0.70932520489287132</v>
      </c>
      <c r="T2">
        <f>L2*5</f>
        <v>0.88665650611608915</v>
      </c>
      <c r="U2">
        <f t="shared" ref="U2:U13" si="0">L2*6</f>
        <v>1.063987807339307</v>
      </c>
      <c r="V2">
        <f>L2*7</f>
        <v>1.2413191085625248</v>
      </c>
      <c r="W2">
        <v>2</v>
      </c>
      <c r="X2">
        <f>M2</f>
        <v>0.2333233815152933</v>
      </c>
      <c r="Y2" s="22">
        <f t="shared" ref="Y2:Y13" si="1">M2*2</f>
        <v>0.46664676303058661</v>
      </c>
      <c r="Z2">
        <f>M2*3</f>
        <v>0.69997014454587991</v>
      </c>
      <c r="AA2">
        <f>M2*4</f>
        <v>0.93329352606117322</v>
      </c>
      <c r="AB2">
        <f>M2*5</f>
        <v>1.1666169075764665</v>
      </c>
      <c r="AC2">
        <f>M2*6</f>
        <v>1.3999402890917598</v>
      </c>
      <c r="AD2">
        <f>M2*7</f>
        <v>1.6332636706070531</v>
      </c>
      <c r="AF2" cm="1">
        <f t="array" ref="AF2">MAX(IF(X2:AD2&lt;$BM$2,X2:AD2,""))</f>
        <v>1.6332636706070531</v>
      </c>
      <c r="AG2">
        <f>IFERROR(MATCH(AF2,X2:AD2),0)</f>
        <v>7</v>
      </c>
      <c r="AH2">
        <f>AG2-1</f>
        <v>6</v>
      </c>
      <c r="AI2">
        <f t="shared" ref="AI2:AI7" si="2">IFERROR(HLOOKUP(AG2,$P$1:$V$13,W2),0)</f>
        <v>1.2413191085625248</v>
      </c>
      <c r="AJ2" t="str">
        <f t="shared" ref="AJ2:AJ13" si="3">IF(AI2&gt;$BU$2,0,"a")</f>
        <v>a</v>
      </c>
      <c r="AK2">
        <f>IF(AJ2=0,AH2,AG2)</f>
        <v>7</v>
      </c>
      <c r="AL2">
        <f>IFERROR(HLOOKUP(AK2,$P$1:$V$13,W2),0)</f>
        <v>1.2413191085625248</v>
      </c>
      <c r="AM2" t="str">
        <f t="shared" ref="AM2:AM13" si="4">IF(AL2&gt;$BU$2,0,"a")</f>
        <v>a</v>
      </c>
      <c r="AN2">
        <f>IF(AM2=0,AK2-1,AK2)</f>
        <v>7</v>
      </c>
      <c r="AO2">
        <f>IFERROR(HLOOKUP(AN2,$P$1:$V$13,W2),0)</f>
        <v>1.2413191085625248</v>
      </c>
      <c r="AP2" t="str">
        <f t="shared" ref="AP2:AP13" si="5">IF(AO2&gt;$BU$2,0,"a")</f>
        <v>a</v>
      </c>
      <c r="AQ2">
        <f>IF(AP2=0,AN2-1,AN2)</f>
        <v>7</v>
      </c>
      <c r="AR2">
        <f>IFERROR(HLOOKUP(AQ2,$P$1:$V$13,W2),0)</f>
        <v>1.2413191085625248</v>
      </c>
      <c r="AS2" t="str">
        <f t="shared" ref="AS2:AS13" si="6">IF(AR2&gt;$BU$2,0,"a")</f>
        <v>a</v>
      </c>
      <c r="AT2">
        <f>IF(AS2=0,AQ2-1,AQ2)</f>
        <v>7</v>
      </c>
      <c r="AU2">
        <f>IFERROR(HLOOKUP(AT2,$P$1:$V$13,W2),0)</f>
        <v>1.2413191085625248</v>
      </c>
      <c r="AV2" t="str">
        <f t="shared" ref="AV2:AV13" si="7">IF(AU2&gt;$BU$2,0,"a")</f>
        <v>a</v>
      </c>
      <c r="AW2">
        <f>IF(AV2=0,AT2-1,AT2)</f>
        <v>7</v>
      </c>
      <c r="AX2">
        <f>IFERROR(HLOOKUP(AW2,$P$1:$V$13,W2),0)</f>
        <v>1.2413191085625248</v>
      </c>
      <c r="AY2" t="str">
        <f t="shared" ref="AY2:AY13" si="8">IF(AX2&gt;$BU$2,0,"a")</f>
        <v>a</v>
      </c>
      <c r="AZ2">
        <f>IF(AY2=0,AW2-1,AW2)</f>
        <v>7</v>
      </c>
      <c r="BA2">
        <f>IFERROR(HLOOKUP(AZ2,$P$1:$V$13,W2),0)</f>
        <v>1.2413191085625248</v>
      </c>
      <c r="BB2" t="str">
        <f t="shared" ref="BB2:BB13" si="9">IF(BA2&gt;$BU$2,0,"a")</f>
        <v>a</v>
      </c>
      <c r="BC2">
        <f>IF(BB2=0,AZ2-1,AZ2)</f>
        <v>7</v>
      </c>
      <c r="BD2">
        <f>IFERROR(HLOOKUP(BC2,$P$1:$V$13,W2),0)</f>
        <v>1.2413191085625248</v>
      </c>
      <c r="BE2" t="str">
        <f>IF(BD2&gt;$BU$2,0,"a")</f>
        <v>a</v>
      </c>
      <c r="BF2">
        <f>IFERROR(MATCH("a",AI2:AZ2,0),0)</f>
        <v>2</v>
      </c>
      <c r="BG2">
        <f>BF2+1</f>
        <v>3</v>
      </c>
      <c r="BH2">
        <f ca="1">OFFSET(AI2,0,BG2)</f>
        <v>1.2413191085625248</v>
      </c>
      <c r="BI2">
        <f t="shared" ref="BI2:BI7" ca="1" si="10">IFERROR(MATCH(BH2,P2:V2),0)</f>
        <v>7</v>
      </c>
      <c r="BK2">
        <f ca="1">BI2*AG2</f>
        <v>49</v>
      </c>
      <c r="BM2" s="30">
        <v>1.7989250689218017</v>
      </c>
      <c r="BN2" s="31">
        <v>1.3473931065629328</v>
      </c>
      <c r="BP2">
        <f>$BM$2*$BN$2</f>
        <v>2.4238592370884842</v>
      </c>
      <c r="BQ2">
        <f t="shared" ref="BQ2:BQ13" ca="1" si="11">N2*BK2</f>
        <v>2.0274014036455044</v>
      </c>
      <c r="BR2">
        <f ca="1">$BP$2-BQ2</f>
        <v>0.3964578334429798</v>
      </c>
      <c r="BS2" s="5">
        <f ca="1">BR2/$BP$2</f>
        <v>0.16356471010222567</v>
      </c>
      <c r="BU2" s="34">
        <f>BN2</f>
        <v>1.3473931065629328</v>
      </c>
      <c r="BX2" s="38" t="s">
        <v>125</v>
      </c>
      <c r="BY2" s="39">
        <v>0</v>
      </c>
      <c r="CA2" t="s">
        <v>124</v>
      </c>
      <c r="CB2">
        <v>-5.0799999999999998E-2</v>
      </c>
      <c r="CC2" s="1">
        <v>0.25</v>
      </c>
    </row>
    <row r="3" spans="1:81">
      <c r="A3">
        <v>11.7</v>
      </c>
      <c r="B3" t="s">
        <v>4</v>
      </c>
      <c r="C3" t="s">
        <v>5</v>
      </c>
      <c r="D3" s="6">
        <v>4.2283726806348183E-2</v>
      </c>
      <c r="E3">
        <v>0.17728375928146251</v>
      </c>
      <c r="F3">
        <v>0.23850874427373189</v>
      </c>
      <c r="G3">
        <v>9.1999999999999998E-3</v>
      </c>
      <c r="H3">
        <v>9.1999999999999998E-3</v>
      </c>
      <c r="I3">
        <v>6.0000000000000001E-3</v>
      </c>
      <c r="J3">
        <f t="shared" ref="J3:J13" si="12">E3+H3+I3</f>
        <v>0.1924837592814625</v>
      </c>
      <c r="K3">
        <f t="shared" ref="K3:K13" si="13">F3+G3+I3</f>
        <v>0.25370874427373191</v>
      </c>
      <c r="L3" s="22">
        <f t="shared" ref="L3:L6" si="14">J3</f>
        <v>0.1924837592814625</v>
      </c>
      <c r="M3" s="22">
        <f t="shared" ref="M3:M6" si="15">K3</f>
        <v>0.25370874427373191</v>
      </c>
      <c r="N3">
        <f t="shared" ref="N3:N13" si="16">L3*M3</f>
        <v>4.8834812860387142E-2</v>
      </c>
      <c r="P3">
        <f t="shared" ref="P3:P13" si="17">L3</f>
        <v>0.1924837592814625</v>
      </c>
      <c r="Q3" s="22">
        <f t="shared" ref="Q3:Q13" si="18">L3*2</f>
        <v>0.38496751856292499</v>
      </c>
      <c r="R3">
        <f t="shared" ref="R3:R13" si="19">L3*3</f>
        <v>0.57745127784438743</v>
      </c>
      <c r="S3">
        <f t="shared" ref="S3:S13" si="20">L3*4</f>
        <v>0.76993503712584999</v>
      </c>
      <c r="T3">
        <f t="shared" ref="T3:T13" si="21">L3*5</f>
        <v>0.96241879640731254</v>
      </c>
      <c r="U3">
        <f t="shared" si="0"/>
        <v>1.1549025556887749</v>
      </c>
      <c r="V3">
        <f t="shared" ref="V3:V13" si="22">L3*7</f>
        <v>1.3473863149702374</v>
      </c>
      <c r="W3">
        <v>3</v>
      </c>
      <c r="X3">
        <f t="shared" ref="X3:X13" si="23">M3</f>
        <v>0.25370874427373191</v>
      </c>
      <c r="Y3" s="22">
        <f t="shared" si="1"/>
        <v>0.50741748854746382</v>
      </c>
      <c r="Z3">
        <f t="shared" ref="Z3:Z13" si="24">M3*3</f>
        <v>0.76112623282119574</v>
      </c>
      <c r="AA3">
        <f t="shared" ref="AA3:AA13" si="25">M3*4</f>
        <v>1.0148349770949276</v>
      </c>
      <c r="AB3">
        <f t="shared" ref="AB3:AB13" si="26">M3*5</f>
        <v>1.2685437213686597</v>
      </c>
      <c r="AC3">
        <f t="shared" ref="AC3:AC13" si="27">M3*6</f>
        <v>1.5222524656423915</v>
      </c>
      <c r="AD3">
        <f t="shared" ref="AD3:AD13" si="28">M3*7</f>
        <v>1.7759612099161233</v>
      </c>
      <c r="AF3" cm="1">
        <f t="array" ref="AF3">MAX(IF(X3:AD3&lt;$BM$2,X3:AD3,""))</f>
        <v>1.7759612099161233</v>
      </c>
      <c r="AG3">
        <f t="shared" ref="AG3:AG7" si="29">IFERROR(MATCH(AF3,X3:AD3),0)</f>
        <v>7</v>
      </c>
      <c r="AH3">
        <f t="shared" ref="AH3:AH13" si="30">AG3-1</f>
        <v>6</v>
      </c>
      <c r="AI3">
        <f t="shared" si="2"/>
        <v>1.3473863149702374</v>
      </c>
      <c r="AJ3" t="str">
        <f t="shared" si="3"/>
        <v>a</v>
      </c>
      <c r="AK3">
        <f t="shared" ref="AK3:AK13" si="31">IF(AJ3=0,AH3,AG3)</f>
        <v>7</v>
      </c>
      <c r="AL3">
        <f t="shared" ref="AL3:AL7" si="32">IFERROR(HLOOKUP(AK3,$P$1:$V$13,W3),0)</f>
        <v>1.3473863149702374</v>
      </c>
      <c r="AM3" t="str">
        <f t="shared" si="4"/>
        <v>a</v>
      </c>
      <c r="AN3">
        <f t="shared" ref="AN3:AN13" si="33">IF(AM3=0,AK3-1,AK3)</f>
        <v>7</v>
      </c>
      <c r="AO3">
        <f t="shared" ref="AO3:AO7" si="34">IFERROR(HLOOKUP(AN3,$P$1:$V$13,W3),0)</f>
        <v>1.3473863149702374</v>
      </c>
      <c r="AP3" t="str">
        <f t="shared" si="5"/>
        <v>a</v>
      </c>
      <c r="AQ3">
        <f t="shared" ref="AQ3:AQ13" si="35">IF(AP3=0,AN3-1,AN3)</f>
        <v>7</v>
      </c>
      <c r="AR3">
        <f t="shared" ref="AR3:AR7" si="36">IFERROR(HLOOKUP(AQ3,$P$1:$V$13,W3),0)</f>
        <v>1.3473863149702374</v>
      </c>
      <c r="AS3" t="str">
        <f t="shared" si="6"/>
        <v>a</v>
      </c>
      <c r="AT3">
        <f t="shared" ref="AT3:AT13" si="37">IF(AS3=0,AQ3-1,AQ3)</f>
        <v>7</v>
      </c>
      <c r="AU3">
        <f t="shared" ref="AU3:AU7" si="38">IFERROR(HLOOKUP(AT3,$P$1:$V$13,W3),0)</f>
        <v>1.3473863149702374</v>
      </c>
      <c r="AV3" t="str">
        <f t="shared" si="7"/>
        <v>a</v>
      </c>
      <c r="AW3">
        <f t="shared" ref="AW3:AW13" si="39">IF(AV3=0,AT3-1,AT3)</f>
        <v>7</v>
      </c>
      <c r="AX3">
        <f t="shared" ref="AX3:AX7" si="40">IFERROR(HLOOKUP(AW3,$P$1:$V$13,W3),0)</f>
        <v>1.3473863149702374</v>
      </c>
      <c r="AY3" t="str">
        <f t="shared" si="8"/>
        <v>a</v>
      </c>
      <c r="AZ3">
        <f t="shared" ref="AZ3:AZ13" si="41">IF(AY3=0,AW3-1,AW3)</f>
        <v>7</v>
      </c>
      <c r="BA3">
        <f t="shared" ref="BA3:BA7" si="42">IFERROR(HLOOKUP(AZ3,$P$1:$V$13,W3),0)</f>
        <v>1.3473863149702374</v>
      </c>
      <c r="BB3" t="str">
        <f t="shared" si="9"/>
        <v>a</v>
      </c>
      <c r="BC3">
        <f t="shared" ref="BC3:BC8" si="43">IF(BB3=0,AZ3-1,AZ3)</f>
        <v>7</v>
      </c>
      <c r="BF3">
        <f t="shared" ref="BF3:BF13" si="44">IFERROR(MATCH("a",AI3:AZ3,0),0)</f>
        <v>2</v>
      </c>
      <c r="BG3">
        <f t="shared" ref="BG3:BG13" si="45">BF3+1</f>
        <v>3</v>
      </c>
      <c r="BH3">
        <f t="shared" ref="BH3:BH12" ca="1" si="46">OFFSET(AI3,0,BG3)</f>
        <v>1.3473863149702374</v>
      </c>
      <c r="BI3">
        <f t="shared" ca="1" si="10"/>
        <v>7</v>
      </c>
      <c r="BK3">
        <f t="shared" ref="BK3:BK13" ca="1" si="47">BI3*AG3</f>
        <v>49</v>
      </c>
      <c r="BQ3">
        <f t="shared" ca="1" si="11"/>
        <v>2.3929058301589698</v>
      </c>
      <c r="BR3">
        <f t="shared" ref="BR3:BR13" ca="1" si="48">$BP$2-BQ3</f>
        <v>3.0953406929514315E-2</v>
      </c>
      <c r="BS3" s="5">
        <f t="shared" ref="BS3:BS13" ca="1" si="49">BR3/$BP$2</f>
        <v>1.2770298891900688E-2</v>
      </c>
      <c r="BX3" s="38" t="s">
        <v>126</v>
      </c>
      <c r="BY3" s="39">
        <v>1</v>
      </c>
      <c r="CA3" t="s">
        <v>138</v>
      </c>
      <c r="CB3">
        <v>0</v>
      </c>
      <c r="CC3" s="1">
        <v>0.5</v>
      </c>
    </row>
    <row r="4" spans="1:81" ht="16" thickBot="1">
      <c r="A4">
        <v>16.5</v>
      </c>
      <c r="B4" t="s">
        <v>6</v>
      </c>
      <c r="C4" t="s">
        <v>7</v>
      </c>
      <c r="D4" s="6">
        <v>7.755129554286265E-2</v>
      </c>
      <c r="E4">
        <v>0.21589042811593984</v>
      </c>
      <c r="F4">
        <v>0.35921599776167568</v>
      </c>
      <c r="G4">
        <v>8.6999999999999994E-3</v>
      </c>
      <c r="H4">
        <v>8.6999999999999994E-3</v>
      </c>
      <c r="I4">
        <v>7.0000000000000001E-3</v>
      </c>
      <c r="J4">
        <f t="shared" si="12"/>
        <v>0.23159042811593983</v>
      </c>
      <c r="K4">
        <f t="shared" si="13"/>
        <v>0.37491599776167567</v>
      </c>
      <c r="L4" s="22">
        <f t="shared" si="14"/>
        <v>0.23159042811593983</v>
      </c>
      <c r="M4" s="22">
        <f t="shared" si="15"/>
        <v>0.37491599776167567</v>
      </c>
      <c r="N4">
        <f t="shared" si="16"/>
        <v>8.6826956429141205E-2</v>
      </c>
      <c r="P4">
        <f t="shared" si="17"/>
        <v>0.23159042811593983</v>
      </c>
      <c r="Q4" s="22">
        <f t="shared" si="18"/>
        <v>0.46318085623187966</v>
      </c>
      <c r="R4">
        <f t="shared" si="19"/>
        <v>0.69477128434781954</v>
      </c>
      <c r="S4">
        <f t="shared" si="20"/>
        <v>0.92636171246375931</v>
      </c>
      <c r="T4">
        <f t="shared" si="21"/>
        <v>1.1579521405796991</v>
      </c>
      <c r="U4">
        <f t="shared" si="0"/>
        <v>1.3895425686956391</v>
      </c>
      <c r="V4">
        <f t="shared" si="22"/>
        <v>1.6211329968115789</v>
      </c>
      <c r="W4">
        <v>4</v>
      </c>
      <c r="X4">
        <f t="shared" si="23"/>
        <v>0.37491599776167567</v>
      </c>
      <c r="Y4" s="22">
        <f t="shared" si="1"/>
        <v>0.74983199552335134</v>
      </c>
      <c r="Z4">
        <f t="shared" si="24"/>
        <v>1.1247479932850271</v>
      </c>
      <c r="AA4">
        <f t="shared" si="25"/>
        <v>1.4996639910467027</v>
      </c>
      <c r="AB4">
        <f t="shared" si="26"/>
        <v>1.8745799888083783</v>
      </c>
      <c r="AC4">
        <f t="shared" si="27"/>
        <v>2.2494959865700541</v>
      </c>
      <c r="AD4">
        <f t="shared" si="28"/>
        <v>2.6244119843317297</v>
      </c>
      <c r="AF4" cm="1">
        <f t="array" ref="AF4">MAX(IF(X4:AD4&lt;$BM$2,X4:AD4,""))</f>
        <v>1.4996639910467027</v>
      </c>
      <c r="AG4">
        <f t="shared" si="29"/>
        <v>4</v>
      </c>
      <c r="AH4">
        <f t="shared" si="30"/>
        <v>3</v>
      </c>
      <c r="AI4">
        <f t="shared" si="2"/>
        <v>0.92636171246375931</v>
      </c>
      <c r="AJ4" t="str">
        <f t="shared" si="3"/>
        <v>a</v>
      </c>
      <c r="AK4">
        <f t="shared" si="31"/>
        <v>4</v>
      </c>
      <c r="AL4">
        <f t="shared" si="32"/>
        <v>0.92636171246375931</v>
      </c>
      <c r="AM4" t="str">
        <f t="shared" si="4"/>
        <v>a</v>
      </c>
      <c r="AN4">
        <f t="shared" si="33"/>
        <v>4</v>
      </c>
      <c r="AO4">
        <f t="shared" si="34"/>
        <v>0.92636171246375931</v>
      </c>
      <c r="AP4" t="str">
        <f t="shared" si="5"/>
        <v>a</v>
      </c>
      <c r="AQ4">
        <f t="shared" si="35"/>
        <v>4</v>
      </c>
      <c r="AR4">
        <f t="shared" si="36"/>
        <v>0.92636171246375931</v>
      </c>
      <c r="AS4" t="str">
        <f t="shared" si="6"/>
        <v>a</v>
      </c>
      <c r="AT4">
        <f t="shared" si="37"/>
        <v>4</v>
      </c>
      <c r="AU4">
        <f t="shared" si="38"/>
        <v>0.92636171246375931</v>
      </c>
      <c r="AV4" t="str">
        <f t="shared" si="7"/>
        <v>a</v>
      </c>
      <c r="AW4">
        <f t="shared" si="39"/>
        <v>4</v>
      </c>
      <c r="AX4">
        <f t="shared" si="40"/>
        <v>0.92636171246375931</v>
      </c>
      <c r="AY4" t="str">
        <f t="shared" si="8"/>
        <v>a</v>
      </c>
      <c r="AZ4">
        <f t="shared" si="41"/>
        <v>4</v>
      </c>
      <c r="BA4">
        <f t="shared" si="42"/>
        <v>0.92636171246375931</v>
      </c>
      <c r="BB4" t="str">
        <f t="shared" si="9"/>
        <v>a</v>
      </c>
      <c r="BC4">
        <f t="shared" si="43"/>
        <v>4</v>
      </c>
      <c r="BF4">
        <f t="shared" si="44"/>
        <v>2</v>
      </c>
      <c r="BG4">
        <f t="shared" si="45"/>
        <v>3</v>
      </c>
      <c r="BH4">
        <f t="shared" ca="1" si="46"/>
        <v>0.92636171246375931</v>
      </c>
      <c r="BI4">
        <f t="shared" ca="1" si="10"/>
        <v>4</v>
      </c>
      <c r="BK4">
        <f t="shared" ca="1" si="47"/>
        <v>16</v>
      </c>
      <c r="BQ4">
        <f t="shared" ca="1" si="11"/>
        <v>1.3892313028662593</v>
      </c>
      <c r="BR4">
        <f t="shared" ca="1" si="48"/>
        <v>1.0346279342222249</v>
      </c>
      <c r="BS4" s="5">
        <f t="shared" ca="1" si="49"/>
        <v>0.42685149302028352</v>
      </c>
      <c r="BX4" s="38" t="s">
        <v>131</v>
      </c>
      <c r="BY4" s="39">
        <v>1</v>
      </c>
      <c r="CA4" s="20" t="s">
        <v>123</v>
      </c>
      <c r="CB4">
        <v>2.5399999999999999E-2</v>
      </c>
      <c r="CC4" s="1">
        <v>0.25</v>
      </c>
    </row>
    <row r="5" spans="1:81">
      <c r="A5">
        <v>20.9</v>
      </c>
      <c r="B5" t="s">
        <v>8</v>
      </c>
      <c r="C5" t="s">
        <v>7</v>
      </c>
      <c r="D5" s="6">
        <v>0.13492552199781541</v>
      </c>
      <c r="E5">
        <v>0.31668637341731337</v>
      </c>
      <c r="F5">
        <v>0.42605408165136727</v>
      </c>
      <c r="G5">
        <v>8.6999999999999994E-3</v>
      </c>
      <c r="H5">
        <v>8.6999999999999994E-3</v>
      </c>
      <c r="I5">
        <v>7.0000000000000001E-3</v>
      </c>
      <c r="J5">
        <f t="shared" si="12"/>
        <v>0.33238637341731336</v>
      </c>
      <c r="K5">
        <f t="shared" si="13"/>
        <v>0.44175408165136726</v>
      </c>
      <c r="L5" s="22">
        <f t="shared" si="14"/>
        <v>0.33238637341731336</v>
      </c>
      <c r="M5" s="22">
        <f t="shared" si="15"/>
        <v>0.44175408165136726</v>
      </c>
      <c r="N5">
        <f t="shared" si="16"/>
        <v>0.14683303714239371</v>
      </c>
      <c r="P5">
        <f t="shared" si="17"/>
        <v>0.33238637341731336</v>
      </c>
      <c r="Q5" s="22">
        <f t="shared" si="18"/>
        <v>0.66477274683462673</v>
      </c>
      <c r="R5">
        <f t="shared" si="19"/>
        <v>0.99715912025194009</v>
      </c>
      <c r="S5">
        <f t="shared" si="20"/>
        <v>1.3295454936692535</v>
      </c>
      <c r="T5">
        <f t="shared" si="21"/>
        <v>1.6619318670865668</v>
      </c>
      <c r="U5">
        <f t="shared" si="0"/>
        <v>1.9943182405038802</v>
      </c>
      <c r="V5">
        <f t="shared" si="22"/>
        <v>2.3267046139211933</v>
      </c>
      <c r="W5">
        <v>5</v>
      </c>
      <c r="X5">
        <f t="shared" si="23"/>
        <v>0.44175408165136726</v>
      </c>
      <c r="Y5" s="22">
        <f t="shared" si="1"/>
        <v>0.88350816330273452</v>
      </c>
      <c r="Z5">
        <f t="shared" si="24"/>
        <v>1.3252622449541018</v>
      </c>
      <c r="AA5">
        <f t="shared" si="25"/>
        <v>1.767016326605469</v>
      </c>
      <c r="AB5">
        <f t="shared" si="26"/>
        <v>2.2087704082568362</v>
      </c>
      <c r="AC5">
        <f t="shared" si="27"/>
        <v>2.6505244899082037</v>
      </c>
      <c r="AD5">
        <f t="shared" si="28"/>
        <v>3.0922785715595706</v>
      </c>
      <c r="AF5" cm="1">
        <f t="array" ref="AF5">MAX(IF(X5:AD5&lt;$BM$2,X5:AD5,""))</f>
        <v>1.767016326605469</v>
      </c>
      <c r="AG5">
        <f t="shared" si="29"/>
        <v>4</v>
      </c>
      <c r="AH5">
        <f t="shared" si="30"/>
        <v>3</v>
      </c>
      <c r="AI5">
        <f t="shared" si="2"/>
        <v>1.3295454936692535</v>
      </c>
      <c r="AJ5" t="str">
        <f t="shared" si="3"/>
        <v>a</v>
      </c>
      <c r="AK5">
        <f t="shared" si="31"/>
        <v>4</v>
      </c>
      <c r="AL5">
        <f t="shared" si="32"/>
        <v>1.3295454936692535</v>
      </c>
      <c r="AM5" t="str">
        <f t="shared" si="4"/>
        <v>a</v>
      </c>
      <c r="AN5">
        <f t="shared" si="33"/>
        <v>4</v>
      </c>
      <c r="AO5">
        <f t="shared" si="34"/>
        <v>1.3295454936692535</v>
      </c>
      <c r="AP5" t="str">
        <f t="shared" si="5"/>
        <v>a</v>
      </c>
      <c r="AQ5">
        <f t="shared" si="35"/>
        <v>4</v>
      </c>
      <c r="AR5">
        <f t="shared" si="36"/>
        <v>1.3295454936692535</v>
      </c>
      <c r="AS5" t="str">
        <f t="shared" si="6"/>
        <v>a</v>
      </c>
      <c r="AT5">
        <f t="shared" si="37"/>
        <v>4</v>
      </c>
      <c r="AU5">
        <f t="shared" si="38"/>
        <v>1.3295454936692535</v>
      </c>
      <c r="AV5" t="str">
        <f t="shared" si="7"/>
        <v>a</v>
      </c>
      <c r="AW5">
        <f t="shared" si="39"/>
        <v>4</v>
      </c>
      <c r="AX5">
        <f t="shared" si="40"/>
        <v>1.3295454936692535</v>
      </c>
      <c r="AY5" t="str">
        <f t="shared" si="8"/>
        <v>a</v>
      </c>
      <c r="AZ5">
        <f t="shared" si="41"/>
        <v>4</v>
      </c>
      <c r="BA5">
        <f t="shared" si="42"/>
        <v>1.3295454936692535</v>
      </c>
      <c r="BB5" t="str">
        <f t="shared" si="9"/>
        <v>a</v>
      </c>
      <c r="BC5">
        <f t="shared" si="43"/>
        <v>4</v>
      </c>
      <c r="BF5">
        <f t="shared" si="44"/>
        <v>2</v>
      </c>
      <c r="BG5">
        <f t="shared" si="45"/>
        <v>3</v>
      </c>
      <c r="BH5">
        <f t="shared" ca="1" si="46"/>
        <v>1.3295454936692535</v>
      </c>
      <c r="BI5">
        <f t="shared" ca="1" si="10"/>
        <v>4</v>
      </c>
      <c r="BK5">
        <f t="shared" ca="1" si="47"/>
        <v>16</v>
      </c>
      <c r="BM5" s="28" t="s">
        <v>109</v>
      </c>
      <c r="BN5" s="46">
        <f ca="1">P51</f>
        <v>17232.207540087653</v>
      </c>
      <c r="BQ5">
        <f t="shared" ca="1" si="11"/>
        <v>2.3493285942782993</v>
      </c>
      <c r="BR5">
        <f t="shared" ca="1" si="48"/>
        <v>7.4530642810184844E-2</v>
      </c>
      <c r="BS5" s="5">
        <f t="shared" ca="1" si="49"/>
        <v>3.0748750451247458E-2</v>
      </c>
      <c r="BX5" s="38" t="s">
        <v>134</v>
      </c>
      <c r="BY5" s="39">
        <v>1</v>
      </c>
    </row>
    <row r="6" spans="1:81">
      <c r="A6">
        <v>23.8</v>
      </c>
      <c r="B6" t="s">
        <v>9</v>
      </c>
      <c r="C6" t="s">
        <v>7</v>
      </c>
      <c r="D6" s="6">
        <v>0.17496671935267638</v>
      </c>
      <c r="E6">
        <v>0.36062850178622291</v>
      </c>
      <c r="F6">
        <v>0.48517163365083926</v>
      </c>
      <c r="G6">
        <v>8.6999999999999994E-3</v>
      </c>
      <c r="H6">
        <v>8.6999999999999994E-3</v>
      </c>
      <c r="I6">
        <v>7.0000000000000001E-3</v>
      </c>
      <c r="J6">
        <f t="shared" si="12"/>
        <v>0.3763285017862229</v>
      </c>
      <c r="K6">
        <f t="shared" si="13"/>
        <v>0.5008716336508392</v>
      </c>
      <c r="L6" s="22">
        <f t="shared" si="14"/>
        <v>0.3763285017862229</v>
      </c>
      <c r="M6" s="22">
        <f t="shared" si="15"/>
        <v>0.5008716336508392</v>
      </c>
      <c r="N6">
        <f t="shared" si="16"/>
        <v>0.18849227147903821</v>
      </c>
      <c r="P6">
        <f t="shared" si="17"/>
        <v>0.3763285017862229</v>
      </c>
      <c r="Q6" s="22">
        <f t="shared" si="18"/>
        <v>0.7526570035724458</v>
      </c>
      <c r="R6">
        <f t="shared" si="19"/>
        <v>1.1289855053586688</v>
      </c>
      <c r="S6">
        <f t="shared" si="20"/>
        <v>1.5053140071448916</v>
      </c>
      <c r="T6">
        <f t="shared" si="21"/>
        <v>1.8816425089311144</v>
      </c>
      <c r="U6">
        <f t="shared" si="0"/>
        <v>2.2579710107173376</v>
      </c>
      <c r="V6">
        <f t="shared" si="22"/>
        <v>2.6342995125035604</v>
      </c>
      <c r="W6">
        <v>6</v>
      </c>
      <c r="X6">
        <f t="shared" si="23"/>
        <v>0.5008716336508392</v>
      </c>
      <c r="Y6" s="22">
        <f t="shared" si="1"/>
        <v>1.0017432673016784</v>
      </c>
      <c r="Z6">
        <f t="shared" si="24"/>
        <v>1.5026149009525176</v>
      </c>
      <c r="AA6">
        <f t="shared" si="25"/>
        <v>2.0034865346033568</v>
      </c>
      <c r="AB6">
        <f t="shared" si="26"/>
        <v>2.5043581682541962</v>
      </c>
      <c r="AC6">
        <f t="shared" si="27"/>
        <v>3.0052298019050352</v>
      </c>
      <c r="AD6">
        <f t="shared" si="28"/>
        <v>3.5061014355558742</v>
      </c>
      <c r="AF6" cm="1">
        <f t="array" ref="AF6">MAX(IF(X6:AD6&lt;$BM$2,X6:AD6,""))</f>
        <v>1.5026149009525176</v>
      </c>
      <c r="AG6">
        <f t="shared" si="29"/>
        <v>3</v>
      </c>
      <c r="AH6">
        <f t="shared" si="30"/>
        <v>2</v>
      </c>
      <c r="AI6">
        <f t="shared" si="2"/>
        <v>1.1289855053586688</v>
      </c>
      <c r="AJ6" t="str">
        <f t="shared" si="3"/>
        <v>a</v>
      </c>
      <c r="AK6">
        <f t="shared" si="31"/>
        <v>3</v>
      </c>
      <c r="AL6">
        <f t="shared" si="32"/>
        <v>1.1289855053586688</v>
      </c>
      <c r="AM6" t="str">
        <f t="shared" si="4"/>
        <v>a</v>
      </c>
      <c r="AN6">
        <f t="shared" si="33"/>
        <v>3</v>
      </c>
      <c r="AO6">
        <f t="shared" si="34"/>
        <v>1.1289855053586688</v>
      </c>
      <c r="AP6" t="str">
        <f t="shared" si="5"/>
        <v>a</v>
      </c>
      <c r="AQ6">
        <f t="shared" si="35"/>
        <v>3</v>
      </c>
      <c r="AR6">
        <f t="shared" si="36"/>
        <v>1.1289855053586688</v>
      </c>
      <c r="AS6" t="str">
        <f t="shared" si="6"/>
        <v>a</v>
      </c>
      <c r="AT6">
        <f t="shared" si="37"/>
        <v>3</v>
      </c>
      <c r="AU6">
        <f t="shared" si="38"/>
        <v>1.1289855053586688</v>
      </c>
      <c r="AV6" t="str">
        <f t="shared" si="7"/>
        <v>a</v>
      </c>
      <c r="AW6">
        <f t="shared" si="39"/>
        <v>3</v>
      </c>
      <c r="AX6">
        <f t="shared" si="40"/>
        <v>1.1289855053586688</v>
      </c>
      <c r="AY6" t="str">
        <f t="shared" si="8"/>
        <v>a</v>
      </c>
      <c r="AZ6">
        <f t="shared" si="41"/>
        <v>3</v>
      </c>
      <c r="BA6">
        <f t="shared" si="42"/>
        <v>1.1289855053586688</v>
      </c>
      <c r="BB6" t="str">
        <f t="shared" si="9"/>
        <v>a</v>
      </c>
      <c r="BC6">
        <f t="shared" si="43"/>
        <v>3</v>
      </c>
      <c r="BF6">
        <f t="shared" si="44"/>
        <v>2</v>
      </c>
      <c r="BG6">
        <f t="shared" si="45"/>
        <v>3</v>
      </c>
      <c r="BH6">
        <f t="shared" ca="1" si="46"/>
        <v>1.1289855053586688</v>
      </c>
      <c r="BI6">
        <f t="shared" ca="1" si="10"/>
        <v>3</v>
      </c>
      <c r="BK6">
        <f t="shared" ca="1" si="47"/>
        <v>9</v>
      </c>
      <c r="BM6" s="38" t="s">
        <v>173</v>
      </c>
      <c r="BN6" s="47">
        <f ca="1">R114</f>
        <v>719718628.45546639</v>
      </c>
      <c r="BQ6">
        <f t="shared" ca="1" si="11"/>
        <v>1.696430443311344</v>
      </c>
      <c r="BR6">
        <f t="shared" ca="1" si="48"/>
        <v>0.7274287937771402</v>
      </c>
      <c r="BS6" s="5">
        <f t="shared" ca="1" si="49"/>
        <v>0.30011181451729868</v>
      </c>
      <c r="BX6" s="38" t="s">
        <v>137</v>
      </c>
      <c r="BY6" s="39">
        <v>1</v>
      </c>
      <c r="CA6" t="s">
        <v>127</v>
      </c>
      <c r="CB6">
        <v>1.2</v>
      </c>
      <c r="CC6" s="1">
        <v>0.25</v>
      </c>
    </row>
    <row r="7" spans="1:81" ht="16" thickBot="1">
      <c r="A7">
        <v>19.2</v>
      </c>
      <c r="B7" t="s">
        <v>10</v>
      </c>
      <c r="C7" t="s">
        <v>11</v>
      </c>
      <c r="D7" s="6">
        <v>0.11386860289204613</v>
      </c>
      <c r="E7">
        <v>0.29092719471829742</v>
      </c>
      <c r="F7">
        <v>0.39139896496202159</v>
      </c>
      <c r="G7">
        <v>9.1999999999999998E-3</v>
      </c>
      <c r="H7">
        <v>9.1999999999999998E-3</v>
      </c>
      <c r="I7">
        <v>8.0000000000000002E-3</v>
      </c>
      <c r="J7">
        <f t="shared" si="12"/>
        <v>0.30812719471829741</v>
      </c>
      <c r="K7">
        <f t="shared" si="13"/>
        <v>0.40859896496202158</v>
      </c>
      <c r="L7" s="22">
        <f>J7+$BY$2</f>
        <v>0.30812719471829741</v>
      </c>
      <c r="M7" s="22">
        <f>K7+$BY$2</f>
        <v>0.40859896496202158</v>
      </c>
      <c r="N7">
        <f t="shared" si="16"/>
        <v>0.12590045283854762</v>
      </c>
      <c r="P7">
        <f t="shared" si="17"/>
        <v>0.30812719471829741</v>
      </c>
      <c r="Q7" s="22">
        <f t="shared" si="18"/>
        <v>0.61625438943659483</v>
      </c>
      <c r="R7">
        <f t="shared" si="19"/>
        <v>0.92438158415489224</v>
      </c>
      <c r="S7">
        <f t="shared" si="20"/>
        <v>1.2325087788731897</v>
      </c>
      <c r="T7">
        <f t="shared" si="21"/>
        <v>1.540635973591487</v>
      </c>
      <c r="U7">
        <f t="shared" si="0"/>
        <v>1.8487631683097845</v>
      </c>
      <c r="V7">
        <f t="shared" si="22"/>
        <v>2.156890363028082</v>
      </c>
      <c r="W7">
        <v>7</v>
      </c>
      <c r="X7">
        <f t="shared" si="23"/>
        <v>0.40859896496202158</v>
      </c>
      <c r="Y7" s="22">
        <f t="shared" si="1"/>
        <v>0.81719792992404316</v>
      </c>
      <c r="Z7">
        <f t="shared" si="24"/>
        <v>1.2257968948860647</v>
      </c>
      <c r="AA7">
        <f t="shared" si="25"/>
        <v>1.6343958598480863</v>
      </c>
      <c r="AB7">
        <f t="shared" si="26"/>
        <v>2.042994824810108</v>
      </c>
      <c r="AC7">
        <f t="shared" si="27"/>
        <v>2.4515937897721294</v>
      </c>
      <c r="AD7">
        <f t="shared" si="28"/>
        <v>2.8601927547341512</v>
      </c>
      <c r="AF7" cm="1">
        <f t="array" ref="AF7">MAX(IF(X7:AD7&lt;$BM$2,X7:AD7,""))</f>
        <v>1.6343958598480863</v>
      </c>
      <c r="AG7">
        <f t="shared" si="29"/>
        <v>4</v>
      </c>
      <c r="AH7">
        <f t="shared" si="30"/>
        <v>3</v>
      </c>
      <c r="AI7">
        <f t="shared" si="2"/>
        <v>1.2325087788731897</v>
      </c>
      <c r="AJ7" t="str">
        <f t="shared" si="3"/>
        <v>a</v>
      </c>
      <c r="AK7">
        <f t="shared" si="31"/>
        <v>4</v>
      </c>
      <c r="AL7">
        <f t="shared" si="32"/>
        <v>1.2325087788731897</v>
      </c>
      <c r="AM7" t="str">
        <f t="shared" si="4"/>
        <v>a</v>
      </c>
      <c r="AN7">
        <f t="shared" si="33"/>
        <v>4</v>
      </c>
      <c r="AO7">
        <f t="shared" si="34"/>
        <v>1.2325087788731897</v>
      </c>
      <c r="AP7" t="str">
        <f t="shared" si="5"/>
        <v>a</v>
      </c>
      <c r="AQ7">
        <f t="shared" si="35"/>
        <v>4</v>
      </c>
      <c r="AR7">
        <f t="shared" si="36"/>
        <v>1.2325087788731897</v>
      </c>
      <c r="AS7" t="str">
        <f t="shared" si="6"/>
        <v>a</v>
      </c>
      <c r="AT7">
        <f t="shared" si="37"/>
        <v>4</v>
      </c>
      <c r="AU7">
        <f t="shared" si="38"/>
        <v>1.2325087788731897</v>
      </c>
      <c r="AV7" t="str">
        <f t="shared" si="7"/>
        <v>a</v>
      </c>
      <c r="AW7">
        <f t="shared" si="39"/>
        <v>4</v>
      </c>
      <c r="AX7">
        <f t="shared" si="40"/>
        <v>1.2325087788731897</v>
      </c>
      <c r="AY7" t="str">
        <f t="shared" si="8"/>
        <v>a</v>
      </c>
      <c r="AZ7">
        <f t="shared" si="41"/>
        <v>4</v>
      </c>
      <c r="BA7">
        <f t="shared" si="42"/>
        <v>1.2325087788731897</v>
      </c>
      <c r="BB7" t="str">
        <f t="shared" si="9"/>
        <v>a</v>
      </c>
      <c r="BC7">
        <f t="shared" si="43"/>
        <v>4</v>
      </c>
      <c r="BF7">
        <f t="shared" si="44"/>
        <v>2</v>
      </c>
      <c r="BG7">
        <f t="shared" si="45"/>
        <v>3</v>
      </c>
      <c r="BH7">
        <f t="shared" ca="1" si="46"/>
        <v>1.2325087788731897</v>
      </c>
      <c r="BI7">
        <f t="shared" ca="1" si="10"/>
        <v>4</v>
      </c>
      <c r="BK7">
        <f t="shared" ca="1" si="47"/>
        <v>16</v>
      </c>
      <c r="BM7" s="30" t="s">
        <v>174</v>
      </c>
      <c r="BN7" s="54" t="str">
        <f ca="1">IF(BN6&gt;0, "Yes", "No")</f>
        <v>Yes</v>
      </c>
      <c r="BQ7">
        <f t="shared" ca="1" si="11"/>
        <v>2.0144072454167619</v>
      </c>
      <c r="BR7">
        <f t="shared" ca="1" si="48"/>
        <v>0.4094519916717223</v>
      </c>
      <c r="BS7" s="5">
        <f t="shared" ca="1" si="49"/>
        <v>0.1689256477465878</v>
      </c>
      <c r="BX7" s="38" t="s">
        <v>30</v>
      </c>
      <c r="BY7" s="39">
        <v>0.05</v>
      </c>
      <c r="CA7" t="s">
        <v>139</v>
      </c>
      <c r="CB7">
        <v>1</v>
      </c>
      <c r="CC7" s="1">
        <v>0.5</v>
      </c>
    </row>
    <row r="8" spans="1:81">
      <c r="A8">
        <v>23.4</v>
      </c>
      <c r="B8" t="s">
        <v>63</v>
      </c>
      <c r="C8" t="s">
        <v>11</v>
      </c>
      <c r="D8" s="6">
        <v>0.16821674981757326</v>
      </c>
      <c r="E8">
        <v>0.48010592619111059</v>
      </c>
      <c r="F8">
        <v>0.35037424168476733</v>
      </c>
      <c r="G8">
        <v>9.1999999999999998E-3</v>
      </c>
      <c r="H8">
        <v>9.1999999999999998E-3</v>
      </c>
      <c r="I8">
        <v>8.0000000000000002E-3</v>
      </c>
      <c r="J8">
        <f t="shared" si="12"/>
        <v>0.49730592619111058</v>
      </c>
      <c r="K8">
        <f t="shared" si="13"/>
        <v>0.36757424168476732</v>
      </c>
      <c r="L8" s="22">
        <f t="shared" ref="L8:L13" si="50">J8+$BY$2</f>
        <v>0.49730592619111058</v>
      </c>
      <c r="M8" s="22">
        <f t="shared" ref="M8:M13" si="51">K8+$BY$2</f>
        <v>0.36757424168476732</v>
      </c>
      <c r="N8">
        <f t="shared" si="16"/>
        <v>0.18279684870503835</v>
      </c>
      <c r="P8">
        <f t="shared" si="17"/>
        <v>0.49730592619111058</v>
      </c>
      <c r="Q8">
        <f t="shared" si="18"/>
        <v>0.99461185238222116</v>
      </c>
      <c r="R8">
        <f t="shared" si="19"/>
        <v>1.4919177785733317</v>
      </c>
      <c r="S8">
        <f t="shared" si="20"/>
        <v>1.9892237047644423</v>
      </c>
      <c r="T8">
        <f t="shared" si="21"/>
        <v>2.4865296309555527</v>
      </c>
      <c r="U8">
        <f t="shared" si="0"/>
        <v>2.9838355571466635</v>
      </c>
      <c r="V8">
        <f t="shared" si="22"/>
        <v>3.4811414833377743</v>
      </c>
      <c r="W8">
        <v>8</v>
      </c>
      <c r="X8">
        <f t="shared" si="23"/>
        <v>0.36757424168476732</v>
      </c>
      <c r="Y8">
        <f t="shared" si="1"/>
        <v>0.73514848336953464</v>
      </c>
      <c r="Z8">
        <f t="shared" si="24"/>
        <v>1.1027227250543019</v>
      </c>
      <c r="AA8">
        <f t="shared" si="25"/>
        <v>1.4702969667390693</v>
      </c>
      <c r="AB8">
        <f t="shared" si="26"/>
        <v>1.8378712084238367</v>
      </c>
      <c r="AC8">
        <f t="shared" si="27"/>
        <v>2.2054454501086038</v>
      </c>
      <c r="AD8">
        <f t="shared" si="28"/>
        <v>2.5730196917933714</v>
      </c>
      <c r="AF8" cm="1">
        <f t="array" ref="AF8">MAX(IF(P8:V8&lt;$BM$2,P8:V8,""))</f>
        <v>1.4919177785733317</v>
      </c>
      <c r="AG8">
        <f t="shared" ref="AG8:AG13" si="52">IFERROR(MATCH(AF8,P8:V8),0)</f>
        <v>3</v>
      </c>
      <c r="AH8">
        <f t="shared" si="30"/>
        <v>2</v>
      </c>
      <c r="AI8">
        <f t="shared" ref="AI8:AI13" si="53">IFERROR(HLOOKUP(AG8,$X$1:$AD$13,W8),0)</f>
        <v>1.1027227250543019</v>
      </c>
      <c r="AJ8" t="str">
        <f t="shared" si="3"/>
        <v>a</v>
      </c>
      <c r="AK8">
        <f t="shared" si="31"/>
        <v>3</v>
      </c>
      <c r="AL8">
        <f>IFERROR(HLOOKUP(AK8,$X$1:$AD$13,W8),0)</f>
        <v>1.1027227250543019</v>
      </c>
      <c r="AM8" t="str">
        <f t="shared" si="4"/>
        <v>a</v>
      </c>
      <c r="AN8">
        <f t="shared" si="33"/>
        <v>3</v>
      </c>
      <c r="AO8">
        <f>IFERROR(HLOOKUP(AN8,$X$1:$AD$13,W8),0)</f>
        <v>1.1027227250543019</v>
      </c>
      <c r="AP8" t="str">
        <f t="shared" si="5"/>
        <v>a</v>
      </c>
      <c r="AQ8">
        <f t="shared" si="35"/>
        <v>3</v>
      </c>
      <c r="AR8">
        <f>IFERROR(HLOOKUP(AQ8,$X$1:$AD$13,W8),0)</f>
        <v>1.1027227250543019</v>
      </c>
      <c r="AS8" t="str">
        <f t="shared" si="6"/>
        <v>a</v>
      </c>
      <c r="AT8">
        <f t="shared" si="37"/>
        <v>3</v>
      </c>
      <c r="AU8">
        <f>IFERROR(HLOOKUP(AT8,$X$1:$AD$13,W8),0)</f>
        <v>1.1027227250543019</v>
      </c>
      <c r="AV8" t="str">
        <f t="shared" si="7"/>
        <v>a</v>
      </c>
      <c r="AW8">
        <f t="shared" si="39"/>
        <v>3</v>
      </c>
      <c r="AX8">
        <f>IFERROR(HLOOKUP(AW8,$X$1:$AD$13,W8),0)</f>
        <v>1.1027227250543019</v>
      </c>
      <c r="AY8" t="str">
        <f t="shared" si="8"/>
        <v>a</v>
      </c>
      <c r="AZ8">
        <f t="shared" si="41"/>
        <v>3</v>
      </c>
      <c r="BA8">
        <f>IFERROR(HLOOKUP(AZ8,$X$1:$AD$13,Z8),0)</f>
        <v>3</v>
      </c>
      <c r="BB8">
        <f t="shared" si="9"/>
        <v>0</v>
      </c>
      <c r="BC8">
        <f t="shared" si="43"/>
        <v>2</v>
      </c>
      <c r="BF8">
        <f t="shared" si="44"/>
        <v>2</v>
      </c>
      <c r="BG8">
        <f t="shared" si="45"/>
        <v>3</v>
      </c>
      <c r="BH8">
        <f t="shared" ca="1" si="46"/>
        <v>1.1027227250543019</v>
      </c>
      <c r="BI8">
        <f t="shared" ref="BI8:BI13" ca="1" si="54">IFERROR(MATCH(BH8,X8:AD8),0)</f>
        <v>3</v>
      </c>
      <c r="BK8">
        <f t="shared" ca="1" si="47"/>
        <v>9</v>
      </c>
      <c r="BM8" s="48"/>
      <c r="BN8" s="49"/>
      <c r="BQ8">
        <f t="shared" ca="1" si="11"/>
        <v>1.6451716383453452</v>
      </c>
      <c r="BR8">
        <f t="shared" ca="1" si="48"/>
        <v>0.77868759874313898</v>
      </c>
      <c r="BS8" s="5">
        <f t="shared" ca="1" si="49"/>
        <v>0.32125941425480253</v>
      </c>
      <c r="BX8" s="38" t="s">
        <v>160</v>
      </c>
      <c r="BY8" s="39">
        <v>0.04</v>
      </c>
      <c r="CA8" t="s">
        <v>128</v>
      </c>
      <c r="CB8">
        <v>0.8</v>
      </c>
      <c r="CC8" s="1">
        <v>0.25</v>
      </c>
    </row>
    <row r="9" spans="1:81">
      <c r="A9">
        <v>27</v>
      </c>
      <c r="B9" t="s">
        <v>63</v>
      </c>
      <c r="C9" t="s">
        <v>11</v>
      </c>
      <c r="D9" s="6">
        <v>0.22395721129558568</v>
      </c>
      <c r="E9">
        <v>0.55396837637435836</v>
      </c>
      <c r="F9">
        <v>0.40427797117473152</v>
      </c>
      <c r="G9">
        <v>9.1999999999999998E-3</v>
      </c>
      <c r="H9">
        <v>9.1999999999999998E-3</v>
      </c>
      <c r="I9">
        <v>8.0000000000000002E-3</v>
      </c>
      <c r="J9">
        <f t="shared" si="12"/>
        <v>0.57116837637435836</v>
      </c>
      <c r="K9">
        <f t="shared" si="13"/>
        <v>0.42147797117473151</v>
      </c>
      <c r="L9" s="22">
        <f t="shared" si="50"/>
        <v>0.57116837637435836</v>
      </c>
      <c r="M9" s="22">
        <f t="shared" si="51"/>
        <v>0.42147797117473151</v>
      </c>
      <c r="N9">
        <f t="shared" si="16"/>
        <v>0.24073488847343</v>
      </c>
      <c r="P9">
        <f t="shared" si="17"/>
        <v>0.57116837637435836</v>
      </c>
      <c r="Q9">
        <f t="shared" si="18"/>
        <v>1.1423367527487167</v>
      </c>
      <c r="R9">
        <f t="shared" si="19"/>
        <v>1.713505129123075</v>
      </c>
      <c r="S9">
        <f t="shared" si="20"/>
        <v>2.2846735054974334</v>
      </c>
      <c r="T9">
        <f t="shared" si="21"/>
        <v>2.8558418818717919</v>
      </c>
      <c r="U9">
        <f t="shared" si="0"/>
        <v>3.4270102582461499</v>
      </c>
      <c r="V9">
        <f t="shared" si="22"/>
        <v>3.9981786346205084</v>
      </c>
      <c r="W9">
        <v>9</v>
      </c>
      <c r="X9">
        <f t="shared" si="23"/>
        <v>0.42147797117473151</v>
      </c>
      <c r="Y9">
        <f t="shared" si="1"/>
        <v>0.84295594234946303</v>
      </c>
      <c r="Z9">
        <f t="shared" si="24"/>
        <v>1.2644339135241944</v>
      </c>
      <c r="AA9">
        <f t="shared" si="25"/>
        <v>1.6859118846989261</v>
      </c>
      <c r="AB9">
        <f t="shared" si="26"/>
        <v>2.1073898558736577</v>
      </c>
      <c r="AC9">
        <f t="shared" si="27"/>
        <v>2.5288678270483889</v>
      </c>
      <c r="AD9">
        <f t="shared" si="28"/>
        <v>2.9503457982231205</v>
      </c>
      <c r="AF9" cm="1">
        <f t="array" ref="AF9">MAX(IF(P9:V9&lt;$BM$2,P9:V9,""))</f>
        <v>1.713505129123075</v>
      </c>
      <c r="AG9">
        <f t="shared" si="52"/>
        <v>3</v>
      </c>
      <c r="AH9">
        <f t="shared" si="30"/>
        <v>2</v>
      </c>
      <c r="AI9">
        <f t="shared" si="53"/>
        <v>1.2644339135241944</v>
      </c>
      <c r="AJ9" t="str">
        <f t="shared" si="3"/>
        <v>a</v>
      </c>
      <c r="AK9">
        <f t="shared" si="31"/>
        <v>3</v>
      </c>
      <c r="AL9">
        <f t="shared" ref="AL9:AL13" si="55">IFERROR(HLOOKUP(AK9,$X$1:$AD$13,W9),0)</f>
        <v>1.2644339135241944</v>
      </c>
      <c r="AM9" t="str">
        <f t="shared" si="4"/>
        <v>a</v>
      </c>
      <c r="AN9">
        <f t="shared" si="33"/>
        <v>3</v>
      </c>
      <c r="AO9">
        <f t="shared" ref="AO9:AO13" si="56">IFERROR(HLOOKUP(AN9,$X$1:$AD$13,W9),0)</f>
        <v>1.2644339135241944</v>
      </c>
      <c r="AP9" t="str">
        <f t="shared" si="5"/>
        <v>a</v>
      </c>
      <c r="AQ9">
        <f t="shared" si="35"/>
        <v>3</v>
      </c>
      <c r="AR9">
        <f t="shared" ref="AR9:AR13" si="57">IFERROR(HLOOKUP(AQ9,$X$1:$AD$13,W9),0)</f>
        <v>1.2644339135241944</v>
      </c>
      <c r="AS9" t="str">
        <f t="shared" si="6"/>
        <v>a</v>
      </c>
      <c r="AT9">
        <f t="shared" si="37"/>
        <v>3</v>
      </c>
      <c r="AU9">
        <f t="shared" ref="AU9:AU13" si="58">IFERROR(HLOOKUP(AT9,$X$1:$AD$13,W9),0)</f>
        <v>1.2644339135241944</v>
      </c>
      <c r="AV9" t="str">
        <f t="shared" si="7"/>
        <v>a</v>
      </c>
      <c r="AW9">
        <f t="shared" si="39"/>
        <v>3</v>
      </c>
      <c r="AX9">
        <f t="shared" ref="AX9:AX13" si="59">IFERROR(HLOOKUP(AW9,$X$1:$AD$13,W9),0)</f>
        <v>1.2644339135241944</v>
      </c>
      <c r="AY9" t="str">
        <f t="shared" si="8"/>
        <v>a</v>
      </c>
      <c r="AZ9">
        <f t="shared" si="41"/>
        <v>3</v>
      </c>
      <c r="BA9">
        <f t="shared" ref="BA9:BA13" si="60">IFERROR(HLOOKUP(AZ9,$X$1:$AD$13,Z9),0)</f>
        <v>3</v>
      </c>
      <c r="BB9">
        <f t="shared" si="9"/>
        <v>0</v>
      </c>
      <c r="BC9">
        <f t="shared" ref="BC9:BC11" si="61">IF(AY9=0,AW9-1,AW9)</f>
        <v>3</v>
      </c>
      <c r="BF9">
        <f t="shared" si="44"/>
        <v>2</v>
      </c>
      <c r="BG9">
        <f t="shared" si="45"/>
        <v>3</v>
      </c>
      <c r="BH9">
        <f t="shared" ca="1" si="46"/>
        <v>1.2644339135241944</v>
      </c>
      <c r="BI9">
        <f t="shared" ca="1" si="54"/>
        <v>3</v>
      </c>
      <c r="BK9">
        <f t="shared" ca="1" si="47"/>
        <v>9</v>
      </c>
      <c r="BM9" t="s">
        <v>149</v>
      </c>
      <c r="BN9" s="4">
        <f ca="1">SUM(C27:O28)</f>
        <v>-1724.7349198246945</v>
      </c>
      <c r="BQ9">
        <f t="shared" ca="1" si="11"/>
        <v>2.1666139962608701</v>
      </c>
      <c r="BR9">
        <f t="shared" ca="1" si="48"/>
        <v>0.25724524082761402</v>
      </c>
      <c r="BS9" s="5">
        <f t="shared" ca="1" si="49"/>
        <v>0.10613043731723236</v>
      </c>
      <c r="BX9" s="38" t="s">
        <v>164</v>
      </c>
      <c r="BY9" s="39">
        <v>0.25</v>
      </c>
    </row>
    <row r="10" spans="1:81">
      <c r="A10">
        <v>32</v>
      </c>
      <c r="B10" t="s">
        <v>63</v>
      </c>
      <c r="C10" t="s">
        <v>11</v>
      </c>
      <c r="D10" s="6">
        <v>0.31458461504345647</v>
      </c>
      <c r="E10">
        <v>0.65655511273998035</v>
      </c>
      <c r="F10">
        <v>0.47914426213301514</v>
      </c>
      <c r="G10">
        <v>9.1999999999999998E-3</v>
      </c>
      <c r="H10">
        <v>9.1999999999999998E-3</v>
      </c>
      <c r="I10">
        <v>8.0000000000000002E-3</v>
      </c>
      <c r="J10">
        <f t="shared" si="12"/>
        <v>0.67375511273998034</v>
      </c>
      <c r="K10">
        <f t="shared" si="13"/>
        <v>0.49634426213301513</v>
      </c>
      <c r="L10" s="22">
        <f t="shared" si="50"/>
        <v>0.67375511273998034</v>
      </c>
      <c r="M10" s="22">
        <f t="shared" si="51"/>
        <v>0.49634426213301513</v>
      </c>
      <c r="N10">
        <f t="shared" si="16"/>
        <v>0.33441448429127196</v>
      </c>
      <c r="P10">
        <f t="shared" si="17"/>
        <v>0.67375511273998034</v>
      </c>
      <c r="Q10">
        <f t="shared" si="18"/>
        <v>1.3475102254799607</v>
      </c>
      <c r="R10">
        <f t="shared" si="19"/>
        <v>2.021265338219941</v>
      </c>
      <c r="S10">
        <f t="shared" si="20"/>
        <v>2.6950204509599214</v>
      </c>
      <c r="T10">
        <f t="shared" si="21"/>
        <v>3.3687755636999017</v>
      </c>
      <c r="U10">
        <f t="shared" si="0"/>
        <v>4.0425306764398821</v>
      </c>
      <c r="V10">
        <f t="shared" si="22"/>
        <v>4.716285789179862</v>
      </c>
      <c r="W10">
        <v>10</v>
      </c>
      <c r="X10">
        <f t="shared" si="23"/>
        <v>0.49634426213301513</v>
      </c>
      <c r="Y10">
        <f t="shared" si="1"/>
        <v>0.99268852426603027</v>
      </c>
      <c r="Z10">
        <f t="shared" si="24"/>
        <v>1.4890327863990453</v>
      </c>
      <c r="AA10">
        <f t="shared" si="25"/>
        <v>1.9853770485320605</v>
      </c>
      <c r="AB10">
        <f t="shared" si="26"/>
        <v>2.4817213106650757</v>
      </c>
      <c r="AC10">
        <f t="shared" si="27"/>
        <v>2.9780655727980907</v>
      </c>
      <c r="AD10">
        <f t="shared" si="28"/>
        <v>3.4744098349311061</v>
      </c>
      <c r="AF10" cm="1">
        <f t="array" ref="AF10">MAX(IF(P10:V10&lt;$BM$2,P10:V10,""))</f>
        <v>1.3475102254799607</v>
      </c>
      <c r="AG10">
        <f t="shared" si="52"/>
        <v>2</v>
      </c>
      <c r="AH10">
        <f t="shared" si="30"/>
        <v>1</v>
      </c>
      <c r="AI10">
        <f t="shared" si="53"/>
        <v>0.99268852426603027</v>
      </c>
      <c r="AJ10" t="str">
        <f t="shared" si="3"/>
        <v>a</v>
      </c>
      <c r="AK10">
        <f t="shared" si="31"/>
        <v>2</v>
      </c>
      <c r="AL10">
        <f t="shared" si="55"/>
        <v>0.99268852426603027</v>
      </c>
      <c r="AM10" t="str">
        <f t="shared" si="4"/>
        <v>a</v>
      </c>
      <c r="AN10">
        <f t="shared" si="33"/>
        <v>2</v>
      </c>
      <c r="AO10">
        <f t="shared" si="56"/>
        <v>0.99268852426603027</v>
      </c>
      <c r="AP10" t="str">
        <f t="shared" si="5"/>
        <v>a</v>
      </c>
      <c r="AQ10">
        <f t="shared" si="35"/>
        <v>2</v>
      </c>
      <c r="AR10">
        <f t="shared" si="57"/>
        <v>0.99268852426603027</v>
      </c>
      <c r="AS10" t="str">
        <f t="shared" si="6"/>
        <v>a</v>
      </c>
      <c r="AT10">
        <f t="shared" si="37"/>
        <v>2</v>
      </c>
      <c r="AU10">
        <f t="shared" si="58"/>
        <v>0.99268852426603027</v>
      </c>
      <c r="AV10" t="str">
        <f t="shared" si="7"/>
        <v>a</v>
      </c>
      <c r="AW10">
        <f t="shared" si="39"/>
        <v>2</v>
      </c>
      <c r="AX10">
        <f t="shared" si="59"/>
        <v>0.99268852426603027</v>
      </c>
      <c r="AY10" t="str">
        <f t="shared" si="8"/>
        <v>a</v>
      </c>
      <c r="AZ10">
        <f t="shared" si="41"/>
        <v>2</v>
      </c>
      <c r="BA10">
        <f t="shared" si="60"/>
        <v>2</v>
      </c>
      <c r="BB10">
        <f t="shared" si="9"/>
        <v>0</v>
      </c>
      <c r="BC10">
        <f t="shared" si="61"/>
        <v>2</v>
      </c>
      <c r="BF10">
        <f t="shared" si="44"/>
        <v>2</v>
      </c>
      <c r="BG10">
        <f t="shared" si="45"/>
        <v>3</v>
      </c>
      <c r="BH10">
        <f t="shared" ca="1" si="46"/>
        <v>0.99268852426603027</v>
      </c>
      <c r="BI10">
        <f t="shared" ca="1" si="54"/>
        <v>2</v>
      </c>
      <c r="BK10">
        <f t="shared" ca="1" si="47"/>
        <v>4</v>
      </c>
      <c r="BM10" t="s">
        <v>150</v>
      </c>
      <c r="BN10" s="4">
        <f ca="1">SUM(C29:O31)</f>
        <v>-9391.5273797370392</v>
      </c>
      <c r="BQ10">
        <f t="shared" ca="1" si="11"/>
        <v>1.3376579371650879</v>
      </c>
      <c r="BR10">
        <f t="shared" ca="1" si="48"/>
        <v>1.0862012999233963</v>
      </c>
      <c r="BS10" s="5">
        <f t="shared" ca="1" si="49"/>
        <v>0.4481288695741798</v>
      </c>
      <c r="BX10" s="38" t="s">
        <v>36</v>
      </c>
      <c r="BY10" s="39">
        <v>45</v>
      </c>
      <c r="CA10" t="s">
        <v>132</v>
      </c>
      <c r="CB10">
        <v>1.1000000000000001</v>
      </c>
      <c r="CC10" s="1">
        <v>0.25</v>
      </c>
    </row>
    <row r="11" spans="1:81">
      <c r="A11">
        <v>37</v>
      </c>
      <c r="B11" t="s">
        <v>64</v>
      </c>
      <c r="C11" t="s">
        <v>11</v>
      </c>
      <c r="D11" s="6">
        <v>0.42057259569774602</v>
      </c>
      <c r="E11">
        <v>0.75914184910560234</v>
      </c>
      <c r="F11">
        <v>0.55401055309129876</v>
      </c>
      <c r="G11">
        <v>9.1999999999999998E-3</v>
      </c>
      <c r="H11">
        <v>9.1999999999999998E-3</v>
      </c>
      <c r="I11">
        <v>8.0000000000000002E-3</v>
      </c>
      <c r="J11">
        <f t="shared" si="12"/>
        <v>0.77634184910560233</v>
      </c>
      <c r="K11">
        <f t="shared" si="13"/>
        <v>0.57121055309129876</v>
      </c>
      <c r="L11" s="22">
        <f t="shared" si="50"/>
        <v>0.77634184910560233</v>
      </c>
      <c r="M11" s="22">
        <f t="shared" si="51"/>
        <v>0.57121055309129876</v>
      </c>
      <c r="N11">
        <f t="shared" si="16"/>
        <v>0.44345465701553272</v>
      </c>
      <c r="P11">
        <f t="shared" si="17"/>
        <v>0.77634184910560233</v>
      </c>
      <c r="Q11">
        <f t="shared" si="18"/>
        <v>1.5526836982112047</v>
      </c>
      <c r="R11">
        <f t="shared" si="19"/>
        <v>2.3290255473168071</v>
      </c>
      <c r="S11">
        <f t="shared" si="20"/>
        <v>3.1053673964224093</v>
      </c>
      <c r="T11">
        <f t="shared" si="21"/>
        <v>3.8817092455280116</v>
      </c>
      <c r="U11">
        <f t="shared" si="0"/>
        <v>4.6580510946336142</v>
      </c>
      <c r="V11">
        <f t="shared" si="22"/>
        <v>5.4343929437392164</v>
      </c>
      <c r="W11">
        <v>11</v>
      </c>
      <c r="X11">
        <f t="shared" si="23"/>
        <v>0.57121055309129876</v>
      </c>
      <c r="Y11">
        <f t="shared" si="1"/>
        <v>1.1424211061825975</v>
      </c>
      <c r="Z11">
        <f t="shared" si="24"/>
        <v>1.7136316592738963</v>
      </c>
      <c r="AA11">
        <f t="shared" si="25"/>
        <v>2.284842212365195</v>
      </c>
      <c r="AB11">
        <f t="shared" si="26"/>
        <v>2.8560527654564938</v>
      </c>
      <c r="AC11">
        <f t="shared" si="27"/>
        <v>3.4272633185477925</v>
      </c>
      <c r="AD11">
        <f t="shared" si="28"/>
        <v>3.9984738716390913</v>
      </c>
      <c r="AF11" cm="1">
        <f t="array" ref="AF11">MAX(IF(P11:V11&lt;$BM$2,P11:V11,""))</f>
        <v>1.5526836982112047</v>
      </c>
      <c r="AG11">
        <f t="shared" si="52"/>
        <v>2</v>
      </c>
      <c r="AH11">
        <f t="shared" si="30"/>
        <v>1</v>
      </c>
      <c r="AI11">
        <f t="shared" si="53"/>
        <v>1.1424211061825975</v>
      </c>
      <c r="AJ11" t="str">
        <f t="shared" si="3"/>
        <v>a</v>
      </c>
      <c r="AK11">
        <f t="shared" si="31"/>
        <v>2</v>
      </c>
      <c r="AL11">
        <f t="shared" si="55"/>
        <v>1.1424211061825975</v>
      </c>
      <c r="AM11" t="str">
        <f t="shared" si="4"/>
        <v>a</v>
      </c>
      <c r="AN11">
        <f t="shared" si="33"/>
        <v>2</v>
      </c>
      <c r="AO11">
        <f t="shared" si="56"/>
        <v>1.1424211061825975</v>
      </c>
      <c r="AP11" t="str">
        <f t="shared" si="5"/>
        <v>a</v>
      </c>
      <c r="AQ11">
        <f t="shared" si="35"/>
        <v>2</v>
      </c>
      <c r="AR11">
        <f t="shared" si="57"/>
        <v>1.1424211061825975</v>
      </c>
      <c r="AS11" t="str">
        <f t="shared" si="6"/>
        <v>a</v>
      </c>
      <c r="AT11">
        <f t="shared" si="37"/>
        <v>2</v>
      </c>
      <c r="AU11">
        <f t="shared" si="58"/>
        <v>1.1424211061825975</v>
      </c>
      <c r="AV11" t="str">
        <f t="shared" si="7"/>
        <v>a</v>
      </c>
      <c r="AW11">
        <f t="shared" si="39"/>
        <v>2</v>
      </c>
      <c r="AX11">
        <f t="shared" si="59"/>
        <v>1.1424211061825975</v>
      </c>
      <c r="AY11" t="str">
        <f t="shared" si="8"/>
        <v>a</v>
      </c>
      <c r="AZ11">
        <f t="shared" si="41"/>
        <v>2</v>
      </c>
      <c r="BA11">
        <f t="shared" si="60"/>
        <v>2</v>
      </c>
      <c r="BB11">
        <f t="shared" si="9"/>
        <v>0</v>
      </c>
      <c r="BC11">
        <f t="shared" si="61"/>
        <v>2</v>
      </c>
      <c r="BF11">
        <f t="shared" si="44"/>
        <v>2</v>
      </c>
      <c r="BG11">
        <f t="shared" si="45"/>
        <v>3</v>
      </c>
      <c r="BH11">
        <f t="shared" ca="1" si="46"/>
        <v>1.1424211061825975</v>
      </c>
      <c r="BI11">
        <f t="shared" ca="1" si="54"/>
        <v>2</v>
      </c>
      <c r="BK11">
        <f t="shared" ca="1" si="47"/>
        <v>4</v>
      </c>
      <c r="BM11" t="s">
        <v>151</v>
      </c>
      <c r="BN11" s="4">
        <f ca="1">SUM(C32:O38)</f>
        <v>50754.472620262961</v>
      </c>
      <c r="BQ11">
        <f t="shared" ca="1" si="11"/>
        <v>1.7738186280621309</v>
      </c>
      <c r="BR11">
        <f t="shared" ca="1" si="48"/>
        <v>0.6500406090263533</v>
      </c>
      <c r="BS11" s="5">
        <f t="shared" ca="1" si="49"/>
        <v>0.26818414166953675</v>
      </c>
      <c r="BX11" s="38" t="s">
        <v>38</v>
      </c>
      <c r="BY11" s="39">
        <v>45</v>
      </c>
      <c r="CA11" t="s">
        <v>140</v>
      </c>
      <c r="CB11">
        <v>1</v>
      </c>
      <c r="CC11" s="1">
        <v>0.5</v>
      </c>
    </row>
    <row r="12" spans="1:81" ht="16" thickBot="1">
      <c r="A12">
        <v>40</v>
      </c>
      <c r="B12" t="s">
        <v>64</v>
      </c>
      <c r="C12" t="s">
        <v>11</v>
      </c>
      <c r="D12" s="6">
        <v>0.49153846100540061</v>
      </c>
      <c r="E12">
        <v>0.82069389092497536</v>
      </c>
      <c r="F12">
        <v>0.59893032766626886</v>
      </c>
      <c r="G12">
        <v>9.1999999999999998E-3</v>
      </c>
      <c r="H12">
        <v>9.1999999999999998E-3</v>
      </c>
      <c r="I12">
        <v>8.0000000000000002E-3</v>
      </c>
      <c r="J12">
        <f t="shared" si="12"/>
        <v>0.83789389092497535</v>
      </c>
      <c r="K12">
        <f t="shared" si="13"/>
        <v>0.61613032766626885</v>
      </c>
      <c r="L12" s="22">
        <f t="shared" si="50"/>
        <v>0.83789389092497535</v>
      </c>
      <c r="M12" s="22">
        <f t="shared" si="51"/>
        <v>0.61613032766626885</v>
      </c>
      <c r="N12">
        <f t="shared" si="16"/>
        <v>0.51625183756517001</v>
      </c>
      <c r="P12">
        <f t="shared" si="17"/>
        <v>0.83789389092497535</v>
      </c>
      <c r="Q12">
        <f t="shared" si="18"/>
        <v>1.6757877818499507</v>
      </c>
      <c r="R12">
        <f t="shared" si="19"/>
        <v>2.513681672774926</v>
      </c>
      <c r="S12">
        <f t="shared" si="20"/>
        <v>3.3515755636999014</v>
      </c>
      <c r="T12">
        <f t="shared" si="21"/>
        <v>4.1894694546248772</v>
      </c>
      <c r="U12">
        <f t="shared" si="0"/>
        <v>5.0273633455498521</v>
      </c>
      <c r="V12">
        <f t="shared" si="22"/>
        <v>5.865257236474827</v>
      </c>
      <c r="W12">
        <v>12</v>
      </c>
      <c r="X12">
        <f t="shared" si="23"/>
        <v>0.61613032766626885</v>
      </c>
      <c r="Y12">
        <f t="shared" si="1"/>
        <v>1.2322606553325377</v>
      </c>
      <c r="Z12">
        <f t="shared" si="24"/>
        <v>1.8483909829988066</v>
      </c>
      <c r="AA12">
        <f t="shared" si="25"/>
        <v>2.4645213106650754</v>
      </c>
      <c r="AB12">
        <f t="shared" si="26"/>
        <v>3.0806516383313443</v>
      </c>
      <c r="AC12">
        <f t="shared" si="27"/>
        <v>3.6967819659976131</v>
      </c>
      <c r="AD12">
        <f t="shared" si="28"/>
        <v>4.3129122936638815</v>
      </c>
      <c r="AF12" cm="1">
        <f t="array" ref="AF12">MAX(IF(P12:V12&lt;$BM$2,P12:V12,""))</f>
        <v>1.6757877818499507</v>
      </c>
      <c r="AG12">
        <f t="shared" si="52"/>
        <v>2</v>
      </c>
      <c r="AH12">
        <f t="shared" si="30"/>
        <v>1</v>
      </c>
      <c r="AI12">
        <f t="shared" si="53"/>
        <v>1.2322606553325377</v>
      </c>
      <c r="AJ12" t="str">
        <f t="shared" si="3"/>
        <v>a</v>
      </c>
      <c r="AK12">
        <f t="shared" si="31"/>
        <v>2</v>
      </c>
      <c r="AL12">
        <f t="shared" si="55"/>
        <v>1.2322606553325377</v>
      </c>
      <c r="AM12" t="str">
        <f t="shared" si="4"/>
        <v>a</v>
      </c>
      <c r="AN12">
        <f t="shared" si="33"/>
        <v>2</v>
      </c>
      <c r="AO12">
        <f t="shared" si="56"/>
        <v>1.2322606553325377</v>
      </c>
      <c r="AP12" t="str">
        <f t="shared" si="5"/>
        <v>a</v>
      </c>
      <c r="AQ12">
        <f t="shared" si="35"/>
        <v>2</v>
      </c>
      <c r="AR12">
        <f t="shared" si="57"/>
        <v>1.2322606553325377</v>
      </c>
      <c r="AS12" t="str">
        <f t="shared" si="6"/>
        <v>a</v>
      </c>
      <c r="AT12">
        <f t="shared" si="37"/>
        <v>2</v>
      </c>
      <c r="AU12">
        <f t="shared" si="58"/>
        <v>1.2322606553325377</v>
      </c>
      <c r="AV12" t="str">
        <f t="shared" si="7"/>
        <v>a</v>
      </c>
      <c r="AW12">
        <f t="shared" si="39"/>
        <v>2</v>
      </c>
      <c r="AX12">
        <f t="shared" si="59"/>
        <v>1.2322606553325377</v>
      </c>
      <c r="AY12" t="str">
        <f t="shared" si="8"/>
        <v>a</v>
      </c>
      <c r="AZ12">
        <f t="shared" si="41"/>
        <v>2</v>
      </c>
      <c r="BA12">
        <f t="shared" si="60"/>
        <v>2</v>
      </c>
      <c r="BB12">
        <f t="shared" si="9"/>
        <v>0</v>
      </c>
      <c r="BF12">
        <f t="shared" si="44"/>
        <v>2</v>
      </c>
      <c r="BG12">
        <f t="shared" si="45"/>
        <v>3</v>
      </c>
      <c r="BH12">
        <f t="shared" ca="1" si="46"/>
        <v>1.2322606553325377</v>
      </c>
      <c r="BI12">
        <f t="shared" ca="1" si="54"/>
        <v>2</v>
      </c>
      <c r="BK12">
        <f t="shared" ca="1" si="47"/>
        <v>4</v>
      </c>
      <c r="BQ12">
        <f t="shared" ca="1" si="11"/>
        <v>2.0650073502606801</v>
      </c>
      <c r="BR12">
        <f t="shared" ca="1" si="48"/>
        <v>0.35885188682780411</v>
      </c>
      <c r="BS12" s="5">
        <f t="shared" ca="1" si="49"/>
        <v>0.14804980476459245</v>
      </c>
      <c r="BX12" s="38" t="s">
        <v>39</v>
      </c>
      <c r="BY12" s="39">
        <v>30</v>
      </c>
      <c r="CA12" t="s">
        <v>133</v>
      </c>
      <c r="CB12">
        <v>0.9</v>
      </c>
      <c r="CC12" s="1">
        <v>0.25</v>
      </c>
    </row>
    <row r="13" spans="1:81" ht="16" thickBot="1">
      <c r="A13">
        <v>43</v>
      </c>
      <c r="B13" t="s">
        <v>64</v>
      </c>
      <c r="C13" t="s">
        <v>11</v>
      </c>
      <c r="D13" s="6">
        <v>0.56803413399936631</v>
      </c>
      <c r="E13">
        <v>0.88224593274434859</v>
      </c>
      <c r="F13">
        <v>0.64385010224123917</v>
      </c>
      <c r="G13">
        <v>9.1999999999999998E-3</v>
      </c>
      <c r="H13">
        <v>9.1999999999999998E-3</v>
      </c>
      <c r="I13">
        <v>8.0000000000000002E-3</v>
      </c>
      <c r="J13">
        <f t="shared" si="12"/>
        <v>0.89944593274434859</v>
      </c>
      <c r="K13">
        <f t="shared" si="13"/>
        <v>0.66105010224123917</v>
      </c>
      <c r="L13" s="22">
        <f t="shared" si="50"/>
        <v>0.89944593274434859</v>
      </c>
      <c r="M13" s="22">
        <f t="shared" si="51"/>
        <v>0.66105010224123917</v>
      </c>
      <c r="N13">
        <f t="shared" si="16"/>
        <v>0.59457882580111832</v>
      </c>
      <c r="P13">
        <f t="shared" si="17"/>
        <v>0.89944593274434859</v>
      </c>
      <c r="Q13">
        <f t="shared" si="18"/>
        <v>1.7988918654886972</v>
      </c>
      <c r="R13">
        <f t="shared" si="19"/>
        <v>2.6983377982330459</v>
      </c>
      <c r="S13">
        <f t="shared" si="20"/>
        <v>3.5977837309773943</v>
      </c>
      <c r="T13">
        <f t="shared" si="21"/>
        <v>4.4972296637217433</v>
      </c>
      <c r="U13">
        <f t="shared" si="0"/>
        <v>5.3966755964660917</v>
      </c>
      <c r="V13">
        <f t="shared" si="22"/>
        <v>6.2961215292104402</v>
      </c>
      <c r="W13">
        <v>13</v>
      </c>
      <c r="X13">
        <f t="shared" si="23"/>
        <v>0.66105010224123917</v>
      </c>
      <c r="Y13">
        <f t="shared" si="1"/>
        <v>1.3221002044824783</v>
      </c>
      <c r="Z13">
        <f t="shared" si="24"/>
        <v>1.9831503067237175</v>
      </c>
      <c r="AA13">
        <f t="shared" si="25"/>
        <v>2.6442004089649567</v>
      </c>
      <c r="AB13">
        <f t="shared" si="26"/>
        <v>3.3052505112061956</v>
      </c>
      <c r="AC13">
        <f t="shared" si="27"/>
        <v>3.966300613447435</v>
      </c>
      <c r="AD13">
        <f t="shared" si="28"/>
        <v>4.6273507156886744</v>
      </c>
      <c r="AF13" cm="1">
        <f t="array" ref="AF13">MAX(IF(P13:V13&lt;$BM$2,P13:V13,""))</f>
        <v>1.7988918654886972</v>
      </c>
      <c r="AG13">
        <f t="shared" si="52"/>
        <v>2</v>
      </c>
      <c r="AH13">
        <f t="shared" si="30"/>
        <v>1</v>
      </c>
      <c r="AI13">
        <f t="shared" si="53"/>
        <v>1.3221002044824783</v>
      </c>
      <c r="AJ13" t="str">
        <f t="shared" si="3"/>
        <v>a</v>
      </c>
      <c r="AK13">
        <f t="shared" si="31"/>
        <v>2</v>
      </c>
      <c r="AL13">
        <f t="shared" si="55"/>
        <v>1.3221002044824783</v>
      </c>
      <c r="AM13" t="str">
        <f t="shared" si="4"/>
        <v>a</v>
      </c>
      <c r="AN13">
        <f t="shared" si="33"/>
        <v>2</v>
      </c>
      <c r="AO13">
        <f t="shared" si="56"/>
        <v>1.3221002044824783</v>
      </c>
      <c r="AP13" t="str">
        <f t="shared" si="5"/>
        <v>a</v>
      </c>
      <c r="AQ13">
        <f t="shared" si="35"/>
        <v>2</v>
      </c>
      <c r="AR13">
        <f t="shared" si="57"/>
        <v>1.3221002044824783</v>
      </c>
      <c r="AS13" t="str">
        <f t="shared" si="6"/>
        <v>a</v>
      </c>
      <c r="AT13">
        <f t="shared" si="37"/>
        <v>2</v>
      </c>
      <c r="AU13">
        <f t="shared" si="58"/>
        <v>1.3221002044824783</v>
      </c>
      <c r="AV13" t="str">
        <f t="shared" si="7"/>
        <v>a</v>
      </c>
      <c r="AW13">
        <f t="shared" si="39"/>
        <v>2</v>
      </c>
      <c r="AX13">
        <f t="shared" si="59"/>
        <v>1.3221002044824783</v>
      </c>
      <c r="AY13" t="str">
        <f t="shared" si="8"/>
        <v>a</v>
      </c>
      <c r="AZ13">
        <f t="shared" si="41"/>
        <v>2</v>
      </c>
      <c r="BA13">
        <f t="shared" si="60"/>
        <v>2</v>
      </c>
      <c r="BB13">
        <f t="shared" si="9"/>
        <v>0</v>
      </c>
      <c r="BF13">
        <f t="shared" si="44"/>
        <v>2</v>
      </c>
      <c r="BG13">
        <f t="shared" si="45"/>
        <v>3</v>
      </c>
      <c r="BH13">
        <f ca="1">OFFSET(AI13,0,BG13)</f>
        <v>1.3221002044824783</v>
      </c>
      <c r="BI13">
        <f t="shared" ca="1" si="54"/>
        <v>2</v>
      </c>
      <c r="BK13">
        <f t="shared" ca="1" si="47"/>
        <v>4</v>
      </c>
      <c r="BQ13">
        <f t="shared" ca="1" si="11"/>
        <v>2.3783153032044733</v>
      </c>
      <c r="BR13">
        <f t="shared" ca="1" si="48"/>
        <v>4.5543933884010901E-2</v>
      </c>
      <c r="BS13" s="5">
        <f t="shared" ca="1" si="49"/>
        <v>1.8789842738028726E-2</v>
      </c>
      <c r="BX13" s="44" t="s">
        <v>171</v>
      </c>
      <c r="BY13" s="45">
        <f>(BY12+BY11-BY10)/365</f>
        <v>8.2191780821917804E-2</v>
      </c>
      <c r="CC13" s="1"/>
    </row>
    <row r="14" spans="1:81" hidden="1">
      <c r="BK14">
        <f ca="1">SUM(BK2:BK13)</f>
        <v>189</v>
      </c>
    </row>
    <row r="15" spans="1:81" ht="20">
      <c r="S15" s="21"/>
      <c r="CA15" t="s">
        <v>135</v>
      </c>
      <c r="CB15">
        <v>0.85</v>
      </c>
      <c r="CC15" s="1">
        <v>0.25</v>
      </c>
    </row>
    <row r="16" spans="1:81">
      <c r="A16" t="s">
        <v>90</v>
      </c>
      <c r="L16" t="s">
        <v>122</v>
      </c>
      <c r="CA16" t="s">
        <v>141</v>
      </c>
      <c r="CB16">
        <v>1</v>
      </c>
      <c r="CC16" s="1">
        <v>0.5</v>
      </c>
    </row>
    <row r="17" spans="1:81">
      <c r="BI17" s="37"/>
      <c r="CA17" t="s">
        <v>136</v>
      </c>
      <c r="CB17">
        <v>1.02</v>
      </c>
      <c r="CC17" s="1">
        <v>0.25</v>
      </c>
    </row>
    <row r="19" spans="1:81">
      <c r="A19" t="s">
        <v>93</v>
      </c>
      <c r="CA19" t="s">
        <v>136</v>
      </c>
      <c r="CB19">
        <v>1.1000000000000001</v>
      </c>
      <c r="CC19" s="1">
        <v>0.25</v>
      </c>
    </row>
    <row r="20" spans="1:81" ht="20">
      <c r="B20" t="s">
        <v>99</v>
      </c>
      <c r="C20" t="s">
        <v>98</v>
      </c>
      <c r="X20" s="24"/>
      <c r="CA20" t="s">
        <v>142</v>
      </c>
      <c r="CB20">
        <v>1</v>
      </c>
      <c r="CC20" s="1">
        <v>0.5</v>
      </c>
    </row>
    <row r="21" spans="1:81">
      <c r="A21" s="50" t="s">
        <v>112</v>
      </c>
      <c r="B21" s="50"/>
      <c r="C21" s="50"/>
      <c r="Q21" t="s">
        <v>157</v>
      </c>
      <c r="CA21" t="s">
        <v>135</v>
      </c>
      <c r="CB21">
        <v>0.9</v>
      </c>
      <c r="CC21" s="1">
        <v>0.25</v>
      </c>
    </row>
    <row r="22" spans="1:81">
      <c r="A22" s="25" t="s">
        <v>1</v>
      </c>
      <c r="B22" s="25" t="s">
        <v>2</v>
      </c>
      <c r="C22" s="25">
        <v>2005</v>
      </c>
      <c r="D22" s="25">
        <v>2006</v>
      </c>
      <c r="E22" s="25">
        <v>2007</v>
      </c>
      <c r="F22" s="25">
        <v>2008</v>
      </c>
      <c r="G22" s="25">
        <v>2009</v>
      </c>
      <c r="H22" s="25">
        <v>2010</v>
      </c>
      <c r="I22" s="25">
        <v>2011</v>
      </c>
      <c r="J22" s="25">
        <v>2012</v>
      </c>
      <c r="K22" s="25">
        <v>2013</v>
      </c>
      <c r="L22" s="25">
        <v>2014</v>
      </c>
      <c r="M22" s="25">
        <v>2015</v>
      </c>
      <c r="N22" s="25">
        <v>2016</v>
      </c>
      <c r="O22" s="25">
        <v>2017</v>
      </c>
      <c r="P22" s="25"/>
    </row>
    <row r="23" spans="1:81">
      <c r="A23" s="25" t="s">
        <v>3</v>
      </c>
      <c r="B23" s="25" t="s">
        <v>5</v>
      </c>
      <c r="C23" s="4">
        <f ca="1">IFERROR( ($BK$2*Costs!G19*Price!H5)-Costs!G4*'Maximizing Profit'!$BP$2,0)</f>
        <v>1094.9798185569387</v>
      </c>
      <c r="D23" s="4">
        <f ca="1">IFERROR( ($BK$2*Costs!H19*Price!I5)-Costs!H4*'Maximizing Profit'!$BP$2,0)</f>
        <v>728.51821735971703</v>
      </c>
      <c r="E23" s="4">
        <f ca="1">IFERROR( ($BK$2*Costs!I19*Price!J5)-Costs!I4*'Maximizing Profit'!$BP$2,0)</f>
        <v>457.86802379161009</v>
      </c>
      <c r="F23" s="4">
        <f ca="1">IFERROR( ($BK$2*Costs!J19*Price!K5)-Costs!J4*'Maximizing Profit'!$BP$2,0)</f>
        <v>223.83712640894578</v>
      </c>
      <c r="G23" s="4">
        <f ca="1">IFERROR( ($BK$2*Costs!K19*Price!L5)-Costs!K4*'Maximizing Profit'!$BP$2,0)</f>
        <v>58.589214366662191</v>
      </c>
      <c r="H23" s="4">
        <f ca="1">IFERROR( ($BK$2*Costs!L19*Price!M5)-Costs!L4*'Maximizing Profit'!$BP$2,0)</f>
        <v>-155.76326072726761</v>
      </c>
      <c r="I23" s="4">
        <f ca="1">IFERROR( ($BK$2*Costs!M19*Price!N5)-Costs!M4*'Maximizing Profit'!$BP$2,0)</f>
        <v>-362.34748361461311</v>
      </c>
      <c r="J23" s="4">
        <f ca="1">IFERROR( ($BK$2*Costs!N19*Price!O5)-Costs!N4*'Maximizing Profit'!$BP$2,0)</f>
        <v>-456.44083260525065</v>
      </c>
      <c r="K23" s="4">
        <f ca="1">IFERROR( ($BK$2*Costs!O19*Price!P5)-Costs!O4*'Maximizing Profit'!$BP$2,0)</f>
        <v>-579.62049244094999</v>
      </c>
      <c r="L23" s="4">
        <f ca="1">IFERROR( ($BK$2*Costs!P19*Price!Q5)-Costs!P4*'Maximizing Profit'!$BP$2,0)</f>
        <v>-644.13085609120708</v>
      </c>
      <c r="M23" s="4">
        <f ca="1">IFERROR( ($BK$2*Costs!Q19*Price!R5)-Costs!Q4*'Maximizing Profit'!$BP$2,0)</f>
        <v>-659.66736050437544</v>
      </c>
      <c r="N23" s="4">
        <f ca="1">IFERROR( ($BK$2*Costs!R19*Price!S5)-Costs!R4*'Maximizing Profit'!$BP$2,0)</f>
        <v>-699.44245728842884</v>
      </c>
      <c r="O23" s="4">
        <f ca="1">IFERROR( ($BK$2*Costs!S19*Price!T5)-Costs!S4*'Maximizing Profit'!$BP$2,0)</f>
        <v>-682.9721171241282</v>
      </c>
      <c r="P23" s="4"/>
      <c r="CA23" t="s">
        <v>136</v>
      </c>
      <c r="CB23">
        <v>0.11</v>
      </c>
      <c r="CC23" s="1">
        <v>0.25</v>
      </c>
    </row>
    <row r="24" spans="1:81">
      <c r="A24" s="25" t="s">
        <v>4</v>
      </c>
      <c r="B24" s="25" t="s">
        <v>5</v>
      </c>
      <c r="C24" s="4">
        <f ca="1">IFERROR( ($BK$3*Costs!G19*Price!H6)-Costs!G4*'Maximizing Profit'!$BP$2,0)</f>
        <v>2013.7298185569387</v>
      </c>
      <c r="D24" s="4">
        <f ca="1">IFERROR( ($BK$3*Costs!H19*Price!I6)-Costs!H4*'Maximizing Profit'!$BP$2,0)</f>
        <v>1551.7182173597173</v>
      </c>
      <c r="E24" s="4">
        <f ca="1">IFERROR( ($BK$3*Costs!I19*Price!J6)-Costs!I4*'Maximizing Profit'!$BP$2,0)</f>
        <v>1165.9180237916103</v>
      </c>
      <c r="F24" s="4">
        <f ca="1">IFERROR( ($BK$3*Costs!J19*Price!K6)-Costs!J4*'Maximizing Profit'!$BP$2,0)</f>
        <v>797.13712640894573</v>
      </c>
      <c r="G24" s="4">
        <f ca="1">IFERROR( ($BK$3*Costs!K19*Price!L6)-Costs!K4*'Maximizing Profit'!$BP$2,0)</f>
        <v>524.08921436666219</v>
      </c>
      <c r="H24" s="4">
        <f ca="1">IFERROR( ($BK$3*Costs!L19*Price!M6)-Costs!L4*'Maximizing Profit'!$BP$2,0)</f>
        <v>216.63673927273248</v>
      </c>
      <c r="I24" s="4">
        <f ca="1">IFERROR( ($BK$3*Costs!M19*Price!N6)-Costs!M4*'Maximizing Profit'!$BP$2,0)</f>
        <v>-36.497483614613202</v>
      </c>
      <c r="J24" s="4">
        <f ca="1">IFERROR( ($BK$3*Costs!N19*Price!O6)-Costs!N4*'Maximizing Profit'!$BP$2,0)</f>
        <v>-223.69083260525076</v>
      </c>
      <c r="K24" s="4">
        <f ca="1">IFERROR( ($BK$3*Costs!O19*Price!P6)-Costs!O4*'Maximizing Profit'!$BP$2,0)</f>
        <v>-393.42049244094994</v>
      </c>
      <c r="L24" s="4">
        <f ca="1">IFERROR( ($BK$3*Costs!P19*Price!Q6)-Costs!P4*'Maximizing Profit'!$BP$2,0)</f>
        <v>-504.4808560912071</v>
      </c>
      <c r="M24" s="4">
        <f ca="1">IFERROR( ($BK$3*Costs!Q19*Price!R6)-Costs!Q4*'Maximizing Profit'!$BP$2,0)</f>
        <v>-566.56736050437553</v>
      </c>
      <c r="N24" s="4">
        <f ca="1">IFERROR( ($BK$3*Costs!R19*Price!S6)-Costs!R4*'Maximizing Profit'!$BP$2,0)</f>
        <v>-559.79245728842875</v>
      </c>
      <c r="O24" s="4">
        <f ca="1">IFERROR( ($BK$3*Costs!S19*Price!T6)-Costs!S4*'Maximizing Profit'!$BP$2,0)</f>
        <v>-589.87211712412818</v>
      </c>
      <c r="P24" s="4"/>
      <c r="CA24" t="s">
        <v>161</v>
      </c>
      <c r="CB24">
        <v>0.05</v>
      </c>
      <c r="CC24" s="1">
        <v>0.5</v>
      </c>
    </row>
    <row r="25" spans="1:81" ht="19">
      <c r="A25" s="25" t="s">
        <v>6</v>
      </c>
      <c r="B25" s="25" t="s">
        <v>7</v>
      </c>
      <c r="C25" s="4">
        <f ca="1">IFERROR( ($BK$4*Costs!G20*Price!H7)-Costs!G4*'Maximizing Profit'!$BP$2,0)</f>
        <v>-57.570181443061529</v>
      </c>
      <c r="D25" s="4">
        <f ca="1">IFERROR( ($BK$4*Costs!H20*Price!I7)-Costs!H4*'Maximizing Profit'!$BP$2,0)</f>
        <v>-109.88178264028306</v>
      </c>
      <c r="E25" s="4">
        <f ca="1">IFERROR( ($BK$4*Costs!I20*Price!J7)-Costs!I4*'Maximizing Profit'!$BP$2,0)</f>
        <v>-165.63197620838969</v>
      </c>
      <c r="F25" s="4">
        <f ca="1">IFERROR( ($BK$4*Costs!J20*Price!K7)-Costs!J4*'Maximizing Profit'!$BP$2,0)</f>
        <v>-203.66287359105422</v>
      </c>
      <c r="G25" s="4">
        <f ca="1">IFERROR( ($BK$4*Costs!K20*Price!L7)-Costs!K4*'Maximizing Profit'!$BP$2,0)</f>
        <v>-260.26078563333772</v>
      </c>
      <c r="H25" s="4">
        <f ca="1">IFERROR( ($BK$4*Costs!L20*Price!M7)-Costs!L4*'Maximizing Profit'!$BP$2,0)</f>
        <v>-273.56326072726756</v>
      </c>
      <c r="I25" s="4">
        <f ca="1">IFERROR( ($BK$4*Costs!M20*Price!N7)-Costs!M4*'Maximizing Profit'!$BP$2,0)</f>
        <v>-383.24748361461309</v>
      </c>
      <c r="J25" s="4">
        <f ca="1">IFERROR( ($BK$4*Costs!N20*Price!O7)-Costs!N4*'Maximizing Profit'!$BP$2,0)</f>
        <v>-443.14083260525069</v>
      </c>
      <c r="K25" s="4">
        <f ca="1">IFERROR( ($BK$4*Costs!O20*Price!P7)-Costs!O4*'Maximizing Profit'!$BP$2,0)</f>
        <v>-501.72049244095001</v>
      </c>
      <c r="L25" s="4">
        <f ca="1">IFERROR( ($BK$4*Costs!P20*Price!Q7)-Costs!P4*'Maximizing Profit'!$BP$2,0)</f>
        <v>-532.9808560912071</v>
      </c>
      <c r="M25" s="4">
        <f ca="1">IFERROR( ($BK$4*Costs!Q20*Price!R7)-Costs!Q4*'Maximizing Profit'!$BP$2,0)</f>
        <v>-546.61736050437548</v>
      </c>
      <c r="N25" s="4">
        <f ca="1">IFERROR( ($BK$4*Costs!R20*Price!S7)-Costs!R4*'Maximizing Profit'!$BP$2,0)</f>
        <v>-569.29245728842875</v>
      </c>
      <c r="O25" s="4">
        <f ca="1">IFERROR( ($BK$4*Costs!S20*Price!T7)-Costs!S4*'Maximizing Profit'!$BP$2,0)</f>
        <v>-582.27211712412816</v>
      </c>
      <c r="P25" s="4"/>
      <c r="V25" s="23"/>
      <c r="W25" s="23"/>
      <c r="CA25" t="s">
        <v>135</v>
      </c>
      <c r="CB25">
        <v>0.04</v>
      </c>
      <c r="CC25" s="1">
        <v>0.25</v>
      </c>
    </row>
    <row r="26" spans="1:81">
      <c r="A26" s="25" t="s">
        <v>8</v>
      </c>
      <c r="B26" s="25" t="s">
        <v>7</v>
      </c>
      <c r="C26" s="4">
        <f ca="1">IFERROR( ($BK$5*Costs!G20*Price!H8)-Costs!G4*'Maximizing Profit'!$BP$2,0)</f>
        <v>-113.57018144306153</v>
      </c>
      <c r="D26" s="4">
        <f ca="1">IFERROR( ($BK$5*Costs!H20*Price!I8)-Costs!H4*'Maximizing Profit'!$BP$2,0)</f>
        <v>-145.88178264028306</v>
      </c>
      <c r="E26" s="4">
        <f ca="1">IFERROR( ($BK$5*Costs!I20*Price!J8)-Costs!I4*'Maximizing Profit'!$BP$2,0)</f>
        <v>-204.03197620838978</v>
      </c>
      <c r="F26" s="4">
        <f ca="1">IFERROR( ($BK$5*Costs!J20*Price!K8)-Costs!J4*'Maximizing Profit'!$BP$2,0)</f>
        <v>-244.46287359105418</v>
      </c>
      <c r="G26" s="4">
        <f ca="1">IFERROR( ($BK$5*Costs!K20*Price!L8)-Costs!K4*'Maximizing Profit'!$BP$2,0)</f>
        <v>-289.06078563333767</v>
      </c>
      <c r="H26" s="4">
        <f ca="1">IFERROR( ($BK$5*Costs!L20*Price!M8)-Costs!L4*'Maximizing Profit'!$BP$2,0)</f>
        <v>-303.96326072726742</v>
      </c>
      <c r="I26" s="4">
        <f ca="1">IFERROR( ($BK$5*Costs!M20*Price!N8)-Costs!M4*'Maximizing Profit'!$BP$2,0)</f>
        <v>-413.64748361461307</v>
      </c>
      <c r="J26" s="4">
        <f ca="1">IFERROR( ($BK$5*Costs!N20*Price!O8)-Costs!N4*'Maximizing Profit'!$BP$2,0)</f>
        <v>-473.54083260525067</v>
      </c>
      <c r="K26" s="4">
        <f ca="1">IFERROR( ($BK$5*Costs!O20*Price!P8)-Costs!O4*'Maximizing Profit'!$BP$2,0)</f>
        <v>-516.92049244094994</v>
      </c>
      <c r="L26" s="4">
        <f ca="1">IFERROR( ($BK$5*Costs!P20*Price!Q8)-Costs!P4*'Maximizing Profit'!$BP$2,0)</f>
        <v>-548.18085609120703</v>
      </c>
      <c r="M26" s="4">
        <f ca="1">IFERROR( ($BK$5*Costs!Q20*Price!R8)-Costs!Q4*'Maximizing Profit'!$BP$2,0)</f>
        <v>-561.81736050437553</v>
      </c>
      <c r="N26" s="4">
        <f ca="1">IFERROR( ($BK$5*Costs!R20*Price!S8)-Costs!R4*'Maximizing Profit'!$BP$2,0)</f>
        <v>-584.4924572884288</v>
      </c>
      <c r="O26" s="4">
        <f ca="1">IFERROR( ($BK$5*Costs!S20*Price!T8)-Costs!S4*'Maximizing Profit'!$BP$2,0)</f>
        <v>-582.27211712412816</v>
      </c>
      <c r="P26" s="4"/>
    </row>
    <row r="27" spans="1:81">
      <c r="A27" s="25" t="s">
        <v>9</v>
      </c>
      <c r="B27" s="25" t="s">
        <v>7</v>
      </c>
      <c r="C27" s="4">
        <f ca="1">IFERROR( ($BK$6*Costs!G20*Price!H9)-Costs!G4*'Maximizing Profit'!$BP$2,0)</f>
        <v>610.92981855693847</v>
      </c>
      <c r="D27" s="4">
        <f ca="1">IFERROR( ($BK$6*Costs!H20*Price!I9)-Costs!H4*'Maximizing Profit'!$BP$2,0)</f>
        <v>505.11821735971694</v>
      </c>
      <c r="E27" s="4">
        <f ca="1">IFERROR( ($BK$6*Costs!I20*Price!J9)-Costs!I4*'Maximizing Profit'!$BP$2,0)</f>
        <v>383.16802379161027</v>
      </c>
      <c r="F27" s="4">
        <f ca="1">IFERROR( ($BK$6*Costs!J20*Price!K9)-Costs!J4*'Maximizing Profit'!$BP$2,0)</f>
        <v>285.93712640894569</v>
      </c>
      <c r="G27" s="4">
        <f ca="1">IFERROR( ($BK$6*Costs!K20*Price!L9)-Costs!K4*'Maximizing Profit'!$BP$2,0)</f>
        <v>195.13921436666215</v>
      </c>
      <c r="H27" s="4">
        <f ca="1">IFERROR( ($BK$6*Costs!L20*Price!M9)-Costs!L4*'Maximizing Profit'!$BP$2,0)</f>
        <v>122.5867392727323</v>
      </c>
      <c r="I27" s="4">
        <f ca="1">IFERROR( ($BK$6*Costs!M20*Price!N9)-Costs!M4*'Maximizing Profit'!$BP$2,0)</f>
        <v>-44.097483614613111</v>
      </c>
      <c r="J27" s="4">
        <f ca="1">IFERROR( ($BK$6*Costs!N20*Price!O9)-Costs!N4*'Maximizing Profit'!$BP$2,0)</f>
        <v>-157.19083260525076</v>
      </c>
      <c r="K27" s="4">
        <f ca="1">IFERROR( ($BK$6*Costs!O20*Price!P9)-Costs!O4*'Maximizing Profit'!$BP$2,0)</f>
        <v>-256.62049244094999</v>
      </c>
      <c r="L27" s="4">
        <f ca="1">IFERROR( ($BK$6*Costs!P20*Price!Q9)-Costs!P4*'Maximizing Profit'!$BP$2,0)</f>
        <v>-326.83085609120712</v>
      </c>
      <c r="M27" s="4">
        <f ca="1">IFERROR( ($BK$6*Costs!Q20*Price!R9)-Costs!Q4*'Maximizing Profit'!$BP$2,0)</f>
        <v>-368.96736050437562</v>
      </c>
      <c r="N27" s="4">
        <f ca="1">IFERROR( ($BK$6*Costs!R20*Price!S9)-Costs!R4*'Maximizing Profit'!$BP$2,0)</f>
        <v>-426.79245728842886</v>
      </c>
      <c r="O27" s="4">
        <f ca="1">IFERROR( ($BK$6*Costs!S20*Price!T9)-Costs!S4*'Maximizing Profit'!$BP$2,0)</f>
        <v>-449.27211712412827</v>
      </c>
      <c r="P27" s="4"/>
      <c r="CA27" t="s">
        <v>136</v>
      </c>
      <c r="CB27">
        <v>0.05</v>
      </c>
      <c r="CC27" s="1">
        <v>0.25</v>
      </c>
    </row>
    <row r="28" spans="1:81">
      <c r="A28" s="25" t="s">
        <v>10</v>
      </c>
      <c r="B28" s="25" t="s">
        <v>11</v>
      </c>
      <c r="C28" s="4">
        <f ca="1">IFERROR( ($BK$7*Costs!G21*Price!H10)-Costs!G4*'Maximizing Profit'!$BP$2,0)</f>
        <v>-641.5701814430613</v>
      </c>
      <c r="D28" s="4">
        <f ca="1">IFERROR( ($BK$7*Costs!H21*Price!I10)-Costs!H4*'Maximizing Profit'!$BP$2,0)</f>
        <v>-469.88178264028306</v>
      </c>
      <c r="E28" s="4">
        <f ca="1">IFERROR( ($BK$7*Costs!I21*Price!J10)-Costs!I4*'Maximizing Profit'!$BP$2,0)</f>
        <v>-357.63197620838969</v>
      </c>
      <c r="F28" s="4">
        <f ca="1">IFERROR( ($BK$7*Costs!J21*Price!K10)-Costs!J4*'Maximizing Profit'!$BP$2,0)</f>
        <v>-254.06287359105409</v>
      </c>
      <c r="G28" s="4">
        <f ca="1">IFERROR( ($BK$7*Costs!K21*Price!L10)-Costs!K4*'Maximizing Profit'!$BP$2,0)</f>
        <v>-186.66078563333781</v>
      </c>
      <c r="H28" s="4">
        <f ca="1">IFERROR( ($BK$7*Costs!L21*Price!M10)-Costs!L4*'Maximizing Profit'!$BP$2,0)</f>
        <v>3.6739272732575046E-2</v>
      </c>
      <c r="I28" s="4">
        <f ca="1">IFERROR( ($BK$7*Costs!M21*Price!N10)-Costs!M4*'Maximizing Profit'!$BP$2,0)</f>
        <v>114.35251638538693</v>
      </c>
      <c r="J28" s="4">
        <f ca="1">IFERROR( ($BK$7*Costs!N21*Price!O10)-Costs!N4*'Maximizing Profit'!$BP$2,0)</f>
        <v>216.05916739474947</v>
      </c>
      <c r="K28" s="4">
        <f ca="1">IFERROR( ($BK$7*Costs!O21*Price!P10)-Costs!O4*'Maximizing Profit'!$BP$2,0)</f>
        <v>99.879507559050126</v>
      </c>
      <c r="L28" s="4">
        <f ca="1">IFERROR( ($BK$7*Costs!P21*Price!Q10)-Costs!P4*'Maximizing Profit'!$BP$2,0)</f>
        <v>8.6191439087929211</v>
      </c>
      <c r="M28" s="4">
        <f ca="1">IFERROR( ($BK$7*Costs!Q21*Price!R10)-Costs!Q4*'Maximizing Profit'!$BP$2,0)</f>
        <v>-41.817360504375529</v>
      </c>
      <c r="N28" s="4">
        <f ca="1">IFERROR( ($BK$7*Costs!R21*Price!S10)-Costs!R4*'Maximizing Profit'!$BP$2,0)</f>
        <v>-116.49245728842868</v>
      </c>
      <c r="O28" s="4">
        <f ca="1">IFERROR( ($BK$7*Costs!S21*Price!T10)-Costs!S4*'Maximizing Profit'!$BP$2,0)</f>
        <v>-168.67211712412814</v>
      </c>
      <c r="P28" s="4"/>
      <c r="CA28" t="s">
        <v>162</v>
      </c>
      <c r="CB28">
        <v>0.04</v>
      </c>
      <c r="CC28" s="1">
        <v>0.5</v>
      </c>
    </row>
    <row r="29" spans="1:81">
      <c r="A29" s="25" t="s">
        <v>63</v>
      </c>
      <c r="B29" s="25" t="s">
        <v>11</v>
      </c>
      <c r="C29" s="4">
        <f ca="1">IFERROR( ($BK$8*Costs!G21*Price!H11)-Costs!G4*'Maximizing Profit'!$BP$2,0)</f>
        <v>-730.07018144306153</v>
      </c>
      <c r="D29" s="4">
        <f ca="1">IFERROR( ($BK$8*Costs!H21*Price!I11)-Costs!H4*'Maximizing Profit'!$BP$2,0)</f>
        <v>-565.43178264028302</v>
      </c>
      <c r="E29" s="4">
        <f ca="1">IFERROR( ($BK$8*Costs!I21*Price!J11)-Costs!I4*'Maximizing Profit'!$BP$2,0)</f>
        <v>-452.03197620838978</v>
      </c>
      <c r="F29" s="4">
        <f ca="1">IFERROR( ($BK$8*Costs!J21*Price!K11)-Costs!J4*'Maximizing Profit'!$BP$2,0)</f>
        <v>-344.06287359105431</v>
      </c>
      <c r="G29" s="4">
        <f ca="1">IFERROR( ($BK$8*Costs!K21*Price!L11)-Costs!K4*'Maximizing Profit'!$BP$2,0)</f>
        <v>-274.66078563333781</v>
      </c>
      <c r="H29" s="4">
        <f ca="1">IFERROR( ($BK$8*Costs!L21*Price!M11)-Costs!L4*'Maximizing Profit'!$BP$2,0)</f>
        <v>-92.963260727267652</v>
      </c>
      <c r="I29" s="4">
        <f ca="1">IFERROR( ($BK$8*Costs!M21*Price!N11)-Costs!M4*'Maximizing Profit'!$BP$2,0)</f>
        <v>18.452516385386843</v>
      </c>
      <c r="J29" s="4">
        <f ca="1">IFERROR( ($BK$8*Costs!N21*Price!O11)-Costs!N4*'Maximizing Profit'!$BP$2,0)</f>
        <v>116.85916739474942</v>
      </c>
      <c r="K29" s="4">
        <f ca="1">IFERROR( ($BK$8*Costs!O21*Price!P11)-Costs!O4*'Maximizing Profit'!$BP$2,0)</f>
        <v>14.279507559050217</v>
      </c>
      <c r="L29" s="4">
        <f ca="1">IFERROR( ($BK$8*Costs!P21*Price!Q11)-Costs!P4*'Maximizing Profit'!$BP$2,0)</f>
        <v>-54.580856091206897</v>
      </c>
      <c r="M29" s="4">
        <f ca="1">IFERROR( ($BK$8*Costs!Q21*Price!R11)-Costs!Q4*'Maximizing Profit'!$BP$2,0)</f>
        <v>-113.81736050437542</v>
      </c>
      <c r="N29" s="4">
        <f ca="1">IFERROR( ($BK$8*Costs!R21*Price!S11)-Costs!R4*'Maximizing Profit'!$BP$2,0)</f>
        <v>-175.69245728842873</v>
      </c>
      <c r="O29" s="4">
        <f ca="1">IFERROR( ($BK$8*Costs!S21*Price!T11)-Costs!S4*'Maximizing Profit'!$BP$2,0)</f>
        <v>-213.47211712412809</v>
      </c>
      <c r="P29" s="4"/>
      <c r="CA29" t="s">
        <v>135</v>
      </c>
      <c r="CB29">
        <v>0.03</v>
      </c>
      <c r="CC29" s="1">
        <v>0.25</v>
      </c>
    </row>
    <row r="30" spans="1:81">
      <c r="A30" s="25" t="s">
        <v>63</v>
      </c>
      <c r="B30" s="25" t="s">
        <v>11</v>
      </c>
      <c r="C30" s="4">
        <f ca="1">IFERROR( ($BK$9*Costs!G21*Price!H12)-Costs!G4*'Maximizing Profit'!$BP$2,0)</f>
        <v>-627.47018144306139</v>
      </c>
      <c r="D30" s="4">
        <f ca="1">IFERROR( ($BK$9*Costs!H21*Price!I12)-Costs!H4*'Maximizing Profit'!$BP$2,0)</f>
        <v>-458.33178264028311</v>
      </c>
      <c r="E30" s="4">
        <f ca="1">IFERROR( ($BK$9*Costs!I21*Price!J12)-Costs!I4*'Maximizing Profit'!$BP$2,0)</f>
        <v>-344.03197620838978</v>
      </c>
      <c r="F30" s="4">
        <f ca="1">IFERROR( ($BK$9*Costs!J21*Price!K12)-Costs!J4*'Maximizing Profit'!$BP$2,0)</f>
        <v>-238.76287359105413</v>
      </c>
      <c r="G30" s="4">
        <f ca="1">IFERROR( ($BK$9*Costs!K21*Price!L12)-Costs!K4*'Maximizing Profit'!$BP$2,0)</f>
        <v>-166.66078563333781</v>
      </c>
      <c r="H30" s="4">
        <f ca="1">IFERROR( ($BK$9*Costs!L21*Price!M12)-Costs!L4*'Maximizing Profit'!$BP$2,0)</f>
        <v>25.836739272732302</v>
      </c>
      <c r="I30" s="4">
        <f ca="1">IFERROR( ($BK$9*Costs!M21*Price!N12)-Costs!M4*'Maximizing Profit'!$BP$2,0)</f>
        <v>138.15251638538689</v>
      </c>
      <c r="J30" s="4">
        <f ca="1">IFERROR( ($BK$9*Costs!N21*Price!O12)-Costs!N4*'Maximizing Profit'!$BP$2,0)</f>
        <v>239.25916739474951</v>
      </c>
      <c r="K30" s="4">
        <f ca="1">IFERROR( ($BK$9*Costs!O21*Price!P12)-Costs!O4*'Maximizing Profit'!$BP$2,0)</f>
        <v>115.07950755905017</v>
      </c>
      <c r="L30" s="4">
        <f ca="1">IFERROR( ($BK$9*Costs!P21*Price!Q12)-Costs!P4*'Maximizing Profit'!$BP$2,0)</f>
        <v>31.819143908792967</v>
      </c>
      <c r="M30" s="4">
        <f ca="1">IFERROR( ($BK$9*Costs!Q21*Price!R12)-Costs!Q4*'Maximizing Profit'!$BP$2,0)</f>
        <v>-34.617360504375483</v>
      </c>
      <c r="N30" s="4">
        <f ca="1">IFERROR( ($BK$9*Costs!R21*Price!S12)-Costs!R4*'Maximizing Profit'!$BP$2,0)</f>
        <v>-103.69245728842873</v>
      </c>
      <c r="O30" s="4">
        <f ca="1">IFERROR( ($BK$9*Costs!S21*Price!T12)-Costs!S4*'Maximizing Profit'!$BP$2,0)</f>
        <v>-148.67211712412814</v>
      </c>
      <c r="P30" s="4"/>
    </row>
    <row r="31" spans="1:81">
      <c r="A31" s="25" t="s">
        <v>63</v>
      </c>
      <c r="B31" s="25" t="s">
        <v>11</v>
      </c>
      <c r="C31" s="4">
        <f ca="1">IFERROR( ($BK$10*Costs!G21*Price!H13)-Costs!G4*'Maximizing Profit'!$BP$2,0)</f>
        <v>-904.37018144306148</v>
      </c>
      <c r="D31" s="4">
        <f ca="1">IFERROR( ($BK$10*Costs!H21*Price!I13)-Costs!H4*'Maximizing Profit'!$BP$2,0)</f>
        <v>-742.88178264028306</v>
      </c>
      <c r="E31" s="4">
        <f ca="1">IFERROR( ($BK$10*Costs!I21*Price!J13)-Costs!I4*'Maximizing Profit'!$BP$2,0)</f>
        <v>-629.63197620838969</v>
      </c>
      <c r="F31" s="4">
        <f ca="1">IFERROR( ($BK$10*Costs!J21*Price!K13)-Costs!J4*'Maximizing Profit'!$BP$2,0)</f>
        <v>-522.26287359105413</v>
      </c>
      <c r="G31" s="4">
        <f ca="1">IFERROR( ($BK$10*Costs!K21*Price!L13)-Costs!K4*'Maximizing Profit'!$BP$2,0)</f>
        <v>-446.66078563333781</v>
      </c>
      <c r="H31" s="4">
        <f ca="1">IFERROR( ($BK$10*Costs!L21*Price!M13)-Costs!L4*'Maximizing Profit'!$BP$2,0)</f>
        <v>-271.16326072726747</v>
      </c>
      <c r="I31" s="4">
        <f ca="1">IFERROR( ($BK$10*Costs!M21*Price!N13)-Costs!M4*'Maximizing Profit'!$BP$2,0)</f>
        <v>-165.64748361461307</v>
      </c>
      <c r="J31" s="4">
        <f ca="1">IFERROR( ($BK$10*Costs!N21*Price!O13)-Costs!N4*'Maximizing Profit'!$BP$2,0)</f>
        <v>-65.540832605250444</v>
      </c>
      <c r="K31" s="4">
        <f ca="1">IFERROR( ($BK$10*Costs!O21*Price!P13)-Costs!O4*'Maximizing Profit'!$BP$2,0)</f>
        <v>-149.72049244094978</v>
      </c>
      <c r="L31" s="4">
        <f ca="1">IFERROR( ($BK$10*Costs!P21*Price!Q13)-Costs!P4*'Maximizing Profit'!$BP$2,0)</f>
        <v>-205.78085609120694</v>
      </c>
      <c r="M31" s="4">
        <f ca="1">IFERROR( ($BK$10*Costs!Q21*Price!R13)-Costs!Q4*'Maximizing Profit'!$BP$2,0)</f>
        <v>-243.41736050437544</v>
      </c>
      <c r="N31" s="4">
        <f ca="1">IFERROR( ($BK$10*Costs!R21*Price!S13)-Costs!R4*'Maximizing Profit'!$BP$2,0)</f>
        <v>-289.29245728842875</v>
      </c>
      <c r="O31" s="4">
        <f ca="1">IFERROR( ($BK$10*Costs!S21*Price!T13)-Costs!S4*'Maximizing Profit'!$BP$2,0)</f>
        <v>-315.87211712412807</v>
      </c>
      <c r="P31" s="4"/>
      <c r="CA31" t="s">
        <v>136</v>
      </c>
      <c r="CB31">
        <v>0.3</v>
      </c>
      <c r="CC31" s="1">
        <v>0.25</v>
      </c>
    </row>
    <row r="32" spans="1:81">
      <c r="A32" s="25" t="s">
        <v>64</v>
      </c>
      <c r="B32" s="25" t="s">
        <v>11</v>
      </c>
      <c r="C32" s="4">
        <f ca="1">IFERROR( ($BK$11*Costs!G21*Price!H14)-Costs!G4*'Maximizing Profit'!$BP$2,0)</f>
        <v>-475.97018144306139</v>
      </c>
      <c r="D32" s="4">
        <f ca="1">IFERROR( ($BK$11*Costs!H21*Price!I14)-Costs!H4*'Maximizing Profit'!$BP$2,0)</f>
        <v>-303.28178264028315</v>
      </c>
      <c r="E32" s="4">
        <f ca="1">IFERROR( ($BK$11*Costs!I21*Price!J14)-Costs!I4*'Maximizing Profit'!$BP$2,0)</f>
        <v>-188.03197620838978</v>
      </c>
      <c r="F32" s="4">
        <f ca="1">IFERROR( ($BK$11*Costs!J21*Price!K14)-Costs!J4*'Maximizing Profit'!$BP$2,0)</f>
        <v>-84.86287359105404</v>
      </c>
      <c r="G32" s="4">
        <f ca="1">IFERROR( ($BK$11*Costs!K21*Price!L14)-Costs!K4*'Maximizing Profit'!$BP$2,0)</f>
        <v>-18.660785633337809</v>
      </c>
      <c r="H32" s="4">
        <f ca="1">IFERROR( ($BK$11*Costs!L21*Price!M14)-Costs!L4*'Maximizing Profit'!$BP$2,0)</f>
        <v>180.03673927273258</v>
      </c>
      <c r="I32" s="4">
        <f ca="1">IFERROR( ($BK$11*Costs!M21*Price!N14)-Costs!M4*'Maximizing Profit'!$BP$2,0)</f>
        <v>296.35251638538693</v>
      </c>
      <c r="J32" s="4">
        <f ca="1">IFERROR( ($BK$11*Costs!N21*Price!O14)-Costs!N4*'Maximizing Profit'!$BP$2,0)</f>
        <v>398.45916739474956</v>
      </c>
      <c r="K32" s="4">
        <f ca="1">IFERROR( ($BK$11*Costs!O21*Price!P14)-Costs!O4*'Maximizing Profit'!$BP$2,0)</f>
        <v>259.87950755905013</v>
      </c>
      <c r="L32" s="4">
        <f ca="1">IFERROR( ($BK$11*Costs!P21*Price!Q14)-Costs!P4*'Maximizing Profit'!$BP$2,0)</f>
        <v>155.81914390879297</v>
      </c>
      <c r="M32" s="4">
        <f ca="1">IFERROR( ($BK$11*Costs!Q21*Price!R14)-Costs!Q4*'Maximizing Profit'!$BP$2,0)</f>
        <v>76.582639495624562</v>
      </c>
      <c r="N32" s="4">
        <f ca="1">IFERROR( ($BK$11*Costs!R21*Price!S14)-Costs!R4*'Maximizing Profit'!$BP$2,0)</f>
        <v>-7.6924572884287272</v>
      </c>
      <c r="O32" s="4">
        <f ca="1">IFERROR( ($BK$11*Costs!S21*Price!T14)-Costs!S4*'Maximizing Profit'!$BP$2,0)</f>
        <v>-66.272117124128158</v>
      </c>
      <c r="P32" s="4"/>
      <c r="CA32" t="s">
        <v>165</v>
      </c>
      <c r="CB32">
        <v>0.25</v>
      </c>
      <c r="CC32" s="1">
        <v>0.5</v>
      </c>
    </row>
    <row r="33" spans="1:81">
      <c r="A33" s="25" t="s">
        <v>64</v>
      </c>
      <c r="B33" s="25" t="s">
        <v>11</v>
      </c>
      <c r="C33" s="4">
        <f ca="1">IFERROR( ($BK$12*Costs!G21*Price!H15)-Costs!G4*'Maximizing Profit'!$BP$2,0)</f>
        <v>61.629818556938744</v>
      </c>
      <c r="D33" s="4">
        <f ca="1">IFERROR( ($BK$12*Costs!H21*Price!I15)-Costs!H4*'Maximizing Profit'!$BP$2,0)</f>
        <v>297.31821735971675</v>
      </c>
      <c r="E33" s="4">
        <f ca="1">IFERROR( ($BK$12*Costs!I21*Price!J15)-Costs!I4*'Maximizing Profit'!$BP$2,0)</f>
        <v>466.36802379161009</v>
      </c>
      <c r="F33" s="4">
        <f ca="1">IFERROR( ($BK$12*Costs!J21*Price!K15)-Costs!J4*'Maximizing Profit'!$BP$2,0)</f>
        <v>613.53712640894582</v>
      </c>
      <c r="G33" s="4">
        <f ca="1">IFERROR( ($BK$12*Costs!K21*Price!L15)-Costs!K4*'Maximizing Profit'!$BP$2,0)</f>
        <v>715.33921436666219</v>
      </c>
      <c r="H33" s="4">
        <f ca="1">IFERROR( ($BK$12*Costs!L21*Price!M15)-Costs!L4*'Maximizing Profit'!$BP$2,0)</f>
        <v>1010.4367392727324</v>
      </c>
      <c r="I33" s="4">
        <f ca="1">IFERROR( ($BK$12*Costs!M21*Price!N15)-Costs!M4*'Maximizing Profit'!$BP$2,0)</f>
        <v>1206.3525163853867</v>
      </c>
      <c r="J33" s="4">
        <f ca="1">IFERROR( ($BK$12*Costs!N21*Price!O15)-Costs!N4*'Maximizing Profit'!$BP$2,0)</f>
        <v>1371.2591673947497</v>
      </c>
      <c r="K33" s="4">
        <f ca="1">IFERROR( ($BK$12*Costs!O21*Price!P15)-Costs!O4*'Maximizing Profit'!$BP$2,0)</f>
        <v>1168.6795075590501</v>
      </c>
      <c r="L33" s="4">
        <f ca="1">IFERROR( ($BK$12*Costs!P21*Price!Q15)-Costs!P4*'Maximizing Profit'!$BP$2,0)</f>
        <v>1003.819143908793</v>
      </c>
      <c r="M33" s="4">
        <f ca="1">IFERROR( ($BK$12*Costs!Q21*Price!R15)-Costs!Q4*'Maximizing Profit'!$BP$2,0)</f>
        <v>866.98263949562465</v>
      </c>
      <c r="N33" s="4">
        <f ca="1">IFERROR( ($BK$12*Costs!R21*Price!S15)-Costs!R4*'Maximizing Profit'!$BP$2,0)</f>
        <v>725.10754271157134</v>
      </c>
      <c r="O33" s="4">
        <f ca="1">IFERROR( ($BK$12*Costs!S21*Price!T15)-Costs!S4*'Maximizing Profit'!$BP$2,0)</f>
        <v>612.12788287587193</v>
      </c>
      <c r="P33" s="4"/>
      <c r="CA33" t="s">
        <v>135</v>
      </c>
      <c r="CB33">
        <v>0.2</v>
      </c>
      <c r="CC33" s="1">
        <v>0.25</v>
      </c>
    </row>
    <row r="34" spans="1:81">
      <c r="A34" s="25" t="s">
        <v>64</v>
      </c>
      <c r="B34" s="25" t="s">
        <v>11</v>
      </c>
      <c r="C34" s="4">
        <f ca="1">IFERROR( ($BK$13*Costs!G21*Price!H16)-Costs!G4*'Maximizing Profit'!$BP$2,0)</f>
        <v>362.82981855693856</v>
      </c>
      <c r="D34" s="4">
        <f ca="1">IFERROR( ($BK$13*Costs!H21*Price!I16)-Costs!H4*'Maximizing Profit'!$BP$2,0)</f>
        <v>613.71821735971685</v>
      </c>
      <c r="E34" s="4">
        <f ca="1">IFERROR( ($BK$13*Costs!I21*Price!J16)-Costs!I4*'Maximizing Profit'!$BP$2,0)</f>
        <v>792.76802379161018</v>
      </c>
      <c r="F34" s="4">
        <f ca="1">IFERROR( ($BK$13*Costs!J21*Price!K16)-Costs!J4*'Maximizing Profit'!$BP$2,0)</f>
        <v>944.7371264089461</v>
      </c>
      <c r="G34" s="4">
        <f ca="1">IFERROR( ($BK$13*Costs!K21*Price!L16)-Costs!K4*'Maximizing Profit'!$BP$2,0)</f>
        <v>1047.3392143666622</v>
      </c>
      <c r="H34" s="4">
        <f ca="1">IFERROR( ($BK$13*Costs!L21*Price!M16)-Costs!L4*'Maximizing Profit'!$BP$2,0)</f>
        <v>1368.0367392727323</v>
      </c>
      <c r="I34" s="4">
        <f ca="1">IFERROR( ($BK$13*Costs!M21*Price!N16)-Costs!M4*'Maximizing Profit'!$BP$2,0)</f>
        <v>1581.552516385387</v>
      </c>
      <c r="J34" s="4">
        <f ca="1">IFERROR( ($BK$13*Costs!N21*Price!O16)-Costs!N4*'Maximizing Profit'!$BP$2,0)</f>
        <v>1758.4591673947496</v>
      </c>
      <c r="K34" s="4">
        <f ca="1">IFERROR( ($BK$13*Costs!O21*Price!P16)-Costs!O4*'Maximizing Profit'!$BP$2,0)</f>
        <v>1517.4795075590503</v>
      </c>
      <c r="L34" s="4">
        <f ca="1">IFERROR( ($BK$13*Costs!P21*Price!Q16)-Costs!P4*'Maximizing Profit'!$BP$2,0)</f>
        <v>1317.4191439087933</v>
      </c>
      <c r="M34" s="4">
        <f ca="1">IFERROR( ($BK$13*Costs!Q21*Price!R16)-Costs!Q4*'Maximizing Profit'!$BP$2,0)</f>
        <v>1148.5826394956248</v>
      </c>
      <c r="N34" s="4">
        <f ca="1">IFERROR( ($BK$13*Costs!R21*Price!S16)-Costs!R4*'Maximizing Profit'!$BP$2,0)</f>
        <v>977.9075427115713</v>
      </c>
      <c r="O34" s="4">
        <f ca="1">IFERROR( ($BK$13*Costs!S21*Price!T16)-Costs!S4*'Maximizing Profit'!$BP$2,0)</f>
        <v>839.32788287587198</v>
      </c>
      <c r="P34" s="4"/>
    </row>
    <row r="35" spans="1:81">
      <c r="CA35" t="s">
        <v>136</v>
      </c>
      <c r="CB35">
        <v>55</v>
      </c>
      <c r="CC35" s="1">
        <v>0.25</v>
      </c>
    </row>
    <row r="36" spans="1:81">
      <c r="CA36" t="s">
        <v>168</v>
      </c>
      <c r="CB36">
        <v>45</v>
      </c>
      <c r="CC36" s="1">
        <v>0.5</v>
      </c>
    </row>
    <row r="37" spans="1:81">
      <c r="A37" s="50" t="s">
        <v>112</v>
      </c>
      <c r="B37" s="50"/>
      <c r="C37" s="50"/>
      <c r="CA37" t="s">
        <v>135</v>
      </c>
      <c r="CB37">
        <v>35</v>
      </c>
      <c r="CC37" s="1">
        <v>0.25</v>
      </c>
    </row>
    <row r="38" spans="1:81">
      <c r="A38" s="25" t="s">
        <v>1</v>
      </c>
      <c r="B38" s="25" t="s">
        <v>2</v>
      </c>
      <c r="C38" s="25">
        <v>2005</v>
      </c>
      <c r="D38" s="25">
        <v>2006</v>
      </c>
      <c r="E38" s="25">
        <v>2007</v>
      </c>
      <c r="F38" s="25">
        <v>2008</v>
      </c>
      <c r="G38" s="25">
        <v>2009</v>
      </c>
      <c r="H38" s="25">
        <v>2010</v>
      </c>
      <c r="I38" s="25">
        <v>2011</v>
      </c>
      <c r="J38" s="25">
        <v>2012</v>
      </c>
      <c r="K38" s="25">
        <v>2013</v>
      </c>
      <c r="L38" s="25">
        <v>2014</v>
      </c>
      <c r="M38" s="25">
        <v>2015</v>
      </c>
      <c r="N38" s="25">
        <v>2016</v>
      </c>
      <c r="O38" s="25">
        <v>2017</v>
      </c>
    </row>
    <row r="39" spans="1:81">
      <c r="A39" s="25" t="s">
        <v>3</v>
      </c>
      <c r="B39" s="25" t="s">
        <v>5</v>
      </c>
      <c r="C39" s="26">
        <f t="shared" ref="C39:O39" ca="1" si="62">IFERROR( IF(C23&lt;0,0,C23),0)</f>
        <v>1094.9798185569387</v>
      </c>
      <c r="D39" s="26">
        <f t="shared" ca="1" si="62"/>
        <v>728.51821735971703</v>
      </c>
      <c r="E39" s="26">
        <f t="shared" ca="1" si="62"/>
        <v>457.86802379161009</v>
      </c>
      <c r="F39" s="26">
        <f t="shared" ca="1" si="62"/>
        <v>223.83712640894578</v>
      </c>
      <c r="G39" s="26">
        <f t="shared" ca="1" si="62"/>
        <v>58.589214366662191</v>
      </c>
      <c r="H39" s="26">
        <f t="shared" ca="1" si="62"/>
        <v>0</v>
      </c>
      <c r="I39" s="26">
        <f t="shared" ca="1" si="62"/>
        <v>0</v>
      </c>
      <c r="J39" s="26">
        <f t="shared" ca="1" si="62"/>
        <v>0</v>
      </c>
      <c r="K39" s="26">
        <f t="shared" ca="1" si="62"/>
        <v>0</v>
      </c>
      <c r="L39" s="26">
        <f t="shared" ca="1" si="62"/>
        <v>0</v>
      </c>
      <c r="M39" s="26">
        <f t="shared" ca="1" si="62"/>
        <v>0</v>
      </c>
      <c r="N39" s="26">
        <f t="shared" ca="1" si="62"/>
        <v>0</v>
      </c>
      <c r="O39" s="26">
        <f t="shared" ca="1" si="62"/>
        <v>0</v>
      </c>
      <c r="P39" s="4"/>
      <c r="CA39" t="s">
        <v>136</v>
      </c>
      <c r="CB39">
        <v>55</v>
      </c>
      <c r="CC39" s="1">
        <v>0.25</v>
      </c>
    </row>
    <row r="40" spans="1:81">
      <c r="A40" s="25" t="s">
        <v>4</v>
      </c>
      <c r="B40" s="25" t="s">
        <v>5</v>
      </c>
      <c r="C40" s="26">
        <f t="shared" ref="C40:O40" ca="1" si="63">IFERROR( IF(C24&lt;0,0,C24),0)</f>
        <v>2013.7298185569387</v>
      </c>
      <c r="D40" s="26">
        <f t="shared" ca="1" si="63"/>
        <v>1551.7182173597173</v>
      </c>
      <c r="E40" s="26">
        <f t="shared" ca="1" si="63"/>
        <v>1165.9180237916103</v>
      </c>
      <c r="F40" s="26">
        <f t="shared" ca="1" si="63"/>
        <v>797.13712640894573</v>
      </c>
      <c r="G40" s="26">
        <f t="shared" ca="1" si="63"/>
        <v>524.08921436666219</v>
      </c>
      <c r="H40" s="26">
        <f t="shared" ca="1" si="63"/>
        <v>216.63673927273248</v>
      </c>
      <c r="I40" s="26">
        <f t="shared" ca="1" si="63"/>
        <v>0</v>
      </c>
      <c r="J40" s="26">
        <f t="shared" ca="1" si="63"/>
        <v>0</v>
      </c>
      <c r="K40" s="26">
        <f t="shared" ca="1" si="63"/>
        <v>0</v>
      </c>
      <c r="L40" s="26">
        <f t="shared" ca="1" si="63"/>
        <v>0</v>
      </c>
      <c r="M40" s="26">
        <f t="shared" ca="1" si="63"/>
        <v>0</v>
      </c>
      <c r="N40" s="26">
        <f t="shared" ca="1" si="63"/>
        <v>0</v>
      </c>
      <c r="O40" s="26">
        <f t="shared" ca="1" si="63"/>
        <v>0</v>
      </c>
      <c r="P40" s="4"/>
      <c r="CA40" t="s">
        <v>169</v>
      </c>
      <c r="CB40">
        <v>45</v>
      </c>
      <c r="CC40" s="1">
        <v>0.5</v>
      </c>
    </row>
    <row r="41" spans="1:81">
      <c r="A41" s="25" t="s">
        <v>6</v>
      </c>
      <c r="B41" s="25" t="s">
        <v>7</v>
      </c>
      <c r="C41" s="26">
        <f t="shared" ref="C41:O41" ca="1" si="64">IFERROR( IF(C25&lt;0,0,C25),0)</f>
        <v>0</v>
      </c>
      <c r="D41" s="26">
        <f t="shared" ca="1" si="64"/>
        <v>0</v>
      </c>
      <c r="E41" s="26">
        <f t="shared" ca="1" si="64"/>
        <v>0</v>
      </c>
      <c r="F41" s="26">
        <f t="shared" ca="1" si="64"/>
        <v>0</v>
      </c>
      <c r="G41" s="26">
        <f t="shared" ca="1" si="64"/>
        <v>0</v>
      </c>
      <c r="H41" s="26">
        <f t="shared" ca="1" si="64"/>
        <v>0</v>
      </c>
      <c r="I41" s="26">
        <f t="shared" ca="1" si="64"/>
        <v>0</v>
      </c>
      <c r="J41" s="26">
        <f t="shared" ca="1" si="64"/>
        <v>0</v>
      </c>
      <c r="K41" s="26">
        <f t="shared" ca="1" si="64"/>
        <v>0</v>
      </c>
      <c r="L41" s="26">
        <f t="shared" ca="1" si="64"/>
        <v>0</v>
      </c>
      <c r="M41" s="26">
        <f t="shared" ca="1" si="64"/>
        <v>0</v>
      </c>
      <c r="N41" s="26">
        <f t="shared" ca="1" si="64"/>
        <v>0</v>
      </c>
      <c r="O41" s="26">
        <f t="shared" ca="1" si="64"/>
        <v>0</v>
      </c>
      <c r="P41" s="4"/>
      <c r="AK41" t="s">
        <v>115</v>
      </c>
      <c r="CA41" t="s">
        <v>135</v>
      </c>
      <c r="CB41">
        <v>35</v>
      </c>
      <c r="CC41" s="1">
        <v>0.25</v>
      </c>
    </row>
    <row r="42" spans="1:81">
      <c r="A42" s="25" t="s">
        <v>8</v>
      </c>
      <c r="B42" s="25" t="s">
        <v>7</v>
      </c>
      <c r="C42" s="26">
        <f t="shared" ref="C42:O42" ca="1" si="65">IFERROR( IF(C26&lt;0,0,C26),0)</f>
        <v>0</v>
      </c>
      <c r="D42" s="26">
        <f t="shared" ca="1" si="65"/>
        <v>0</v>
      </c>
      <c r="E42" s="26">
        <f t="shared" ca="1" si="65"/>
        <v>0</v>
      </c>
      <c r="F42" s="26">
        <f t="shared" ca="1" si="65"/>
        <v>0</v>
      </c>
      <c r="G42" s="26">
        <f t="shared" ca="1" si="65"/>
        <v>0</v>
      </c>
      <c r="H42" s="26">
        <f t="shared" ca="1" si="65"/>
        <v>0</v>
      </c>
      <c r="I42" s="26">
        <f t="shared" ca="1" si="65"/>
        <v>0</v>
      </c>
      <c r="J42" s="26">
        <f t="shared" ca="1" si="65"/>
        <v>0</v>
      </c>
      <c r="K42" s="26">
        <f t="shared" ca="1" si="65"/>
        <v>0</v>
      </c>
      <c r="L42" s="26">
        <f t="shared" ca="1" si="65"/>
        <v>0</v>
      </c>
      <c r="M42" s="26">
        <f t="shared" ca="1" si="65"/>
        <v>0</v>
      </c>
      <c r="N42" s="26">
        <f t="shared" ca="1" si="65"/>
        <v>0</v>
      </c>
      <c r="O42" s="26">
        <f t="shared" ca="1" si="65"/>
        <v>0</v>
      </c>
      <c r="P42" s="4"/>
    </row>
    <row r="43" spans="1:81">
      <c r="A43" s="25" t="s">
        <v>9</v>
      </c>
      <c r="B43" s="25" t="s">
        <v>7</v>
      </c>
      <c r="C43" s="26">
        <f t="shared" ref="C43:O43" ca="1" si="66">IFERROR( IF(C27&lt;0,0,C27),0)</f>
        <v>610.92981855693847</v>
      </c>
      <c r="D43" s="26">
        <f t="shared" ca="1" si="66"/>
        <v>505.11821735971694</v>
      </c>
      <c r="E43" s="26">
        <f t="shared" ca="1" si="66"/>
        <v>383.16802379161027</v>
      </c>
      <c r="F43" s="26">
        <f t="shared" ca="1" si="66"/>
        <v>285.93712640894569</v>
      </c>
      <c r="G43" s="26">
        <f t="shared" ca="1" si="66"/>
        <v>195.13921436666215</v>
      </c>
      <c r="H43" s="26">
        <f t="shared" ca="1" si="66"/>
        <v>122.5867392727323</v>
      </c>
      <c r="I43" s="26">
        <f t="shared" ca="1" si="66"/>
        <v>0</v>
      </c>
      <c r="J43" s="26">
        <f t="shared" ca="1" si="66"/>
        <v>0</v>
      </c>
      <c r="K43" s="26">
        <f t="shared" ca="1" si="66"/>
        <v>0</v>
      </c>
      <c r="L43" s="26">
        <f t="shared" ca="1" si="66"/>
        <v>0</v>
      </c>
      <c r="M43" s="26">
        <f t="shared" ca="1" si="66"/>
        <v>0</v>
      </c>
      <c r="N43" s="26">
        <f t="shared" ca="1" si="66"/>
        <v>0</v>
      </c>
      <c r="O43" s="26">
        <f t="shared" ca="1" si="66"/>
        <v>0</v>
      </c>
      <c r="P43" s="4"/>
      <c r="CA43" t="s">
        <v>136</v>
      </c>
      <c r="CB43">
        <v>40</v>
      </c>
      <c r="CC43" s="1">
        <v>0.25</v>
      </c>
    </row>
    <row r="44" spans="1:81">
      <c r="A44" s="25" t="s">
        <v>10</v>
      </c>
      <c r="B44" s="25" t="s">
        <v>11</v>
      </c>
      <c r="C44" s="26">
        <f t="shared" ref="C44:O44" ca="1" si="67">IFERROR( IF(C28&lt;0,0,C28),0)</f>
        <v>0</v>
      </c>
      <c r="D44" s="26">
        <f t="shared" ca="1" si="67"/>
        <v>0</v>
      </c>
      <c r="E44" s="26">
        <f t="shared" ca="1" si="67"/>
        <v>0</v>
      </c>
      <c r="F44" s="26">
        <f t="shared" ca="1" si="67"/>
        <v>0</v>
      </c>
      <c r="G44" s="26">
        <f t="shared" ca="1" si="67"/>
        <v>0</v>
      </c>
      <c r="H44" s="26">
        <f t="shared" ca="1" si="67"/>
        <v>3.6739272732575046E-2</v>
      </c>
      <c r="I44" s="26">
        <f t="shared" ca="1" si="67"/>
        <v>114.35251638538693</v>
      </c>
      <c r="J44" s="26">
        <f t="shared" ca="1" si="67"/>
        <v>216.05916739474947</v>
      </c>
      <c r="K44" s="26">
        <f t="shared" ca="1" si="67"/>
        <v>99.879507559050126</v>
      </c>
      <c r="L44" s="26">
        <f t="shared" ca="1" si="67"/>
        <v>8.6191439087929211</v>
      </c>
      <c r="M44" s="26">
        <f t="shared" ca="1" si="67"/>
        <v>0</v>
      </c>
      <c r="N44" s="26">
        <f t="shared" ca="1" si="67"/>
        <v>0</v>
      </c>
      <c r="O44" s="26">
        <f t="shared" ca="1" si="67"/>
        <v>0</v>
      </c>
      <c r="P44" s="4"/>
      <c r="AJ44">
        <f>IFERROR(MATCH("a",AJ13:AZ13,0),0)</f>
        <v>1</v>
      </c>
      <c r="CA44" t="s">
        <v>170</v>
      </c>
      <c r="CB44">
        <v>30</v>
      </c>
      <c r="CC44" s="1">
        <v>0.5</v>
      </c>
    </row>
    <row r="45" spans="1:81">
      <c r="A45" s="25" t="s">
        <v>63</v>
      </c>
      <c r="B45" s="25" t="s">
        <v>11</v>
      </c>
      <c r="C45" s="26">
        <f t="shared" ref="C45:O45" ca="1" si="68">IFERROR( IF(C29&lt;0,0,C29),0)</f>
        <v>0</v>
      </c>
      <c r="D45" s="26">
        <f t="shared" ca="1" si="68"/>
        <v>0</v>
      </c>
      <c r="E45" s="26">
        <f t="shared" ca="1" si="68"/>
        <v>0</v>
      </c>
      <c r="F45" s="26">
        <f t="shared" ca="1" si="68"/>
        <v>0</v>
      </c>
      <c r="G45" s="26">
        <f t="shared" ca="1" si="68"/>
        <v>0</v>
      </c>
      <c r="H45" s="26">
        <f t="shared" ca="1" si="68"/>
        <v>0</v>
      </c>
      <c r="I45" s="26">
        <f t="shared" ca="1" si="68"/>
        <v>18.452516385386843</v>
      </c>
      <c r="J45" s="26">
        <f t="shared" ca="1" si="68"/>
        <v>116.85916739474942</v>
      </c>
      <c r="K45" s="26">
        <f t="shared" ca="1" si="68"/>
        <v>14.279507559050217</v>
      </c>
      <c r="L45" s="26">
        <f t="shared" ca="1" si="68"/>
        <v>0</v>
      </c>
      <c r="M45" s="26">
        <f t="shared" ca="1" si="68"/>
        <v>0</v>
      </c>
      <c r="N45" s="26">
        <f t="shared" ca="1" si="68"/>
        <v>0</v>
      </c>
      <c r="O45" s="26">
        <f t="shared" ca="1" si="68"/>
        <v>0</v>
      </c>
      <c r="P45" s="4"/>
      <c r="CA45" t="s">
        <v>135</v>
      </c>
      <c r="CB45">
        <v>20</v>
      </c>
      <c r="CC45" s="1">
        <v>0.25</v>
      </c>
    </row>
    <row r="46" spans="1:81">
      <c r="A46" s="25" t="s">
        <v>63</v>
      </c>
      <c r="B46" s="25" t="s">
        <v>11</v>
      </c>
      <c r="C46" s="26">
        <f t="shared" ref="C46:O46" ca="1" si="69">IFERROR( IF(C30&lt;0,0,C30),0)</f>
        <v>0</v>
      </c>
      <c r="D46" s="26">
        <f t="shared" ca="1" si="69"/>
        <v>0</v>
      </c>
      <c r="E46" s="26">
        <f t="shared" ca="1" si="69"/>
        <v>0</v>
      </c>
      <c r="F46" s="26">
        <f t="shared" ca="1" si="69"/>
        <v>0</v>
      </c>
      <c r="G46" s="26">
        <f t="shared" ca="1" si="69"/>
        <v>0</v>
      </c>
      <c r="H46" s="26">
        <f t="shared" ca="1" si="69"/>
        <v>25.836739272732302</v>
      </c>
      <c r="I46" s="26">
        <f t="shared" ca="1" si="69"/>
        <v>138.15251638538689</v>
      </c>
      <c r="J46" s="26">
        <f t="shared" ca="1" si="69"/>
        <v>239.25916739474951</v>
      </c>
      <c r="K46" s="26">
        <f t="shared" ca="1" si="69"/>
        <v>115.07950755905017</v>
      </c>
      <c r="L46" s="26">
        <f t="shared" ca="1" si="69"/>
        <v>31.819143908792967</v>
      </c>
      <c r="M46" s="26">
        <f t="shared" ca="1" si="69"/>
        <v>0</v>
      </c>
      <c r="N46" s="26">
        <f t="shared" ca="1" si="69"/>
        <v>0</v>
      </c>
      <c r="O46" s="26">
        <f t="shared" ca="1" si="69"/>
        <v>0</v>
      </c>
      <c r="P46" s="4"/>
    </row>
    <row r="47" spans="1:81" ht="24">
      <c r="A47" s="25" t="s">
        <v>63</v>
      </c>
      <c r="B47" s="25" t="s">
        <v>11</v>
      </c>
      <c r="C47" s="26">
        <f t="shared" ref="C47:O47" ca="1" si="70">IFERROR( IF(C31&lt;0,0,C31),0)</f>
        <v>0</v>
      </c>
      <c r="D47" s="26">
        <f t="shared" ca="1" si="70"/>
        <v>0</v>
      </c>
      <c r="E47" s="26">
        <f t="shared" ca="1" si="70"/>
        <v>0</v>
      </c>
      <c r="F47" s="26">
        <f t="shared" ca="1" si="70"/>
        <v>0</v>
      </c>
      <c r="G47" s="26">
        <f t="shared" ca="1" si="70"/>
        <v>0</v>
      </c>
      <c r="H47" s="26">
        <f t="shared" ca="1" si="70"/>
        <v>0</v>
      </c>
      <c r="I47" s="26">
        <f t="shared" ca="1" si="70"/>
        <v>0</v>
      </c>
      <c r="J47" s="26">
        <f t="shared" ca="1" si="70"/>
        <v>0</v>
      </c>
      <c r="K47" s="26">
        <f t="shared" ca="1" si="70"/>
        <v>0</v>
      </c>
      <c r="L47" s="26">
        <f t="shared" ca="1" si="70"/>
        <v>0</v>
      </c>
      <c r="M47" s="26">
        <f t="shared" ca="1" si="70"/>
        <v>0</v>
      </c>
      <c r="N47" s="26">
        <f t="shared" ca="1" si="70"/>
        <v>0</v>
      </c>
      <c r="O47" s="26">
        <f t="shared" ca="1" si="70"/>
        <v>0</v>
      </c>
      <c r="P47" s="4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J47" s="36"/>
    </row>
    <row r="48" spans="1:81" ht="24">
      <c r="A48" s="25" t="s">
        <v>64</v>
      </c>
      <c r="B48" s="25" t="s">
        <v>11</v>
      </c>
      <c r="C48" s="26">
        <f t="shared" ref="C48:O48" ca="1" si="71">IFERROR( IF(C32&lt;0,0,C32),0)</f>
        <v>0</v>
      </c>
      <c r="D48" s="26">
        <f t="shared" ca="1" si="71"/>
        <v>0</v>
      </c>
      <c r="E48" s="26">
        <f t="shared" ca="1" si="71"/>
        <v>0</v>
      </c>
      <c r="F48" s="26">
        <f t="shared" ca="1" si="71"/>
        <v>0</v>
      </c>
      <c r="G48" s="26">
        <f t="shared" ca="1" si="71"/>
        <v>0</v>
      </c>
      <c r="H48" s="26">
        <f t="shared" ca="1" si="71"/>
        <v>180.03673927273258</v>
      </c>
      <c r="I48" s="26">
        <f t="shared" ca="1" si="71"/>
        <v>296.35251638538693</v>
      </c>
      <c r="J48" s="26">
        <f t="shared" ca="1" si="71"/>
        <v>398.45916739474956</v>
      </c>
      <c r="K48" s="26">
        <f t="shared" ca="1" si="71"/>
        <v>259.87950755905013</v>
      </c>
      <c r="L48" s="26">
        <f t="shared" ca="1" si="71"/>
        <v>155.81914390879297</v>
      </c>
      <c r="M48" s="26">
        <f t="shared" ca="1" si="71"/>
        <v>76.582639495624562</v>
      </c>
      <c r="N48" s="26">
        <f t="shared" ca="1" si="71"/>
        <v>0</v>
      </c>
      <c r="O48" s="26">
        <f t="shared" ca="1" si="71"/>
        <v>0</v>
      </c>
      <c r="P48" s="4"/>
      <c r="BI48" s="36"/>
    </row>
    <row r="49" spans="1:16">
      <c r="A49" s="25" t="s">
        <v>64</v>
      </c>
      <c r="B49" s="25" t="s">
        <v>11</v>
      </c>
      <c r="C49" s="26">
        <f t="shared" ref="C49:O49" ca="1" si="72">IFERROR( IF(C33&lt;0,0,C33),0)</f>
        <v>61.629818556938744</v>
      </c>
      <c r="D49" s="26">
        <f t="shared" ca="1" si="72"/>
        <v>297.31821735971675</v>
      </c>
      <c r="E49" s="26">
        <f t="shared" ca="1" si="72"/>
        <v>466.36802379161009</v>
      </c>
      <c r="F49" s="26">
        <f t="shared" ca="1" si="72"/>
        <v>613.53712640894582</v>
      </c>
      <c r="G49" s="26">
        <f t="shared" ca="1" si="72"/>
        <v>715.33921436666219</v>
      </c>
      <c r="H49" s="26">
        <f t="shared" ca="1" si="72"/>
        <v>1010.4367392727324</v>
      </c>
      <c r="I49" s="26">
        <f t="shared" ca="1" si="72"/>
        <v>1206.3525163853867</v>
      </c>
      <c r="J49" s="26">
        <f t="shared" ca="1" si="72"/>
        <v>1371.2591673947497</v>
      </c>
      <c r="K49" s="26">
        <f t="shared" ca="1" si="72"/>
        <v>1168.6795075590501</v>
      </c>
      <c r="L49" s="26">
        <f t="shared" ca="1" si="72"/>
        <v>1003.819143908793</v>
      </c>
      <c r="M49" s="26">
        <f t="shared" ca="1" si="72"/>
        <v>866.98263949562465</v>
      </c>
      <c r="N49" s="26">
        <f t="shared" ca="1" si="72"/>
        <v>725.10754271157134</v>
      </c>
      <c r="O49" s="26">
        <f t="shared" ca="1" si="72"/>
        <v>612.12788287587193</v>
      </c>
      <c r="P49" s="4"/>
    </row>
    <row r="50" spans="1:16">
      <c r="A50" s="25" t="s">
        <v>64</v>
      </c>
      <c r="B50" s="25" t="s">
        <v>11</v>
      </c>
      <c r="C50" s="26">
        <f t="shared" ref="C50:O50" ca="1" si="73">IFERROR( IF(C34&lt;0,0,C34),0)</f>
        <v>362.82981855693856</v>
      </c>
      <c r="D50" s="26">
        <f t="shared" ca="1" si="73"/>
        <v>613.71821735971685</v>
      </c>
      <c r="E50" s="26">
        <f t="shared" ca="1" si="73"/>
        <v>792.76802379161018</v>
      </c>
      <c r="F50" s="26">
        <f t="shared" ca="1" si="73"/>
        <v>944.7371264089461</v>
      </c>
      <c r="G50" s="26">
        <f t="shared" ca="1" si="73"/>
        <v>1047.3392143666622</v>
      </c>
      <c r="H50" s="26">
        <f t="shared" ca="1" si="73"/>
        <v>1368.0367392727323</v>
      </c>
      <c r="I50" s="26">
        <f t="shared" ca="1" si="73"/>
        <v>1581.552516385387</v>
      </c>
      <c r="J50" s="26">
        <f t="shared" ca="1" si="73"/>
        <v>1758.4591673947496</v>
      </c>
      <c r="K50" s="26">
        <f t="shared" ca="1" si="73"/>
        <v>1517.4795075590503</v>
      </c>
      <c r="L50" s="26">
        <f t="shared" ca="1" si="73"/>
        <v>1317.4191439087933</v>
      </c>
      <c r="M50" s="26">
        <f t="shared" ca="1" si="73"/>
        <v>1148.5826394956248</v>
      </c>
      <c r="N50" s="26">
        <f t="shared" ca="1" si="73"/>
        <v>977.9075427115713</v>
      </c>
      <c r="O50" s="26">
        <f t="shared" ca="1" si="73"/>
        <v>839.32788287587198</v>
      </c>
      <c r="P50" s="4"/>
    </row>
    <row r="51" spans="1:16">
      <c r="A51" s="32" t="s">
        <v>110</v>
      </c>
      <c r="B51" s="32"/>
      <c r="C51" s="33">
        <f t="shared" ref="C51:O51" ca="1" si="74">MAX(C39:C50)</f>
        <v>2013.7298185569387</v>
      </c>
      <c r="D51" s="33">
        <f t="shared" ca="1" si="74"/>
        <v>1551.7182173597173</v>
      </c>
      <c r="E51" s="33">
        <f t="shared" ca="1" si="74"/>
        <v>1165.9180237916103</v>
      </c>
      <c r="F51" s="33">
        <f t="shared" ca="1" si="74"/>
        <v>944.7371264089461</v>
      </c>
      <c r="G51" s="33">
        <f t="shared" ca="1" si="74"/>
        <v>1047.3392143666622</v>
      </c>
      <c r="H51" s="33">
        <f t="shared" ca="1" si="74"/>
        <v>1368.0367392727323</v>
      </c>
      <c r="I51" s="33">
        <f t="shared" ca="1" si="74"/>
        <v>1581.552516385387</v>
      </c>
      <c r="J51" s="33">
        <f t="shared" ca="1" si="74"/>
        <v>1758.4591673947496</v>
      </c>
      <c r="K51" s="33">
        <f t="shared" ca="1" si="74"/>
        <v>1517.4795075590503</v>
      </c>
      <c r="L51" s="33">
        <f t="shared" ca="1" si="74"/>
        <v>1317.4191439087933</v>
      </c>
      <c r="M51" s="33">
        <f t="shared" ca="1" si="74"/>
        <v>1148.5826394956248</v>
      </c>
      <c r="N51" s="33">
        <f t="shared" ca="1" si="74"/>
        <v>977.9075427115713</v>
      </c>
      <c r="O51" s="33">
        <f t="shared" ca="1" si="74"/>
        <v>839.32788287587198</v>
      </c>
      <c r="P51" s="33">
        <f ca="1">SUM(C51:O51)</f>
        <v>17232.207540087653</v>
      </c>
    </row>
    <row r="52" spans="1:16" hidden="1">
      <c r="A52" s="32"/>
      <c r="B52" s="32"/>
      <c r="C52" s="33">
        <f ca="1">C51*C68</f>
        <v>1449885469.3609958</v>
      </c>
      <c r="D52" s="33">
        <f t="shared" ref="D52:O52" ca="1" si="75">D51*D68</f>
        <v>1117237116.4989965</v>
      </c>
      <c r="E52" s="33">
        <f t="shared" ca="1" si="75"/>
        <v>839460977.12995934</v>
      </c>
      <c r="F52" s="33">
        <f t="shared" ca="1" si="75"/>
        <v>680210731.01444113</v>
      </c>
      <c r="G52" s="33">
        <f t="shared" ca="1" si="75"/>
        <v>754084234.34399676</v>
      </c>
      <c r="H52" s="33">
        <f t="shared" ca="1" si="75"/>
        <v>984986452.27636731</v>
      </c>
      <c r="I52" s="33">
        <f t="shared" ca="1" si="75"/>
        <v>1138717811.7974787</v>
      </c>
      <c r="J52" s="33">
        <f t="shared" ca="1" si="75"/>
        <v>1266090600.5242198</v>
      </c>
      <c r="K52" s="33">
        <f t="shared" ca="1" si="75"/>
        <v>1092585245.4425161</v>
      </c>
      <c r="L52" s="33">
        <f t="shared" ca="1" si="75"/>
        <v>948541783.61433125</v>
      </c>
      <c r="M52" s="33">
        <f t="shared" ca="1" si="75"/>
        <v>826979500.43684983</v>
      </c>
      <c r="N52" s="33">
        <f t="shared" ca="1" si="75"/>
        <v>704093430.75233138</v>
      </c>
      <c r="O52" s="33">
        <f t="shared" ca="1" si="75"/>
        <v>604316075.67062783</v>
      </c>
      <c r="P52" s="33">
        <f ca="1">SUM(C52:O52)</f>
        <v>12407189428.863108</v>
      </c>
    </row>
    <row r="54" spans="1:16">
      <c r="A54" s="50" t="s">
        <v>156</v>
      </c>
      <c r="B54" s="50"/>
      <c r="C54" s="50"/>
    </row>
    <row r="55" spans="1:16">
      <c r="A55" s="25" t="s">
        <v>1</v>
      </c>
      <c r="B55" s="25" t="s">
        <v>2</v>
      </c>
      <c r="C55" s="25">
        <v>2005</v>
      </c>
      <c r="D55" s="25">
        <v>2006</v>
      </c>
      <c r="E55" s="25">
        <v>2007</v>
      </c>
      <c r="F55" s="25">
        <v>2008</v>
      </c>
      <c r="G55" s="25">
        <v>2009</v>
      </c>
      <c r="H55" s="25">
        <v>2010</v>
      </c>
      <c r="I55" s="25">
        <v>2011</v>
      </c>
      <c r="J55" s="25">
        <v>2012</v>
      </c>
      <c r="K55" s="25">
        <v>2013</v>
      </c>
      <c r="L55" s="25">
        <v>2014</v>
      </c>
      <c r="M55" s="25">
        <v>2015</v>
      </c>
      <c r="N55" s="25">
        <v>2016</v>
      </c>
      <c r="O55" s="25">
        <v>2017</v>
      </c>
    </row>
    <row r="56" spans="1:16">
      <c r="A56" s="25" t="s">
        <v>3</v>
      </c>
      <c r="B56" s="25" t="s">
        <v>5</v>
      </c>
      <c r="C56">
        <f t="shared" ref="C56:C67" ca="1" si="76">IF(C39=MAX($C$39:$C$50),720000,0)</f>
        <v>0</v>
      </c>
      <c r="D56">
        <f t="shared" ref="D56:D67" ca="1" si="77">IF(D39=MAX($D$39:$D$50),720000,0)</f>
        <v>0</v>
      </c>
      <c r="E56">
        <f t="shared" ref="E56:E67" ca="1" si="78">IF(E39=MAX($E$39:$E$50),720000,0)</f>
        <v>0</v>
      </c>
      <c r="F56">
        <f t="shared" ref="F56:F67" ca="1" si="79">IF(F39=MAX($F$39:$F$50),720000,0)</f>
        <v>0</v>
      </c>
      <c r="G56">
        <f t="shared" ref="G56:G67" ca="1" si="80">IF(G39=MAX($G$39:$G$50),720000,0)</f>
        <v>0</v>
      </c>
      <c r="H56">
        <f t="shared" ref="H56:H67" ca="1" si="81">IF(H39=MAX($H$39:$H$50),720000,0)</f>
        <v>0</v>
      </c>
      <c r="I56">
        <f t="shared" ref="I56:I67" ca="1" si="82">IF(I39=MAX($I$39:$I$50),720000,0)</f>
        <v>0</v>
      </c>
      <c r="J56">
        <f t="shared" ref="J56:J67" ca="1" si="83">IF(J39=MAX($J$39:$J$50),720000,0)</f>
        <v>0</v>
      </c>
      <c r="K56">
        <f t="shared" ref="K56:K67" ca="1" si="84">IF(K39=MAX($K$39:$K$50),720000,0)</f>
        <v>0</v>
      </c>
      <c r="L56">
        <f t="shared" ref="L56:L67" ca="1" si="85">IF(L39=MAX($L$39:$L$50),720000,0)</f>
        <v>0</v>
      </c>
      <c r="M56">
        <f t="shared" ref="M56:M67" ca="1" si="86">IF(M39=MAX($M$39:$M$50),720000,0)</f>
        <v>0</v>
      </c>
      <c r="N56">
        <f t="shared" ref="N56:N67" ca="1" si="87">IF(N39=MAX($N$39:$N$50),720000,0)</f>
        <v>0</v>
      </c>
      <c r="O56">
        <f t="shared" ref="O56:O67" ca="1" si="88">IF(O39=MAX($O$39:$O$50),720000,0)</f>
        <v>0</v>
      </c>
    </row>
    <row r="57" spans="1:16">
      <c r="A57" s="25" t="s">
        <v>4</v>
      </c>
      <c r="B57" s="25" t="s">
        <v>5</v>
      </c>
      <c r="C57">
        <f t="shared" ca="1" si="76"/>
        <v>720000</v>
      </c>
      <c r="D57">
        <f t="shared" ca="1" si="77"/>
        <v>720000</v>
      </c>
      <c r="E57">
        <f t="shared" ca="1" si="78"/>
        <v>720000</v>
      </c>
      <c r="F57">
        <f t="shared" ca="1" si="79"/>
        <v>0</v>
      </c>
      <c r="G57">
        <f t="shared" ca="1" si="80"/>
        <v>0</v>
      </c>
      <c r="H57">
        <f t="shared" ca="1" si="81"/>
        <v>0</v>
      </c>
      <c r="I57">
        <f t="shared" ca="1" si="82"/>
        <v>0</v>
      </c>
      <c r="J57">
        <f t="shared" ca="1" si="83"/>
        <v>0</v>
      </c>
      <c r="K57">
        <f t="shared" ca="1" si="84"/>
        <v>0</v>
      </c>
      <c r="L57">
        <f t="shared" ca="1" si="85"/>
        <v>0</v>
      </c>
      <c r="M57">
        <f t="shared" ca="1" si="86"/>
        <v>0</v>
      </c>
      <c r="N57">
        <f t="shared" ca="1" si="87"/>
        <v>0</v>
      </c>
      <c r="O57">
        <f t="shared" ca="1" si="88"/>
        <v>0</v>
      </c>
    </row>
    <row r="58" spans="1:16">
      <c r="A58" s="25" t="s">
        <v>6</v>
      </c>
      <c r="B58" s="25" t="s">
        <v>7</v>
      </c>
      <c r="C58">
        <f t="shared" ca="1" si="76"/>
        <v>0</v>
      </c>
      <c r="D58">
        <f t="shared" ca="1" si="77"/>
        <v>0</v>
      </c>
      <c r="E58">
        <f t="shared" ca="1" si="78"/>
        <v>0</v>
      </c>
      <c r="F58">
        <f t="shared" ca="1" si="79"/>
        <v>0</v>
      </c>
      <c r="G58">
        <f t="shared" ca="1" si="80"/>
        <v>0</v>
      </c>
      <c r="H58">
        <f t="shared" ca="1" si="81"/>
        <v>0</v>
      </c>
      <c r="I58">
        <f t="shared" ca="1" si="82"/>
        <v>0</v>
      </c>
      <c r="J58">
        <f t="shared" ca="1" si="83"/>
        <v>0</v>
      </c>
      <c r="K58">
        <f t="shared" ca="1" si="84"/>
        <v>0</v>
      </c>
      <c r="L58">
        <f t="shared" ca="1" si="85"/>
        <v>0</v>
      </c>
      <c r="M58">
        <f t="shared" ca="1" si="86"/>
        <v>0</v>
      </c>
      <c r="N58">
        <f t="shared" ca="1" si="87"/>
        <v>0</v>
      </c>
      <c r="O58">
        <f t="shared" ca="1" si="88"/>
        <v>0</v>
      </c>
    </row>
    <row r="59" spans="1:16">
      <c r="A59" s="25" t="s">
        <v>8</v>
      </c>
      <c r="B59" s="25" t="s">
        <v>7</v>
      </c>
      <c r="C59">
        <f t="shared" ca="1" si="76"/>
        <v>0</v>
      </c>
      <c r="D59">
        <f t="shared" ca="1" si="77"/>
        <v>0</v>
      </c>
      <c r="E59">
        <f t="shared" ca="1" si="78"/>
        <v>0</v>
      </c>
      <c r="F59">
        <f t="shared" ca="1" si="79"/>
        <v>0</v>
      </c>
      <c r="G59">
        <f t="shared" ca="1" si="80"/>
        <v>0</v>
      </c>
      <c r="H59">
        <f t="shared" ca="1" si="81"/>
        <v>0</v>
      </c>
      <c r="I59">
        <f t="shared" ca="1" si="82"/>
        <v>0</v>
      </c>
      <c r="J59">
        <f t="shared" ca="1" si="83"/>
        <v>0</v>
      </c>
      <c r="K59">
        <f t="shared" ca="1" si="84"/>
        <v>0</v>
      </c>
      <c r="L59">
        <f t="shared" ca="1" si="85"/>
        <v>0</v>
      </c>
      <c r="M59">
        <f t="shared" ca="1" si="86"/>
        <v>0</v>
      </c>
      <c r="N59">
        <f t="shared" ca="1" si="87"/>
        <v>0</v>
      </c>
      <c r="O59">
        <f t="shared" ca="1" si="88"/>
        <v>0</v>
      </c>
    </row>
    <row r="60" spans="1:16">
      <c r="A60" s="25" t="s">
        <v>9</v>
      </c>
      <c r="B60" s="25" t="s">
        <v>7</v>
      </c>
      <c r="C60">
        <f t="shared" ca="1" si="76"/>
        <v>0</v>
      </c>
      <c r="D60">
        <f t="shared" ca="1" si="77"/>
        <v>0</v>
      </c>
      <c r="E60">
        <f t="shared" ca="1" si="78"/>
        <v>0</v>
      </c>
      <c r="F60">
        <f t="shared" ca="1" si="79"/>
        <v>0</v>
      </c>
      <c r="G60">
        <f t="shared" ca="1" si="80"/>
        <v>0</v>
      </c>
      <c r="H60">
        <f t="shared" ca="1" si="81"/>
        <v>0</v>
      </c>
      <c r="I60">
        <f t="shared" ca="1" si="82"/>
        <v>0</v>
      </c>
      <c r="J60">
        <f t="shared" ca="1" si="83"/>
        <v>0</v>
      </c>
      <c r="K60">
        <f t="shared" ca="1" si="84"/>
        <v>0</v>
      </c>
      <c r="L60">
        <f t="shared" ca="1" si="85"/>
        <v>0</v>
      </c>
      <c r="M60">
        <f t="shared" ca="1" si="86"/>
        <v>0</v>
      </c>
      <c r="N60">
        <f t="shared" ca="1" si="87"/>
        <v>0</v>
      </c>
      <c r="O60">
        <f t="shared" ca="1" si="88"/>
        <v>0</v>
      </c>
    </row>
    <row r="61" spans="1:16">
      <c r="A61" s="25" t="s">
        <v>10</v>
      </c>
      <c r="B61" s="25" t="s">
        <v>11</v>
      </c>
      <c r="C61">
        <f t="shared" ca="1" si="76"/>
        <v>0</v>
      </c>
      <c r="D61">
        <f t="shared" ca="1" si="77"/>
        <v>0</v>
      </c>
      <c r="E61">
        <f t="shared" ca="1" si="78"/>
        <v>0</v>
      </c>
      <c r="F61">
        <f t="shared" ca="1" si="79"/>
        <v>0</v>
      </c>
      <c r="G61">
        <f t="shared" ca="1" si="80"/>
        <v>0</v>
      </c>
      <c r="H61">
        <f t="shared" ca="1" si="81"/>
        <v>0</v>
      </c>
      <c r="I61">
        <f t="shared" ca="1" si="82"/>
        <v>0</v>
      </c>
      <c r="J61">
        <f t="shared" ca="1" si="83"/>
        <v>0</v>
      </c>
      <c r="K61">
        <f t="shared" ca="1" si="84"/>
        <v>0</v>
      </c>
      <c r="L61">
        <f t="shared" ca="1" si="85"/>
        <v>0</v>
      </c>
      <c r="M61">
        <f t="shared" ca="1" si="86"/>
        <v>0</v>
      </c>
      <c r="N61">
        <f t="shared" ca="1" si="87"/>
        <v>0</v>
      </c>
      <c r="O61">
        <f t="shared" ca="1" si="88"/>
        <v>0</v>
      </c>
    </row>
    <row r="62" spans="1:16">
      <c r="A62" s="25" t="s">
        <v>63</v>
      </c>
      <c r="B62" s="25" t="s">
        <v>11</v>
      </c>
      <c r="C62">
        <f t="shared" ca="1" si="76"/>
        <v>0</v>
      </c>
      <c r="D62">
        <f t="shared" ca="1" si="77"/>
        <v>0</v>
      </c>
      <c r="E62">
        <f t="shared" ca="1" si="78"/>
        <v>0</v>
      </c>
      <c r="F62">
        <f t="shared" ca="1" si="79"/>
        <v>0</v>
      </c>
      <c r="G62">
        <f t="shared" ca="1" si="80"/>
        <v>0</v>
      </c>
      <c r="H62">
        <f t="shared" ca="1" si="81"/>
        <v>0</v>
      </c>
      <c r="I62">
        <f t="shared" ca="1" si="82"/>
        <v>0</v>
      </c>
      <c r="J62">
        <f t="shared" ca="1" si="83"/>
        <v>0</v>
      </c>
      <c r="K62">
        <f t="shared" ca="1" si="84"/>
        <v>0</v>
      </c>
      <c r="L62">
        <f t="shared" ca="1" si="85"/>
        <v>0</v>
      </c>
      <c r="M62">
        <f t="shared" ca="1" si="86"/>
        <v>0</v>
      </c>
      <c r="N62">
        <f t="shared" ca="1" si="87"/>
        <v>0</v>
      </c>
      <c r="O62">
        <f t="shared" ca="1" si="88"/>
        <v>0</v>
      </c>
    </row>
    <row r="63" spans="1:16">
      <c r="A63" s="25" t="s">
        <v>63</v>
      </c>
      <c r="B63" s="25" t="s">
        <v>11</v>
      </c>
      <c r="C63">
        <f t="shared" ca="1" si="76"/>
        <v>0</v>
      </c>
      <c r="D63">
        <f t="shared" ca="1" si="77"/>
        <v>0</v>
      </c>
      <c r="E63">
        <f t="shared" ca="1" si="78"/>
        <v>0</v>
      </c>
      <c r="F63">
        <f t="shared" ca="1" si="79"/>
        <v>0</v>
      </c>
      <c r="G63">
        <f t="shared" ca="1" si="80"/>
        <v>0</v>
      </c>
      <c r="H63">
        <f t="shared" ca="1" si="81"/>
        <v>0</v>
      </c>
      <c r="I63">
        <f t="shared" ca="1" si="82"/>
        <v>0</v>
      </c>
      <c r="J63">
        <f t="shared" ca="1" si="83"/>
        <v>0</v>
      </c>
      <c r="K63">
        <f t="shared" ca="1" si="84"/>
        <v>0</v>
      </c>
      <c r="L63">
        <f t="shared" ca="1" si="85"/>
        <v>0</v>
      </c>
      <c r="M63">
        <f t="shared" ca="1" si="86"/>
        <v>0</v>
      </c>
      <c r="N63">
        <f t="shared" ca="1" si="87"/>
        <v>0</v>
      </c>
      <c r="O63">
        <f t="shared" ca="1" si="88"/>
        <v>0</v>
      </c>
    </row>
    <row r="64" spans="1:16">
      <c r="A64" s="25" t="s">
        <v>63</v>
      </c>
      <c r="B64" s="25" t="s">
        <v>11</v>
      </c>
      <c r="C64">
        <f t="shared" ca="1" si="76"/>
        <v>0</v>
      </c>
      <c r="D64">
        <f t="shared" ca="1" si="77"/>
        <v>0</v>
      </c>
      <c r="E64">
        <f t="shared" ca="1" si="78"/>
        <v>0</v>
      </c>
      <c r="F64">
        <f t="shared" ca="1" si="79"/>
        <v>0</v>
      </c>
      <c r="G64">
        <f t="shared" ca="1" si="80"/>
        <v>0</v>
      </c>
      <c r="H64">
        <f t="shared" ca="1" si="81"/>
        <v>0</v>
      </c>
      <c r="I64">
        <f t="shared" ca="1" si="82"/>
        <v>0</v>
      </c>
      <c r="J64">
        <f t="shared" ca="1" si="83"/>
        <v>0</v>
      </c>
      <c r="K64">
        <f t="shared" ca="1" si="84"/>
        <v>0</v>
      </c>
      <c r="L64">
        <f t="shared" ca="1" si="85"/>
        <v>0</v>
      </c>
      <c r="M64">
        <f t="shared" ca="1" si="86"/>
        <v>0</v>
      </c>
      <c r="N64">
        <f t="shared" ca="1" si="87"/>
        <v>0</v>
      </c>
      <c r="O64">
        <f t="shared" ca="1" si="88"/>
        <v>0</v>
      </c>
    </row>
    <row r="65" spans="1:15">
      <c r="A65" s="25" t="s">
        <v>64</v>
      </c>
      <c r="B65" s="25" t="s">
        <v>11</v>
      </c>
      <c r="C65">
        <f t="shared" ca="1" si="76"/>
        <v>0</v>
      </c>
      <c r="D65">
        <f t="shared" ca="1" si="77"/>
        <v>0</v>
      </c>
      <c r="E65">
        <f t="shared" ca="1" si="78"/>
        <v>0</v>
      </c>
      <c r="F65">
        <f t="shared" ca="1" si="79"/>
        <v>0</v>
      </c>
      <c r="G65">
        <f t="shared" ca="1" si="80"/>
        <v>0</v>
      </c>
      <c r="H65">
        <f t="shared" ca="1" si="81"/>
        <v>0</v>
      </c>
      <c r="I65">
        <f t="shared" ca="1" si="82"/>
        <v>0</v>
      </c>
      <c r="J65">
        <f t="shared" ca="1" si="83"/>
        <v>0</v>
      </c>
      <c r="K65">
        <f t="shared" ca="1" si="84"/>
        <v>0</v>
      </c>
      <c r="L65">
        <f t="shared" ca="1" si="85"/>
        <v>0</v>
      </c>
      <c r="M65">
        <f t="shared" ca="1" si="86"/>
        <v>0</v>
      </c>
      <c r="N65">
        <f t="shared" ca="1" si="87"/>
        <v>0</v>
      </c>
      <c r="O65">
        <f t="shared" ca="1" si="88"/>
        <v>0</v>
      </c>
    </row>
    <row r="66" spans="1:15">
      <c r="A66" s="25" t="s">
        <v>64</v>
      </c>
      <c r="B66" s="25" t="s">
        <v>11</v>
      </c>
      <c r="C66">
        <f t="shared" ca="1" si="76"/>
        <v>0</v>
      </c>
      <c r="D66">
        <f t="shared" ca="1" si="77"/>
        <v>0</v>
      </c>
      <c r="E66">
        <f t="shared" ca="1" si="78"/>
        <v>0</v>
      </c>
      <c r="F66">
        <f t="shared" ca="1" si="79"/>
        <v>0</v>
      </c>
      <c r="G66">
        <f t="shared" ca="1" si="80"/>
        <v>0</v>
      </c>
      <c r="H66">
        <f t="shared" ca="1" si="81"/>
        <v>0</v>
      </c>
      <c r="I66">
        <f t="shared" ca="1" si="82"/>
        <v>0</v>
      </c>
      <c r="J66">
        <f t="shared" ca="1" si="83"/>
        <v>0</v>
      </c>
      <c r="K66">
        <f t="shared" ca="1" si="84"/>
        <v>0</v>
      </c>
      <c r="L66">
        <f t="shared" ca="1" si="85"/>
        <v>0</v>
      </c>
      <c r="M66">
        <f t="shared" ca="1" si="86"/>
        <v>0</v>
      </c>
      <c r="N66">
        <f t="shared" ca="1" si="87"/>
        <v>0</v>
      </c>
      <c r="O66">
        <f t="shared" ca="1" si="88"/>
        <v>0</v>
      </c>
    </row>
    <row r="67" spans="1:15">
      <c r="A67" s="25" t="s">
        <v>64</v>
      </c>
      <c r="B67" s="25" t="s">
        <v>11</v>
      </c>
      <c r="C67">
        <f t="shared" ca="1" si="76"/>
        <v>0</v>
      </c>
      <c r="D67">
        <f t="shared" ca="1" si="77"/>
        <v>0</v>
      </c>
      <c r="E67">
        <f t="shared" ca="1" si="78"/>
        <v>0</v>
      </c>
      <c r="F67">
        <f t="shared" ca="1" si="79"/>
        <v>720000</v>
      </c>
      <c r="G67">
        <f t="shared" ca="1" si="80"/>
        <v>720000</v>
      </c>
      <c r="H67">
        <f t="shared" ca="1" si="81"/>
        <v>720000</v>
      </c>
      <c r="I67">
        <f t="shared" ca="1" si="82"/>
        <v>720000</v>
      </c>
      <c r="J67">
        <f t="shared" ca="1" si="83"/>
        <v>720000</v>
      </c>
      <c r="K67">
        <f t="shared" ca="1" si="84"/>
        <v>720000</v>
      </c>
      <c r="L67">
        <f t="shared" ca="1" si="85"/>
        <v>720000</v>
      </c>
      <c r="M67">
        <f t="shared" ca="1" si="86"/>
        <v>720000</v>
      </c>
      <c r="N67">
        <f t="shared" ca="1" si="87"/>
        <v>720000</v>
      </c>
      <c r="O67">
        <f t="shared" ca="1" si="88"/>
        <v>720000</v>
      </c>
    </row>
    <row r="68" spans="1:15">
      <c r="A68" s="25"/>
      <c r="B68" s="42" t="s">
        <v>159</v>
      </c>
      <c r="C68" s="43">
        <f t="shared" ref="C68:O68" ca="1" si="89">SUM(C56:C67)</f>
        <v>720000</v>
      </c>
      <c r="D68" s="43">
        <f t="shared" ca="1" si="89"/>
        <v>720000</v>
      </c>
      <c r="E68" s="43">
        <f t="shared" ca="1" si="89"/>
        <v>720000</v>
      </c>
      <c r="F68" s="43">
        <f t="shared" ca="1" si="89"/>
        <v>720000</v>
      </c>
      <c r="G68" s="43">
        <f t="shared" ca="1" si="89"/>
        <v>720000</v>
      </c>
      <c r="H68" s="43">
        <f t="shared" ca="1" si="89"/>
        <v>720000</v>
      </c>
      <c r="I68" s="43">
        <f t="shared" ca="1" si="89"/>
        <v>720000</v>
      </c>
      <c r="J68" s="43">
        <f t="shared" ca="1" si="89"/>
        <v>720000</v>
      </c>
      <c r="K68" s="43">
        <f t="shared" ca="1" si="89"/>
        <v>720000</v>
      </c>
      <c r="L68" s="43">
        <f t="shared" ca="1" si="89"/>
        <v>720000</v>
      </c>
      <c r="M68" s="43">
        <f t="shared" ca="1" si="89"/>
        <v>720000</v>
      </c>
      <c r="N68" s="43">
        <f t="shared" ca="1" si="89"/>
        <v>720000</v>
      </c>
      <c r="O68" s="43">
        <f t="shared" ca="1" si="89"/>
        <v>720000</v>
      </c>
    </row>
    <row r="70" spans="1:15">
      <c r="A70" s="50" t="s">
        <v>158</v>
      </c>
      <c r="B70" s="50"/>
      <c r="C70" s="50"/>
    </row>
    <row r="71" spans="1:15">
      <c r="A71" s="25" t="s">
        <v>1</v>
      </c>
      <c r="B71" s="25" t="s">
        <v>2</v>
      </c>
      <c r="C71" s="25">
        <v>2005</v>
      </c>
      <c r="D71" s="25">
        <v>2006</v>
      </c>
      <c r="E71" s="25">
        <v>2007</v>
      </c>
      <c r="F71" s="25">
        <v>2008</v>
      </c>
      <c r="G71" s="25">
        <v>2009</v>
      </c>
      <c r="H71" s="25">
        <v>2010</v>
      </c>
      <c r="I71" s="25">
        <v>2011</v>
      </c>
      <c r="J71" s="25">
        <v>2012</v>
      </c>
      <c r="K71" s="25">
        <v>2013</v>
      </c>
      <c r="L71" s="25">
        <v>2014</v>
      </c>
      <c r="M71" s="25">
        <v>2015</v>
      </c>
      <c r="N71" s="25">
        <v>2016</v>
      </c>
      <c r="O71" s="25">
        <v>2017</v>
      </c>
    </row>
    <row r="72" spans="1:15">
      <c r="A72" s="25" t="s">
        <v>3</v>
      </c>
      <c r="B72" s="25" t="s">
        <v>5</v>
      </c>
      <c r="C72">
        <f ca="1">C56*$BK$2*Costs!G19*Price!H5</f>
        <v>0</v>
      </c>
      <c r="D72">
        <f ca="1">D56*$BK$2*Costs!H19*Price!I5</f>
        <v>0</v>
      </c>
      <c r="E72">
        <f ca="1">E56*$BK$2*Costs!I19*Price!J5</f>
        <v>0</v>
      </c>
      <c r="F72">
        <f ca="1">F56*$BK$2*Costs!J19*Price!K5</f>
        <v>0</v>
      </c>
      <c r="G72">
        <f ca="1">G56*$BK$2*Costs!K19*Price!L5</f>
        <v>0</v>
      </c>
      <c r="H72">
        <f ca="1">H56*$BK$2*Costs!L19*Price!M5</f>
        <v>0</v>
      </c>
      <c r="I72">
        <f ca="1">I56*$BK$2*Costs!M19*Price!N5</f>
        <v>0</v>
      </c>
      <c r="J72">
        <f ca="1">J56*$BK$2*Costs!N19*Price!O5</f>
        <v>0</v>
      </c>
      <c r="K72">
        <f ca="1">K56*$BK$2*Costs!O19*Price!P5</f>
        <v>0</v>
      </c>
      <c r="L72">
        <f ca="1">L56*$BK$2*Costs!P19*Price!Q5</f>
        <v>0</v>
      </c>
      <c r="M72">
        <f ca="1">M56*$BK$2*Costs!Q19*Price!R5</f>
        <v>0</v>
      </c>
      <c r="N72">
        <f ca="1">N56*$BK$2*Costs!R19*Price!S5</f>
        <v>0</v>
      </c>
      <c r="O72">
        <f ca="1">O56*$BK$2*Costs!S19*Price!T5</f>
        <v>0</v>
      </c>
    </row>
    <row r="73" spans="1:15">
      <c r="A73" s="25" t="s">
        <v>4</v>
      </c>
      <c r="B73" s="25" t="s">
        <v>5</v>
      </c>
      <c r="C73">
        <f ca="1">C57*$BK$3*Costs!G19*Price!H6</f>
        <v>2910600000</v>
      </c>
      <c r="D73">
        <f ca="1">D57*$BK$3*Costs!H19*Price!I6</f>
        <v>2483712000</v>
      </c>
      <c r="E73">
        <f ca="1">E57*$BK$3*Costs!I19*Price!J6</f>
        <v>2129148000</v>
      </c>
      <c r="F73">
        <f ca="1">F57*$BK$3*Costs!J19*Price!K6</f>
        <v>0</v>
      </c>
      <c r="G73">
        <f ca="1">G57*$BK$3*Costs!K19*Price!L6</f>
        <v>0</v>
      </c>
      <c r="H73">
        <f ca="1">H57*$BK$3*Costs!L19*Price!M6</f>
        <v>0</v>
      </c>
      <c r="I73">
        <f ca="1">I57*$BK$3*Costs!M19*Price!N6</f>
        <v>0</v>
      </c>
      <c r="J73">
        <f ca="1">J57*$BK$3*Costs!N19*Price!O6</f>
        <v>0</v>
      </c>
      <c r="K73">
        <f ca="1">K57*$BK$3*Costs!O19*Price!P6</f>
        <v>0</v>
      </c>
      <c r="L73">
        <f ca="1">L57*$BK$3*Costs!P19*Price!Q6</f>
        <v>0</v>
      </c>
      <c r="M73">
        <f ca="1">M57*$BK$3*Costs!Q19*Price!R6</f>
        <v>0</v>
      </c>
      <c r="N73">
        <f ca="1">N57*$BK$3*Costs!R19*Price!S6</f>
        <v>0</v>
      </c>
      <c r="O73">
        <f ca="1">O57*$BK$3*Costs!S19*Price!T6</f>
        <v>0</v>
      </c>
    </row>
    <row r="74" spans="1:15">
      <c r="A74" s="25" t="s">
        <v>6</v>
      </c>
      <c r="B74" s="25" t="s">
        <v>7</v>
      </c>
      <c r="C74">
        <f ca="1">C58*$BK$4*Costs!G20*Price!H7</f>
        <v>0</v>
      </c>
      <c r="D74">
        <f ca="1">D58*$BK$4*Costs!H20*Price!I7</f>
        <v>0</v>
      </c>
      <c r="E74">
        <f ca="1">E58*$BK$4*Costs!I20*Price!J7</f>
        <v>0</v>
      </c>
      <c r="F74">
        <f ca="1">F58*$BK$4*Costs!J20*Price!K7</f>
        <v>0</v>
      </c>
      <c r="G74">
        <f ca="1">G58*$BK$4*Costs!K20*Price!L7</f>
        <v>0</v>
      </c>
      <c r="H74">
        <f ca="1">H58*$BK$4*Costs!L20*Price!M7</f>
        <v>0</v>
      </c>
      <c r="I74">
        <f ca="1">I58*$BK$4*Costs!M20*Price!N7</f>
        <v>0</v>
      </c>
      <c r="J74">
        <f ca="1">J58*$BK$4*Costs!N20*Price!O7</f>
        <v>0</v>
      </c>
      <c r="K74">
        <f ca="1">K58*$BK$4*Costs!O20*Price!P7</f>
        <v>0</v>
      </c>
      <c r="L74">
        <f ca="1">L58*$BK$4*Costs!P20*Price!Q7</f>
        <v>0</v>
      </c>
      <c r="M74">
        <f ca="1">M58*$BK$4*Costs!Q20*Price!R7</f>
        <v>0</v>
      </c>
      <c r="N74">
        <f ca="1">N58*$BK$4*Costs!R20*Price!S7</f>
        <v>0</v>
      </c>
      <c r="O74">
        <f ca="1">O58*$BK$4*Costs!S20*Price!T7</f>
        <v>0</v>
      </c>
    </row>
    <row r="75" spans="1:15">
      <c r="A75" s="25" t="s">
        <v>8</v>
      </c>
      <c r="B75" s="25" t="s">
        <v>7</v>
      </c>
      <c r="C75">
        <f ca="1">C59*$BK$5*Costs!G20*Price!H8</f>
        <v>0</v>
      </c>
      <c r="D75">
        <f ca="1">D59*$BK$5*Costs!H20*Price!I8</f>
        <v>0</v>
      </c>
      <c r="E75">
        <f ca="1">E59*$BK$5*Costs!I20*Price!J8</f>
        <v>0</v>
      </c>
      <c r="F75">
        <f ca="1">F59*$BK$5*Costs!J20*Price!K8</f>
        <v>0</v>
      </c>
      <c r="G75">
        <f ca="1">G59*$BK$5*Costs!K20*Price!L8</f>
        <v>0</v>
      </c>
      <c r="H75">
        <f ca="1">H59*$BK$5*Costs!L20*Price!M8</f>
        <v>0</v>
      </c>
      <c r="I75">
        <f ca="1">I59*$BK$5*Costs!M20*Price!N8</f>
        <v>0</v>
      </c>
      <c r="J75">
        <f ca="1">J59*$BK$5*Costs!N20*Price!O8</f>
        <v>0</v>
      </c>
      <c r="K75">
        <f ca="1">K59*$BK$5*Costs!O20*Price!P8</f>
        <v>0</v>
      </c>
      <c r="L75">
        <f ca="1">L59*$BK$5*Costs!P20*Price!Q8</f>
        <v>0</v>
      </c>
      <c r="M75">
        <f ca="1">M59*$BK$5*Costs!Q20*Price!R8</f>
        <v>0</v>
      </c>
      <c r="N75">
        <f ca="1">N59*$BK$5*Costs!R20*Price!S8</f>
        <v>0</v>
      </c>
      <c r="O75">
        <f ca="1">O59*$BK$5*Costs!S20*Price!T8</f>
        <v>0</v>
      </c>
    </row>
    <row r="76" spans="1:15">
      <c r="A76" s="25" t="s">
        <v>9</v>
      </c>
      <c r="B76" s="25" t="s">
        <v>7</v>
      </c>
      <c r="C76">
        <f ca="1">C60*$BK$6*Costs!G20*Price!H9</f>
        <v>0</v>
      </c>
      <c r="D76">
        <f ca="1">D60*$BK$6*Costs!H20*Price!I9</f>
        <v>0</v>
      </c>
      <c r="E76">
        <f ca="1">E60*$BK$6*Costs!I20*Price!J9</f>
        <v>0</v>
      </c>
      <c r="F76">
        <f ca="1">F60*$BK$6*Costs!J20*Price!K9</f>
        <v>0</v>
      </c>
      <c r="G76">
        <f ca="1">G60*$BK$6*Costs!K20*Price!L9</f>
        <v>0</v>
      </c>
      <c r="H76">
        <f ca="1">H60*$BK$6*Costs!L20*Price!M9</f>
        <v>0</v>
      </c>
      <c r="I76">
        <f ca="1">I60*$BK$6*Costs!M20*Price!N9</f>
        <v>0</v>
      </c>
      <c r="J76">
        <f ca="1">J60*$BK$6*Costs!N20*Price!O9</f>
        <v>0</v>
      </c>
      <c r="K76">
        <f ca="1">K60*$BK$6*Costs!O20*Price!P9</f>
        <v>0</v>
      </c>
      <c r="L76">
        <f ca="1">L60*$BK$6*Costs!P20*Price!Q9</f>
        <v>0</v>
      </c>
      <c r="M76">
        <f ca="1">M60*$BK$6*Costs!Q20*Price!R9</f>
        <v>0</v>
      </c>
      <c r="N76">
        <f ca="1">N60*$BK$6*Costs!R20*Price!S9</f>
        <v>0</v>
      </c>
      <c r="O76">
        <f ca="1">O60*$BK$6*Costs!S20*Price!T9</f>
        <v>0</v>
      </c>
    </row>
    <row r="77" spans="1:15">
      <c r="A77" s="25" t="s">
        <v>10</v>
      </c>
      <c r="B77" s="25" t="s">
        <v>11</v>
      </c>
      <c r="C77">
        <f ca="1">C61*$BK$7*Costs!G21*Price!H10</f>
        <v>0</v>
      </c>
      <c r="D77">
        <f ca="1">D61*$BK$7*Costs!H21*Price!I10</f>
        <v>0</v>
      </c>
      <c r="E77">
        <f ca="1">E61*$BK$7*Costs!I21*Price!J10</f>
        <v>0</v>
      </c>
      <c r="F77">
        <f ca="1">F61*$BK$7*Costs!J21*Price!K10</f>
        <v>0</v>
      </c>
      <c r="G77">
        <f ca="1">G61*$BK$7*Costs!K21*Price!L10</f>
        <v>0</v>
      </c>
      <c r="H77">
        <f ca="1">H61*$BK$7*Costs!L21*Price!M10</f>
        <v>0</v>
      </c>
      <c r="I77">
        <f ca="1">I61*$BK$7*Costs!M21*Price!N10</f>
        <v>0</v>
      </c>
      <c r="J77">
        <f ca="1">J61*$BK$7*Costs!N21*Price!O10</f>
        <v>0</v>
      </c>
      <c r="K77">
        <f ca="1">K61*$BK$7*Costs!O21*Price!P10</f>
        <v>0</v>
      </c>
      <c r="L77">
        <f ca="1">L61*$BK$7*Costs!P21*Price!Q10</f>
        <v>0</v>
      </c>
      <c r="M77">
        <f ca="1">M61*$BK$7*Costs!Q21*Price!R10</f>
        <v>0</v>
      </c>
      <c r="N77">
        <f ca="1">N61*$BK$7*Costs!R21*Price!S10</f>
        <v>0</v>
      </c>
      <c r="O77">
        <f ca="1">O61*$BK$7*Costs!S21*Price!T10</f>
        <v>0</v>
      </c>
    </row>
    <row r="78" spans="1:15">
      <c r="A78" s="25" t="s">
        <v>63</v>
      </c>
      <c r="B78" s="25" t="s">
        <v>11</v>
      </c>
      <c r="C78">
        <f ca="1">C62*$BK$8*Costs!G21*Price!H11</f>
        <v>0</v>
      </c>
      <c r="D78">
        <f ca="1">D62*$BK$8*Costs!H21*Price!I11</f>
        <v>0</v>
      </c>
      <c r="E78">
        <f ca="1">E62*$BK$8*Costs!I21*Price!J11</f>
        <v>0</v>
      </c>
      <c r="F78">
        <f ca="1">F62*$BK$8*Costs!J21*Price!K11</f>
        <v>0</v>
      </c>
      <c r="G78">
        <f ca="1">G62*$BK$8*Costs!K21*Price!L11</f>
        <v>0</v>
      </c>
      <c r="H78">
        <f ca="1">H62*$BK$8*Costs!L21*Price!M11</f>
        <v>0</v>
      </c>
      <c r="I78">
        <f ca="1">I62*$BK$8*Costs!M21*Price!N11</f>
        <v>0</v>
      </c>
      <c r="J78">
        <f ca="1">J62*$BK$8*Costs!N21*Price!O11</f>
        <v>0</v>
      </c>
      <c r="K78">
        <f ca="1">K62*$BK$8*Costs!O21*Price!P11</f>
        <v>0</v>
      </c>
      <c r="L78">
        <f ca="1">L62*$BK$8*Costs!P21*Price!Q11</f>
        <v>0</v>
      </c>
      <c r="M78">
        <f ca="1">M62*$BK$8*Costs!Q21*Price!R11</f>
        <v>0</v>
      </c>
      <c r="N78">
        <f ca="1">N62*$BK$8*Costs!R21*Price!S11</f>
        <v>0</v>
      </c>
      <c r="O78">
        <f ca="1">O62*$BK$8*Costs!S21*Price!T11</f>
        <v>0</v>
      </c>
    </row>
    <row r="79" spans="1:15">
      <c r="A79" s="25" t="s">
        <v>63</v>
      </c>
      <c r="B79" s="25" t="s">
        <v>11</v>
      </c>
      <c r="C79">
        <f ca="1">C63*$BK$9*Costs!G21*Price!H12</f>
        <v>0</v>
      </c>
      <c r="D79">
        <f ca="1">D63*$BK$9*Costs!H21*Price!I12</f>
        <v>0</v>
      </c>
      <c r="E79">
        <f ca="1">E63*$BK$9*Costs!I21*Price!J12</f>
        <v>0</v>
      </c>
      <c r="F79">
        <f ca="1">F63*$BK$9*Costs!J21*Price!K12</f>
        <v>0</v>
      </c>
      <c r="G79">
        <f ca="1">G63*$BK$9*Costs!K21*Price!L12</f>
        <v>0</v>
      </c>
      <c r="H79">
        <f ca="1">H63*$BK$9*Costs!L21*Price!M12</f>
        <v>0</v>
      </c>
      <c r="I79">
        <f ca="1">I63*$BK$9*Costs!M21*Price!N12</f>
        <v>0</v>
      </c>
      <c r="J79">
        <f ca="1">J63*$BK$9*Costs!N21*Price!O12</f>
        <v>0</v>
      </c>
      <c r="K79">
        <f ca="1">K63*$BK$9*Costs!O21*Price!P12</f>
        <v>0</v>
      </c>
      <c r="L79">
        <f ca="1">L63*$BK$9*Costs!P21*Price!Q12</f>
        <v>0</v>
      </c>
      <c r="M79">
        <f ca="1">M63*$BK$9*Costs!Q21*Price!R12</f>
        <v>0</v>
      </c>
      <c r="N79">
        <f ca="1">N63*$BK$9*Costs!R21*Price!S12</f>
        <v>0</v>
      </c>
      <c r="O79">
        <f ca="1">O63*$BK$9*Costs!S21*Price!T12</f>
        <v>0</v>
      </c>
    </row>
    <row r="80" spans="1:15">
      <c r="A80" s="25" t="s">
        <v>63</v>
      </c>
      <c r="B80" s="25" t="s">
        <v>11</v>
      </c>
      <c r="C80">
        <f ca="1">C64*$BK$10*Costs!G21*Price!H13</f>
        <v>0</v>
      </c>
      <c r="D80">
        <f ca="1">D64*$BK$10*Costs!H21*Price!I13</f>
        <v>0</v>
      </c>
      <c r="E80">
        <f ca="1">E64*$BK$10*Costs!I21*Price!J13</f>
        <v>0</v>
      </c>
      <c r="F80">
        <f ca="1">F64*$BK$10*Costs!J21*Price!K13</f>
        <v>0</v>
      </c>
      <c r="G80">
        <f ca="1">G64*$BK$10*Costs!K21*Price!L13</f>
        <v>0</v>
      </c>
      <c r="H80">
        <f ca="1">H64*$BK$10*Costs!L21*Price!M13</f>
        <v>0</v>
      </c>
      <c r="I80">
        <f ca="1">I64*$BK$10*Costs!M21*Price!N13</f>
        <v>0</v>
      </c>
      <c r="J80">
        <f ca="1">J64*$BK$10*Costs!N21*Price!O13</f>
        <v>0</v>
      </c>
      <c r="K80">
        <f ca="1">K64*$BK$10*Costs!O21*Price!P13</f>
        <v>0</v>
      </c>
      <c r="L80">
        <f ca="1">L64*$BK$10*Costs!P21*Price!Q13</f>
        <v>0</v>
      </c>
      <c r="M80">
        <f ca="1">M64*$BK$10*Costs!Q21*Price!R13</f>
        <v>0</v>
      </c>
      <c r="N80">
        <f ca="1">N64*$BK$10*Costs!R21*Price!S13</f>
        <v>0</v>
      </c>
      <c r="O80">
        <f ca="1">O64*$BK$10*Costs!S21*Price!T13</f>
        <v>0</v>
      </c>
    </row>
    <row r="81" spans="1:17">
      <c r="A81" s="25" t="s">
        <v>64</v>
      </c>
      <c r="B81" s="25" t="s">
        <v>11</v>
      </c>
      <c r="C81">
        <f ca="1">C65*$BK$11*Costs!G21*Price!H14</f>
        <v>0</v>
      </c>
      <c r="D81">
        <f ca="1">D65*$BK$11*Costs!H21*Price!I14</f>
        <v>0</v>
      </c>
      <c r="E81">
        <f ca="1">E65*$BK$11*Costs!I21*Price!J14</f>
        <v>0</v>
      </c>
      <c r="F81">
        <f ca="1">F65*$BK$11*Costs!J21*Price!K14</f>
        <v>0</v>
      </c>
      <c r="G81">
        <f ca="1">G65*$BK$11*Costs!K21*Price!L14</f>
        <v>0</v>
      </c>
      <c r="H81">
        <f ca="1">H65*$BK$11*Costs!L21*Price!M14</f>
        <v>0</v>
      </c>
      <c r="I81">
        <f ca="1">I65*$BK$11*Costs!M21*Price!N14</f>
        <v>0</v>
      </c>
      <c r="J81">
        <f ca="1">J65*$BK$11*Costs!N21*Price!O14</f>
        <v>0</v>
      </c>
      <c r="K81">
        <f ca="1">K65*$BK$11*Costs!O21*Price!P14</f>
        <v>0</v>
      </c>
      <c r="L81">
        <f ca="1">L65*$BK$11*Costs!P21*Price!Q14</f>
        <v>0</v>
      </c>
      <c r="M81">
        <f ca="1">M65*$BK$11*Costs!Q21*Price!R14</f>
        <v>0</v>
      </c>
      <c r="N81">
        <f ca="1">N65*$BK$11*Costs!R21*Price!S14</f>
        <v>0</v>
      </c>
      <c r="O81">
        <f ca="1">O65*$BK$11*Costs!S21*Price!T14</f>
        <v>0</v>
      </c>
    </row>
    <row r="82" spans="1:17">
      <c r="A82" s="25" t="s">
        <v>64</v>
      </c>
      <c r="B82" s="25" t="s">
        <v>11</v>
      </c>
      <c r="C82">
        <f ca="1">C66*$BK$12*Costs!G21*Price!H15</f>
        <v>0</v>
      </c>
      <c r="D82">
        <f ca="1">D66*$BK$12*Costs!H21*Price!I15</f>
        <v>0</v>
      </c>
      <c r="E82">
        <f ca="1">E66*$BK$12*Costs!I21*Price!J15</f>
        <v>0</v>
      </c>
      <c r="F82">
        <f ca="1">F66*$BK$12*Costs!J21*Price!K15</f>
        <v>0</v>
      </c>
      <c r="G82">
        <f ca="1">G66*$BK$12*Costs!K21*Price!L15</f>
        <v>0</v>
      </c>
      <c r="H82">
        <f ca="1">H66*$BK$12*Costs!L21*Price!M15</f>
        <v>0</v>
      </c>
      <c r="I82">
        <f ca="1">I66*$BK$12*Costs!M21*Price!N15</f>
        <v>0</v>
      </c>
      <c r="J82">
        <f ca="1">J66*$BK$12*Costs!N21*Price!O15</f>
        <v>0</v>
      </c>
      <c r="K82">
        <f ca="1">K66*$BK$12*Costs!O21*Price!P15</f>
        <v>0</v>
      </c>
      <c r="L82">
        <f ca="1">L66*$BK$12*Costs!P21*Price!Q15</f>
        <v>0</v>
      </c>
      <c r="M82">
        <f ca="1">M66*$BK$12*Costs!Q21*Price!R15</f>
        <v>0</v>
      </c>
      <c r="N82">
        <f ca="1">N66*$BK$12*Costs!R21*Price!S15</f>
        <v>0</v>
      </c>
      <c r="O82">
        <f ca="1">O66*$BK$12*Costs!S21*Price!T15</f>
        <v>0</v>
      </c>
    </row>
    <row r="83" spans="1:17">
      <c r="A83" s="25" t="s">
        <v>64</v>
      </c>
      <c r="B83" s="25" t="s">
        <v>11</v>
      </c>
      <c r="C83">
        <f ca="1">C67*$BK$13*Costs!G21*Price!H16</f>
        <v>0</v>
      </c>
      <c r="D83">
        <f ca="1">D67*$BK$13*Costs!H21*Price!I16</f>
        <v>0</v>
      </c>
      <c r="E83">
        <f ca="1">E67*$BK$13*Costs!I21*Price!J16</f>
        <v>0</v>
      </c>
      <c r="F83">
        <f ca="1">F67*$BK$13*Costs!J21*Price!K16</f>
        <v>1884384000</v>
      </c>
      <c r="G83">
        <f ca="1">G67*$BK$13*Costs!K21*Price!L16</f>
        <v>1884960000</v>
      </c>
      <c r="H83">
        <f ca="1">H67*$BK$13*Costs!L21*Price!M16</f>
        <v>2035584000</v>
      </c>
      <c r="I83">
        <f ca="1">I67*$BK$13*Costs!M21*Price!N16</f>
        <v>2136959999.9999998</v>
      </c>
      <c r="J83">
        <f ca="1">J67*$BK$13*Costs!N21*Price!O16</f>
        <v>2198016000</v>
      </c>
      <c r="K83">
        <f ca="1">K67*$BK$13*Costs!O21*Price!P16</f>
        <v>1979136000</v>
      </c>
      <c r="L83">
        <f ca="1">L67*$BK$13*Costs!P21*Price!Q16</f>
        <v>1780992000</v>
      </c>
      <c r="M83">
        <f ca="1">M67*$BK$13*Costs!Q21*Price!R16</f>
        <v>1603584000</v>
      </c>
      <c r="N83">
        <f ca="1">N67*$BK$13*Costs!R21*Price!S16</f>
        <v>1442304000</v>
      </c>
      <c r="O83">
        <f ca="1">O67*$BK$13*Costs!S21*Price!T16</f>
        <v>1297152000</v>
      </c>
    </row>
    <row r="84" spans="1:17">
      <c r="A84" s="25"/>
      <c r="B84" s="42" t="s">
        <v>159</v>
      </c>
      <c r="C84" s="43">
        <f ca="1">SUM(C72:C83)</f>
        <v>2910600000</v>
      </c>
      <c r="D84" s="43">
        <f t="shared" ref="D84:O84" ca="1" si="90">SUM(D72:D83)</f>
        <v>2483712000</v>
      </c>
      <c r="E84" s="43">
        <f t="shared" ca="1" si="90"/>
        <v>2129148000</v>
      </c>
      <c r="F84" s="43">
        <f t="shared" ca="1" si="90"/>
        <v>1884384000</v>
      </c>
      <c r="G84" s="43">
        <f t="shared" ca="1" si="90"/>
        <v>1884960000</v>
      </c>
      <c r="H84" s="43">
        <f t="shared" ca="1" si="90"/>
        <v>2035584000</v>
      </c>
      <c r="I84" s="43">
        <f t="shared" ca="1" si="90"/>
        <v>2136959999.9999998</v>
      </c>
      <c r="J84" s="43">
        <f t="shared" ca="1" si="90"/>
        <v>2198016000</v>
      </c>
      <c r="K84" s="43">
        <f t="shared" ca="1" si="90"/>
        <v>1979136000</v>
      </c>
      <c r="L84" s="43">
        <f t="shared" ca="1" si="90"/>
        <v>1780992000</v>
      </c>
      <c r="M84" s="43">
        <f t="shared" ca="1" si="90"/>
        <v>1603584000</v>
      </c>
      <c r="N84" s="43">
        <f t="shared" ca="1" si="90"/>
        <v>1442304000</v>
      </c>
      <c r="O84" s="43">
        <f t="shared" ca="1" si="90"/>
        <v>1297152000</v>
      </c>
    </row>
    <row r="86" spans="1:17">
      <c r="A86" s="50" t="s">
        <v>152</v>
      </c>
      <c r="B86" s="50"/>
      <c r="C86" s="50"/>
    </row>
    <row r="87" spans="1:17">
      <c r="A87">
        <v>2003</v>
      </c>
      <c r="B87">
        <v>2004</v>
      </c>
      <c r="C87">
        <v>2005</v>
      </c>
      <c r="D87">
        <v>2006</v>
      </c>
      <c r="E87">
        <v>2007</v>
      </c>
      <c r="F87">
        <v>2008</v>
      </c>
      <c r="G87">
        <v>2009</v>
      </c>
      <c r="H87">
        <v>2010</v>
      </c>
      <c r="I87">
        <v>2011</v>
      </c>
      <c r="J87">
        <v>2012</v>
      </c>
      <c r="K87">
        <v>2013</v>
      </c>
      <c r="L87">
        <v>2014</v>
      </c>
      <c r="M87">
        <v>2015</v>
      </c>
      <c r="N87">
        <v>2016</v>
      </c>
      <c r="O87">
        <v>2017</v>
      </c>
    </row>
    <row r="88" spans="1:17">
      <c r="A88">
        <f>Costs!E13</f>
        <v>40000000</v>
      </c>
      <c r="B88">
        <f>Costs!F13</f>
        <v>165000000</v>
      </c>
      <c r="C88">
        <f>Costs!G13</f>
        <v>285000000</v>
      </c>
      <c r="D88">
        <f>Costs!H13</f>
        <v>285000000</v>
      </c>
      <c r="E88">
        <f>Costs!I13</f>
        <v>285000000</v>
      </c>
      <c r="F88">
        <f>Costs!J13</f>
        <v>285000000</v>
      </c>
      <c r="G88">
        <f>Costs!K13</f>
        <v>285000000</v>
      </c>
      <c r="H88">
        <f>Costs!L13</f>
        <v>285000000</v>
      </c>
      <c r="I88">
        <f>Costs!M13</f>
        <v>285000000</v>
      </c>
      <c r="J88">
        <f>Costs!N13</f>
        <v>285000000</v>
      </c>
      <c r="K88">
        <f>Costs!O13</f>
        <v>245000000</v>
      </c>
      <c r="L88">
        <f>Costs!P13</f>
        <v>120000000</v>
      </c>
      <c r="M88">
        <f>Costs!Q13</f>
        <v>0</v>
      </c>
      <c r="N88">
        <f>Costs!R13</f>
        <v>0</v>
      </c>
      <c r="O88">
        <f>Costs!S13</f>
        <v>0</v>
      </c>
    </row>
    <row r="90" spans="1:17">
      <c r="A90" s="50" t="s">
        <v>153</v>
      </c>
      <c r="B90" s="50"/>
      <c r="C90" s="50"/>
    </row>
    <row r="91" spans="1:17">
      <c r="A91" s="25"/>
      <c r="B91" s="25"/>
      <c r="C91">
        <v>2003</v>
      </c>
      <c r="D91">
        <v>2004</v>
      </c>
      <c r="E91">
        <v>2005</v>
      </c>
      <c r="F91">
        <v>2006</v>
      </c>
      <c r="G91">
        <v>2007</v>
      </c>
      <c r="H91">
        <v>2008</v>
      </c>
      <c r="I91">
        <v>2009</v>
      </c>
      <c r="J91">
        <v>2010</v>
      </c>
      <c r="K91">
        <v>2011</v>
      </c>
      <c r="L91">
        <v>2012</v>
      </c>
      <c r="M91">
        <v>2013</v>
      </c>
      <c r="N91">
        <v>2014</v>
      </c>
      <c r="O91">
        <v>2015</v>
      </c>
      <c r="P91">
        <v>2016</v>
      </c>
      <c r="Q91">
        <v>2017</v>
      </c>
    </row>
    <row r="92" spans="1:17">
      <c r="A92" s="25"/>
      <c r="B92" s="25"/>
      <c r="C92">
        <f>0-A88</f>
        <v>-40000000</v>
      </c>
      <c r="D92">
        <f>0-B88</f>
        <v>-165000000</v>
      </c>
      <c r="E92" s="4">
        <f t="shared" ref="E92:Q92" ca="1" si="91">C68*C51-C88</f>
        <v>1164885469.3609958</v>
      </c>
      <c r="F92" s="4">
        <f t="shared" ca="1" si="91"/>
        <v>832237116.4989965</v>
      </c>
      <c r="G92" s="4">
        <f t="shared" ca="1" si="91"/>
        <v>554460977.12995934</v>
      </c>
      <c r="H92" s="4">
        <f t="shared" ca="1" si="91"/>
        <v>395210731.01444113</v>
      </c>
      <c r="I92" s="4">
        <f t="shared" ca="1" si="91"/>
        <v>469084234.34399676</v>
      </c>
      <c r="J92" s="4">
        <f t="shared" ca="1" si="91"/>
        <v>699986452.27636731</v>
      </c>
      <c r="K92" s="4">
        <f t="shared" ca="1" si="91"/>
        <v>853717811.79747868</v>
      </c>
      <c r="L92" s="4">
        <f t="shared" ca="1" si="91"/>
        <v>981090600.52421975</v>
      </c>
      <c r="M92" s="4">
        <f t="shared" ca="1" si="91"/>
        <v>847585245.44251609</v>
      </c>
      <c r="N92" s="4">
        <f t="shared" ca="1" si="91"/>
        <v>828541783.61433125</v>
      </c>
      <c r="O92" s="4">
        <f t="shared" ca="1" si="91"/>
        <v>826979500.43684983</v>
      </c>
      <c r="P92" s="4">
        <f t="shared" ca="1" si="91"/>
        <v>704093430.75233138</v>
      </c>
      <c r="Q92" s="4">
        <f t="shared" ca="1" si="91"/>
        <v>604316075.67062783</v>
      </c>
    </row>
    <row r="93" spans="1:17">
      <c r="A93" s="25"/>
      <c r="B93" s="25"/>
    </row>
    <row r="94" spans="1:17">
      <c r="A94" s="50" t="s">
        <v>154</v>
      </c>
      <c r="B94" s="50"/>
      <c r="C94" s="50"/>
    </row>
    <row r="95" spans="1:17">
      <c r="A95" s="25"/>
      <c r="B95" s="25"/>
      <c r="C95">
        <v>2003</v>
      </c>
      <c r="D95">
        <v>2004</v>
      </c>
      <c r="E95">
        <v>2005</v>
      </c>
      <c r="F95">
        <v>2006</v>
      </c>
      <c r="G95">
        <v>2007</v>
      </c>
      <c r="H95">
        <v>2008</v>
      </c>
      <c r="I95">
        <v>2009</v>
      </c>
      <c r="J95">
        <v>2010</v>
      </c>
      <c r="K95">
        <v>2011</v>
      </c>
      <c r="L95">
        <v>2012</v>
      </c>
      <c r="M95">
        <v>2013</v>
      </c>
      <c r="N95">
        <v>2014</v>
      </c>
      <c r="O95">
        <v>2015</v>
      </c>
      <c r="P95">
        <v>2016</v>
      </c>
      <c r="Q95">
        <v>2017</v>
      </c>
    </row>
    <row r="96" spans="1:17">
      <c r="A96" s="25"/>
      <c r="B96" s="25"/>
      <c r="C96">
        <f>C92-0</f>
        <v>-40000000</v>
      </c>
      <c r="D96">
        <f>D92-0</f>
        <v>-165000000</v>
      </c>
      <c r="E96">
        <f ca="1">E92-C84*$BY$7-C84*$BY$8</f>
        <v>902931469.36099577</v>
      </c>
      <c r="F96">
        <f t="shared" ref="F96:Q96" ca="1" si="92">F92-D84*$BY$7-D84*$BY$8</f>
        <v>608703036.4989965</v>
      </c>
      <c r="G96">
        <f t="shared" ca="1" si="92"/>
        <v>362837657.12995934</v>
      </c>
      <c r="H96">
        <f t="shared" ca="1" si="92"/>
        <v>225616171.01444113</v>
      </c>
      <c r="I96">
        <f t="shared" ca="1" si="92"/>
        <v>299437834.34399676</v>
      </c>
      <c r="J96">
        <f t="shared" ca="1" si="92"/>
        <v>516783892.27636731</v>
      </c>
      <c r="K96">
        <f t="shared" ca="1" si="92"/>
        <v>661391411.79747868</v>
      </c>
      <c r="L96">
        <f t="shared" ca="1" si="92"/>
        <v>783269160.52421975</v>
      </c>
      <c r="M96">
        <f t="shared" ca="1" si="92"/>
        <v>669463005.44251609</v>
      </c>
      <c r="N96">
        <f t="shared" ca="1" si="92"/>
        <v>668252503.61433125</v>
      </c>
      <c r="O96">
        <f t="shared" ca="1" si="92"/>
        <v>682656940.43684983</v>
      </c>
      <c r="P96">
        <f t="shared" ca="1" si="92"/>
        <v>574286070.75233138</v>
      </c>
      <c r="Q96">
        <f t="shared" ca="1" si="92"/>
        <v>487572395.67062783</v>
      </c>
    </row>
    <row r="98" spans="1:17">
      <c r="A98" s="50" t="s">
        <v>163</v>
      </c>
      <c r="B98" s="50"/>
      <c r="C98" s="50"/>
    </row>
    <row r="99" spans="1:17">
      <c r="C99">
        <v>2003</v>
      </c>
      <c r="D99">
        <v>2004</v>
      </c>
      <c r="E99">
        <v>2005</v>
      </c>
      <c r="F99">
        <v>2006</v>
      </c>
      <c r="G99">
        <v>2007</v>
      </c>
      <c r="H99">
        <v>2008</v>
      </c>
      <c r="I99">
        <v>2009</v>
      </c>
      <c r="J99">
        <v>2010</v>
      </c>
      <c r="K99">
        <v>2011</v>
      </c>
      <c r="L99">
        <v>2012</v>
      </c>
      <c r="M99">
        <v>2013</v>
      </c>
      <c r="N99">
        <v>2014</v>
      </c>
      <c r="O99">
        <v>2015</v>
      </c>
      <c r="P99">
        <v>2016</v>
      </c>
      <c r="Q99">
        <v>2017</v>
      </c>
    </row>
    <row r="100" spans="1:17">
      <c r="C100">
        <f>IF(C96&lt;0,C96, C96-$BY$9*C96)</f>
        <v>-40000000</v>
      </c>
      <c r="D100">
        <f t="shared" ref="D100:Q100" si="93">IF(D96&lt;0,D96, D96-$BY$9*D96)</f>
        <v>-165000000</v>
      </c>
      <c r="E100">
        <f t="shared" ca="1" si="93"/>
        <v>677198602.02074683</v>
      </c>
      <c r="F100">
        <f t="shared" ca="1" si="93"/>
        <v>456527277.37424737</v>
      </c>
      <c r="G100">
        <f t="shared" ca="1" si="93"/>
        <v>272128242.84746951</v>
      </c>
      <c r="H100">
        <f t="shared" ca="1" si="93"/>
        <v>169212128.26083085</v>
      </c>
      <c r="I100">
        <f t="shared" ca="1" si="93"/>
        <v>224578375.75799757</v>
      </c>
      <c r="J100">
        <f t="shared" ca="1" si="93"/>
        <v>387587919.20727551</v>
      </c>
      <c r="K100">
        <f t="shared" ca="1" si="93"/>
        <v>496043558.84810901</v>
      </c>
      <c r="L100">
        <f t="shared" ca="1" si="93"/>
        <v>587451870.39316487</v>
      </c>
      <c r="M100">
        <f t="shared" ca="1" si="93"/>
        <v>502097254.08188707</v>
      </c>
      <c r="N100">
        <f t="shared" ca="1" si="93"/>
        <v>501189377.71074843</v>
      </c>
      <c r="O100">
        <f t="shared" ca="1" si="93"/>
        <v>511992705.32763737</v>
      </c>
      <c r="P100">
        <f t="shared" ca="1" si="93"/>
        <v>430714553.06424856</v>
      </c>
      <c r="Q100">
        <f t="shared" ca="1" si="93"/>
        <v>365679296.75297087</v>
      </c>
    </row>
    <row r="101" spans="1:17" hidden="1">
      <c r="A101" t="s">
        <v>175</v>
      </c>
      <c r="B101">
        <f>SUM(A88:O88)</f>
        <v>2850000000</v>
      </c>
      <c r="C101" t="s">
        <v>176</v>
      </c>
      <c r="D101" cm="1">
        <f t="array" aca="1" ref="D101" ca="1">SUM(C100:Q100+B101)</f>
        <v>48127401161.647331</v>
      </c>
    </row>
    <row r="103" spans="1:17">
      <c r="A103" s="50" t="s">
        <v>166</v>
      </c>
      <c r="B103" s="50"/>
      <c r="C103" s="50"/>
    </row>
    <row r="107" spans="1:17">
      <c r="A107" s="50" t="s">
        <v>167</v>
      </c>
      <c r="B107" s="50"/>
      <c r="C107" s="50"/>
    </row>
    <row r="108" spans="1:17">
      <c r="C108">
        <v>2003</v>
      </c>
      <c r="D108">
        <v>2004</v>
      </c>
      <c r="E108">
        <v>2005</v>
      </c>
      <c r="F108">
        <v>2006</v>
      </c>
      <c r="G108">
        <v>2007</v>
      </c>
      <c r="H108">
        <v>2008</v>
      </c>
      <c r="I108">
        <v>2009</v>
      </c>
      <c r="J108">
        <v>2010</v>
      </c>
      <c r="K108">
        <v>2011</v>
      </c>
      <c r="L108">
        <v>2012</v>
      </c>
      <c r="M108">
        <v>2013</v>
      </c>
      <c r="N108">
        <v>2014</v>
      </c>
      <c r="O108">
        <v>2015</v>
      </c>
      <c r="P108">
        <v>2016</v>
      </c>
      <c r="Q108">
        <v>2017</v>
      </c>
    </row>
    <row r="109" spans="1:17">
      <c r="C109">
        <f>C100+A88+$BY$13*0-Costs!E9</f>
        <v>-400000000</v>
      </c>
      <c r="D109">
        <f>D100+B88+$BY$13*0-Costs!F9</f>
        <v>-1250000000</v>
      </c>
      <c r="E109">
        <f ca="1">E100+C88+$BY$13*C84-Costs!G9</f>
        <v>1425999.2810208797</v>
      </c>
      <c r="F109">
        <f ca="1">F100+D88+$BY$13*D84-Costs!H9</f>
        <v>-1904332010.2969856</v>
      </c>
      <c r="G109">
        <f ca="1">G100+E88+$BY$13*E84-Costs!I9</f>
        <v>732126705.75089419</v>
      </c>
      <c r="H109">
        <f ca="1">H100+F88+$BY$13*F84-Costs!J9</f>
        <v>609093004.97315967</v>
      </c>
      <c r="I109">
        <f ca="1">I100+G88+$BY$13*G84-Costs!K9</f>
        <v>664506594.93607974</v>
      </c>
      <c r="J109">
        <f ca="1">J100+H88+$BY$13*H84-Costs!L9</f>
        <v>839896193.17987823</v>
      </c>
      <c r="K109">
        <f ca="1">K100+I88+$BY$13*I84-Costs!M9</f>
        <v>956684106.79331446</v>
      </c>
      <c r="L109">
        <f ca="1">L100+J88+$BY$13*J84-Costs!N9</f>
        <v>1053110719.7082334</v>
      </c>
      <c r="M109">
        <f ca="1">M100+K88+$BY$13*K84-Costs!O9</f>
        <v>909765966.41065407</v>
      </c>
      <c r="N109">
        <f ca="1">N100+L88+$BY$13*L84-Costs!P9</f>
        <v>767572281.82033753</v>
      </c>
      <c r="O109">
        <f ca="1">O100+M88+$BY$13*M84-Costs!Q9</f>
        <v>643794129.98517156</v>
      </c>
      <c r="P109">
        <f ca="1">P100+N88+$BY$13*N84-Costs!R9</f>
        <v>549260087.31082392</v>
      </c>
      <c r="Q109">
        <f ca="1">Q100+O88+$BY$13*O84-Costs!S9</f>
        <v>472294529.6296832</v>
      </c>
    </row>
    <row r="111" spans="1:17">
      <c r="A111" s="50" t="s">
        <v>173</v>
      </c>
      <c r="B111" s="50"/>
      <c r="C111" s="50"/>
    </row>
    <row r="112" spans="1:17">
      <c r="B112" t="s">
        <v>172</v>
      </c>
      <c r="C112">
        <v>0</v>
      </c>
      <c r="D112">
        <v>1</v>
      </c>
      <c r="E112">
        <v>2</v>
      </c>
      <c r="F112">
        <v>3</v>
      </c>
      <c r="G112">
        <v>4</v>
      </c>
      <c r="H112">
        <v>5</v>
      </c>
      <c r="I112">
        <v>6</v>
      </c>
      <c r="J112">
        <v>7</v>
      </c>
      <c r="K112">
        <v>8</v>
      </c>
      <c r="L112">
        <v>9</v>
      </c>
      <c r="M112">
        <v>10</v>
      </c>
      <c r="N112">
        <v>11</v>
      </c>
      <c r="O112">
        <v>12</v>
      </c>
      <c r="P112">
        <v>13</v>
      </c>
      <c r="Q112">
        <v>14</v>
      </c>
    </row>
    <row r="113" spans="3:18">
      <c r="C113">
        <v>2003</v>
      </c>
      <c r="D113">
        <v>2004</v>
      </c>
      <c r="E113">
        <v>2005</v>
      </c>
      <c r="F113">
        <v>2006</v>
      </c>
      <c r="G113">
        <v>2007</v>
      </c>
      <c r="H113">
        <v>2008</v>
      </c>
      <c r="I113">
        <v>2009</v>
      </c>
      <c r="J113">
        <v>2010</v>
      </c>
      <c r="K113">
        <v>2011</v>
      </c>
      <c r="L113">
        <v>2012</v>
      </c>
      <c r="M113">
        <v>2013</v>
      </c>
      <c r="N113">
        <v>2014</v>
      </c>
      <c r="O113">
        <v>2015</v>
      </c>
      <c r="P113">
        <v>2016</v>
      </c>
      <c r="Q113">
        <v>2017</v>
      </c>
    </row>
    <row r="114" spans="3:18">
      <c r="C114">
        <f t="shared" ref="C114:Q114" si="94">C109/(1.1^C112)</f>
        <v>-400000000</v>
      </c>
      <c r="D114">
        <f t="shared" si="94"/>
        <v>-1136363636.3636363</v>
      </c>
      <c r="E114">
        <f t="shared" ca="1" si="94"/>
        <v>1178511.8024965946</v>
      </c>
      <c r="F114">
        <f t="shared" ca="1" si="94"/>
        <v>-1430752825.1667807</v>
      </c>
      <c r="G114">
        <f t="shared" ca="1" si="94"/>
        <v>500052391.05996448</v>
      </c>
      <c r="H114">
        <f t="shared" ca="1" si="94"/>
        <v>378198834.51401073</v>
      </c>
      <c r="I114">
        <f t="shared" ca="1" si="94"/>
        <v>375096649.19022232</v>
      </c>
      <c r="J114">
        <f t="shared" ca="1" si="94"/>
        <v>430999550.00132018</v>
      </c>
      <c r="K114">
        <f t="shared" ca="1" si="94"/>
        <v>446300196.34843773</v>
      </c>
      <c r="L114">
        <f t="shared" ca="1" si="94"/>
        <v>446621748.11079502</v>
      </c>
      <c r="M114">
        <f t="shared" ca="1" si="94"/>
        <v>350754163.30100018</v>
      </c>
      <c r="N114">
        <f t="shared" ca="1" si="94"/>
        <v>269029402.18904024</v>
      </c>
      <c r="O114">
        <f t="shared" ca="1" si="94"/>
        <v>205132650.07430279</v>
      </c>
      <c r="P114">
        <f t="shared" ca="1" si="94"/>
        <v>159101082.50500879</v>
      </c>
      <c r="Q114">
        <f t="shared" ca="1" si="94"/>
        <v>124369910.88928442</v>
      </c>
      <c r="R114">
        <f ca="1">SUM(C114:Q114)</f>
        <v>719718628.45546639</v>
      </c>
    </row>
  </sheetData>
  <mergeCells count="11">
    <mergeCell ref="A21:C21"/>
    <mergeCell ref="A94:C94"/>
    <mergeCell ref="A54:C54"/>
    <mergeCell ref="A70:C70"/>
    <mergeCell ref="A98:C98"/>
    <mergeCell ref="A103:C103"/>
    <mergeCell ref="A107:C107"/>
    <mergeCell ref="A111:C111"/>
    <mergeCell ref="A37:C37"/>
    <mergeCell ref="A86:C86"/>
    <mergeCell ref="A90:C90"/>
  </mergeCells>
  <conditionalFormatting sqref="AI2:AI13">
    <cfRule type="expression" dxfId="0" priority="1">
      <formula>AJ2=0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AI61"/>
  <sheetViews>
    <sheetView zoomScaleNormal="100" workbookViewId="0">
      <selection activeCell="I9" sqref="I9"/>
    </sheetView>
  </sheetViews>
  <sheetFormatPr baseColWidth="10" defaultColWidth="8.83203125" defaultRowHeight="15"/>
  <cols>
    <col min="1" max="1" width="9.1640625" customWidth="1"/>
    <col min="2" max="2" width="21" customWidth="1"/>
    <col min="4" max="4" width="25" bestFit="1" customWidth="1"/>
    <col min="5" max="5" width="10.1640625" bestFit="1" customWidth="1"/>
    <col min="6" max="8" width="11.1640625" bestFit="1" customWidth="1"/>
    <col min="9" max="10" width="5.83203125" customWidth="1"/>
    <col min="11" max="11" width="6.5" customWidth="1"/>
    <col min="12" max="12" width="5.1640625" bestFit="1" customWidth="1"/>
    <col min="13" max="13" width="11.5" customWidth="1"/>
    <col min="20" max="20" width="11.83203125" customWidth="1"/>
    <col min="21" max="21" width="3.1640625" customWidth="1"/>
    <col min="22" max="22" width="11.33203125" customWidth="1"/>
  </cols>
  <sheetData>
    <row r="3" spans="2:35">
      <c r="D3" t="s">
        <v>19</v>
      </c>
      <c r="E3">
        <v>2003</v>
      </c>
      <c r="F3">
        <v>2004</v>
      </c>
      <c r="G3">
        <v>2005</v>
      </c>
      <c r="H3">
        <v>2006</v>
      </c>
      <c r="I3">
        <v>2007</v>
      </c>
      <c r="J3">
        <v>2008</v>
      </c>
      <c r="K3">
        <v>2009</v>
      </c>
      <c r="L3">
        <v>2010</v>
      </c>
      <c r="M3">
        <v>2011</v>
      </c>
      <c r="N3">
        <v>2012</v>
      </c>
      <c r="O3">
        <v>2013</v>
      </c>
      <c r="P3">
        <v>2014</v>
      </c>
      <c r="Q3">
        <v>2015</v>
      </c>
      <c r="R3">
        <v>2016</v>
      </c>
      <c r="S3">
        <v>2017</v>
      </c>
    </row>
    <row r="4" spans="2:35">
      <c r="B4" t="s">
        <v>29</v>
      </c>
      <c r="D4" t="s">
        <v>28</v>
      </c>
      <c r="G4">
        <f>837*'Maximizing Profit'!BY4</f>
        <v>837</v>
      </c>
      <c r="H4">
        <f>783*'Maximizing Profit'!BY4</f>
        <v>783</v>
      </c>
      <c r="I4">
        <f>739*'Maximizing Profit'!BY4</f>
        <v>739</v>
      </c>
      <c r="J4">
        <f>690*'Maximizing Profit'!BY4</f>
        <v>690</v>
      </c>
      <c r="K4">
        <f>648*'Maximizing Profit'!BY4</f>
        <v>648</v>
      </c>
      <c r="L4">
        <f>602*'Maximizing Profit'!BY4</f>
        <v>602</v>
      </c>
      <c r="M4">
        <f>572*'Maximizing Profit'!BY4</f>
        <v>572</v>
      </c>
      <c r="N4">
        <f>534*'Maximizing Profit'!BY4</f>
        <v>534</v>
      </c>
      <c r="O4">
        <f>508*'Maximizing Profit'!BY4</f>
        <v>508</v>
      </c>
      <c r="P4">
        <f>477*'Maximizing Profit'!BY4</f>
        <v>477</v>
      </c>
      <c r="Q4">
        <f>445*'Maximizing Profit'!BY4</f>
        <v>445</v>
      </c>
      <c r="R4">
        <f>423*'Maximizing Profit'!BY4</f>
        <v>423</v>
      </c>
      <c r="S4">
        <f>397*'Maximizing Profit'!BY4</f>
        <v>397</v>
      </c>
    </row>
    <row r="6" spans="2:35">
      <c r="B6" t="s">
        <v>46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8" spans="2:35">
      <c r="D8" t="s">
        <v>19</v>
      </c>
      <c r="E8">
        <v>2003</v>
      </c>
      <c r="F8">
        <v>2004</v>
      </c>
      <c r="G8">
        <v>2005</v>
      </c>
      <c r="H8">
        <v>2006</v>
      </c>
      <c r="I8">
        <v>2007</v>
      </c>
      <c r="J8">
        <v>2008</v>
      </c>
      <c r="K8">
        <v>2009</v>
      </c>
      <c r="L8">
        <v>2010</v>
      </c>
      <c r="M8">
        <v>2011</v>
      </c>
      <c r="N8">
        <v>2012</v>
      </c>
      <c r="O8">
        <v>2013</v>
      </c>
      <c r="P8">
        <v>2014</v>
      </c>
      <c r="Q8">
        <v>2015</v>
      </c>
      <c r="R8">
        <v>2016</v>
      </c>
      <c r="S8">
        <v>2017</v>
      </c>
    </row>
    <row r="9" spans="2:35">
      <c r="B9" t="s">
        <v>25</v>
      </c>
      <c r="D9" t="s">
        <v>155</v>
      </c>
      <c r="E9">
        <f>400*'Maximizing Profit'!BY6*1000000</f>
        <v>400000000</v>
      </c>
      <c r="F9">
        <f>1250*'Maximizing Profit'!BY6*1000000</f>
        <v>1250000000</v>
      </c>
      <c r="G9">
        <f>1200*'Maximizing Profit'!BY6*1000000</f>
        <v>1200000000</v>
      </c>
      <c r="H9">
        <f>SUM(E9:G9)</f>
        <v>2850000000</v>
      </c>
      <c r="I9">
        <f>H9/10^9</f>
        <v>2.85</v>
      </c>
    </row>
    <row r="10" spans="2:35">
      <c r="D10" t="s">
        <v>88</v>
      </c>
      <c r="E10">
        <f>$E$9*0.1</f>
        <v>40000000</v>
      </c>
      <c r="F10">
        <f t="shared" ref="F10:N10" si="0">$E$9*0.1</f>
        <v>40000000</v>
      </c>
      <c r="G10">
        <f t="shared" si="0"/>
        <v>40000000</v>
      </c>
      <c r="H10">
        <f t="shared" si="0"/>
        <v>40000000</v>
      </c>
      <c r="I10">
        <f t="shared" si="0"/>
        <v>40000000</v>
      </c>
      <c r="J10">
        <f t="shared" si="0"/>
        <v>40000000</v>
      </c>
      <c r="K10">
        <f t="shared" si="0"/>
        <v>40000000</v>
      </c>
      <c r="L10">
        <f t="shared" si="0"/>
        <v>40000000</v>
      </c>
      <c r="M10">
        <f t="shared" si="0"/>
        <v>40000000</v>
      </c>
      <c r="N10">
        <f t="shared" si="0"/>
        <v>40000000</v>
      </c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2:35">
      <c r="F11">
        <f>$F$9*0.1</f>
        <v>125000000</v>
      </c>
      <c r="G11">
        <f t="shared" ref="G11:O11" si="1">$F$9*0.1</f>
        <v>125000000</v>
      </c>
      <c r="H11">
        <f t="shared" si="1"/>
        <v>125000000</v>
      </c>
      <c r="I11">
        <f t="shared" si="1"/>
        <v>125000000</v>
      </c>
      <c r="J11">
        <f t="shared" si="1"/>
        <v>125000000</v>
      </c>
      <c r="K11">
        <f t="shared" si="1"/>
        <v>125000000</v>
      </c>
      <c r="L11">
        <f t="shared" si="1"/>
        <v>125000000</v>
      </c>
      <c r="M11">
        <f t="shared" si="1"/>
        <v>125000000</v>
      </c>
      <c r="N11">
        <f t="shared" si="1"/>
        <v>125000000</v>
      </c>
      <c r="O11">
        <f t="shared" si="1"/>
        <v>125000000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2:35">
      <c r="G12">
        <f>$G$9*0.1</f>
        <v>120000000</v>
      </c>
      <c r="H12">
        <f t="shared" ref="H12:P12" si="2">$G$9*0.1</f>
        <v>120000000</v>
      </c>
      <c r="I12">
        <f t="shared" si="2"/>
        <v>120000000</v>
      </c>
      <c r="J12">
        <f t="shared" si="2"/>
        <v>120000000</v>
      </c>
      <c r="K12">
        <f t="shared" si="2"/>
        <v>120000000</v>
      </c>
      <c r="L12">
        <f t="shared" si="2"/>
        <v>120000000</v>
      </c>
      <c r="M12">
        <f t="shared" si="2"/>
        <v>120000000</v>
      </c>
      <c r="N12">
        <f t="shared" si="2"/>
        <v>120000000</v>
      </c>
      <c r="O12">
        <f t="shared" si="2"/>
        <v>120000000</v>
      </c>
      <c r="P12">
        <f t="shared" si="2"/>
        <v>120000000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2:35">
      <c r="D13" t="s">
        <v>89</v>
      </c>
      <c r="E13">
        <f>SUM(E10:E12)</f>
        <v>40000000</v>
      </c>
      <c r="F13">
        <f t="shared" ref="F13:P13" si="3">SUM(F10:F12)</f>
        <v>165000000</v>
      </c>
      <c r="G13">
        <f t="shared" si="3"/>
        <v>285000000</v>
      </c>
      <c r="H13">
        <f t="shared" si="3"/>
        <v>285000000</v>
      </c>
      <c r="I13">
        <f t="shared" si="3"/>
        <v>285000000</v>
      </c>
      <c r="J13">
        <f t="shared" si="3"/>
        <v>285000000</v>
      </c>
      <c r="K13">
        <f t="shared" si="3"/>
        <v>285000000</v>
      </c>
      <c r="L13">
        <f t="shared" si="3"/>
        <v>285000000</v>
      </c>
      <c r="M13">
        <f t="shared" si="3"/>
        <v>285000000</v>
      </c>
      <c r="N13">
        <f t="shared" si="3"/>
        <v>285000000</v>
      </c>
      <c r="O13">
        <f t="shared" si="3"/>
        <v>245000000</v>
      </c>
      <c r="P13">
        <f t="shared" si="3"/>
        <v>120000000</v>
      </c>
    </row>
    <row r="16" spans="2:35">
      <c r="B16" t="s">
        <v>47</v>
      </c>
    </row>
    <row r="17" spans="2:24">
      <c r="X17" s="37"/>
    </row>
    <row r="18" spans="2:24">
      <c r="B18" t="s">
        <v>44</v>
      </c>
      <c r="E18">
        <v>2003</v>
      </c>
      <c r="F18">
        <v>2004</v>
      </c>
      <c r="G18">
        <v>2005</v>
      </c>
      <c r="H18">
        <v>2006</v>
      </c>
      <c r="I18">
        <v>2007</v>
      </c>
      <c r="J18">
        <v>2008</v>
      </c>
      <c r="K18">
        <v>2009</v>
      </c>
      <c r="L18">
        <v>2010</v>
      </c>
      <c r="M18">
        <v>2011</v>
      </c>
      <c r="N18">
        <v>2012</v>
      </c>
      <c r="O18">
        <v>2013</v>
      </c>
      <c r="P18">
        <v>2014</v>
      </c>
      <c r="Q18">
        <v>2015</v>
      </c>
      <c r="R18">
        <v>2016</v>
      </c>
      <c r="S18">
        <v>2017</v>
      </c>
    </row>
    <row r="19" spans="2:24">
      <c r="B19" t="s">
        <v>5</v>
      </c>
      <c r="G19" s="1">
        <f>75%*'Maximizing Profit'!$BY$5</f>
        <v>0.75</v>
      </c>
      <c r="H19" s="1">
        <f>80%*'Maximizing Profit'!$BY$5</f>
        <v>0.8</v>
      </c>
      <c r="I19" s="1">
        <f>85%*'Maximizing Profit'!$BY$5</f>
        <v>0.85</v>
      </c>
      <c r="J19" s="1">
        <f>90%*'Maximizing Profit'!$BY$5</f>
        <v>0.9</v>
      </c>
      <c r="K19" s="1">
        <f>95%*'Maximizing Profit'!$BY$5</f>
        <v>0.95</v>
      </c>
      <c r="L19" s="1">
        <f>95%*'Maximizing Profit'!$BY$5</f>
        <v>0.95</v>
      </c>
      <c r="M19" s="1">
        <f>95%*'Maximizing Profit'!$BY$5</f>
        <v>0.95</v>
      </c>
      <c r="N19" s="1">
        <f>95%*'Maximizing Profit'!$BY$5</f>
        <v>0.95</v>
      </c>
      <c r="O19" s="1">
        <f>95%*'Maximizing Profit'!$BY$5</f>
        <v>0.95</v>
      </c>
      <c r="P19" s="1">
        <f>95%*'Maximizing Profit'!$BY$5</f>
        <v>0.95</v>
      </c>
      <c r="Q19" s="1">
        <f>95%*'Maximizing Profit'!$BY$5</f>
        <v>0.95</v>
      </c>
      <c r="R19" s="1">
        <f>95%*'Maximizing Profit'!$BY$5</f>
        <v>0.95</v>
      </c>
      <c r="S19" s="1">
        <f>95%*'Maximizing Profit'!$BY$5</f>
        <v>0.95</v>
      </c>
    </row>
    <row r="20" spans="2:24">
      <c r="B20" t="s">
        <v>7</v>
      </c>
      <c r="G20" s="1">
        <f>70%*'Maximizing Profit'!$BY$5</f>
        <v>0.7</v>
      </c>
      <c r="H20" s="1">
        <f>75%*'Maximizing Profit'!$BY$5</f>
        <v>0.75</v>
      </c>
      <c r="I20" s="1">
        <f>80%*'Maximizing Profit'!$BY$5</f>
        <v>0.8</v>
      </c>
      <c r="J20" s="1">
        <f>85%*'Maximizing Profit'!$BY$5</f>
        <v>0.85</v>
      </c>
      <c r="K20" s="1">
        <f>90%*'Maximizing Profit'!$BY$5</f>
        <v>0.9</v>
      </c>
      <c r="L20" s="1">
        <f>95%*'Maximizing Profit'!$BY$5</f>
        <v>0.95</v>
      </c>
      <c r="M20" s="1">
        <f>95%*'Maximizing Profit'!$BY$5</f>
        <v>0.95</v>
      </c>
      <c r="N20" s="1">
        <f>95%*'Maximizing Profit'!$BY$5</f>
        <v>0.95</v>
      </c>
      <c r="O20" s="1">
        <f>95%*'Maximizing Profit'!$BY$5</f>
        <v>0.95</v>
      </c>
      <c r="P20" s="1">
        <f>95%*'Maximizing Profit'!$BY$5</f>
        <v>0.95</v>
      </c>
      <c r="Q20" s="1">
        <f>95%*'Maximizing Profit'!$BY$5</f>
        <v>0.95</v>
      </c>
      <c r="R20" s="1">
        <f>95%*'Maximizing Profit'!$BY$5</f>
        <v>0.95</v>
      </c>
      <c r="S20" s="1">
        <f>95%*'Maximizing Profit'!$BY$5</f>
        <v>0.95</v>
      </c>
    </row>
    <row r="21" spans="2:24">
      <c r="B21" t="s">
        <v>58</v>
      </c>
      <c r="G21" s="1">
        <f>30%*'Maximizing Profit'!$BY$5</f>
        <v>0.3</v>
      </c>
      <c r="H21" s="1">
        <f>35%*'Maximizing Profit'!$BY$5</f>
        <v>0.35</v>
      </c>
      <c r="I21" s="1">
        <f>40%*'Maximizing Profit'!$BY$5</f>
        <v>0.4</v>
      </c>
      <c r="J21" s="1">
        <f>45%*'Maximizing Profit'!$BY$5</f>
        <v>0.45</v>
      </c>
      <c r="K21" s="1">
        <f>50%*'Maximizing Profit'!$BY$5</f>
        <v>0.5</v>
      </c>
      <c r="L21" s="1">
        <f>60%*'Maximizing Profit'!$BY$5</f>
        <v>0.6</v>
      </c>
      <c r="M21" s="1">
        <f>70%*'Maximizing Profit'!$BY$5</f>
        <v>0.7</v>
      </c>
      <c r="N21" s="1">
        <f>80%*'Maximizing Profit'!$BY$5</f>
        <v>0.8</v>
      </c>
      <c r="O21" s="1">
        <f>80%*'Maximizing Profit'!$BY$5</f>
        <v>0.8</v>
      </c>
      <c r="P21" s="1">
        <f>80%*'Maximizing Profit'!$BY$5</f>
        <v>0.8</v>
      </c>
      <c r="Q21" s="1">
        <f>80%*'Maximizing Profit'!$BY$5</f>
        <v>0.8</v>
      </c>
      <c r="R21" s="1">
        <f>80%*'Maximizing Profit'!$BY$5</f>
        <v>0.8</v>
      </c>
      <c r="S21" s="1">
        <f>80%*'Maximizing Profit'!$BY$5</f>
        <v>0.8</v>
      </c>
    </row>
    <row r="22" spans="2:24">
      <c r="G22" s="1"/>
      <c r="H22" s="1"/>
      <c r="I22" s="1"/>
      <c r="J22" s="1"/>
      <c r="K22" s="1"/>
      <c r="L22" s="1"/>
      <c r="M22" s="1"/>
      <c r="N22" s="1"/>
    </row>
    <row r="23" spans="2:24">
      <c r="B23" t="s">
        <v>48</v>
      </c>
      <c r="G23" s="1"/>
      <c r="H23" s="1"/>
      <c r="I23" s="1"/>
      <c r="J23" s="1"/>
      <c r="K23" s="1"/>
      <c r="L23" s="1"/>
      <c r="M23" s="1"/>
      <c r="N23" s="1"/>
    </row>
    <row r="24" spans="2:24">
      <c r="B24" t="s">
        <v>59</v>
      </c>
      <c r="G24" s="1"/>
      <c r="H24" s="1"/>
      <c r="I24" s="1"/>
      <c r="J24" s="1"/>
      <c r="K24" s="1"/>
      <c r="L24" s="1"/>
      <c r="M24" s="1"/>
      <c r="N24" s="1"/>
    </row>
    <row r="26" spans="2:24">
      <c r="D26" t="s">
        <v>19</v>
      </c>
    </row>
    <row r="27" spans="2:24">
      <c r="B27" t="s">
        <v>57</v>
      </c>
      <c r="D27" t="s">
        <v>40</v>
      </c>
      <c r="E27">
        <v>60000</v>
      </c>
      <c r="G27" t="s">
        <v>54</v>
      </c>
    </row>
    <row r="28" spans="2:24">
      <c r="B28" t="s">
        <v>30</v>
      </c>
      <c r="D28" t="s">
        <v>31</v>
      </c>
      <c r="E28" s="1">
        <v>0.05</v>
      </c>
      <c r="G28" t="s">
        <v>56</v>
      </c>
    </row>
    <row r="29" spans="2:24">
      <c r="B29" t="s">
        <v>32</v>
      </c>
      <c r="D29" t="s">
        <v>31</v>
      </c>
      <c r="E29" s="1">
        <v>0.04</v>
      </c>
      <c r="G29" t="s">
        <v>55</v>
      </c>
    </row>
    <row r="30" spans="2:24">
      <c r="B30" t="s">
        <v>33</v>
      </c>
      <c r="D30" t="s">
        <v>34</v>
      </c>
      <c r="E30" s="1">
        <v>0.1</v>
      </c>
      <c r="G30" t="s">
        <v>54</v>
      </c>
    </row>
    <row r="31" spans="2:24">
      <c r="B31" t="s">
        <v>26</v>
      </c>
      <c r="D31" t="s">
        <v>27</v>
      </c>
      <c r="E31">
        <v>10</v>
      </c>
      <c r="G31" t="s">
        <v>54</v>
      </c>
    </row>
    <row r="32" spans="2:24">
      <c r="B32" t="s">
        <v>21</v>
      </c>
      <c r="C32" t="s">
        <v>23</v>
      </c>
      <c r="D32" t="s">
        <v>22</v>
      </c>
      <c r="E32">
        <v>1.5</v>
      </c>
      <c r="G32" t="s">
        <v>66</v>
      </c>
    </row>
    <row r="33" spans="2:26">
      <c r="B33" t="s">
        <v>21</v>
      </c>
      <c r="C33" t="s">
        <v>24</v>
      </c>
      <c r="D33" t="s">
        <v>22</v>
      </c>
      <c r="E33">
        <v>1.8</v>
      </c>
      <c r="G33" t="s">
        <v>67</v>
      </c>
    </row>
    <row r="34" spans="2:26">
      <c r="B34" t="s">
        <v>35</v>
      </c>
      <c r="D34" t="s">
        <v>34</v>
      </c>
      <c r="E34" s="1">
        <v>0.25</v>
      </c>
      <c r="G34" t="s">
        <v>53</v>
      </c>
    </row>
    <row r="35" spans="2:26">
      <c r="B35" t="s">
        <v>36</v>
      </c>
      <c r="D35" t="s">
        <v>37</v>
      </c>
      <c r="E35">
        <v>45</v>
      </c>
      <c r="G35" t="s">
        <v>49</v>
      </c>
    </row>
    <row r="36" spans="2:26">
      <c r="B36" t="s">
        <v>38</v>
      </c>
      <c r="D36" t="s">
        <v>37</v>
      </c>
      <c r="E36">
        <v>45</v>
      </c>
      <c r="G36" t="s">
        <v>49</v>
      </c>
    </row>
    <row r="37" spans="2:26">
      <c r="B37" t="s">
        <v>39</v>
      </c>
      <c r="D37" t="s">
        <v>37</v>
      </c>
      <c r="E37">
        <v>30</v>
      </c>
      <c r="G37" t="s">
        <v>49</v>
      </c>
    </row>
    <row r="40" spans="2:26">
      <c r="B40" t="s">
        <v>45</v>
      </c>
    </row>
    <row r="42" spans="2:26">
      <c r="G42" s="10"/>
      <c r="H42" s="10"/>
      <c r="I42" s="10"/>
      <c r="J42" s="10"/>
      <c r="K42" s="10"/>
      <c r="L42" s="10"/>
      <c r="M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2:26" ht="19">
      <c r="B43" t="s">
        <v>50</v>
      </c>
      <c r="G43" s="10"/>
      <c r="H43" s="10"/>
      <c r="I43" s="52" t="s">
        <v>84</v>
      </c>
      <c r="J43" s="53"/>
      <c r="K43" s="53"/>
      <c r="L43" s="10"/>
      <c r="M43" s="10"/>
      <c r="Q43" s="10"/>
      <c r="R43" s="10"/>
      <c r="S43" s="10"/>
      <c r="T43" s="52"/>
      <c r="U43" s="53"/>
      <c r="V43" s="53"/>
      <c r="W43" s="53"/>
      <c r="X43" s="53"/>
      <c r="Y43" s="10"/>
      <c r="Z43" s="10"/>
    </row>
    <row r="44" spans="2:26" ht="6" customHeight="1">
      <c r="B44" t="s">
        <v>51</v>
      </c>
      <c r="G44" s="10"/>
      <c r="H44" s="10"/>
      <c r="I44" s="10"/>
      <c r="J44" s="10"/>
      <c r="K44" s="10"/>
      <c r="L44" s="10"/>
      <c r="M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2:26" ht="15" customHeight="1">
      <c r="B45" t="s">
        <v>52</v>
      </c>
      <c r="G45" s="10"/>
      <c r="H45" s="10"/>
      <c r="I45" s="17">
        <v>2005</v>
      </c>
      <c r="J45" s="17">
        <v>2017</v>
      </c>
      <c r="K45" s="17" t="s">
        <v>80</v>
      </c>
      <c r="L45" s="10"/>
      <c r="M45" s="51" t="s">
        <v>87</v>
      </c>
      <c r="Q45" s="10"/>
      <c r="R45" s="10"/>
      <c r="S45" s="10"/>
      <c r="T45" s="51" t="s">
        <v>86</v>
      </c>
      <c r="U45" s="17"/>
      <c r="V45" s="51" t="s">
        <v>87</v>
      </c>
      <c r="W45" s="17"/>
      <c r="X45" s="17" t="s">
        <v>80</v>
      </c>
      <c r="Y45" s="10"/>
      <c r="Z45" s="10"/>
    </row>
    <row r="46" spans="2:26">
      <c r="G46" s="10"/>
      <c r="H46" s="10"/>
      <c r="I46" s="17"/>
      <c r="J46" s="17"/>
      <c r="K46" s="17"/>
      <c r="L46" s="10"/>
      <c r="M46" s="51"/>
      <c r="Q46" s="10"/>
      <c r="R46" s="10"/>
      <c r="S46" s="10"/>
      <c r="T46" s="51"/>
      <c r="U46" s="17"/>
      <c r="V46" s="51"/>
      <c r="W46" s="17"/>
      <c r="X46" s="17"/>
      <c r="Y46" s="10"/>
      <c r="Z46" s="10"/>
    </row>
    <row r="47" spans="2:26" ht="6" customHeight="1">
      <c r="G47" s="10"/>
      <c r="H47" s="10"/>
      <c r="I47" s="11"/>
      <c r="J47" s="11"/>
      <c r="K47" s="18"/>
      <c r="L47" s="10"/>
      <c r="M47" s="11"/>
      <c r="Q47" s="10"/>
      <c r="R47" s="10"/>
      <c r="S47" s="10"/>
      <c r="T47" s="18"/>
      <c r="U47" s="11"/>
      <c r="V47" s="11"/>
      <c r="W47" s="11"/>
      <c r="X47" s="18"/>
      <c r="Y47" s="10"/>
      <c r="Z47" s="10"/>
    </row>
    <row r="48" spans="2:26" ht="15" customHeight="1">
      <c r="B48" t="s">
        <v>61</v>
      </c>
      <c r="G48" s="10"/>
      <c r="H48" s="11" t="s">
        <v>5</v>
      </c>
      <c r="I48" s="13">
        <v>0.75</v>
      </c>
      <c r="J48" s="13">
        <v>0.95000000000000018</v>
      </c>
      <c r="K48" s="15" t="s">
        <v>81</v>
      </c>
      <c r="L48" s="16"/>
      <c r="M48" s="19">
        <v>-0.93</v>
      </c>
      <c r="Q48" s="10"/>
      <c r="R48" s="11" t="s">
        <v>5</v>
      </c>
      <c r="S48" s="11"/>
      <c r="T48" s="15" t="s">
        <v>81</v>
      </c>
      <c r="U48" s="14"/>
      <c r="V48" s="19">
        <v>-0.93</v>
      </c>
      <c r="W48" s="14"/>
      <c r="X48" s="15" t="s">
        <v>81</v>
      </c>
      <c r="Y48" s="16"/>
      <c r="Z48" s="10"/>
    </row>
    <row r="49" spans="7:26" ht="6" customHeight="1">
      <c r="G49" s="10"/>
      <c r="H49" s="11"/>
      <c r="I49" s="14"/>
      <c r="J49" s="14"/>
      <c r="K49" s="12"/>
      <c r="L49" s="16"/>
      <c r="M49" s="14"/>
      <c r="Q49" s="10"/>
      <c r="R49" s="11"/>
      <c r="S49" s="11"/>
      <c r="T49" s="12"/>
      <c r="U49" s="14"/>
      <c r="V49" s="14"/>
      <c r="W49" s="14"/>
      <c r="X49" s="12"/>
      <c r="Y49" s="16"/>
      <c r="Z49" s="10"/>
    </row>
    <row r="50" spans="7:26">
      <c r="G50" s="10"/>
      <c r="H50" s="11" t="s">
        <v>7</v>
      </c>
      <c r="I50" s="13">
        <v>0.7</v>
      </c>
      <c r="J50" s="13">
        <v>0.95</v>
      </c>
      <c r="K50" s="15" t="s">
        <v>82</v>
      </c>
      <c r="L50" s="16"/>
      <c r="M50" s="13">
        <v>-0.86</v>
      </c>
      <c r="Q50" s="10"/>
      <c r="R50" s="11" t="s">
        <v>7</v>
      </c>
      <c r="S50" s="11"/>
      <c r="T50" s="15" t="s">
        <v>82</v>
      </c>
      <c r="U50" s="14"/>
      <c r="V50" s="13">
        <v>-0.86</v>
      </c>
      <c r="W50" s="14"/>
      <c r="X50" s="15" t="s">
        <v>82</v>
      </c>
      <c r="Y50" s="16"/>
      <c r="Z50" s="10"/>
    </row>
    <row r="51" spans="7:26" ht="6" customHeight="1">
      <c r="G51" s="10"/>
      <c r="H51" s="11"/>
      <c r="I51" s="14"/>
      <c r="J51" s="14"/>
      <c r="K51" s="14"/>
      <c r="L51" s="16"/>
      <c r="M51" s="14"/>
      <c r="Q51" s="10"/>
      <c r="R51" s="11"/>
      <c r="S51" s="11"/>
      <c r="T51" s="14"/>
      <c r="U51" s="14"/>
      <c r="V51" s="14"/>
      <c r="W51" s="14"/>
      <c r="X51" s="14"/>
      <c r="Y51" s="16"/>
      <c r="Z51" s="10"/>
    </row>
    <row r="52" spans="7:26">
      <c r="G52" s="10"/>
      <c r="H52" s="11" t="s">
        <v>58</v>
      </c>
      <c r="I52" s="13">
        <v>0.3</v>
      </c>
      <c r="J52" s="13">
        <v>0.8</v>
      </c>
      <c r="K52" s="15" t="s">
        <v>83</v>
      </c>
      <c r="L52" s="16"/>
      <c r="M52" s="13">
        <f>-75%</f>
        <v>-0.75</v>
      </c>
      <c r="Q52" s="10"/>
      <c r="R52" s="11" t="s">
        <v>58</v>
      </c>
      <c r="S52" s="11"/>
      <c r="T52" s="15" t="s">
        <v>83</v>
      </c>
      <c r="U52" s="14"/>
      <c r="V52" s="13">
        <f>-75%</f>
        <v>-0.75</v>
      </c>
      <c r="W52" s="14"/>
      <c r="X52" s="15" t="s">
        <v>83</v>
      </c>
      <c r="Y52" s="16"/>
      <c r="Z52" s="10"/>
    </row>
    <row r="53" spans="7:26" ht="6" customHeight="1">
      <c r="G53" s="10"/>
      <c r="H53" s="10"/>
      <c r="I53" s="10"/>
      <c r="J53" s="10"/>
      <c r="K53" s="10"/>
      <c r="L53" s="10"/>
      <c r="M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7:26">
      <c r="G54" s="10"/>
      <c r="H54" s="10"/>
      <c r="I54" s="10"/>
      <c r="J54" s="10"/>
      <c r="K54" s="10"/>
      <c r="L54" s="10"/>
      <c r="M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7:26">
      <c r="G55" s="10"/>
      <c r="H55" s="10"/>
      <c r="I55" s="10"/>
      <c r="J55" s="10"/>
      <c r="K55" s="10"/>
      <c r="L55" s="10"/>
      <c r="M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7:26">
      <c r="G56" s="10"/>
      <c r="H56" s="10"/>
      <c r="I56" s="10"/>
      <c r="J56" s="10"/>
      <c r="K56" s="10"/>
      <c r="L56" s="10"/>
      <c r="M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7:26">
      <c r="G57" s="10"/>
      <c r="H57" s="10"/>
      <c r="I57" s="10"/>
      <c r="J57" s="10"/>
      <c r="K57" s="10"/>
      <c r="L57" s="10"/>
      <c r="M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7:26">
      <c r="G58" s="10"/>
      <c r="H58" s="10"/>
      <c r="I58" s="10"/>
      <c r="J58" s="10"/>
      <c r="K58" s="10"/>
      <c r="L58" s="10"/>
      <c r="M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7:26">
      <c r="G59" s="10"/>
      <c r="H59" s="10"/>
      <c r="I59" s="10"/>
      <c r="J59" s="10"/>
      <c r="K59" s="10"/>
      <c r="L59" s="10"/>
      <c r="M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1" spans="7:26">
      <c r="H61" t="s">
        <v>80</v>
      </c>
      <c r="R61" t="s">
        <v>80</v>
      </c>
    </row>
  </sheetData>
  <mergeCells count="5">
    <mergeCell ref="M45:M46"/>
    <mergeCell ref="I43:K43"/>
    <mergeCell ref="T43:X43"/>
    <mergeCell ref="T45:T46"/>
    <mergeCell ref="V45:V46"/>
  </mergeCells>
  <pageMargins left="0.7" right="0.7" top="0.75" bottom="0.75" header="0.3" footer="0.3"/>
  <pageSetup paperSize="9" orientation="portrait" horizontalDpi="0" verticalDpi="0" r:id="rId1"/>
  <ignoredErrors>
    <ignoredError sqref="K48 K50 T48 T50 T52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Minimizing glass loss</vt:lpstr>
      <vt:lpstr>Products</vt:lpstr>
      <vt:lpstr>Price</vt:lpstr>
      <vt:lpstr>Maximizing Profit</vt:lpstr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Kuno Huisman</dc:creator>
  <cp:lastModifiedBy>Microsoft Office User</cp:lastModifiedBy>
  <dcterms:created xsi:type="dcterms:W3CDTF">2017-03-09T19:15:00Z</dcterms:created>
  <dcterms:modified xsi:type="dcterms:W3CDTF">2020-04-13T07:31:18Z</dcterms:modified>
</cp:coreProperties>
</file>