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ke\Dropbox\Nutrition\"/>
    </mc:Choice>
  </mc:AlternateContent>
  <bookViews>
    <workbookView xWindow="0" yWindow="0" windowWidth="28800" windowHeight="12438" activeTab="1"/>
  </bookViews>
  <sheets>
    <sheet name="Inputs" sheetId="18" r:id="rId1"/>
    <sheet name="PLANNER" sheetId="16" r:id="rId2"/>
    <sheet name="Sheet1" sheetId="19" r:id="rId3"/>
    <sheet name="SUMMARY" sheetId="9" r:id="rId4"/>
    <sheet name="Lists" sheetId="8" r:id="rId5"/>
    <sheet name="DailyIntakeChart" sheetId="17" r:id="rId6"/>
  </sheets>
  <definedNames>
    <definedName name="_AMO_UniqueIdentifier" hidden="1">"'e8e0453a-78c2-47b7-8d79-a3063f460ec9'"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1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ll">Lists!$N$5</definedName>
    <definedName name="amount">PLANNER!$D$3:$D$164</definedName>
    <definedName name="bertha">PLANNER!$A$1:$AV$164</definedName>
    <definedName name="Build">Lists!$N$4</definedName>
    <definedName name="CarbCals">4</definedName>
    <definedName name="description">PLANNER!$B$3:$B$164</definedName>
    <definedName name="FatCals">9</definedName>
    <definedName name="intamount">PLANNER!$F$3:$F$164</definedName>
    <definedName name="LoseWeight">Lists!$N$3</definedName>
    <definedName name="Maintain">Lists!$N$2</definedName>
    <definedName name="ProtCals">4</definedName>
    <definedName name="refno">PLANNER!$A$3:$A$164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1" hidden="1">PLANNER!$D$4:$D$154,PLANNER!$G$174:$Y$174</definedName>
    <definedName name="solver_cvg" localSheetId="1" hidden="1">0.0001</definedName>
    <definedName name="solver_cvg" localSheetId="3" hidden="1">0.0001</definedName>
    <definedName name="solver_drv" localSheetId="1" hidden="1">2</definedName>
    <definedName name="solver_drv" localSheetId="3" hidden="1">2</definedName>
    <definedName name="solver_eng" localSheetId="1" hidden="1">2</definedName>
    <definedName name="solver_eng" localSheetId="3" hidden="1">2</definedName>
    <definedName name="solver_est" localSheetId="1" hidden="1">1</definedName>
    <definedName name="solver_est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PLANNER!$D$4:$D$154</definedName>
    <definedName name="solver_lhs1" localSheetId="3" hidden="1">SUMMARY!$B$13:$B$31</definedName>
    <definedName name="solver_lhs2" localSheetId="1" hidden="1">PLANNER!$G$165:$Z$165</definedName>
    <definedName name="solver_lhs2" localSheetId="3" hidden="1">SUMMARY!$C$13:$C$31</definedName>
    <definedName name="solver_lhs3" localSheetId="1" hidden="1">PLANNER!$G$165:$Z$165</definedName>
    <definedName name="solver_lhs3" localSheetId="3" hidden="1">SUMMARY!$C$13:$C$31</definedName>
    <definedName name="solver_lhs4" localSheetId="1" hidden="1">PLANNER!$G$174:$Y$174</definedName>
    <definedName name="solver_lhs4" localSheetId="3" hidden="1">SUMMARY!$C$13:$C$31</definedName>
    <definedName name="solver_lhs5" localSheetId="1" hidden="1">PLANNER!$G$174:$Y$174</definedName>
    <definedName name="solver_lhs5" localSheetId="3" hidden="1">SUMMARY!$C$13:$C$31</definedName>
    <definedName name="solver_lhs6" localSheetId="1" hidden="1">PLANNER!$G$174:$Z$174</definedName>
    <definedName name="solver_lhs6" localSheetId="3" hidden="1">SUMMARY!$C$13:$C$31</definedName>
    <definedName name="solver_lhs7" localSheetId="1" hidden="1">PLANNER!$G$174:$Z$174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1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5</definedName>
    <definedName name="solver_num" localSheetId="3" hidden="1">0</definedName>
    <definedName name="solver_nwt" localSheetId="1" hidden="1">1</definedName>
    <definedName name="solver_nwt" localSheetId="3" hidden="1">1</definedName>
    <definedName name="solver_opt" localSheetId="1" hidden="1">PLANNER!$D$175</definedName>
    <definedName name="solver_pre" localSheetId="1" hidden="1">0.0001</definedName>
    <definedName name="solver_pre" localSheetId="3" hidden="1">0.000001</definedName>
    <definedName name="solver_rbv" localSheetId="1" hidden="1">2</definedName>
    <definedName name="solver_rbv" localSheetId="3" hidden="1">2</definedName>
    <definedName name="solver_rel1" localSheetId="1" hidden="1">1</definedName>
    <definedName name="solver_rel1" localSheetId="3" hidden="1">4</definedName>
    <definedName name="solver_rel2" localSheetId="1" hidden="1">1</definedName>
    <definedName name="solver_rel2" localSheetId="3" hidden="1">4</definedName>
    <definedName name="solver_rel3" localSheetId="1" hidden="1">3</definedName>
    <definedName name="solver_rel3" localSheetId="3" hidden="1">3</definedName>
    <definedName name="solver_rel4" localSheetId="1" hidden="1">3</definedName>
    <definedName name="solver_rel4" localSheetId="3" hidden="1">3</definedName>
    <definedName name="solver_rel5" localSheetId="1" hidden="1">3</definedName>
    <definedName name="solver_rel5" localSheetId="3" hidden="1">3</definedName>
    <definedName name="solver_rel6" localSheetId="1" hidden="1">3</definedName>
    <definedName name="solver_rel6" localSheetId="3" hidden="1">3</definedName>
    <definedName name="solver_rel7" localSheetId="1" hidden="1">3</definedName>
    <definedName name="solver_rhs1" localSheetId="1" hidden="1">PLANNER!$E$4:$E$154</definedName>
    <definedName name="solver_rhs1" localSheetId="3" hidden="1">integer</definedName>
    <definedName name="solver_rhs2" localSheetId="1" hidden="1">PLANNER!$G$168:$Z$168</definedName>
    <definedName name="solver_rhs2" localSheetId="3" hidden="1">integer</definedName>
    <definedName name="solver_rhs3" localSheetId="1" hidden="1">PLANNER!$G$167:$Z$167</definedName>
    <definedName name="solver_rhs3" localSheetId="3" hidden="1">1</definedName>
    <definedName name="solver_rhs4" localSheetId="1" hidden="1">PLANNER!$G$172:$Y$172</definedName>
    <definedName name="solver_rhs4" localSheetId="3" hidden="1">1</definedName>
    <definedName name="solver_rhs5" localSheetId="1" hidden="1">PLANNER!$G$173:$Y$173</definedName>
    <definedName name="solver_rhs5" localSheetId="3" hidden="1">1</definedName>
    <definedName name="solver_rhs6" localSheetId="1" hidden="1">PLANNER!$G$173:$Z$173</definedName>
    <definedName name="solver_rhs6" localSheetId="3" hidden="1">1</definedName>
    <definedName name="solver_rhs7" localSheetId="1" hidden="1">PLANNER!$G$173:$Z$173</definedName>
    <definedName name="solver_rlx" localSheetId="1" hidden="1">2</definedName>
    <definedName name="solver_rlx" localSheetId="3" hidden="1">2</definedName>
    <definedName name="solver_rsd" localSheetId="1" hidden="1">0</definedName>
    <definedName name="solver_rsd" localSheetId="3" hidden="1">0</definedName>
    <definedName name="solver_scl" localSheetId="1" hidden="1">2</definedName>
    <definedName name="solver_scl" localSheetId="3" hidden="1">2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2</definedName>
    <definedName name="solver_typ" localSheetId="3" hidden="1">2</definedName>
    <definedName name="solver_val" localSheetId="1" hidden="1">0</definedName>
    <definedName name="solver_val" localSheetId="3" hidden="1">0</definedName>
    <definedName name="solver_ver" localSheetId="1" hidden="1">3</definedName>
    <definedName name="solver_ver" localSheetId="3" hidden="1">3</definedName>
  </definedNames>
  <calcPr calcId="171027"/>
</workbook>
</file>

<file path=xl/calcChain.xml><?xml version="1.0" encoding="utf-8"?>
<calcChain xmlns="http://schemas.openxmlformats.org/spreadsheetml/2006/main">
  <c r="J166" i="16" l="1"/>
  <c r="I167" i="16"/>
  <c r="I168" i="16"/>
  <c r="I166" i="16"/>
  <c r="W148" i="16"/>
  <c r="V148" i="16"/>
  <c r="U148" i="16"/>
  <c r="T148" i="16"/>
  <c r="S148" i="16"/>
  <c r="R148" i="16"/>
  <c r="Q148" i="16"/>
  <c r="P148" i="16"/>
  <c r="O148" i="16"/>
  <c r="N148" i="16"/>
  <c r="M148" i="16"/>
  <c r="L148" i="16"/>
  <c r="K148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124" i="16"/>
  <c r="J125" i="16"/>
  <c r="J126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39" i="16"/>
  <c r="J140" i="16"/>
  <c r="J141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4" i="16"/>
  <c r="D10" i="18" l="1"/>
  <c r="Z166" i="16"/>
  <c r="Z167" i="16" s="1"/>
  <c r="Y166" i="16"/>
  <c r="Z168" i="16" l="1"/>
  <c r="AV156" i="16"/>
  <c r="Z156" i="16" s="1"/>
  <c r="AU156" i="16"/>
  <c r="Y156" i="16" s="1"/>
  <c r="AT156" i="16"/>
  <c r="X156" i="16" s="1"/>
  <c r="AS156" i="16"/>
  <c r="W156" i="16" s="1"/>
  <c r="AR156" i="16"/>
  <c r="V156" i="16" s="1"/>
  <c r="AQ156" i="16"/>
  <c r="U156" i="16" s="1"/>
  <c r="AP156" i="16"/>
  <c r="T156" i="16" s="1"/>
  <c r="AO156" i="16"/>
  <c r="S156" i="16" s="1"/>
  <c r="AN156" i="16"/>
  <c r="R156" i="16" s="1"/>
  <c r="AM156" i="16"/>
  <c r="Q156" i="16" s="1"/>
  <c r="AL156" i="16"/>
  <c r="P156" i="16" s="1"/>
  <c r="AK156" i="16"/>
  <c r="O156" i="16" s="1"/>
  <c r="AJ156" i="16"/>
  <c r="N156" i="16" s="1"/>
  <c r="AI156" i="16"/>
  <c r="M156" i="16" s="1"/>
  <c r="AH156" i="16"/>
  <c r="L156" i="16" s="1"/>
  <c r="AG156" i="16"/>
  <c r="K156" i="16" s="1"/>
  <c r="AF156" i="16"/>
  <c r="AE156" i="16"/>
  <c r="AD156" i="16"/>
  <c r="AB156" i="16"/>
  <c r="E14" i="18" l="1"/>
  <c r="E12" i="18"/>
  <c r="D16" i="18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D13" i="18" l="1"/>
  <c r="E13" i="18" s="1"/>
  <c r="E9" i="18" l="1"/>
  <c r="E17" i="18"/>
  <c r="E16" i="18"/>
  <c r="E10" i="18"/>
  <c r="AC156" i="16"/>
  <c r="H156" i="16" s="1"/>
  <c r="I156" i="16"/>
  <c r="J156" i="16"/>
  <c r="AC157" i="16"/>
  <c r="H157" i="16" s="1"/>
  <c r="AD157" i="16"/>
  <c r="I157" i="16" s="1"/>
  <c r="AE157" i="16"/>
  <c r="J157" i="16" s="1"/>
  <c r="AF157" i="16"/>
  <c r="AG157" i="16"/>
  <c r="K157" i="16" s="1"/>
  <c r="AH157" i="16"/>
  <c r="L157" i="16" s="1"/>
  <c r="AI157" i="16"/>
  <c r="M157" i="16" s="1"/>
  <c r="AJ157" i="16"/>
  <c r="N157" i="16" s="1"/>
  <c r="AK157" i="16"/>
  <c r="O157" i="16" s="1"/>
  <c r="AL157" i="16"/>
  <c r="P157" i="16" s="1"/>
  <c r="AM157" i="16"/>
  <c r="Q157" i="16" s="1"/>
  <c r="AN157" i="16"/>
  <c r="R157" i="16" s="1"/>
  <c r="AO157" i="16"/>
  <c r="S157" i="16" s="1"/>
  <c r="AP157" i="16"/>
  <c r="T157" i="16" s="1"/>
  <c r="AQ157" i="16"/>
  <c r="U157" i="16" s="1"/>
  <c r="AR157" i="16"/>
  <c r="V157" i="16" s="1"/>
  <c r="AS157" i="16"/>
  <c r="W157" i="16" s="1"/>
  <c r="AT157" i="16"/>
  <c r="X157" i="16" s="1"/>
  <c r="AU157" i="16"/>
  <c r="Y157" i="16" s="1"/>
  <c r="AV157" i="16"/>
  <c r="Z157" i="16" s="1"/>
  <c r="AC158" i="16"/>
  <c r="H158" i="16" s="1"/>
  <c r="AD158" i="16"/>
  <c r="I158" i="16" s="1"/>
  <c r="AE158" i="16"/>
  <c r="J158" i="16" s="1"/>
  <c r="AF158" i="16"/>
  <c r="AG158" i="16"/>
  <c r="K158" i="16" s="1"/>
  <c r="AH158" i="16"/>
  <c r="L158" i="16" s="1"/>
  <c r="AI158" i="16"/>
  <c r="M158" i="16" s="1"/>
  <c r="AJ158" i="16"/>
  <c r="N158" i="16" s="1"/>
  <c r="AK158" i="16"/>
  <c r="O158" i="16" s="1"/>
  <c r="AL158" i="16"/>
  <c r="P158" i="16" s="1"/>
  <c r="AM158" i="16"/>
  <c r="Q158" i="16" s="1"/>
  <c r="AN158" i="16"/>
  <c r="R158" i="16" s="1"/>
  <c r="AO158" i="16"/>
  <c r="S158" i="16" s="1"/>
  <c r="AP158" i="16"/>
  <c r="T158" i="16" s="1"/>
  <c r="AQ158" i="16"/>
  <c r="U158" i="16" s="1"/>
  <c r="AR158" i="16"/>
  <c r="V158" i="16" s="1"/>
  <c r="AS158" i="16"/>
  <c r="W158" i="16" s="1"/>
  <c r="AT158" i="16"/>
  <c r="X158" i="16" s="1"/>
  <c r="AU158" i="16"/>
  <c r="Y158" i="16" s="1"/>
  <c r="AV158" i="16"/>
  <c r="Z158" i="16" s="1"/>
  <c r="AC159" i="16"/>
  <c r="H159" i="16" s="1"/>
  <c r="AD159" i="16"/>
  <c r="I159" i="16" s="1"/>
  <c r="AE159" i="16"/>
  <c r="J159" i="16" s="1"/>
  <c r="AF159" i="16"/>
  <c r="AG159" i="16"/>
  <c r="K159" i="16" s="1"/>
  <c r="AH159" i="16"/>
  <c r="L159" i="16" s="1"/>
  <c r="AI159" i="16"/>
  <c r="M159" i="16" s="1"/>
  <c r="AJ159" i="16"/>
  <c r="N159" i="16" s="1"/>
  <c r="AK159" i="16"/>
  <c r="O159" i="16" s="1"/>
  <c r="AL159" i="16"/>
  <c r="P159" i="16" s="1"/>
  <c r="AM159" i="16"/>
  <c r="Q159" i="16" s="1"/>
  <c r="AN159" i="16"/>
  <c r="R159" i="16" s="1"/>
  <c r="AO159" i="16"/>
  <c r="S159" i="16" s="1"/>
  <c r="AP159" i="16"/>
  <c r="T159" i="16" s="1"/>
  <c r="AQ159" i="16"/>
  <c r="U159" i="16" s="1"/>
  <c r="AR159" i="16"/>
  <c r="V159" i="16" s="1"/>
  <c r="AS159" i="16"/>
  <c r="W159" i="16" s="1"/>
  <c r="AT159" i="16"/>
  <c r="X159" i="16" s="1"/>
  <c r="AU159" i="16"/>
  <c r="Y159" i="16" s="1"/>
  <c r="AV159" i="16"/>
  <c r="Z159" i="16" s="1"/>
  <c r="AC160" i="16"/>
  <c r="H160" i="16" s="1"/>
  <c r="AD160" i="16"/>
  <c r="I160" i="16" s="1"/>
  <c r="AE160" i="16"/>
  <c r="J160" i="16" s="1"/>
  <c r="AF160" i="16"/>
  <c r="AG160" i="16"/>
  <c r="K160" i="16" s="1"/>
  <c r="AH160" i="16"/>
  <c r="L160" i="16" s="1"/>
  <c r="AI160" i="16"/>
  <c r="M160" i="16" s="1"/>
  <c r="AJ160" i="16"/>
  <c r="N160" i="16" s="1"/>
  <c r="AK160" i="16"/>
  <c r="O160" i="16" s="1"/>
  <c r="AL160" i="16"/>
  <c r="P160" i="16" s="1"/>
  <c r="AM160" i="16"/>
  <c r="Q160" i="16" s="1"/>
  <c r="AN160" i="16"/>
  <c r="R160" i="16" s="1"/>
  <c r="AO160" i="16"/>
  <c r="S160" i="16" s="1"/>
  <c r="AP160" i="16"/>
  <c r="T160" i="16" s="1"/>
  <c r="AQ160" i="16"/>
  <c r="U160" i="16" s="1"/>
  <c r="AR160" i="16"/>
  <c r="V160" i="16" s="1"/>
  <c r="AS160" i="16"/>
  <c r="W160" i="16" s="1"/>
  <c r="AT160" i="16"/>
  <c r="X160" i="16" s="1"/>
  <c r="AU160" i="16"/>
  <c r="Y160" i="16" s="1"/>
  <c r="AV160" i="16"/>
  <c r="Z160" i="16" s="1"/>
  <c r="AC161" i="16"/>
  <c r="H161" i="16" s="1"/>
  <c r="AD161" i="16"/>
  <c r="I161" i="16" s="1"/>
  <c r="AE161" i="16"/>
  <c r="J161" i="16" s="1"/>
  <c r="AF161" i="16"/>
  <c r="AG161" i="16"/>
  <c r="K161" i="16" s="1"/>
  <c r="AH161" i="16"/>
  <c r="L161" i="16" s="1"/>
  <c r="AI161" i="16"/>
  <c r="M161" i="16" s="1"/>
  <c r="AJ161" i="16"/>
  <c r="N161" i="16" s="1"/>
  <c r="AK161" i="16"/>
  <c r="O161" i="16" s="1"/>
  <c r="AL161" i="16"/>
  <c r="P161" i="16" s="1"/>
  <c r="AM161" i="16"/>
  <c r="Q161" i="16" s="1"/>
  <c r="AN161" i="16"/>
  <c r="R161" i="16" s="1"/>
  <c r="AO161" i="16"/>
  <c r="S161" i="16" s="1"/>
  <c r="AP161" i="16"/>
  <c r="T161" i="16" s="1"/>
  <c r="AQ161" i="16"/>
  <c r="U161" i="16" s="1"/>
  <c r="AR161" i="16"/>
  <c r="V161" i="16" s="1"/>
  <c r="AS161" i="16"/>
  <c r="W161" i="16" s="1"/>
  <c r="AT161" i="16"/>
  <c r="X161" i="16" s="1"/>
  <c r="AU161" i="16"/>
  <c r="Y161" i="16" s="1"/>
  <c r="AV161" i="16"/>
  <c r="Z161" i="16" s="1"/>
  <c r="AC162" i="16"/>
  <c r="H162" i="16" s="1"/>
  <c r="AD162" i="16"/>
  <c r="I162" i="16" s="1"/>
  <c r="AE162" i="16"/>
  <c r="J162" i="16" s="1"/>
  <c r="AF162" i="16"/>
  <c r="AG162" i="16"/>
  <c r="K162" i="16" s="1"/>
  <c r="AH162" i="16"/>
  <c r="L162" i="16" s="1"/>
  <c r="AI162" i="16"/>
  <c r="M162" i="16" s="1"/>
  <c r="AJ162" i="16"/>
  <c r="N162" i="16" s="1"/>
  <c r="AK162" i="16"/>
  <c r="O162" i="16" s="1"/>
  <c r="AL162" i="16"/>
  <c r="P162" i="16" s="1"/>
  <c r="AM162" i="16"/>
  <c r="Q162" i="16" s="1"/>
  <c r="AN162" i="16"/>
  <c r="R162" i="16" s="1"/>
  <c r="AO162" i="16"/>
  <c r="S162" i="16" s="1"/>
  <c r="AP162" i="16"/>
  <c r="T162" i="16" s="1"/>
  <c r="AQ162" i="16"/>
  <c r="U162" i="16" s="1"/>
  <c r="AR162" i="16"/>
  <c r="V162" i="16" s="1"/>
  <c r="AS162" i="16"/>
  <c r="W162" i="16" s="1"/>
  <c r="AT162" i="16"/>
  <c r="X162" i="16" s="1"/>
  <c r="AU162" i="16"/>
  <c r="Y162" i="16" s="1"/>
  <c r="AV162" i="16"/>
  <c r="Z162" i="16" s="1"/>
  <c r="AC163" i="16"/>
  <c r="H163" i="16" s="1"/>
  <c r="AD163" i="16"/>
  <c r="I163" i="16" s="1"/>
  <c r="AE163" i="16"/>
  <c r="J163" i="16" s="1"/>
  <c r="AF163" i="16"/>
  <c r="AG163" i="16"/>
  <c r="K163" i="16" s="1"/>
  <c r="AH163" i="16"/>
  <c r="L163" i="16" s="1"/>
  <c r="AI163" i="16"/>
  <c r="M163" i="16" s="1"/>
  <c r="AJ163" i="16"/>
  <c r="N163" i="16" s="1"/>
  <c r="AK163" i="16"/>
  <c r="O163" i="16" s="1"/>
  <c r="AL163" i="16"/>
  <c r="P163" i="16" s="1"/>
  <c r="AM163" i="16"/>
  <c r="Q163" i="16" s="1"/>
  <c r="AN163" i="16"/>
  <c r="R163" i="16" s="1"/>
  <c r="AO163" i="16"/>
  <c r="S163" i="16" s="1"/>
  <c r="AP163" i="16"/>
  <c r="T163" i="16" s="1"/>
  <c r="AQ163" i="16"/>
  <c r="U163" i="16" s="1"/>
  <c r="AR163" i="16"/>
  <c r="V163" i="16" s="1"/>
  <c r="AS163" i="16"/>
  <c r="W163" i="16" s="1"/>
  <c r="AT163" i="16"/>
  <c r="X163" i="16" s="1"/>
  <c r="AU163" i="16"/>
  <c r="Y163" i="16" s="1"/>
  <c r="AV163" i="16"/>
  <c r="Z163" i="16" s="1"/>
  <c r="AC164" i="16"/>
  <c r="H164" i="16" s="1"/>
  <c r="AD164" i="16"/>
  <c r="I164" i="16" s="1"/>
  <c r="AE164" i="16"/>
  <c r="J164" i="16" s="1"/>
  <c r="AF164" i="16"/>
  <c r="AG164" i="16"/>
  <c r="K164" i="16" s="1"/>
  <c r="AH164" i="16"/>
  <c r="L164" i="16" s="1"/>
  <c r="AI164" i="16"/>
  <c r="M164" i="16" s="1"/>
  <c r="AJ164" i="16"/>
  <c r="N164" i="16" s="1"/>
  <c r="AK164" i="16"/>
  <c r="O164" i="16" s="1"/>
  <c r="AL164" i="16"/>
  <c r="P164" i="16" s="1"/>
  <c r="AM164" i="16"/>
  <c r="Q164" i="16" s="1"/>
  <c r="AN164" i="16"/>
  <c r="R164" i="16" s="1"/>
  <c r="AO164" i="16"/>
  <c r="S164" i="16" s="1"/>
  <c r="AP164" i="16"/>
  <c r="T164" i="16" s="1"/>
  <c r="AQ164" i="16"/>
  <c r="U164" i="16" s="1"/>
  <c r="AR164" i="16"/>
  <c r="V164" i="16" s="1"/>
  <c r="AS164" i="16"/>
  <c r="W164" i="16" s="1"/>
  <c r="AT164" i="16"/>
  <c r="X164" i="16" s="1"/>
  <c r="AU164" i="16"/>
  <c r="Y164" i="16" s="1"/>
  <c r="AV164" i="16"/>
  <c r="Z164" i="16" s="1"/>
  <c r="AB157" i="16"/>
  <c r="G157" i="16" s="1"/>
  <c r="AB158" i="16"/>
  <c r="G158" i="16" s="1"/>
  <c r="AB159" i="16"/>
  <c r="G159" i="16" s="1"/>
  <c r="AB160" i="16"/>
  <c r="G160" i="16" s="1"/>
  <c r="AB161" i="16"/>
  <c r="G161" i="16" s="1"/>
  <c r="AB162" i="16"/>
  <c r="G162" i="16" s="1"/>
  <c r="AB163" i="16"/>
  <c r="G163" i="16" s="1"/>
  <c r="AB164" i="16"/>
  <c r="G164" i="16" s="1"/>
  <c r="G156" i="16"/>
  <c r="AA149" i="16"/>
  <c r="V149" i="16"/>
  <c r="U149" i="16"/>
  <c r="T149" i="16"/>
  <c r="S149" i="16"/>
  <c r="R149" i="16"/>
  <c r="Y149" i="16" s="1"/>
  <c r="Q149" i="16"/>
  <c r="P149" i="16"/>
  <c r="O149" i="16"/>
  <c r="N149" i="16"/>
  <c r="M149" i="16"/>
  <c r="L149" i="16"/>
  <c r="K149" i="16"/>
  <c r="H149" i="16"/>
  <c r="F149" i="16"/>
  <c r="F142" i="16"/>
  <c r="H142" i="16"/>
  <c r="K142" i="16"/>
  <c r="L142" i="16"/>
  <c r="M142" i="16"/>
  <c r="N142" i="16"/>
  <c r="O142" i="16"/>
  <c r="P142" i="16"/>
  <c r="Q142" i="16"/>
  <c r="X142" i="16" s="1"/>
  <c r="R142" i="16"/>
  <c r="S142" i="16"/>
  <c r="T142" i="16"/>
  <c r="U142" i="16"/>
  <c r="V142" i="16"/>
  <c r="W142" i="16"/>
  <c r="G142" i="16" s="1"/>
  <c r="AA142" i="16"/>
  <c r="AA151" i="16"/>
  <c r="Z151" i="16"/>
  <c r="Y151" i="16"/>
  <c r="X151" i="16"/>
  <c r="W151" i="16"/>
  <c r="V151" i="16"/>
  <c r="U151" i="16"/>
  <c r="T151" i="16"/>
  <c r="S151" i="16"/>
  <c r="R151" i="16"/>
  <c r="Q151" i="16"/>
  <c r="P151" i="16"/>
  <c r="O151" i="16"/>
  <c r="N151" i="16"/>
  <c r="M151" i="16"/>
  <c r="L151" i="16"/>
  <c r="K151" i="16"/>
  <c r="H151" i="16"/>
  <c r="G151" i="16"/>
  <c r="F151" i="16"/>
  <c r="D20" i="18" l="1"/>
  <c r="Z149" i="16"/>
  <c r="W149" i="16"/>
  <c r="G149" i="16" s="1"/>
  <c r="X149" i="16"/>
  <c r="Y142" i="16"/>
  <c r="Z142" i="16"/>
  <c r="E20" i="18"/>
  <c r="E11" i="18"/>
  <c r="D21" i="18" s="1"/>
  <c r="D18" i="18"/>
  <c r="F97" i="16" l="1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3" i="16"/>
  <c r="F144" i="16"/>
  <c r="F145" i="16"/>
  <c r="F146" i="16"/>
  <c r="F147" i="16"/>
  <c r="F148" i="16"/>
  <c r="F150" i="16"/>
  <c r="F152" i="16"/>
  <c r="F153" i="16"/>
  <c r="F154" i="16"/>
  <c r="F3" i="18" l="1"/>
  <c r="J2" i="18"/>
  <c r="C4" i="9" l="1"/>
  <c r="C5" i="9"/>
  <c r="C6" i="9"/>
  <c r="C7" i="9"/>
  <c r="C8" i="9"/>
  <c r="C9" i="9"/>
  <c r="C10" i="9"/>
  <c r="C11" i="9"/>
  <c r="C3" i="9"/>
  <c r="B11" i="9"/>
  <c r="B10" i="9"/>
  <c r="B9" i="9"/>
  <c r="B8" i="9"/>
  <c r="B7" i="9"/>
  <c r="B6" i="9"/>
  <c r="B5" i="9"/>
  <c r="B4" i="9"/>
  <c r="B3" i="9"/>
  <c r="E21" i="18"/>
  <c r="E15" i="18"/>
  <c r="D19" i="18" s="1"/>
  <c r="E19" i="18" l="1"/>
  <c r="M4" i="9"/>
  <c r="N4" i="9" s="1"/>
  <c r="M5" i="9"/>
  <c r="N5" i="9" s="1"/>
  <c r="M6" i="9"/>
  <c r="N6" i="9" s="1"/>
  <c r="M7" i="9"/>
  <c r="N7" i="9" s="1"/>
  <c r="M8" i="9"/>
  <c r="N8" i="9" s="1"/>
  <c r="M9" i="9"/>
  <c r="N9" i="9" s="1"/>
  <c r="M10" i="9"/>
  <c r="N10" i="9" s="1"/>
  <c r="M11" i="9"/>
  <c r="N11" i="9" s="1"/>
  <c r="M3" i="9"/>
  <c r="N3" i="9" s="1"/>
  <c r="K4" i="9"/>
  <c r="L4" i="9" s="1"/>
  <c r="K5" i="9"/>
  <c r="L5" i="9" s="1"/>
  <c r="K6" i="9"/>
  <c r="L6" i="9" s="1"/>
  <c r="K7" i="9"/>
  <c r="L7" i="9" s="1"/>
  <c r="K8" i="9"/>
  <c r="L8" i="9" s="1"/>
  <c r="K9" i="9"/>
  <c r="L9" i="9" s="1"/>
  <c r="K10" i="9"/>
  <c r="L10" i="9" s="1"/>
  <c r="K11" i="9"/>
  <c r="L11" i="9" s="1"/>
  <c r="K3" i="9"/>
  <c r="L3" i="9" s="1"/>
  <c r="I4" i="9"/>
  <c r="J4" i="9" s="1"/>
  <c r="I5" i="9"/>
  <c r="J5" i="9" s="1"/>
  <c r="I6" i="9"/>
  <c r="J6" i="9" s="1"/>
  <c r="I7" i="9"/>
  <c r="J7" i="9" s="1"/>
  <c r="I8" i="9"/>
  <c r="J8" i="9" s="1"/>
  <c r="I9" i="9"/>
  <c r="J9" i="9" s="1"/>
  <c r="I10" i="9"/>
  <c r="J10" i="9" s="1"/>
  <c r="I11" i="9"/>
  <c r="J11" i="9" s="1"/>
  <c r="I3" i="9"/>
  <c r="J3" i="9" s="1"/>
  <c r="G4" i="9"/>
  <c r="H4" i="9" s="1"/>
  <c r="G5" i="9"/>
  <c r="H5" i="9" s="1"/>
  <c r="G6" i="9"/>
  <c r="H6" i="9" s="1"/>
  <c r="G7" i="9"/>
  <c r="H7" i="9" s="1"/>
  <c r="G8" i="9"/>
  <c r="H8" i="9" s="1"/>
  <c r="G9" i="9"/>
  <c r="H9" i="9" s="1"/>
  <c r="G10" i="9"/>
  <c r="H10" i="9" s="1"/>
  <c r="G11" i="9"/>
  <c r="H11" i="9" s="1"/>
  <c r="G3" i="9"/>
  <c r="H3" i="9" s="1"/>
  <c r="E4" i="9"/>
  <c r="F4" i="9" s="1"/>
  <c r="E5" i="9"/>
  <c r="F5" i="9" s="1"/>
  <c r="E6" i="9"/>
  <c r="F6" i="9" s="1"/>
  <c r="E7" i="9"/>
  <c r="F7" i="9" s="1"/>
  <c r="E8" i="9"/>
  <c r="F8" i="9" s="1"/>
  <c r="E9" i="9"/>
  <c r="F9" i="9" s="1"/>
  <c r="E10" i="9"/>
  <c r="F10" i="9" s="1"/>
  <c r="E11" i="9"/>
  <c r="F11" i="9" s="1"/>
  <c r="E3" i="9"/>
  <c r="F3" i="9" s="1"/>
  <c r="K4" i="16"/>
  <c r="L4" i="16"/>
  <c r="M4" i="16"/>
  <c r="N4" i="16"/>
  <c r="O4" i="16"/>
  <c r="P4" i="16"/>
  <c r="Q4" i="16"/>
  <c r="R4" i="16"/>
  <c r="S4" i="16"/>
  <c r="T4" i="16"/>
  <c r="U4" i="16"/>
  <c r="V4" i="16"/>
  <c r="Z4" i="16" s="1"/>
  <c r="W4" i="16"/>
  <c r="K5" i="16"/>
  <c r="L5" i="16"/>
  <c r="M5" i="16"/>
  <c r="N5" i="16"/>
  <c r="O5" i="16"/>
  <c r="P5" i="16"/>
  <c r="Q5" i="16"/>
  <c r="R5" i="16"/>
  <c r="Y5" i="16" s="1"/>
  <c r="S5" i="16"/>
  <c r="T5" i="16"/>
  <c r="U5" i="16"/>
  <c r="V5" i="16"/>
  <c r="W5" i="16"/>
  <c r="K6" i="16"/>
  <c r="L6" i="16"/>
  <c r="M6" i="16"/>
  <c r="N6" i="16"/>
  <c r="O6" i="16"/>
  <c r="P6" i="16"/>
  <c r="Q6" i="16"/>
  <c r="R6" i="16"/>
  <c r="S6" i="16"/>
  <c r="T6" i="16"/>
  <c r="U6" i="16"/>
  <c r="V6" i="16"/>
  <c r="Z6" i="16" s="1"/>
  <c r="W6" i="16"/>
  <c r="X6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Z7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Y8" i="16"/>
  <c r="K9" i="16"/>
  <c r="L9" i="16"/>
  <c r="M9" i="16"/>
  <c r="N9" i="16"/>
  <c r="O9" i="16"/>
  <c r="W9" i="16" s="1"/>
  <c r="P9" i="16"/>
  <c r="Q9" i="16"/>
  <c r="R9" i="16"/>
  <c r="S9" i="16"/>
  <c r="T9" i="16"/>
  <c r="U9" i="16"/>
  <c r="V9" i="16"/>
  <c r="X9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K11" i="16"/>
  <c r="L11" i="16"/>
  <c r="M11" i="16"/>
  <c r="N11" i="16"/>
  <c r="O11" i="16"/>
  <c r="P11" i="16"/>
  <c r="Q11" i="16"/>
  <c r="R11" i="16"/>
  <c r="Y11" i="16" s="1"/>
  <c r="S11" i="16"/>
  <c r="T11" i="16"/>
  <c r="U11" i="16"/>
  <c r="V11" i="16"/>
  <c r="W11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Z12" i="16" s="1"/>
  <c r="W12" i="16"/>
  <c r="X12" i="16"/>
  <c r="K13" i="16"/>
  <c r="L13" i="16"/>
  <c r="M13" i="16"/>
  <c r="N13" i="16"/>
  <c r="O13" i="16"/>
  <c r="P13" i="16"/>
  <c r="Q13" i="16"/>
  <c r="R13" i="16"/>
  <c r="Y13" i="16" s="1"/>
  <c r="S13" i="16"/>
  <c r="T13" i="16"/>
  <c r="U13" i="16"/>
  <c r="V13" i="16"/>
  <c r="Z13" i="16" s="1"/>
  <c r="W13" i="16"/>
  <c r="K14" i="16"/>
  <c r="L14" i="16"/>
  <c r="M14" i="16"/>
  <c r="N14" i="16"/>
  <c r="O14" i="16"/>
  <c r="P14" i="16"/>
  <c r="Q14" i="16"/>
  <c r="R14" i="16"/>
  <c r="Y14" i="16" s="1"/>
  <c r="S14" i="16"/>
  <c r="T14" i="16"/>
  <c r="U14" i="16"/>
  <c r="V14" i="16"/>
  <c r="W14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Z15" i="16" s="1"/>
  <c r="W15" i="16"/>
  <c r="X15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Y16" i="16"/>
  <c r="K17" i="16"/>
  <c r="L17" i="16"/>
  <c r="M17" i="16"/>
  <c r="N17" i="16"/>
  <c r="O17" i="16"/>
  <c r="P17" i="16"/>
  <c r="Q17" i="16"/>
  <c r="X17" i="16" s="1"/>
  <c r="R17" i="16"/>
  <c r="S17" i="16"/>
  <c r="T17" i="16"/>
  <c r="U17" i="16"/>
  <c r="V17" i="16"/>
  <c r="W17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Z20" i="16" s="1"/>
  <c r="W20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Z21" i="16" s="1"/>
  <c r="W21" i="16"/>
  <c r="Y21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Z23" i="16" s="1"/>
  <c r="W23" i="16"/>
  <c r="X23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Y24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Z26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Y27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Z28" i="16"/>
  <c r="K29" i="16"/>
  <c r="L29" i="16"/>
  <c r="M29" i="16"/>
  <c r="N29" i="16"/>
  <c r="O29" i="16"/>
  <c r="P29" i="16"/>
  <c r="Q29" i="16"/>
  <c r="R29" i="16"/>
  <c r="Y29" i="16" s="1"/>
  <c r="S29" i="16"/>
  <c r="T29" i="16"/>
  <c r="U29" i="16"/>
  <c r="V29" i="16"/>
  <c r="W29" i="16"/>
  <c r="Z29" i="16"/>
  <c r="K30" i="16"/>
  <c r="L30" i="16"/>
  <c r="M30" i="16"/>
  <c r="N30" i="16"/>
  <c r="O30" i="16"/>
  <c r="P30" i="16"/>
  <c r="Q30" i="16"/>
  <c r="R30" i="16"/>
  <c r="Y30" i="16" s="1"/>
  <c r="S30" i="16"/>
  <c r="T30" i="16"/>
  <c r="U30" i="16"/>
  <c r="V30" i="16"/>
  <c r="W30" i="16"/>
  <c r="X30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Z31" i="16"/>
  <c r="K32" i="16"/>
  <c r="L32" i="16"/>
  <c r="M32" i="16"/>
  <c r="N32" i="16"/>
  <c r="O32" i="16"/>
  <c r="P32" i="16"/>
  <c r="Q32" i="16"/>
  <c r="R32" i="16"/>
  <c r="Y32" i="16" s="1"/>
  <c r="S32" i="16"/>
  <c r="T32" i="16"/>
  <c r="U32" i="16"/>
  <c r="V32" i="16"/>
  <c r="W32" i="16"/>
  <c r="K33" i="16"/>
  <c r="L33" i="16"/>
  <c r="M33" i="16"/>
  <c r="N33" i="16"/>
  <c r="O33" i="16"/>
  <c r="P33" i="16"/>
  <c r="Q33" i="16"/>
  <c r="X33" i="16" s="1"/>
  <c r="R33" i="16"/>
  <c r="S33" i="16"/>
  <c r="T33" i="16"/>
  <c r="U33" i="16"/>
  <c r="V33" i="16"/>
  <c r="W33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Z34" i="16" s="1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Y35" i="16"/>
  <c r="K36" i="16"/>
  <c r="L36" i="16"/>
  <c r="M36" i="16"/>
  <c r="N36" i="16"/>
  <c r="O36" i="16"/>
  <c r="W36" i="16" s="1"/>
  <c r="P36" i="16"/>
  <c r="Q36" i="16"/>
  <c r="X36" i="16" s="1"/>
  <c r="R36" i="16"/>
  <c r="S36" i="16"/>
  <c r="T36" i="16"/>
  <c r="U36" i="16"/>
  <c r="V36" i="16"/>
  <c r="Z36" i="16"/>
  <c r="K37" i="16"/>
  <c r="L37" i="16"/>
  <c r="M37" i="16"/>
  <c r="N37" i="16"/>
  <c r="O37" i="16"/>
  <c r="W37" i="16" s="1"/>
  <c r="P37" i="16"/>
  <c r="Q37" i="16"/>
  <c r="R37" i="16"/>
  <c r="S37" i="16"/>
  <c r="T37" i="16"/>
  <c r="U37" i="16"/>
  <c r="V37" i="16"/>
  <c r="Y37" i="16"/>
  <c r="Z37" i="16"/>
  <c r="K38" i="16"/>
  <c r="L38" i="16"/>
  <c r="M38" i="16"/>
  <c r="N38" i="16"/>
  <c r="O38" i="16"/>
  <c r="W38" i="16" s="1"/>
  <c r="P38" i="16"/>
  <c r="Q38" i="16"/>
  <c r="X38" i="16" s="1"/>
  <c r="R38" i="16"/>
  <c r="S38" i="16"/>
  <c r="T38" i="16"/>
  <c r="U38" i="16"/>
  <c r="V38" i="16"/>
  <c r="Y38" i="16"/>
  <c r="K39" i="16"/>
  <c r="L39" i="16"/>
  <c r="M39" i="16"/>
  <c r="N39" i="16"/>
  <c r="O39" i="16"/>
  <c r="W39" i="16" s="1"/>
  <c r="P39" i="16"/>
  <c r="Q39" i="16"/>
  <c r="X39" i="16" s="1"/>
  <c r="R39" i="16"/>
  <c r="S39" i="16"/>
  <c r="T39" i="16"/>
  <c r="U39" i="16"/>
  <c r="V39" i="16"/>
  <c r="Z39" i="16"/>
  <c r="K40" i="16"/>
  <c r="L40" i="16"/>
  <c r="M40" i="16"/>
  <c r="N40" i="16"/>
  <c r="O40" i="16"/>
  <c r="W40" i="16" s="1"/>
  <c r="P40" i="16"/>
  <c r="Q40" i="16"/>
  <c r="R40" i="16"/>
  <c r="S40" i="16"/>
  <c r="T40" i="16"/>
  <c r="U40" i="16"/>
  <c r="V40" i="16"/>
  <c r="Y40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Z42" i="16"/>
  <c r="K43" i="16"/>
  <c r="L43" i="16"/>
  <c r="M43" i="16"/>
  <c r="N43" i="16"/>
  <c r="O43" i="16"/>
  <c r="P43" i="16"/>
  <c r="Q43" i="16"/>
  <c r="R43" i="16"/>
  <c r="Y43" i="16" s="1"/>
  <c r="S43" i="16"/>
  <c r="T43" i="16"/>
  <c r="U43" i="16"/>
  <c r="V43" i="16"/>
  <c r="W43" i="16"/>
  <c r="K44" i="16"/>
  <c r="L44" i="16"/>
  <c r="M44" i="16"/>
  <c r="N44" i="16"/>
  <c r="O44" i="16"/>
  <c r="P44" i="16"/>
  <c r="Q44" i="16"/>
  <c r="X44" i="16" s="1"/>
  <c r="R44" i="16"/>
  <c r="S44" i="16"/>
  <c r="T44" i="16"/>
  <c r="U44" i="16"/>
  <c r="V44" i="16"/>
  <c r="Z44" i="16" s="1"/>
  <c r="W44" i="16"/>
  <c r="K45" i="16"/>
  <c r="L45" i="16"/>
  <c r="M45" i="16"/>
  <c r="N45" i="16"/>
  <c r="O45" i="16"/>
  <c r="P45" i="16"/>
  <c r="Q45" i="16"/>
  <c r="R45" i="16"/>
  <c r="Y45" i="16" s="1"/>
  <c r="S45" i="16"/>
  <c r="T45" i="16"/>
  <c r="U45" i="16"/>
  <c r="V45" i="16"/>
  <c r="Z45" i="16" s="1"/>
  <c r="W45" i="16"/>
  <c r="K46" i="16"/>
  <c r="L46" i="16"/>
  <c r="M46" i="16"/>
  <c r="N46" i="16"/>
  <c r="O46" i="16"/>
  <c r="P46" i="16"/>
  <c r="Q46" i="16"/>
  <c r="X46" i="16" s="1"/>
  <c r="R46" i="16"/>
  <c r="Y46" i="16" s="1"/>
  <c r="S46" i="16"/>
  <c r="T46" i="16"/>
  <c r="U46" i="16"/>
  <c r="V46" i="16"/>
  <c r="W46" i="16"/>
  <c r="K47" i="16"/>
  <c r="L47" i="16"/>
  <c r="M47" i="16"/>
  <c r="N47" i="16"/>
  <c r="O47" i="16"/>
  <c r="P47" i="16"/>
  <c r="Q47" i="16"/>
  <c r="X47" i="16" s="1"/>
  <c r="R47" i="16"/>
  <c r="S47" i="16"/>
  <c r="T47" i="16"/>
  <c r="U47" i="16"/>
  <c r="V47" i="16"/>
  <c r="Z47" i="16" s="1"/>
  <c r="W47" i="16"/>
  <c r="K48" i="16"/>
  <c r="L48" i="16"/>
  <c r="M48" i="16"/>
  <c r="N48" i="16"/>
  <c r="O48" i="16"/>
  <c r="P48" i="16"/>
  <c r="Q48" i="16"/>
  <c r="R48" i="16"/>
  <c r="Y48" i="16" s="1"/>
  <c r="S48" i="16"/>
  <c r="T48" i="16"/>
  <c r="U48" i="16"/>
  <c r="V48" i="16"/>
  <c r="W48" i="16"/>
  <c r="K49" i="16"/>
  <c r="L49" i="16"/>
  <c r="M49" i="16"/>
  <c r="N49" i="16"/>
  <c r="O49" i="16"/>
  <c r="P49" i="16"/>
  <c r="Q49" i="16"/>
  <c r="R49" i="16"/>
  <c r="Y49" i="16" s="1"/>
  <c r="S49" i="16"/>
  <c r="T49" i="16"/>
  <c r="U49" i="16"/>
  <c r="V49" i="16"/>
  <c r="W49" i="16"/>
  <c r="X49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X50" i="16"/>
  <c r="Z50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Y51" i="16"/>
  <c r="K52" i="16"/>
  <c r="L52" i="16"/>
  <c r="M52" i="16"/>
  <c r="N52" i="16"/>
  <c r="O52" i="16"/>
  <c r="W52" i="16" s="1"/>
  <c r="P52" i="16"/>
  <c r="Q52" i="16"/>
  <c r="X52" i="16" s="1"/>
  <c r="R52" i="16"/>
  <c r="S52" i="16"/>
  <c r="T52" i="16"/>
  <c r="U52" i="16"/>
  <c r="V52" i="16"/>
  <c r="Z52" i="16"/>
  <c r="K53" i="16"/>
  <c r="L53" i="16"/>
  <c r="M53" i="16"/>
  <c r="N53" i="16"/>
  <c r="O53" i="16"/>
  <c r="W53" i="16" s="1"/>
  <c r="P53" i="16"/>
  <c r="Q53" i="16"/>
  <c r="R53" i="16"/>
  <c r="Y53" i="16" s="1"/>
  <c r="S53" i="16"/>
  <c r="T53" i="16"/>
  <c r="U53" i="16"/>
  <c r="V53" i="16"/>
  <c r="Z53" i="16"/>
  <c r="K54" i="16"/>
  <c r="L54" i="16"/>
  <c r="M54" i="16"/>
  <c r="N54" i="16"/>
  <c r="O54" i="16"/>
  <c r="W54" i="16" s="1"/>
  <c r="P54" i="16"/>
  <c r="Q54" i="16"/>
  <c r="X54" i="16" s="1"/>
  <c r="R54" i="16"/>
  <c r="S54" i="16"/>
  <c r="T54" i="16"/>
  <c r="U54" i="16"/>
  <c r="V54" i="16"/>
  <c r="Y54" i="16"/>
  <c r="K55" i="16"/>
  <c r="L55" i="16"/>
  <c r="M55" i="16"/>
  <c r="N55" i="16"/>
  <c r="O55" i="16"/>
  <c r="W55" i="16" s="1"/>
  <c r="P55" i="16"/>
  <c r="Q55" i="16"/>
  <c r="X55" i="16" s="1"/>
  <c r="R55" i="16"/>
  <c r="S55" i="16"/>
  <c r="T55" i="16"/>
  <c r="U55" i="16"/>
  <c r="V55" i="16"/>
  <c r="Z55" i="16"/>
  <c r="K56" i="16"/>
  <c r="L56" i="16"/>
  <c r="M56" i="16"/>
  <c r="N56" i="16"/>
  <c r="O56" i="16"/>
  <c r="W56" i="16" s="1"/>
  <c r="P56" i="16"/>
  <c r="Q56" i="16"/>
  <c r="R56" i="16"/>
  <c r="Y56" i="16" s="1"/>
  <c r="S56" i="16"/>
  <c r="T56" i="16"/>
  <c r="U56" i="16"/>
  <c r="V56" i="16"/>
  <c r="K57" i="16"/>
  <c r="L57" i="16"/>
  <c r="M57" i="16"/>
  <c r="N57" i="16"/>
  <c r="O57" i="16"/>
  <c r="P57" i="16"/>
  <c r="Q57" i="16"/>
  <c r="R57" i="16"/>
  <c r="Y57" i="16" s="1"/>
  <c r="S57" i="16"/>
  <c r="T57" i="16"/>
  <c r="U57" i="16"/>
  <c r="V57" i="16"/>
  <c r="W57" i="16"/>
  <c r="X57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X58" i="16"/>
  <c r="Z58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Y59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Z60" i="16"/>
  <c r="K61" i="16"/>
  <c r="L61" i="16"/>
  <c r="M61" i="16"/>
  <c r="N61" i="16"/>
  <c r="O61" i="16"/>
  <c r="P61" i="16"/>
  <c r="Q61" i="16"/>
  <c r="R61" i="16"/>
  <c r="Y61" i="16" s="1"/>
  <c r="S61" i="16"/>
  <c r="T61" i="16"/>
  <c r="U61" i="16"/>
  <c r="V61" i="16"/>
  <c r="W61" i="16"/>
  <c r="Z61" i="16"/>
  <c r="K62" i="16"/>
  <c r="L62" i="16"/>
  <c r="M62" i="16"/>
  <c r="N62" i="16"/>
  <c r="O62" i="16"/>
  <c r="P62" i="16"/>
  <c r="Q62" i="16"/>
  <c r="R62" i="16"/>
  <c r="Y62" i="16" s="1"/>
  <c r="S62" i="16"/>
  <c r="T62" i="16"/>
  <c r="U62" i="16"/>
  <c r="V62" i="16"/>
  <c r="W62" i="16"/>
  <c r="X62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Z63" i="16"/>
  <c r="K64" i="16"/>
  <c r="L64" i="16"/>
  <c r="M64" i="16"/>
  <c r="N64" i="16"/>
  <c r="O64" i="16"/>
  <c r="P64" i="16"/>
  <c r="Q64" i="16"/>
  <c r="R64" i="16"/>
  <c r="Y64" i="16" s="1"/>
  <c r="S64" i="16"/>
  <c r="T64" i="16"/>
  <c r="U64" i="16"/>
  <c r="V64" i="16"/>
  <c r="W64" i="16"/>
  <c r="K65" i="16"/>
  <c r="L65" i="16"/>
  <c r="M65" i="16"/>
  <c r="N65" i="16"/>
  <c r="O65" i="16"/>
  <c r="P65" i="16"/>
  <c r="Q65" i="16"/>
  <c r="X65" i="16" s="1"/>
  <c r="R65" i="16"/>
  <c r="S65" i="16"/>
  <c r="T65" i="16"/>
  <c r="U65" i="16"/>
  <c r="V65" i="16"/>
  <c r="W65" i="16"/>
  <c r="Y65" i="16"/>
  <c r="K66" i="16"/>
  <c r="L66" i="16"/>
  <c r="M66" i="16"/>
  <c r="N66" i="16"/>
  <c r="O66" i="16"/>
  <c r="P66" i="16"/>
  <c r="Q66" i="16"/>
  <c r="X66" i="16" s="1"/>
  <c r="R66" i="16"/>
  <c r="S66" i="16"/>
  <c r="T66" i="16"/>
  <c r="U66" i="16"/>
  <c r="V66" i="16"/>
  <c r="Z66" i="16" s="1"/>
  <c r="K67" i="16"/>
  <c r="L67" i="16"/>
  <c r="M67" i="16"/>
  <c r="N67" i="16"/>
  <c r="O67" i="16"/>
  <c r="P67" i="16"/>
  <c r="Q67" i="16"/>
  <c r="R67" i="16"/>
  <c r="Y67" i="16" s="1"/>
  <c r="S67" i="16"/>
  <c r="T67" i="16"/>
  <c r="U67" i="16"/>
  <c r="V67" i="16"/>
  <c r="W67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Z68" i="16" s="1"/>
  <c r="W68" i="16"/>
  <c r="X68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Z69" i="16" s="1"/>
  <c r="W69" i="16"/>
  <c r="Y69" i="16"/>
  <c r="K70" i="16"/>
  <c r="L70" i="16"/>
  <c r="M70" i="16"/>
  <c r="N70" i="16"/>
  <c r="O70" i="16"/>
  <c r="P70" i="16"/>
  <c r="Q70" i="16"/>
  <c r="R70" i="16"/>
  <c r="Y70" i="16" s="1"/>
  <c r="S70" i="16"/>
  <c r="T70" i="16"/>
  <c r="U70" i="16"/>
  <c r="V70" i="16"/>
  <c r="W70" i="16"/>
  <c r="X70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Z71" i="16" s="1"/>
  <c r="W71" i="16"/>
  <c r="X71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Y72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K74" i="16"/>
  <c r="L74" i="16"/>
  <c r="M74" i="16"/>
  <c r="N74" i="16"/>
  <c r="O74" i="16"/>
  <c r="P74" i="16"/>
  <c r="Q74" i="16"/>
  <c r="X74" i="16" s="1"/>
  <c r="R74" i="16"/>
  <c r="S74" i="16"/>
  <c r="T74" i="16"/>
  <c r="U74" i="16"/>
  <c r="V74" i="16"/>
  <c r="Z74" i="16" s="1"/>
  <c r="K75" i="16"/>
  <c r="L75" i="16"/>
  <c r="M75" i="16"/>
  <c r="N75" i="16"/>
  <c r="O75" i="16"/>
  <c r="W75" i="16" s="1"/>
  <c r="P75" i="16"/>
  <c r="Q75" i="16"/>
  <c r="R75" i="16"/>
  <c r="Y75" i="16" s="1"/>
  <c r="S75" i="16"/>
  <c r="T75" i="16"/>
  <c r="U75" i="16"/>
  <c r="V75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Z76" i="16" s="1"/>
  <c r="W76" i="16"/>
  <c r="X76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Z77" i="16" s="1"/>
  <c r="W77" i="16"/>
  <c r="Y77" i="16"/>
  <c r="K78" i="16"/>
  <c r="L78" i="16"/>
  <c r="M78" i="16"/>
  <c r="N78" i="16"/>
  <c r="O78" i="16"/>
  <c r="P78" i="16"/>
  <c r="Q78" i="16"/>
  <c r="R78" i="16"/>
  <c r="Y78" i="16" s="1"/>
  <c r="S78" i="16"/>
  <c r="T78" i="16"/>
  <c r="U78" i="16"/>
  <c r="V78" i="16"/>
  <c r="W78" i="16"/>
  <c r="X78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Z79" i="16" s="1"/>
  <c r="W79" i="16"/>
  <c r="X79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Y80" i="16"/>
  <c r="K81" i="16"/>
  <c r="L81" i="16"/>
  <c r="M81" i="16"/>
  <c r="N81" i="16"/>
  <c r="O81" i="16"/>
  <c r="P81" i="16"/>
  <c r="Q81" i="16"/>
  <c r="X81" i="16" s="1"/>
  <c r="R81" i="16"/>
  <c r="S81" i="16"/>
  <c r="T81" i="16"/>
  <c r="U81" i="16"/>
  <c r="V81" i="16"/>
  <c r="W81" i="16"/>
  <c r="Y81" i="16"/>
  <c r="K82" i="16"/>
  <c r="L82" i="16"/>
  <c r="M82" i="16"/>
  <c r="N82" i="16"/>
  <c r="O82" i="16"/>
  <c r="P82" i="16"/>
  <c r="Q82" i="16"/>
  <c r="X82" i="16" s="1"/>
  <c r="R82" i="16"/>
  <c r="S82" i="16"/>
  <c r="T82" i="16"/>
  <c r="U82" i="16"/>
  <c r="V82" i="16"/>
  <c r="Z82" i="16"/>
  <c r="K83" i="16"/>
  <c r="L83" i="16"/>
  <c r="M83" i="16"/>
  <c r="N83" i="16"/>
  <c r="O83" i="16"/>
  <c r="P83" i="16"/>
  <c r="Q83" i="16"/>
  <c r="R83" i="16"/>
  <c r="Y83" i="16" s="1"/>
  <c r="S83" i="16"/>
  <c r="T83" i="16"/>
  <c r="U83" i="16"/>
  <c r="V83" i="16"/>
  <c r="W83" i="16"/>
  <c r="K84" i="16"/>
  <c r="L84" i="16"/>
  <c r="M84" i="16"/>
  <c r="N84" i="16"/>
  <c r="O84" i="16"/>
  <c r="P84" i="16"/>
  <c r="Q84" i="16"/>
  <c r="X84" i="16" s="1"/>
  <c r="R84" i="16"/>
  <c r="S84" i="16"/>
  <c r="T84" i="16"/>
  <c r="U84" i="16"/>
  <c r="V84" i="16"/>
  <c r="Z84" i="16" s="1"/>
  <c r="W84" i="16"/>
  <c r="K85" i="16"/>
  <c r="L85" i="16"/>
  <c r="M85" i="16"/>
  <c r="N85" i="16"/>
  <c r="O85" i="16"/>
  <c r="P85" i="16"/>
  <c r="Q85" i="16"/>
  <c r="R85" i="16"/>
  <c r="Y85" i="16" s="1"/>
  <c r="S85" i="16"/>
  <c r="T85" i="16"/>
  <c r="U85" i="16"/>
  <c r="V85" i="16"/>
  <c r="Z85" i="16" s="1"/>
  <c r="W85" i="16"/>
  <c r="K86" i="16"/>
  <c r="L86" i="16"/>
  <c r="M86" i="16"/>
  <c r="N86" i="16"/>
  <c r="O86" i="16"/>
  <c r="P86" i="16"/>
  <c r="Q86" i="16"/>
  <c r="X86" i="16" s="1"/>
  <c r="R86" i="16"/>
  <c r="S86" i="16"/>
  <c r="T86" i="16"/>
  <c r="U86" i="16"/>
  <c r="V86" i="16"/>
  <c r="W86" i="16"/>
  <c r="Y86" i="16"/>
  <c r="K87" i="16"/>
  <c r="L87" i="16"/>
  <c r="M87" i="16"/>
  <c r="N87" i="16"/>
  <c r="O87" i="16"/>
  <c r="P87" i="16"/>
  <c r="Q87" i="16"/>
  <c r="X87" i="16" s="1"/>
  <c r="R87" i="16"/>
  <c r="S87" i="16"/>
  <c r="T87" i="16"/>
  <c r="U87" i="16"/>
  <c r="V87" i="16"/>
  <c r="Z87" i="16" s="1"/>
  <c r="W87" i="16"/>
  <c r="K88" i="16"/>
  <c r="L88" i="16"/>
  <c r="M88" i="16"/>
  <c r="N88" i="16"/>
  <c r="O88" i="16"/>
  <c r="P88" i="16"/>
  <c r="Q88" i="16"/>
  <c r="R88" i="16"/>
  <c r="Y88" i="16" s="1"/>
  <c r="S88" i="16"/>
  <c r="T88" i="16"/>
  <c r="U88" i="16"/>
  <c r="V88" i="16"/>
  <c r="W88" i="16"/>
  <c r="K89" i="16"/>
  <c r="L89" i="16"/>
  <c r="M89" i="16"/>
  <c r="N89" i="16"/>
  <c r="O89" i="16"/>
  <c r="P89" i="16"/>
  <c r="Q89" i="16"/>
  <c r="X89" i="16" s="1"/>
  <c r="R89" i="16"/>
  <c r="Y89" i="16" s="1"/>
  <c r="S89" i="16"/>
  <c r="T89" i="16"/>
  <c r="U89" i="16"/>
  <c r="V89" i="16"/>
  <c r="W89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Z90" i="16" s="1"/>
  <c r="X90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Y91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Z92" i="16" s="1"/>
  <c r="W92" i="16"/>
  <c r="X92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Z93" i="16" s="1"/>
  <c r="W93" i="16"/>
  <c r="Y93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Z95" i="16" s="1"/>
  <c r="W95" i="16"/>
  <c r="X95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Y96" i="16"/>
  <c r="K97" i="16"/>
  <c r="L97" i="16"/>
  <c r="M97" i="16"/>
  <c r="N97" i="16"/>
  <c r="O97" i="16"/>
  <c r="W97" i="16" s="1"/>
  <c r="P97" i="16"/>
  <c r="Q97" i="16"/>
  <c r="X97" i="16" s="1"/>
  <c r="R97" i="16"/>
  <c r="S97" i="16"/>
  <c r="T97" i="16"/>
  <c r="U97" i="16"/>
  <c r="V97" i="16"/>
  <c r="Y97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X98" i="16"/>
  <c r="Z98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Y99" i="16"/>
  <c r="K100" i="16"/>
  <c r="L100" i="16"/>
  <c r="M100" i="16"/>
  <c r="N100" i="16"/>
  <c r="O100" i="16"/>
  <c r="P100" i="16"/>
  <c r="Q100" i="16"/>
  <c r="X100" i="16" s="1"/>
  <c r="R100" i="16"/>
  <c r="S100" i="16"/>
  <c r="T100" i="16"/>
  <c r="U100" i="16"/>
  <c r="V100" i="16"/>
  <c r="W100" i="16"/>
  <c r="Z100" i="16"/>
  <c r="K101" i="16"/>
  <c r="L101" i="16"/>
  <c r="M101" i="16"/>
  <c r="N101" i="16"/>
  <c r="O101" i="16"/>
  <c r="P101" i="16"/>
  <c r="Q101" i="16"/>
  <c r="R101" i="16"/>
  <c r="Y101" i="16" s="1"/>
  <c r="S101" i="16"/>
  <c r="T101" i="16"/>
  <c r="U101" i="16"/>
  <c r="V101" i="16"/>
  <c r="W101" i="16"/>
  <c r="Z101" i="16"/>
  <c r="K102" i="16"/>
  <c r="L102" i="16"/>
  <c r="M102" i="16"/>
  <c r="N102" i="16"/>
  <c r="O102" i="16"/>
  <c r="P102" i="16"/>
  <c r="Q102" i="16"/>
  <c r="X102" i="16" s="1"/>
  <c r="R102" i="16"/>
  <c r="S102" i="16"/>
  <c r="T102" i="16"/>
  <c r="U102" i="16"/>
  <c r="V102" i="16"/>
  <c r="W102" i="16"/>
  <c r="Y102" i="16"/>
  <c r="K103" i="16"/>
  <c r="L103" i="16"/>
  <c r="M103" i="16"/>
  <c r="N103" i="16"/>
  <c r="O103" i="16"/>
  <c r="P103" i="16"/>
  <c r="Q103" i="16"/>
  <c r="X103" i="16" s="1"/>
  <c r="R103" i="16"/>
  <c r="S103" i="16"/>
  <c r="T103" i="16"/>
  <c r="U103" i="16"/>
  <c r="V103" i="16"/>
  <c r="W103" i="16"/>
  <c r="Z103" i="16"/>
  <c r="K104" i="16"/>
  <c r="L104" i="16"/>
  <c r="M104" i="16"/>
  <c r="N104" i="16"/>
  <c r="O104" i="16"/>
  <c r="P104" i="16"/>
  <c r="Q104" i="16"/>
  <c r="R104" i="16"/>
  <c r="Y104" i="16" s="1"/>
  <c r="S104" i="16"/>
  <c r="T104" i="16"/>
  <c r="U104" i="16"/>
  <c r="V104" i="16"/>
  <c r="W104" i="16"/>
  <c r="K105" i="16"/>
  <c r="L105" i="16"/>
  <c r="M105" i="16"/>
  <c r="N105" i="16"/>
  <c r="O105" i="16"/>
  <c r="P105" i="16"/>
  <c r="Q105" i="16"/>
  <c r="R105" i="16"/>
  <c r="Y105" i="16" s="1"/>
  <c r="S105" i="16"/>
  <c r="T105" i="16"/>
  <c r="U105" i="16"/>
  <c r="V105" i="16"/>
  <c r="W105" i="16"/>
  <c r="X105" i="16"/>
  <c r="K106" i="16"/>
  <c r="L106" i="16"/>
  <c r="M106" i="16"/>
  <c r="N106" i="16"/>
  <c r="O106" i="16"/>
  <c r="P106" i="16"/>
  <c r="Q106" i="16"/>
  <c r="X106" i="16" s="1"/>
  <c r="R106" i="16"/>
  <c r="S106" i="16"/>
  <c r="T106" i="16"/>
  <c r="U106" i="16"/>
  <c r="V106" i="16"/>
  <c r="Z106" i="16"/>
  <c r="K107" i="16"/>
  <c r="L107" i="16"/>
  <c r="M107" i="16"/>
  <c r="N107" i="16"/>
  <c r="O107" i="16"/>
  <c r="P107" i="16"/>
  <c r="Q107" i="16"/>
  <c r="R107" i="16"/>
  <c r="Y107" i="16" s="1"/>
  <c r="S107" i="16"/>
  <c r="T107" i="16"/>
  <c r="U107" i="16"/>
  <c r="V107" i="16"/>
  <c r="W107" i="16"/>
  <c r="K108" i="16"/>
  <c r="L108" i="16"/>
  <c r="M108" i="16"/>
  <c r="N108" i="16"/>
  <c r="O108" i="16"/>
  <c r="P108" i="16"/>
  <c r="Q108" i="16"/>
  <c r="X108" i="16" s="1"/>
  <c r="R108" i="16"/>
  <c r="S108" i="16"/>
  <c r="T108" i="16"/>
  <c r="U108" i="16"/>
  <c r="V108" i="16"/>
  <c r="Z108" i="16" s="1"/>
  <c r="W108" i="16"/>
  <c r="K109" i="16"/>
  <c r="L109" i="16"/>
  <c r="M109" i="16"/>
  <c r="N109" i="16"/>
  <c r="O109" i="16"/>
  <c r="P109" i="16"/>
  <c r="Q109" i="16"/>
  <c r="R109" i="16"/>
  <c r="Y109" i="16" s="1"/>
  <c r="S109" i="16"/>
  <c r="T109" i="16"/>
  <c r="U109" i="16"/>
  <c r="V109" i="16"/>
  <c r="Z109" i="16" s="1"/>
  <c r="W109" i="16"/>
  <c r="K110" i="16"/>
  <c r="L110" i="16"/>
  <c r="M110" i="16"/>
  <c r="N110" i="16"/>
  <c r="O110" i="16"/>
  <c r="P110" i="16"/>
  <c r="Q110" i="16"/>
  <c r="X110" i="16" s="1"/>
  <c r="R110" i="16"/>
  <c r="Y110" i="16" s="1"/>
  <c r="S110" i="16"/>
  <c r="T110" i="16"/>
  <c r="U110" i="16"/>
  <c r="V110" i="16"/>
  <c r="W110" i="16"/>
  <c r="K111" i="16"/>
  <c r="L111" i="16"/>
  <c r="M111" i="16"/>
  <c r="N111" i="16"/>
  <c r="O111" i="16"/>
  <c r="P111" i="16"/>
  <c r="Q111" i="16"/>
  <c r="X111" i="16" s="1"/>
  <c r="R111" i="16"/>
  <c r="S111" i="16"/>
  <c r="T111" i="16"/>
  <c r="U111" i="16"/>
  <c r="V111" i="16"/>
  <c r="Z111" i="16" s="1"/>
  <c r="W111" i="16"/>
  <c r="K112" i="16"/>
  <c r="L112" i="16"/>
  <c r="M112" i="16"/>
  <c r="N112" i="16"/>
  <c r="O112" i="16"/>
  <c r="P112" i="16"/>
  <c r="Q112" i="16"/>
  <c r="R112" i="16"/>
  <c r="Y112" i="16" s="1"/>
  <c r="S112" i="16"/>
  <c r="T112" i="16"/>
  <c r="U112" i="16"/>
  <c r="V112" i="16"/>
  <c r="W112" i="16"/>
  <c r="K113" i="16"/>
  <c r="L113" i="16"/>
  <c r="M113" i="16"/>
  <c r="N113" i="16"/>
  <c r="O113" i="16"/>
  <c r="P113" i="16"/>
  <c r="Q113" i="16"/>
  <c r="R113" i="16"/>
  <c r="Y113" i="16" s="1"/>
  <c r="S113" i="16"/>
  <c r="T113" i="16"/>
  <c r="U113" i="16"/>
  <c r="V113" i="16"/>
  <c r="W113" i="16"/>
  <c r="X113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X114" i="16"/>
  <c r="Z114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Y115" i="16"/>
  <c r="K116" i="16"/>
  <c r="L116" i="16"/>
  <c r="M116" i="16"/>
  <c r="N116" i="16"/>
  <c r="O116" i="16"/>
  <c r="W116" i="16" s="1"/>
  <c r="P116" i="16"/>
  <c r="Q116" i="16"/>
  <c r="X116" i="16" s="1"/>
  <c r="R116" i="16"/>
  <c r="S116" i="16"/>
  <c r="T116" i="16"/>
  <c r="U116" i="16"/>
  <c r="V116" i="16"/>
  <c r="Z116" i="16"/>
  <c r="K117" i="16"/>
  <c r="L117" i="16"/>
  <c r="M117" i="16"/>
  <c r="N117" i="16"/>
  <c r="O117" i="16"/>
  <c r="W117" i="16" s="1"/>
  <c r="P117" i="16"/>
  <c r="Q117" i="16"/>
  <c r="R117" i="16"/>
  <c r="Y117" i="16" s="1"/>
  <c r="S117" i="16"/>
  <c r="T117" i="16"/>
  <c r="U117" i="16"/>
  <c r="V117" i="16"/>
  <c r="Z117" i="16"/>
  <c r="K118" i="16"/>
  <c r="L118" i="16"/>
  <c r="M118" i="16"/>
  <c r="N118" i="16"/>
  <c r="O118" i="16"/>
  <c r="W118" i="16" s="1"/>
  <c r="P118" i="16"/>
  <c r="Q118" i="16"/>
  <c r="X118" i="16" s="1"/>
  <c r="R118" i="16"/>
  <c r="S118" i="16"/>
  <c r="T118" i="16"/>
  <c r="U118" i="16"/>
  <c r="V118" i="16"/>
  <c r="Y118" i="16"/>
  <c r="K119" i="16"/>
  <c r="L119" i="16"/>
  <c r="M119" i="16"/>
  <c r="N119" i="16"/>
  <c r="O119" i="16"/>
  <c r="W119" i="16" s="1"/>
  <c r="P119" i="16"/>
  <c r="Q119" i="16"/>
  <c r="X119" i="16" s="1"/>
  <c r="R119" i="16"/>
  <c r="S119" i="16"/>
  <c r="T119" i="16"/>
  <c r="U119" i="16"/>
  <c r="V119" i="16"/>
  <c r="Z119" i="16"/>
  <c r="K120" i="16"/>
  <c r="L120" i="16"/>
  <c r="M120" i="16"/>
  <c r="N120" i="16"/>
  <c r="O120" i="16"/>
  <c r="W120" i="16" s="1"/>
  <c r="P120" i="16"/>
  <c r="Q120" i="16"/>
  <c r="R120" i="16"/>
  <c r="Y120" i="16" s="1"/>
  <c r="S120" i="16"/>
  <c r="T120" i="16"/>
  <c r="U120" i="16"/>
  <c r="V120" i="16"/>
  <c r="K121" i="16"/>
  <c r="L121" i="16"/>
  <c r="M121" i="16"/>
  <c r="N121" i="16"/>
  <c r="O121" i="16"/>
  <c r="P121" i="16"/>
  <c r="Q121" i="16"/>
  <c r="R121" i="16"/>
  <c r="Y121" i="16" s="1"/>
  <c r="S121" i="16"/>
  <c r="T121" i="16"/>
  <c r="U121" i="16"/>
  <c r="V121" i="16"/>
  <c r="W121" i="16"/>
  <c r="X121" i="16"/>
  <c r="K122" i="16"/>
  <c r="L122" i="16"/>
  <c r="M122" i="16"/>
  <c r="N122" i="16"/>
  <c r="O122" i="16"/>
  <c r="P122" i="16"/>
  <c r="Q122" i="16"/>
  <c r="X122" i="16" s="1"/>
  <c r="R122" i="16"/>
  <c r="S122" i="16"/>
  <c r="T122" i="16"/>
  <c r="U122" i="16"/>
  <c r="V122" i="16"/>
  <c r="Z122" i="16"/>
  <c r="K123" i="16"/>
  <c r="L123" i="16"/>
  <c r="M123" i="16"/>
  <c r="N123" i="16"/>
  <c r="O123" i="16"/>
  <c r="P123" i="16"/>
  <c r="Q123" i="16"/>
  <c r="R123" i="16"/>
  <c r="Y123" i="16" s="1"/>
  <c r="S123" i="16"/>
  <c r="T123" i="16"/>
  <c r="U123" i="16"/>
  <c r="V123" i="16"/>
  <c r="W123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Z124" i="16"/>
  <c r="K125" i="16"/>
  <c r="L125" i="16"/>
  <c r="M125" i="16"/>
  <c r="N125" i="16"/>
  <c r="O125" i="16"/>
  <c r="P125" i="16"/>
  <c r="Q125" i="16"/>
  <c r="R125" i="16"/>
  <c r="Y125" i="16" s="1"/>
  <c r="S125" i="16"/>
  <c r="T125" i="16"/>
  <c r="U125" i="16"/>
  <c r="V125" i="16"/>
  <c r="W125" i="16"/>
  <c r="Z125" i="16"/>
  <c r="K126" i="16"/>
  <c r="L126" i="16"/>
  <c r="M126" i="16"/>
  <c r="N126" i="16"/>
  <c r="O126" i="16"/>
  <c r="P126" i="16"/>
  <c r="Q126" i="16"/>
  <c r="R126" i="16"/>
  <c r="Y126" i="16" s="1"/>
  <c r="S126" i="16"/>
  <c r="T126" i="16"/>
  <c r="U126" i="16"/>
  <c r="V126" i="16"/>
  <c r="W126" i="16"/>
  <c r="X126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Z127" i="16"/>
  <c r="K128" i="16"/>
  <c r="L128" i="16"/>
  <c r="M128" i="16"/>
  <c r="N128" i="16"/>
  <c r="O128" i="16"/>
  <c r="P128" i="16"/>
  <c r="Q128" i="16"/>
  <c r="R128" i="16"/>
  <c r="Y128" i="16" s="1"/>
  <c r="S128" i="16"/>
  <c r="T128" i="16"/>
  <c r="U128" i="16"/>
  <c r="V128" i="16"/>
  <c r="W128" i="16"/>
  <c r="K129" i="16"/>
  <c r="L129" i="16"/>
  <c r="M129" i="16"/>
  <c r="N129" i="16"/>
  <c r="O129" i="16"/>
  <c r="P129" i="16"/>
  <c r="Q129" i="16"/>
  <c r="X129" i="16" s="1"/>
  <c r="R129" i="16"/>
  <c r="S129" i="16"/>
  <c r="T129" i="16"/>
  <c r="U129" i="16"/>
  <c r="V129" i="16"/>
  <c r="W129" i="16"/>
  <c r="Y129" i="16"/>
  <c r="K130" i="16"/>
  <c r="L130" i="16"/>
  <c r="M130" i="16"/>
  <c r="N130" i="16"/>
  <c r="O130" i="16"/>
  <c r="P130" i="16"/>
  <c r="Q130" i="16"/>
  <c r="X130" i="16" s="1"/>
  <c r="R130" i="16"/>
  <c r="S130" i="16"/>
  <c r="T130" i="16"/>
  <c r="U130" i="16"/>
  <c r="V130" i="16"/>
  <c r="Z130" i="16" s="1"/>
  <c r="K131" i="16"/>
  <c r="L131" i="16"/>
  <c r="M131" i="16"/>
  <c r="N131" i="16"/>
  <c r="O131" i="16"/>
  <c r="P131" i="16"/>
  <c r="Q131" i="16"/>
  <c r="R131" i="16"/>
  <c r="Y131" i="16" s="1"/>
  <c r="S131" i="16"/>
  <c r="T131" i="16"/>
  <c r="U131" i="16"/>
  <c r="V131" i="16"/>
  <c r="W131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Z132" i="16" s="1"/>
  <c r="W132" i="16"/>
  <c r="X132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Z133" i="16" s="1"/>
  <c r="W133" i="16"/>
  <c r="Y133" i="16"/>
  <c r="K134" i="16"/>
  <c r="L134" i="16"/>
  <c r="M134" i="16"/>
  <c r="N134" i="16"/>
  <c r="O134" i="16"/>
  <c r="P134" i="16"/>
  <c r="Q134" i="16"/>
  <c r="R134" i="16"/>
  <c r="Y134" i="16" s="1"/>
  <c r="S134" i="16"/>
  <c r="T134" i="16"/>
  <c r="U134" i="16"/>
  <c r="V134" i="16"/>
  <c r="W134" i="16"/>
  <c r="X134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Z135" i="16" s="1"/>
  <c r="W135" i="16"/>
  <c r="X135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Y136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K138" i="16"/>
  <c r="L138" i="16"/>
  <c r="M138" i="16"/>
  <c r="N138" i="16"/>
  <c r="O138" i="16"/>
  <c r="P138" i="16"/>
  <c r="Q138" i="16"/>
  <c r="X138" i="16" s="1"/>
  <c r="R138" i="16"/>
  <c r="S138" i="16"/>
  <c r="T138" i="16"/>
  <c r="U138" i="16"/>
  <c r="V138" i="16"/>
  <c r="Z138" i="16" s="1"/>
  <c r="K139" i="16"/>
  <c r="L139" i="16"/>
  <c r="M139" i="16"/>
  <c r="N139" i="16"/>
  <c r="O139" i="16"/>
  <c r="W139" i="16" s="1"/>
  <c r="P139" i="16"/>
  <c r="Q139" i="16"/>
  <c r="R139" i="16"/>
  <c r="Y139" i="16" s="1"/>
  <c r="S139" i="16"/>
  <c r="T139" i="16"/>
  <c r="U139" i="16"/>
  <c r="V139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Z140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Y141" i="16"/>
  <c r="Z141" i="16"/>
  <c r="K143" i="16"/>
  <c r="L143" i="16"/>
  <c r="M143" i="16"/>
  <c r="N143" i="16"/>
  <c r="O143" i="16"/>
  <c r="P143" i="16"/>
  <c r="Q143" i="16"/>
  <c r="R143" i="16"/>
  <c r="Y143" i="16" s="1"/>
  <c r="S143" i="16"/>
  <c r="T143" i="16"/>
  <c r="U143" i="16"/>
  <c r="V143" i="16"/>
  <c r="W143" i="16"/>
  <c r="X143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Z144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Y145" i="16"/>
  <c r="K146" i="16"/>
  <c r="L146" i="16"/>
  <c r="M146" i="16"/>
  <c r="N146" i="16"/>
  <c r="O146" i="16"/>
  <c r="P146" i="16"/>
  <c r="Q146" i="16"/>
  <c r="X146" i="16" s="1"/>
  <c r="R146" i="16"/>
  <c r="S146" i="16"/>
  <c r="T146" i="16"/>
  <c r="U146" i="16"/>
  <c r="V146" i="16"/>
  <c r="W146" i="16"/>
  <c r="Y146" i="16"/>
  <c r="K147" i="16"/>
  <c r="L147" i="16"/>
  <c r="M147" i="16"/>
  <c r="N147" i="16"/>
  <c r="O147" i="16"/>
  <c r="P147" i="16"/>
  <c r="Q147" i="16"/>
  <c r="X147" i="16" s="1"/>
  <c r="R147" i="16"/>
  <c r="S147" i="16"/>
  <c r="T147" i="16"/>
  <c r="U147" i="16"/>
  <c r="V147" i="16"/>
  <c r="Z147" i="16"/>
  <c r="Y148" i="16"/>
  <c r="K150" i="16"/>
  <c r="L150" i="16"/>
  <c r="M150" i="16"/>
  <c r="N150" i="16"/>
  <c r="O150" i="16"/>
  <c r="P150" i="16"/>
  <c r="Q150" i="16"/>
  <c r="X150" i="16" s="1"/>
  <c r="R150" i="16"/>
  <c r="S150" i="16"/>
  <c r="T150" i="16"/>
  <c r="U150" i="16"/>
  <c r="V150" i="16"/>
  <c r="Z150" i="16" s="1"/>
  <c r="W150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3" i="16"/>
  <c r="H144" i="16"/>
  <c r="H145" i="16"/>
  <c r="H146" i="16"/>
  <c r="H147" i="16"/>
  <c r="H148" i="16"/>
  <c r="H150" i="16"/>
  <c r="H152" i="16"/>
  <c r="H153" i="16"/>
  <c r="H154" i="16"/>
  <c r="G5" i="16"/>
  <c r="G6" i="16"/>
  <c r="G7" i="16"/>
  <c r="G8" i="16"/>
  <c r="G9" i="16"/>
  <c r="G11" i="16"/>
  <c r="G12" i="16"/>
  <c r="G13" i="16"/>
  <c r="G14" i="16"/>
  <c r="G15" i="16"/>
  <c r="G16" i="16"/>
  <c r="G17" i="16"/>
  <c r="G19" i="16"/>
  <c r="G20" i="16"/>
  <c r="G21" i="16"/>
  <c r="G22" i="16"/>
  <c r="G23" i="16"/>
  <c r="G24" i="16"/>
  <c r="G25" i="16"/>
  <c r="G27" i="16"/>
  <c r="G28" i="16"/>
  <c r="G29" i="16"/>
  <c r="G30" i="16"/>
  <c r="G31" i="16"/>
  <c r="G32" i="16"/>
  <c r="G33" i="16"/>
  <c r="G35" i="16"/>
  <c r="G36" i="16"/>
  <c r="G37" i="16"/>
  <c r="G38" i="16"/>
  <c r="G39" i="16"/>
  <c r="G40" i="16"/>
  <c r="G41" i="16"/>
  <c r="G43" i="16"/>
  <c r="G44" i="16"/>
  <c r="G45" i="16"/>
  <c r="G46" i="16"/>
  <c r="G47" i="16"/>
  <c r="G48" i="16"/>
  <c r="G49" i="16"/>
  <c r="G51" i="16"/>
  <c r="G52" i="16"/>
  <c r="G53" i="16"/>
  <c r="G54" i="16"/>
  <c r="G55" i="16"/>
  <c r="G56" i="16"/>
  <c r="G57" i="16"/>
  <c r="G59" i="16"/>
  <c r="G60" i="16"/>
  <c r="G61" i="16"/>
  <c r="G62" i="16"/>
  <c r="G63" i="16"/>
  <c r="G64" i="16"/>
  <c r="G65" i="16"/>
  <c r="G67" i="16"/>
  <c r="G68" i="16"/>
  <c r="G69" i="16"/>
  <c r="G70" i="16"/>
  <c r="G71" i="16"/>
  <c r="G72" i="16"/>
  <c r="G73" i="16"/>
  <c r="G75" i="16"/>
  <c r="G76" i="16"/>
  <c r="G77" i="16"/>
  <c r="G78" i="16"/>
  <c r="G79" i="16"/>
  <c r="G80" i="16"/>
  <c r="G81" i="16"/>
  <c r="G83" i="16"/>
  <c r="G84" i="16"/>
  <c r="G85" i="16"/>
  <c r="G86" i="16"/>
  <c r="G87" i="16"/>
  <c r="G88" i="16"/>
  <c r="G89" i="16"/>
  <c r="G91" i="16"/>
  <c r="G92" i="16"/>
  <c r="G93" i="16"/>
  <c r="G94" i="16"/>
  <c r="G95" i="16"/>
  <c r="G96" i="16"/>
  <c r="G97" i="16"/>
  <c r="G99" i="16"/>
  <c r="G100" i="16"/>
  <c r="G101" i="16"/>
  <c r="G102" i="16"/>
  <c r="G103" i="16"/>
  <c r="G104" i="16"/>
  <c r="G105" i="16"/>
  <c r="G107" i="16"/>
  <c r="G108" i="16"/>
  <c r="G109" i="16"/>
  <c r="G110" i="16"/>
  <c r="G111" i="16"/>
  <c r="G112" i="16"/>
  <c r="G113" i="16"/>
  <c r="G115" i="16"/>
  <c r="G116" i="16"/>
  <c r="G117" i="16"/>
  <c r="G118" i="16"/>
  <c r="G119" i="16"/>
  <c r="G120" i="16"/>
  <c r="G121" i="16"/>
  <c r="G123" i="16"/>
  <c r="G124" i="16"/>
  <c r="G125" i="16"/>
  <c r="G126" i="16"/>
  <c r="G127" i="16"/>
  <c r="G128" i="16"/>
  <c r="G129" i="16"/>
  <c r="G131" i="16"/>
  <c r="G132" i="16"/>
  <c r="G133" i="16"/>
  <c r="G134" i="16"/>
  <c r="G135" i="16"/>
  <c r="G136" i="16"/>
  <c r="G137" i="16"/>
  <c r="G139" i="16"/>
  <c r="G140" i="16"/>
  <c r="G141" i="16"/>
  <c r="G143" i="16"/>
  <c r="G144" i="16"/>
  <c r="G145" i="16"/>
  <c r="G146" i="16"/>
  <c r="G148" i="16"/>
  <c r="G150" i="16"/>
  <c r="G152" i="16"/>
  <c r="G153" i="16"/>
  <c r="G154" i="16"/>
  <c r="G4" i="16"/>
  <c r="X104" i="16" l="1"/>
  <c r="Z73" i="16"/>
  <c r="Y63" i="16"/>
  <c r="Y144" i="16"/>
  <c r="Y140" i="16"/>
  <c r="X139" i="16"/>
  <c r="Z131" i="16"/>
  <c r="Y122" i="16"/>
  <c r="X120" i="16"/>
  <c r="X117" i="16"/>
  <c r="W114" i="16"/>
  <c r="G114" i="16" s="1"/>
  <c r="Z112" i="16"/>
  <c r="Z110" i="16"/>
  <c r="Z89" i="16"/>
  <c r="Y79" i="16"/>
  <c r="Y76" i="16"/>
  <c r="X75" i="16"/>
  <c r="Z67" i="16"/>
  <c r="Y58" i="16"/>
  <c r="X56" i="16"/>
  <c r="X53" i="16"/>
  <c r="W50" i="16"/>
  <c r="G50" i="16" s="1"/>
  <c r="Z48" i="16"/>
  <c r="Z46" i="16"/>
  <c r="Y41" i="16"/>
  <c r="X40" i="16"/>
  <c r="X37" i="16"/>
  <c r="X26" i="16"/>
  <c r="X18" i="16"/>
  <c r="Z14" i="16"/>
  <c r="Y10" i="16"/>
  <c r="Z5" i="16"/>
  <c r="Z94" i="16"/>
  <c r="Y60" i="16"/>
  <c r="X42" i="16"/>
  <c r="Y147" i="16"/>
  <c r="X145" i="16"/>
  <c r="X141" i="16"/>
  <c r="W138" i="16"/>
  <c r="G138" i="16" s="1"/>
  <c r="Z136" i="16"/>
  <c r="Z134" i="16"/>
  <c r="Z113" i="16"/>
  <c r="Y103" i="16"/>
  <c r="Y100" i="16"/>
  <c r="X99" i="16"/>
  <c r="Z91" i="16"/>
  <c r="Y82" i="16"/>
  <c r="X80" i="16"/>
  <c r="X77" i="16"/>
  <c r="W74" i="16"/>
  <c r="G74" i="16" s="1"/>
  <c r="Z72" i="16"/>
  <c r="Z70" i="16"/>
  <c r="Z49" i="16"/>
  <c r="Y42" i="16"/>
  <c r="Z24" i="16"/>
  <c r="Z22" i="16"/>
  <c r="Z16" i="16"/>
  <c r="X10" i="16"/>
  <c r="Z137" i="16"/>
  <c r="Z115" i="16"/>
  <c r="X27" i="16"/>
  <c r="Y150" i="16"/>
  <c r="X148" i="16"/>
  <c r="Z139" i="16"/>
  <c r="Y130" i="16"/>
  <c r="X128" i="16"/>
  <c r="X125" i="16"/>
  <c r="W122" i="16"/>
  <c r="G122" i="16" s="1"/>
  <c r="Z120" i="16"/>
  <c r="Z118" i="16"/>
  <c r="Z97" i="16"/>
  <c r="Y87" i="16"/>
  <c r="Y84" i="16"/>
  <c r="X83" i="16"/>
  <c r="Z75" i="16"/>
  <c r="Y66" i="16"/>
  <c r="X64" i="16"/>
  <c r="X61" i="16"/>
  <c r="W58" i="16"/>
  <c r="G58" i="16" s="1"/>
  <c r="Z56" i="16"/>
  <c r="Z54" i="16"/>
  <c r="Z40" i="16"/>
  <c r="Z38" i="16"/>
  <c r="Y33" i="16"/>
  <c r="X32" i="16"/>
  <c r="X29" i="16"/>
  <c r="X19" i="16"/>
  <c r="Z18" i="16"/>
  <c r="W10" i="16"/>
  <c r="G10" i="16" s="1"/>
  <c r="Z9" i="16"/>
  <c r="Y4" i="16"/>
  <c r="W147" i="16"/>
  <c r="G147" i="16" s="1"/>
  <c r="Z145" i="16"/>
  <c r="Z143" i="16"/>
  <c r="Z121" i="16"/>
  <c r="Y111" i="16"/>
  <c r="Y108" i="16"/>
  <c r="X107" i="16"/>
  <c r="Z99" i="16"/>
  <c r="Y90" i="16"/>
  <c r="X88" i="16"/>
  <c r="X85" i="16"/>
  <c r="W82" i="16"/>
  <c r="G82" i="16" s="1"/>
  <c r="Z80" i="16"/>
  <c r="Z78" i="16"/>
  <c r="Z57" i="16"/>
  <c r="Y47" i="16"/>
  <c r="Y44" i="16"/>
  <c r="X43" i="16"/>
  <c r="W42" i="16"/>
  <c r="G42" i="16" s="1"/>
  <c r="Z41" i="16"/>
  <c r="Y34" i="16"/>
  <c r="Y20" i="16"/>
  <c r="Y12" i="16"/>
  <c r="X11" i="16"/>
  <c r="Z10" i="16"/>
  <c r="X4" i="16"/>
  <c r="Y124" i="16"/>
  <c r="Y106" i="16"/>
  <c r="Y31" i="16"/>
  <c r="Y28" i="16"/>
  <c r="Z8" i="16"/>
  <c r="Z146" i="16"/>
  <c r="Y135" i="16"/>
  <c r="Y132" i="16"/>
  <c r="X131" i="16"/>
  <c r="Z123" i="16"/>
  <c r="Y114" i="16"/>
  <c r="X112" i="16"/>
  <c r="X109" i="16"/>
  <c r="W106" i="16"/>
  <c r="G106" i="16" s="1"/>
  <c r="Z104" i="16"/>
  <c r="Z102" i="16"/>
  <c r="Z81" i="16"/>
  <c r="Y71" i="16"/>
  <c r="Y68" i="16"/>
  <c r="X67" i="16"/>
  <c r="Z59" i="16"/>
  <c r="Y50" i="16"/>
  <c r="X48" i="16"/>
  <c r="X45" i="16"/>
  <c r="X34" i="16"/>
  <c r="Z27" i="16"/>
  <c r="Y23" i="16"/>
  <c r="X20" i="16"/>
  <c r="Y15" i="16"/>
  <c r="X14" i="16"/>
  <c r="X13" i="16"/>
  <c r="Y7" i="16"/>
  <c r="Y6" i="16"/>
  <c r="X5" i="16"/>
  <c r="Y127" i="16"/>
  <c r="X123" i="16"/>
  <c r="Z96" i="16"/>
  <c r="X59" i="16"/>
  <c r="Z51" i="16"/>
  <c r="Z35" i="16"/>
  <c r="W26" i="16"/>
  <c r="G26" i="16" s="1"/>
  <c r="Y19" i="16"/>
  <c r="Z17" i="16"/>
  <c r="Z148" i="16"/>
  <c r="Y138" i="16"/>
  <c r="X136" i="16"/>
  <c r="X133" i="16"/>
  <c r="W130" i="16"/>
  <c r="G130" i="16" s="1"/>
  <c r="Z128" i="16"/>
  <c r="Z126" i="16"/>
  <c r="Z105" i="16"/>
  <c r="Y95" i="16"/>
  <c r="Y92" i="16"/>
  <c r="X91" i="16"/>
  <c r="Z83" i="16"/>
  <c r="Y74" i="16"/>
  <c r="X72" i="16"/>
  <c r="X69" i="16"/>
  <c r="W66" i="16"/>
  <c r="G66" i="16" s="1"/>
  <c r="Z64" i="16"/>
  <c r="Z62" i="16"/>
  <c r="Z32" i="16"/>
  <c r="Z30" i="16"/>
  <c r="Y25" i="16"/>
  <c r="X24" i="16"/>
  <c r="X21" i="16"/>
  <c r="Z19" i="16"/>
  <c r="Y17" i="16"/>
  <c r="X16" i="16"/>
  <c r="X7" i="16"/>
  <c r="X101" i="16"/>
  <c r="W98" i="16"/>
  <c r="G98" i="16" s="1"/>
  <c r="Z25" i="16"/>
  <c r="W18" i="16"/>
  <c r="G18" i="16" s="1"/>
  <c r="Z129" i="16"/>
  <c r="Y119" i="16"/>
  <c r="Y116" i="16"/>
  <c r="X115" i="16"/>
  <c r="Z107" i="16"/>
  <c r="Y98" i="16"/>
  <c r="X96" i="16"/>
  <c r="X93" i="16"/>
  <c r="W90" i="16"/>
  <c r="G90" i="16" s="1"/>
  <c r="Z88" i="16"/>
  <c r="Z86" i="16"/>
  <c r="Z65" i="16"/>
  <c r="Y55" i="16"/>
  <c r="Y52" i="16"/>
  <c r="X51" i="16"/>
  <c r="Z43" i="16"/>
  <c r="Y39" i="16"/>
  <c r="Y36" i="16"/>
  <c r="X35" i="16"/>
  <c r="W34" i="16"/>
  <c r="G34" i="16" s="1"/>
  <c r="Z33" i="16"/>
  <c r="Y26" i="16"/>
  <c r="Y18" i="16"/>
  <c r="Z11" i="16"/>
  <c r="Y9" i="16"/>
  <c r="X8" i="16"/>
  <c r="A27" i="9" a="1"/>
  <c r="A27" i="9" s="1"/>
  <c r="A29" i="9" a="1"/>
  <c r="A29" i="9" s="1"/>
  <c r="A28" i="9" a="1"/>
  <c r="A28" i="9" s="1"/>
  <c r="A15" i="9" a="1"/>
  <c r="A15" i="9" s="1"/>
  <c r="C15" i="9" s="1"/>
  <c r="A22" i="9" a="1"/>
  <c r="A22" i="9" s="1"/>
  <c r="A30" i="9" a="1"/>
  <c r="A30" i="9" s="1"/>
  <c r="A23" i="9" a="1"/>
  <c r="A23" i="9" s="1"/>
  <c r="A31" i="9" a="1"/>
  <c r="A31" i="9" s="1"/>
  <c r="A24" i="9" a="1"/>
  <c r="A24" i="9" s="1"/>
  <c r="A20" i="9" a="1"/>
  <c r="A20" i="9" s="1"/>
  <c r="C20" i="9" s="1"/>
  <c r="A25" i="9" a="1"/>
  <c r="A25" i="9" s="1"/>
  <c r="A26" i="9" a="1"/>
  <c r="A26" i="9" s="1"/>
  <c r="A21" i="9" a="1"/>
  <c r="A21" i="9" s="1"/>
  <c r="A17" i="9" a="1"/>
  <c r="A17" i="9" s="1"/>
  <c r="A19" i="9" a="1"/>
  <c r="A19" i="9" s="1"/>
  <c r="C19" i="9" s="1"/>
  <c r="A16" i="9" a="1"/>
  <c r="A16" i="9" s="1"/>
  <c r="A18" i="9" a="1"/>
  <c r="A18" i="9" s="1"/>
  <c r="C18" i="9" s="1"/>
  <c r="A13" i="9" a="1"/>
  <c r="A13" i="9" s="1"/>
  <c r="C13" i="9" s="1"/>
  <c r="A14" i="9" a="1"/>
  <c r="A14" i="9" s="1"/>
  <c r="N29" i="9" l="1"/>
  <c r="E15" i="9"/>
  <c r="E26" i="9"/>
  <c r="E25" i="9"/>
  <c r="E22" i="9"/>
  <c r="E20" i="9"/>
  <c r="E21" i="9"/>
  <c r="N17" i="9"/>
  <c r="C17" i="9"/>
  <c r="I31" i="9"/>
  <c r="E16" i="9"/>
  <c r="C16" i="9"/>
  <c r="E14" i="9"/>
  <c r="C14" i="9"/>
  <c r="E17" i="9"/>
  <c r="F13" i="9"/>
  <c r="K30" i="9"/>
  <c r="H30" i="9"/>
  <c r="M30" i="9"/>
  <c r="G30" i="9"/>
  <c r="F30" i="9"/>
  <c r="J30" i="9"/>
  <c r="I30" i="9"/>
  <c r="E30" i="9"/>
  <c r="N30" i="9"/>
  <c r="L30" i="9"/>
  <c r="E13" i="9"/>
  <c r="G29" i="9"/>
  <c r="E28" i="9"/>
  <c r="H29" i="9"/>
  <c r="M29" i="9"/>
  <c r="E29" i="9"/>
  <c r="K29" i="9"/>
  <c r="I29" i="9"/>
  <c r="J29" i="9"/>
  <c r="L29" i="9"/>
  <c r="F29" i="9"/>
  <c r="M17" i="9"/>
  <c r="F17" i="9"/>
  <c r="K17" i="9"/>
  <c r="F18" i="9"/>
  <c r="L17" i="9"/>
  <c r="M18" i="9"/>
  <c r="B17" i="9"/>
  <c r="E23" i="9"/>
  <c r="G31" i="9"/>
  <c r="H31" i="9"/>
  <c r="J17" i="9"/>
  <c r="H17" i="9"/>
  <c r="G17" i="9"/>
  <c r="K31" i="9"/>
  <c r="L31" i="9"/>
  <c r="F31" i="9"/>
  <c r="I17" i="9"/>
  <c r="E31" i="9"/>
  <c r="J31" i="9"/>
  <c r="M31" i="9"/>
  <c r="N31" i="9"/>
  <c r="I24" i="9"/>
  <c r="M24" i="9"/>
  <c r="J24" i="9"/>
  <c r="N24" i="9"/>
  <c r="K24" i="9"/>
  <c r="G24" i="9"/>
  <c r="L24" i="9"/>
  <c r="H24" i="9"/>
  <c r="F24" i="9"/>
  <c r="E18" i="9"/>
  <c r="J18" i="9"/>
  <c r="N18" i="9"/>
  <c r="K18" i="9"/>
  <c r="G18" i="9"/>
  <c r="M23" i="9"/>
  <c r="J23" i="9"/>
  <c r="N23" i="9"/>
  <c r="K23" i="9"/>
  <c r="G23" i="9"/>
  <c r="L23" i="9"/>
  <c r="H23" i="9"/>
  <c r="F23" i="9"/>
  <c r="I23" i="9"/>
  <c r="L21" i="9"/>
  <c r="H21" i="9"/>
  <c r="F21" i="9"/>
  <c r="I21" i="9"/>
  <c r="M21" i="9"/>
  <c r="J21" i="9"/>
  <c r="N21" i="9"/>
  <c r="K21" i="9"/>
  <c r="G21" i="9"/>
  <c r="I15" i="9"/>
  <c r="M15" i="9"/>
  <c r="J15" i="9"/>
  <c r="N15" i="9"/>
  <c r="K15" i="9"/>
  <c r="G15" i="9"/>
  <c r="B15" i="9"/>
  <c r="L15" i="9"/>
  <c r="H15" i="9"/>
  <c r="F15" i="9"/>
  <c r="L16" i="9"/>
  <c r="H16" i="9"/>
  <c r="F16" i="9"/>
  <c r="I16" i="9"/>
  <c r="M16" i="9"/>
  <c r="J16" i="9"/>
  <c r="N16" i="9"/>
  <c r="K16" i="9"/>
  <c r="G16" i="9"/>
  <c r="B16" i="9"/>
  <c r="M27" i="9"/>
  <c r="J27" i="9"/>
  <c r="N27" i="9"/>
  <c r="K27" i="9"/>
  <c r="G27" i="9"/>
  <c r="L27" i="9"/>
  <c r="H27" i="9"/>
  <c r="F27" i="9"/>
  <c r="I27" i="9"/>
  <c r="M19" i="9"/>
  <c r="J19" i="9"/>
  <c r="N19" i="9"/>
  <c r="K19" i="9"/>
  <c r="G19" i="9"/>
  <c r="B19" i="9"/>
  <c r="L19" i="9"/>
  <c r="H19" i="9"/>
  <c r="F19" i="9"/>
  <c r="I19" i="9"/>
  <c r="E24" i="9"/>
  <c r="L18" i="9"/>
  <c r="H18" i="9"/>
  <c r="I28" i="9"/>
  <c r="M28" i="9"/>
  <c r="J28" i="9"/>
  <c r="N28" i="9"/>
  <c r="K28" i="9"/>
  <c r="G28" i="9"/>
  <c r="L28" i="9"/>
  <c r="H28" i="9"/>
  <c r="F28" i="9"/>
  <c r="L25" i="9"/>
  <c r="H25" i="9"/>
  <c r="F25" i="9"/>
  <c r="I25" i="9"/>
  <c r="M25" i="9"/>
  <c r="J25" i="9"/>
  <c r="N25" i="9"/>
  <c r="K25" i="9"/>
  <c r="G25" i="9"/>
  <c r="N22" i="9"/>
  <c r="K22" i="9"/>
  <c r="G22" i="9"/>
  <c r="L22" i="9"/>
  <c r="H22" i="9"/>
  <c r="F22" i="9"/>
  <c r="I22" i="9"/>
  <c r="M22" i="9"/>
  <c r="J22" i="9"/>
  <c r="E27" i="9"/>
  <c r="E19" i="9"/>
  <c r="B18" i="9"/>
  <c r="I18" i="9"/>
  <c r="I20" i="9"/>
  <c r="M20" i="9"/>
  <c r="J20" i="9"/>
  <c r="N20" i="9"/>
  <c r="K20" i="9"/>
  <c r="G20" i="9"/>
  <c r="B20" i="9"/>
  <c r="L20" i="9"/>
  <c r="H20" i="9"/>
  <c r="F20" i="9"/>
  <c r="M14" i="9"/>
  <c r="J14" i="9"/>
  <c r="N14" i="9"/>
  <c r="K14" i="9"/>
  <c r="G14" i="9"/>
  <c r="B14" i="9"/>
  <c r="L14" i="9"/>
  <c r="H14" i="9"/>
  <c r="F14" i="9"/>
  <c r="I14" i="9"/>
  <c r="L13" i="9"/>
  <c r="H13" i="9"/>
  <c r="I13" i="9"/>
  <c r="M13" i="9"/>
  <c r="J13" i="9"/>
  <c r="N13" i="9"/>
  <c r="K13" i="9"/>
  <c r="G13" i="9"/>
  <c r="B13" i="9"/>
  <c r="N26" i="9"/>
  <c r="K26" i="9"/>
  <c r="G26" i="9"/>
  <c r="L26" i="9"/>
  <c r="H26" i="9"/>
  <c r="F26" i="9"/>
  <c r="I26" i="9"/>
  <c r="M26" i="9"/>
  <c r="J26" i="9"/>
  <c r="AA150" i="16"/>
  <c r="AA152" i="16"/>
  <c r="AA153" i="16"/>
  <c r="AA154" i="16"/>
  <c r="D175" i="16" l="1"/>
  <c r="O35" i="9" s="1"/>
  <c r="AA159" i="16"/>
  <c r="AA158" i="16"/>
  <c r="AA161" i="16"/>
  <c r="AA156" i="16"/>
  <c r="AA157" i="16"/>
  <c r="AA160" i="16"/>
  <c r="AA162" i="16"/>
  <c r="AA163" i="16"/>
  <c r="AA164" i="16"/>
  <c r="K168" i="16" l="1"/>
  <c r="Y167" i="16" l="1"/>
  <c r="X166" i="16"/>
  <c r="X167" i="16" s="1"/>
  <c r="W166" i="16"/>
  <c r="W167" i="16" s="1"/>
  <c r="V166" i="16"/>
  <c r="V167" i="16" s="1"/>
  <c r="U166" i="16"/>
  <c r="U167" i="16" s="1"/>
  <c r="T166" i="16"/>
  <c r="T167" i="16" s="1"/>
  <c r="S166" i="16"/>
  <c r="S167" i="16" s="1"/>
  <c r="Q166" i="16"/>
  <c r="Q167" i="16" s="1"/>
  <c r="P166" i="16"/>
  <c r="P167" i="16" s="1"/>
  <c r="O166" i="16"/>
  <c r="O167" i="16" s="1"/>
  <c r="N166" i="16"/>
  <c r="N167" i="16" s="1"/>
  <c r="AA148" i="16" l="1"/>
  <c r="AA147" i="16"/>
  <c r="AA146" i="16"/>
  <c r="AA145" i="16"/>
  <c r="AA144" i="16"/>
  <c r="AA143" i="16"/>
  <c r="AA141" i="16"/>
  <c r="AA140" i="16"/>
  <c r="AA139" i="16"/>
  <c r="AA138" i="16"/>
  <c r="AA137" i="16"/>
  <c r="AA136" i="16"/>
  <c r="AA135" i="16"/>
  <c r="AA134" i="16"/>
  <c r="AA133" i="16"/>
  <c r="AA132" i="16"/>
  <c r="AA131" i="16"/>
  <c r="AA130" i="16"/>
  <c r="AA129" i="16"/>
  <c r="AA128" i="16"/>
  <c r="AA127" i="16"/>
  <c r="AA126" i="16"/>
  <c r="AA125" i="16"/>
  <c r="AA124" i="16"/>
  <c r="AA123" i="16"/>
  <c r="AA122" i="16"/>
  <c r="AA121" i="16"/>
  <c r="AA120" i="16"/>
  <c r="AA119" i="16"/>
  <c r="AA118" i="16"/>
  <c r="AA117" i="16"/>
  <c r="AA116" i="16"/>
  <c r="AA115" i="16"/>
  <c r="AA114" i="16"/>
  <c r="AA113" i="16"/>
  <c r="AA112" i="16"/>
  <c r="AA111" i="16"/>
  <c r="AA110" i="16"/>
  <c r="AA109" i="16"/>
  <c r="AA108" i="16"/>
  <c r="AA107" i="16"/>
  <c r="AA106" i="16"/>
  <c r="AA105" i="16"/>
  <c r="AA104" i="16"/>
  <c r="AA103" i="16"/>
  <c r="AA102" i="16"/>
  <c r="AA101" i="16"/>
  <c r="AA100" i="16"/>
  <c r="AA99" i="16"/>
  <c r="AA98" i="16"/>
  <c r="AA97" i="16"/>
  <c r="AA96" i="16"/>
  <c r="AA95" i="16"/>
  <c r="AA94" i="16"/>
  <c r="AA93" i="16"/>
  <c r="AA92" i="16"/>
  <c r="AA91" i="16"/>
  <c r="AA90" i="16"/>
  <c r="AA89" i="16"/>
  <c r="AA88" i="16"/>
  <c r="AA87" i="16"/>
  <c r="AA86" i="16"/>
  <c r="AA85" i="16"/>
  <c r="AA84" i="16"/>
  <c r="AA83" i="16"/>
  <c r="AA82" i="16"/>
  <c r="AA81" i="16"/>
  <c r="AA80" i="16"/>
  <c r="AA79" i="16"/>
  <c r="AA78" i="16"/>
  <c r="AA77" i="16"/>
  <c r="AA76" i="16"/>
  <c r="AA75" i="16"/>
  <c r="AA74" i="16"/>
  <c r="AA73" i="16"/>
  <c r="AA72" i="16"/>
  <c r="AA71" i="16"/>
  <c r="AA70" i="16"/>
  <c r="AA69" i="16"/>
  <c r="AA68" i="16"/>
  <c r="AA67" i="16"/>
  <c r="AA66" i="16"/>
  <c r="AA65" i="16"/>
  <c r="AA64" i="16"/>
  <c r="AA63" i="16"/>
  <c r="AA62" i="16"/>
  <c r="AA61" i="16"/>
  <c r="AA60" i="16"/>
  <c r="AA59" i="16"/>
  <c r="AA58" i="16"/>
  <c r="AA57" i="16"/>
  <c r="AA56" i="16"/>
  <c r="AA55" i="16"/>
  <c r="AA54" i="16"/>
  <c r="AA53" i="16"/>
  <c r="AA52" i="16"/>
  <c r="AA51" i="16"/>
  <c r="AA50" i="16"/>
  <c r="AA49" i="16"/>
  <c r="AA48" i="16"/>
  <c r="AA47" i="16"/>
  <c r="AA46" i="16"/>
  <c r="AA45" i="16"/>
  <c r="AA44" i="16"/>
  <c r="AA43" i="16"/>
  <c r="AA42" i="16"/>
  <c r="AA41" i="16"/>
  <c r="AA40" i="16"/>
  <c r="AA39" i="16"/>
  <c r="AA38" i="16"/>
  <c r="AA37" i="16"/>
  <c r="AA36" i="16"/>
  <c r="AA35" i="16"/>
  <c r="AA34" i="16"/>
  <c r="AA33" i="16"/>
  <c r="AA32" i="16"/>
  <c r="AA31" i="16"/>
  <c r="AA30" i="16"/>
  <c r="AA29" i="16"/>
  <c r="AA28" i="16"/>
  <c r="AA27" i="16"/>
  <c r="AA26" i="16"/>
  <c r="AA25" i="16"/>
  <c r="AA24" i="16"/>
  <c r="AA23" i="16"/>
  <c r="AA22" i="16"/>
  <c r="AA21" i="16"/>
  <c r="AA20" i="16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K166" i="16"/>
  <c r="K167" i="16"/>
  <c r="H168" i="16"/>
  <c r="H167" i="16"/>
  <c r="H166" i="16"/>
  <c r="G165" i="16" l="1"/>
  <c r="Z165" i="16"/>
  <c r="Z169" i="16" s="1"/>
  <c r="J165" i="16"/>
  <c r="Q10" i="9" s="1"/>
  <c r="V165" i="16"/>
  <c r="N165" i="16"/>
  <c r="R165" i="16"/>
  <c r="Q18" i="9" s="1"/>
  <c r="L165" i="16"/>
  <c r="I165" i="16"/>
  <c r="M165" i="16"/>
  <c r="Q165" i="16"/>
  <c r="U165" i="16"/>
  <c r="Y165" i="16"/>
  <c r="K165" i="16"/>
  <c r="S165" i="16"/>
  <c r="H165" i="16"/>
  <c r="O165" i="16"/>
  <c r="W165" i="16"/>
  <c r="P165" i="16"/>
  <c r="T165" i="16"/>
  <c r="X165" i="16"/>
  <c r="AA165" i="16"/>
  <c r="Z172" i="16" l="1"/>
  <c r="Z173" i="16"/>
  <c r="O169" i="16"/>
  <c r="O172" i="16" s="1"/>
  <c r="Q15" i="9"/>
  <c r="I169" i="16"/>
  <c r="I172" i="16" s="1"/>
  <c r="Q9" i="9"/>
  <c r="H169" i="16"/>
  <c r="H172" i="16" s="1"/>
  <c r="Q8" i="9"/>
  <c r="L169" i="16"/>
  <c r="L173" i="16" s="1"/>
  <c r="Q12" i="9"/>
  <c r="S169" i="16"/>
  <c r="S172" i="16" s="1"/>
  <c r="Q19" i="9"/>
  <c r="K169" i="16"/>
  <c r="K172" i="16" s="1"/>
  <c r="Q11" i="9"/>
  <c r="N169" i="16"/>
  <c r="N172" i="16" s="1"/>
  <c r="Q14" i="9"/>
  <c r="Y169" i="16"/>
  <c r="Y172" i="16" s="1"/>
  <c r="Q25" i="9"/>
  <c r="V169" i="16"/>
  <c r="V172" i="16" s="1"/>
  <c r="Q22" i="9"/>
  <c r="T169" i="16"/>
  <c r="T172" i="16" s="1"/>
  <c r="Q20" i="9"/>
  <c r="U169" i="16"/>
  <c r="U173" i="16" s="1"/>
  <c r="Q21" i="9"/>
  <c r="P169" i="16"/>
  <c r="P172" i="16" s="1"/>
  <c r="Q16" i="9"/>
  <c r="Q26" i="9"/>
  <c r="Q169" i="16"/>
  <c r="Q172" i="16" s="1"/>
  <c r="Q17" i="9"/>
  <c r="W169" i="16"/>
  <c r="W172" i="16" s="1"/>
  <c r="Q23" i="9"/>
  <c r="M169" i="16"/>
  <c r="M173" i="16" s="1"/>
  <c r="Q13" i="9"/>
  <c r="X169" i="16"/>
  <c r="X172" i="16" s="1"/>
  <c r="Q24" i="9"/>
  <c r="R169" i="16"/>
  <c r="J169" i="16"/>
  <c r="Z176" i="16" l="1"/>
  <c r="U172" i="16"/>
  <c r="U176" i="16" s="1"/>
  <c r="H173" i="16"/>
  <c r="H176" i="16" s="1"/>
  <c r="W173" i="16"/>
  <c r="W176" i="16" s="1"/>
  <c r="V173" i="16"/>
  <c r="V176" i="16" s="1"/>
  <c r="X173" i="16"/>
  <c r="X176" i="16" s="1"/>
  <c r="S173" i="16"/>
  <c r="S176" i="16" s="1"/>
  <c r="O173" i="16"/>
  <c r="O176" i="16" s="1"/>
  <c r="Y173" i="16"/>
  <c r="Y176" i="16" s="1"/>
  <c r="N173" i="16"/>
  <c r="N176" i="16" s="1"/>
  <c r="Q173" i="16"/>
  <c r="Q176" i="16" s="1"/>
  <c r="K173" i="16"/>
  <c r="K176" i="16" s="1"/>
  <c r="P173" i="16"/>
  <c r="P176" i="16" s="1"/>
  <c r="I173" i="16"/>
  <c r="I176" i="16" s="1"/>
  <c r="T173" i="16"/>
  <c r="T176" i="16" s="1"/>
  <c r="M172" i="16"/>
  <c r="M176" i="16" s="1"/>
  <c r="L172" i="16"/>
  <c r="L176" i="16" s="1"/>
  <c r="G167" i="16"/>
  <c r="G168" i="16"/>
  <c r="G166" i="16"/>
  <c r="Q7" i="9" s="1"/>
  <c r="J172" i="16"/>
  <c r="J173" i="16"/>
  <c r="R172" i="16"/>
  <c r="R173" i="16"/>
  <c r="J176" i="16" l="1"/>
  <c r="R176" i="16"/>
  <c r="G169" i="16"/>
  <c r="N32" i="9"/>
  <c r="G172" i="16" l="1"/>
  <c r="G173" i="16"/>
  <c r="G176" i="16" l="1"/>
  <c r="F32" i="9"/>
  <c r="L32" i="9"/>
  <c r="J32" i="9"/>
  <c r="J33" i="9" s="1"/>
  <c r="H32" i="9"/>
  <c r="H33" i="9" s="1"/>
  <c r="F33" i="9" l="1"/>
  <c r="F34" i="9"/>
  <c r="L33" i="9"/>
  <c r="L34" i="9"/>
  <c r="H34" i="9"/>
  <c r="J34" i="9"/>
  <c r="N33" i="9" l="1"/>
</calcChain>
</file>

<file path=xl/sharedStrings.xml><?xml version="1.0" encoding="utf-8"?>
<sst xmlns="http://schemas.openxmlformats.org/spreadsheetml/2006/main" count="1072" uniqueCount="740">
  <si>
    <t>Food</t>
  </si>
  <si>
    <t>Fat (g)</t>
  </si>
  <si>
    <t>Carbs (g)</t>
  </si>
  <si>
    <t>Protein (g)</t>
  </si>
  <si>
    <t>Calories</t>
  </si>
  <si>
    <t>Amount</t>
  </si>
  <si>
    <t>Grams Per Pound</t>
  </si>
  <si>
    <t>Eggs</t>
  </si>
  <si>
    <t>Egg Whites</t>
  </si>
  <si>
    <t>Goat Feta</t>
  </si>
  <si>
    <t>Granola</t>
  </si>
  <si>
    <t>Large</t>
  </si>
  <si>
    <t>Whey Protein Isolate</t>
  </si>
  <si>
    <t>Casein Protein</t>
  </si>
  <si>
    <t>Banana</t>
  </si>
  <si>
    <t>Almond Butter</t>
  </si>
  <si>
    <t>Flaked Light Tuna</t>
  </si>
  <si>
    <t>Apple</t>
  </si>
  <si>
    <t>grande</t>
  </si>
  <si>
    <t>Almonds</t>
  </si>
  <si>
    <t>Apple &amp; Parsnip Soup</t>
  </si>
  <si>
    <t>Chicken Lettuce Wrap</t>
  </si>
  <si>
    <t>Carrot Cake</t>
  </si>
  <si>
    <t>mandarin</t>
  </si>
  <si>
    <t>Chicken Breast</t>
  </si>
  <si>
    <t>Cheese String</t>
  </si>
  <si>
    <t>Cookie</t>
  </si>
  <si>
    <t>Chocolate</t>
  </si>
  <si>
    <t>Grapefruit</t>
  </si>
  <si>
    <t>Mixed Nuts</t>
  </si>
  <si>
    <t>Hummus</t>
  </si>
  <si>
    <t>Strawberries</t>
  </si>
  <si>
    <t>Whey Isolate + Casein</t>
  </si>
  <si>
    <t>Salmon Sushi</t>
  </si>
  <si>
    <t>wafer</t>
  </si>
  <si>
    <t>Avocado</t>
  </si>
  <si>
    <t>Toffee Pudding</t>
  </si>
  <si>
    <t>Wine</t>
  </si>
  <si>
    <t>Pancakes</t>
  </si>
  <si>
    <t>Blueberries</t>
  </si>
  <si>
    <t>Cooked Pasta</t>
  </si>
  <si>
    <t>Spinach</t>
  </si>
  <si>
    <t>Unit</t>
  </si>
  <si>
    <t>1</t>
  </si>
  <si>
    <t>cup</t>
  </si>
  <si>
    <t>ml</t>
  </si>
  <si>
    <t>65</t>
  </si>
  <si>
    <t>30</t>
  </si>
  <si>
    <t>g</t>
  </si>
  <si>
    <t>bowl</t>
  </si>
  <si>
    <t>piece</t>
  </si>
  <si>
    <t>125</t>
  </si>
  <si>
    <t>250</t>
  </si>
  <si>
    <t>5</t>
  </si>
  <si>
    <t>serv</t>
  </si>
  <si>
    <t>45</t>
  </si>
  <si>
    <t>can</t>
  </si>
  <si>
    <t>3</t>
  </si>
  <si>
    <t>tbs</t>
  </si>
  <si>
    <t>175</t>
  </si>
  <si>
    <t>tbsp</t>
  </si>
  <si>
    <t>Arugula</t>
  </si>
  <si>
    <t>Beets</t>
  </si>
  <si>
    <t>med</t>
  </si>
  <si>
    <t>100</t>
  </si>
  <si>
    <t>stick</t>
  </si>
  <si>
    <t>300</t>
  </si>
  <si>
    <t>2</t>
  </si>
  <si>
    <t>large</t>
  </si>
  <si>
    <t>82</t>
  </si>
  <si>
    <t>4"</t>
  </si>
  <si>
    <t>Plain Greek Yogurt 0%</t>
  </si>
  <si>
    <t>6</t>
  </si>
  <si>
    <t>rolls</t>
  </si>
  <si>
    <t>85</t>
  </si>
  <si>
    <t>325</t>
  </si>
  <si>
    <t>Olive Oil, Extra Virgin</t>
  </si>
  <si>
    <t>Vinegar, Balsamic</t>
  </si>
  <si>
    <t>Cottage cheese 1%</t>
  </si>
  <si>
    <t>1.5Oz</t>
  </si>
  <si>
    <t>Mixed Greens</t>
  </si>
  <si>
    <t>Tuna, Light</t>
  </si>
  <si>
    <t>Strawberry Salad</t>
  </si>
  <si>
    <t>Oatmeal</t>
  </si>
  <si>
    <t>Swiss Cheese</t>
  </si>
  <si>
    <t>Slice</t>
  </si>
  <si>
    <t>Turkey, sliced</t>
  </si>
  <si>
    <t>Gummy Bears</t>
  </si>
  <si>
    <t>Bears</t>
  </si>
  <si>
    <t>Pixy Stix</t>
  </si>
  <si>
    <t>Steak, Top Sirloin</t>
  </si>
  <si>
    <t>Oz</t>
  </si>
  <si>
    <t>Dijon Mustard</t>
  </si>
  <si>
    <t>Turkey/Swiss Rolls</t>
  </si>
  <si>
    <t>Steak, Inside Round</t>
  </si>
  <si>
    <t>Wafer</t>
  </si>
  <si>
    <t>Pear</t>
  </si>
  <si>
    <t>Maple Syrop</t>
  </si>
  <si>
    <t>Mixed Berries</t>
  </si>
  <si>
    <t>Light Coffee Frappucino</t>
  </si>
  <si>
    <t>Halwa</t>
  </si>
  <si>
    <t>Ground Turkey</t>
  </si>
  <si>
    <t>Greek Yogurt, Plain 0%</t>
  </si>
  <si>
    <t>Dark Chocolate</t>
  </si>
  <si>
    <t>Corn</t>
  </si>
  <si>
    <t>Cocktail</t>
  </si>
  <si>
    <t>Butter Tart</t>
  </si>
  <si>
    <t>Broccoli</t>
  </si>
  <si>
    <t>Black Beans</t>
  </si>
  <si>
    <t>Bell Peppers</t>
  </si>
  <si>
    <t>Baked Beans</t>
  </si>
  <si>
    <t>Asparagus</t>
  </si>
  <si>
    <t>Cottage Cheese, 1%</t>
  </si>
  <si>
    <t>berries</t>
  </si>
  <si>
    <t>tart</t>
  </si>
  <si>
    <t>wraps</t>
  </si>
  <si>
    <t>Turkey Lettuce Wrap</t>
  </si>
  <si>
    <t>Whey Protein</t>
  </si>
  <si>
    <t>Cantaloup</t>
  </si>
  <si>
    <t>Yogurt</t>
  </si>
  <si>
    <t>Yogurt, Greek Plain 0%</t>
  </si>
  <si>
    <t>Pizza</t>
  </si>
  <si>
    <t>Milk, 1%</t>
  </si>
  <si>
    <t>Milk, 2%</t>
  </si>
  <si>
    <t>Milk, Whole</t>
  </si>
  <si>
    <t>Milk, Skim</t>
  </si>
  <si>
    <t>Coffee (Black)</t>
  </si>
  <si>
    <t>Green Tea (Black)</t>
  </si>
  <si>
    <t>Sugar</t>
  </si>
  <si>
    <t>Cream, 10%</t>
  </si>
  <si>
    <t>Coffee Cream, 10%</t>
  </si>
  <si>
    <t>Pasta, Cooked</t>
  </si>
  <si>
    <t>Salmon</t>
  </si>
  <si>
    <t>Fish - White</t>
  </si>
  <si>
    <t>Fish - Salmon</t>
  </si>
  <si>
    <t>Carrots</t>
  </si>
  <si>
    <t>Bread, Whole Wheat</t>
  </si>
  <si>
    <t>Bread, Multi Grain</t>
  </si>
  <si>
    <t>Bread, White</t>
  </si>
  <si>
    <t>Rice - White</t>
  </si>
  <si>
    <t>Steak, Ribeye</t>
  </si>
  <si>
    <t>Steak, Striploin</t>
  </si>
  <si>
    <t>Beer, Light (3.5%)</t>
  </si>
  <si>
    <t>1% Cottage Cheese</t>
  </si>
  <si>
    <t>light coffee frap</t>
  </si>
  <si>
    <t>Turkey Lettuce Wraps</t>
  </si>
  <si>
    <t>turkey wrap</t>
  </si>
  <si>
    <t>Turkey, sliced (slices)</t>
  </si>
  <si>
    <t>Turkey, sliced (grams)</t>
  </si>
  <si>
    <t>Back Bacon</t>
  </si>
  <si>
    <t>slices</t>
  </si>
  <si>
    <t>Bagel</t>
  </si>
  <si>
    <t>Whole</t>
  </si>
  <si>
    <t>Jam, Fruit</t>
  </si>
  <si>
    <t>Whole Grain Bread</t>
  </si>
  <si>
    <t>clif bar</t>
  </si>
  <si>
    <t>bar</t>
  </si>
  <si>
    <t>Beer (5%)</t>
  </si>
  <si>
    <t>Pc.</t>
  </si>
  <si>
    <t>Turkey, Ground</t>
  </si>
  <si>
    <t>Provalone Cheese</t>
  </si>
  <si>
    <t>Peanut Butter</t>
  </si>
  <si>
    <t>Scone (Starbucks Blueberry)</t>
  </si>
  <si>
    <t>Milk Chocoloate</t>
  </si>
  <si>
    <t>Units</t>
  </si>
  <si>
    <t xml:space="preserve">Max (g/lb) = </t>
  </si>
  <si>
    <t xml:space="preserve">Min (g/lb) = </t>
  </si>
  <si>
    <t xml:space="preserve">Min (% Cal) = </t>
  </si>
  <si>
    <t xml:space="preserve">Max (% Cal) = </t>
  </si>
  <si>
    <t>% Total Calories</t>
  </si>
  <si>
    <t>Target Protein Intake</t>
  </si>
  <si>
    <t>Target Fat Intake</t>
  </si>
  <si>
    <t>Target Carb Intake</t>
  </si>
  <si>
    <t>Frozen Yogurt (vanilla)</t>
  </si>
  <si>
    <t>Ground Beef, Extra Lean (95%)</t>
  </si>
  <si>
    <t>Ground Beef, Lean (90%)</t>
  </si>
  <si>
    <t>Ground Beef, Regular (80%)</t>
  </si>
  <si>
    <t>Ice Cream, Vanilla</t>
  </si>
  <si>
    <t>Ice Cream, Chocolate</t>
  </si>
  <si>
    <t>Rice - Brown (cooked)</t>
  </si>
  <si>
    <t>Cola</t>
  </si>
  <si>
    <t>Cola, Diet</t>
  </si>
  <si>
    <t>Date</t>
  </si>
  <si>
    <t>Turkey/Swiss/Avocado Roll</t>
  </si>
  <si>
    <t>Almond Milk</t>
  </si>
  <si>
    <t>Almond Milk, Vanilla</t>
  </si>
  <si>
    <t>Gatorade</t>
  </si>
  <si>
    <t>Bottle</t>
  </si>
  <si>
    <t>Greek Yogurt, Blueberry 0%</t>
  </si>
  <si>
    <t>Greek Yogurt, Coconut 2%</t>
  </si>
  <si>
    <t>Greek Yogurt, Lemon 2%</t>
  </si>
  <si>
    <t>Greek Yogurt, Strawberry 0%</t>
  </si>
  <si>
    <t>Greek Yogurt, Vanilla 0%</t>
  </si>
  <si>
    <t>Gummy Bears (Large)</t>
  </si>
  <si>
    <t>Gummy Bears (small)</t>
  </si>
  <si>
    <t>Mozarella Cheese</t>
  </si>
  <si>
    <t>Date palm</t>
  </si>
  <si>
    <t>Ground Turkey, extra lean ground</t>
  </si>
  <si>
    <t>NDB_No</t>
  </si>
  <si>
    <t>Shrt_Desc</t>
  </si>
  <si>
    <t>01128</t>
  </si>
  <si>
    <t>EGG,WHL,CKD,FRIED</t>
  </si>
  <si>
    <t>01129</t>
  </si>
  <si>
    <t>EGG,WHL,CKD,HARD-BOILED</t>
  </si>
  <si>
    <t>01256</t>
  </si>
  <si>
    <t>YOGURT,GREEK,PLN,NONFAT</t>
  </si>
  <si>
    <t>09003</t>
  </si>
  <si>
    <t>APPLES,RAW,WITH SKIN</t>
  </si>
  <si>
    <t>09037</t>
  </si>
  <si>
    <t>AVOCADOS,RAW,ALL COMM VAR</t>
  </si>
  <si>
    <t>09040</t>
  </si>
  <si>
    <t>BANANAS,RAW</t>
  </si>
  <si>
    <t>09050</t>
  </si>
  <si>
    <t>BLUEBERRIES,RAW</t>
  </si>
  <si>
    <t>09089</t>
  </si>
  <si>
    <t>FIGS,RAW</t>
  </si>
  <si>
    <t>09139</t>
  </si>
  <si>
    <t>GUAVAS,COMMON,RAW</t>
  </si>
  <si>
    <t>09148</t>
  </si>
  <si>
    <t>KIWIFRUIT,GRN,RAW</t>
  </si>
  <si>
    <t>09181</t>
  </si>
  <si>
    <t>09206</t>
  </si>
  <si>
    <t>ORANGE JUICE,RAW</t>
  </si>
  <si>
    <t>09226</t>
  </si>
  <si>
    <t>PAPAYAS,RAW</t>
  </si>
  <si>
    <t>09298</t>
  </si>
  <si>
    <t>RAISINS,SEEDLESS</t>
  </si>
  <si>
    <t>11007</t>
  </si>
  <si>
    <t>ARTICHOKES,(GLOBE OR FRENCH),RAW</t>
  </si>
  <si>
    <t>11090</t>
  </si>
  <si>
    <t>BROCCOLI,RAW</t>
  </si>
  <si>
    <t>11124</t>
  </si>
  <si>
    <t>CARROTS,RAW</t>
  </si>
  <si>
    <t>11216</t>
  </si>
  <si>
    <t>GINGER ROOT,RAW</t>
  </si>
  <si>
    <t>11233</t>
  </si>
  <si>
    <t>KALE,RAW</t>
  </si>
  <si>
    <t>11239</t>
  </si>
  <si>
    <t>MUSHROOMS,CHANTERELLE,RAW</t>
  </si>
  <si>
    <t>11274</t>
  </si>
  <si>
    <t>MUSTARD SPINACH,(TENDERGREEN),RAW</t>
  </si>
  <si>
    <t>11356</t>
  </si>
  <si>
    <t>POTATOES,RUSSET,FLESH &amp; SKN,BKD</t>
  </si>
  <si>
    <t>11457</t>
  </si>
  <si>
    <t>SPINACH,RAW</t>
  </si>
  <si>
    <t>15037</t>
  </si>
  <si>
    <t>HALIBUT,ATLANTIC&amp;PACIFIC,CKD,DRY HEAT</t>
  </si>
  <si>
    <t>15184</t>
  </si>
  <si>
    <t>TUNA,LT,CND IN H2O,WO/SALT,DRND SOL</t>
  </si>
  <si>
    <t>15262</t>
  </si>
  <si>
    <t>FISH,TILAPIA,CKD,DRY HEAT</t>
  </si>
  <si>
    <t>35165</t>
  </si>
  <si>
    <t>FISH,WHITEFISH,DRIED (ALASKA NATIVE)</t>
  </si>
  <si>
    <t>Manual Input</t>
  </si>
  <si>
    <t>RefNo</t>
  </si>
  <si>
    <t xml:space="preserve">High Level Goal = </t>
  </si>
  <si>
    <t>g/100g</t>
  </si>
  <si>
    <t>Total</t>
  </si>
  <si>
    <t>cal/100g</t>
  </si>
  <si>
    <t>GOAL</t>
  </si>
  <si>
    <t>Build Muscle</t>
  </si>
  <si>
    <t>Lose Weight</t>
  </si>
  <si>
    <t>Maintain</t>
  </si>
  <si>
    <t>All Above</t>
  </si>
  <si>
    <t>QTY</t>
  </si>
  <si>
    <t>MAX</t>
  </si>
  <si>
    <t>Energy</t>
  </si>
  <si>
    <t>Protein</t>
  </si>
  <si>
    <t>Fat</t>
  </si>
  <si>
    <t>Carb</t>
  </si>
  <si>
    <t>Fiber</t>
  </si>
  <si>
    <t>Calcium</t>
  </si>
  <si>
    <t>Iron</t>
  </si>
  <si>
    <t>Magnesium</t>
  </si>
  <si>
    <t>Potassium</t>
  </si>
  <si>
    <t>Sodium</t>
  </si>
  <si>
    <t>Zinc</t>
  </si>
  <si>
    <t>Vit C</t>
  </si>
  <si>
    <t>Vit B6</t>
  </si>
  <si>
    <t>Vit B12</t>
  </si>
  <si>
    <t>Vit E</t>
  </si>
  <si>
    <t>Vit D</t>
  </si>
  <si>
    <t>Vit K</t>
  </si>
  <si>
    <t>Cholesterol</t>
  </si>
  <si>
    <t>kCal/100g</t>
  </si>
  <si>
    <t>mg/100g</t>
  </si>
  <si>
    <t>Total mg</t>
  </si>
  <si>
    <t>µg/100g</t>
  </si>
  <si>
    <t>Total µg</t>
  </si>
  <si>
    <t>TOTAL AMOUNT</t>
  </si>
  <si>
    <t>MIN</t>
  </si>
  <si>
    <t xml:space="preserve">Target Body Weight (lbs) = </t>
  </si>
  <si>
    <t>Height (inches) =</t>
  </si>
  <si>
    <t xml:space="preserve">Min = </t>
  </si>
  <si>
    <t>Max =</t>
  </si>
  <si>
    <t>Gender =</t>
  </si>
  <si>
    <t>Gender</t>
  </si>
  <si>
    <t>Female</t>
  </si>
  <si>
    <t>Age =</t>
  </si>
  <si>
    <t>Deviation</t>
  </si>
  <si>
    <t>Deviation (-ve)</t>
  </si>
  <si>
    <t>Demerits</t>
  </si>
  <si>
    <t xml:space="preserve">Goal =  </t>
  </si>
  <si>
    <t>Saturated Fat</t>
  </si>
  <si>
    <t>Unsaturated Fat</t>
  </si>
  <si>
    <t>New_Desc</t>
  </si>
  <si>
    <t>Orange Juice</t>
  </si>
  <si>
    <t>Raisins</t>
  </si>
  <si>
    <t>Kale</t>
  </si>
  <si>
    <t>Lentils</t>
  </si>
  <si>
    <t>Onions</t>
  </si>
  <si>
    <t>Tilapia</t>
  </si>
  <si>
    <t>Muffins</t>
  </si>
  <si>
    <t>Whitefish</t>
  </si>
  <si>
    <t>Vitam C (mg)</t>
  </si>
  <si>
    <t>Vitam B6 (mg)</t>
  </si>
  <si>
    <t xml:space="preserve">Vitam E (mg) </t>
  </si>
  <si>
    <t>Zinc (mg)</t>
  </si>
  <si>
    <t>Potassium (mg)</t>
  </si>
  <si>
    <t>Magnesium (mg)</t>
  </si>
  <si>
    <t>Iron(mg)</t>
  </si>
  <si>
    <t>Calcium(mg)</t>
  </si>
  <si>
    <t>Fiber (mg)</t>
  </si>
  <si>
    <t xml:space="preserve">Age </t>
  </si>
  <si>
    <t>males</t>
  </si>
  <si>
    <t>Pregnancy</t>
  </si>
  <si>
    <t>Y</t>
  </si>
  <si>
    <t>Y/N</t>
  </si>
  <si>
    <t>N</t>
  </si>
  <si>
    <t>Pregnant =</t>
  </si>
  <si>
    <t>male</t>
  </si>
  <si>
    <t>female</t>
  </si>
  <si>
    <t>Vitam B12 (µg)</t>
  </si>
  <si>
    <t>Vitam D (µg)</t>
  </si>
  <si>
    <t>Vitam K (µg)</t>
  </si>
  <si>
    <t>Variation</t>
  </si>
  <si>
    <t>Weight - Overconsumption</t>
  </si>
  <si>
    <t>Weight - Underconsumption</t>
  </si>
  <si>
    <t>BMR=</t>
  </si>
  <si>
    <t>gram</t>
  </si>
  <si>
    <t>CENTRUM</t>
  </si>
  <si>
    <t>Basic Multivitamin</t>
  </si>
  <si>
    <t>Women MultiVitamin</t>
  </si>
  <si>
    <t>CENTRUM WOMEN</t>
  </si>
  <si>
    <t>Men MultiVitamin</t>
  </si>
  <si>
    <t>CENTRUM MEN</t>
  </si>
  <si>
    <t>Satur. Fat (g)</t>
  </si>
  <si>
    <t>Unsat. Fat (g)</t>
  </si>
  <si>
    <t>Auto Input</t>
  </si>
  <si>
    <t>QTY (g)</t>
  </si>
  <si>
    <t>Manual Selection</t>
  </si>
  <si>
    <t>Target Calories</t>
  </si>
  <si>
    <t>SCORE (Lower = Better)</t>
  </si>
  <si>
    <t>12195</t>
  </si>
  <si>
    <t>12063</t>
  </si>
  <si>
    <t>11705</t>
  </si>
  <si>
    <t>18007</t>
  </si>
  <si>
    <t>11026</t>
  </si>
  <si>
    <t>16018</t>
  </si>
  <si>
    <t>16029</t>
  </si>
  <si>
    <t>16039</t>
  </si>
  <si>
    <t>19002</t>
  </si>
  <si>
    <t>13416</t>
  </si>
  <si>
    <t>11080</t>
  </si>
  <si>
    <t>09042</t>
  </si>
  <si>
    <t>18036</t>
  </si>
  <si>
    <t>16054</t>
  </si>
  <si>
    <t>11098</t>
  </si>
  <si>
    <t>11109</t>
  </si>
  <si>
    <t>02054</t>
  </si>
  <si>
    <t>12088</t>
  </si>
  <si>
    <t>12085</t>
  </si>
  <si>
    <t>08013</t>
  </si>
  <si>
    <t>08037</t>
  </si>
  <si>
    <t>08001</t>
  </si>
  <si>
    <t>11147</t>
  </si>
  <si>
    <t>01016</t>
  </si>
  <si>
    <t>01019</t>
  </si>
  <si>
    <t>01028</t>
  </si>
  <si>
    <t>01044</t>
  </si>
  <si>
    <t>12006</t>
  </si>
  <si>
    <t>05332</t>
  </si>
  <si>
    <t>05118</t>
  </si>
  <si>
    <t>05114</t>
  </si>
  <si>
    <t>16358</t>
  </si>
  <si>
    <t>02010</t>
  </si>
  <si>
    <t>02011</t>
  </si>
  <si>
    <t>12104</t>
  </si>
  <si>
    <t>12117</t>
  </si>
  <si>
    <t>11161</t>
  </si>
  <si>
    <t>11167</t>
  </si>
  <si>
    <t>20029</t>
  </si>
  <si>
    <t>02016</t>
  </si>
  <si>
    <t>11212</t>
  </si>
  <si>
    <t>01124</t>
  </si>
  <si>
    <t>01123</t>
  </si>
  <si>
    <t>11209</t>
  </si>
  <si>
    <t>09088</t>
  </si>
  <si>
    <t>16138</t>
  </si>
  <si>
    <t>04589</t>
  </si>
  <si>
    <t>15192</t>
  </si>
  <si>
    <t>15086</t>
  </si>
  <si>
    <t>11215</t>
  </si>
  <si>
    <t>19173</t>
  </si>
  <si>
    <t>09110</t>
  </si>
  <si>
    <t>09107</t>
  </si>
  <si>
    <t>09112</t>
  </si>
  <si>
    <t>05306</t>
  </si>
  <si>
    <t>05664</t>
  </si>
  <si>
    <t>15034</t>
  </si>
  <si>
    <t>16137</t>
  </si>
  <si>
    <t>09149</t>
  </si>
  <si>
    <t>11247</t>
  </si>
  <si>
    <t>11249</t>
  </si>
  <si>
    <t>11031</t>
  </si>
  <si>
    <t>12132</t>
  </si>
  <si>
    <t>01082</t>
  </si>
  <si>
    <t>12135</t>
  </si>
  <si>
    <t>18283</t>
  </si>
  <si>
    <t>11243</t>
  </si>
  <si>
    <t>15165</t>
  </si>
  <si>
    <t>11271</t>
  </si>
  <si>
    <t>02025</t>
  </si>
  <si>
    <t>01250</t>
  </si>
  <si>
    <t>12737</t>
  </si>
  <si>
    <t>20033</t>
  </si>
  <si>
    <t>20038</t>
  </si>
  <si>
    <t>04047</t>
  </si>
  <si>
    <t>04053</t>
  </si>
  <si>
    <t>11283</t>
  </si>
  <si>
    <t>11299</t>
  </si>
  <si>
    <t>09231</t>
  </si>
  <si>
    <t>20125</t>
  </si>
  <si>
    <t>16097</t>
  </si>
  <si>
    <t>16390</t>
  </si>
  <si>
    <t>16086</t>
  </si>
  <si>
    <t>02030</t>
  </si>
  <si>
    <t>02031</t>
  </si>
  <si>
    <t>02064</t>
  </si>
  <si>
    <t>09278</t>
  </si>
  <si>
    <t>09286</t>
  </si>
  <si>
    <t>19034</t>
  </si>
  <si>
    <t>02033</t>
  </si>
  <si>
    <t>01224</t>
  </si>
  <si>
    <t>09289</t>
  </si>
  <si>
    <t>12016</t>
  </si>
  <si>
    <t>09302</t>
  </si>
  <si>
    <t>20037</t>
  </si>
  <si>
    <t>02063</t>
  </si>
  <si>
    <t>02037</t>
  </si>
  <si>
    <t>02038</t>
  </si>
  <si>
    <t>15209</t>
  </si>
  <si>
    <t>12012</t>
  </si>
  <si>
    <t>12198</t>
  </si>
  <si>
    <t>11451</t>
  </si>
  <si>
    <t>16222</t>
  </si>
  <si>
    <t>20127</t>
  </si>
  <si>
    <t>02065</t>
  </si>
  <si>
    <t>11468</t>
  </si>
  <si>
    <t>09316</t>
  </si>
  <si>
    <t>12036</t>
  </si>
  <si>
    <t>11508</t>
  </si>
  <si>
    <t>16129</t>
  </si>
  <si>
    <t>11530</t>
  </si>
  <si>
    <t>15116</t>
  </si>
  <si>
    <t>15118</t>
  </si>
  <si>
    <t>07944</t>
  </si>
  <si>
    <t>07046</t>
  </si>
  <si>
    <t>05186</t>
  </si>
  <si>
    <t>11565</t>
  </si>
  <si>
    <t>02069</t>
  </si>
  <si>
    <t>02048</t>
  </si>
  <si>
    <t>11602</t>
  </si>
  <si>
    <t>01117</t>
  </si>
  <si>
    <t>ALMOND BUTTER,PLN,WO/SALT</t>
  </si>
  <si>
    <t>ALMONDS,DRY RSTD,WO/SALT</t>
  </si>
  <si>
    <t>ASPARAGUS,CKD,BLD,DRND,W/SALT</t>
  </si>
  <si>
    <t>BAGELS,OAT BRAN</t>
  </si>
  <si>
    <t>BAMBOO SHOOTS,RAW</t>
  </si>
  <si>
    <t>BEANS,BLACK TURTLE,MATURE SEEDS,CND</t>
  </si>
  <si>
    <t>BEANS,KIDNEY,ALL TYPES,MATURE SEEDS,CND</t>
  </si>
  <si>
    <t>BEANS,NAVY,MATURE SEEDS,CND</t>
  </si>
  <si>
    <t>BEEF JERKY,CHOPD&amp;FORMED</t>
  </si>
  <si>
    <t>BEEF,RND,EYE OF RND RST,BNLESS,LN &amp; FT,0" FAT,CHOIC,CKD,RSTD</t>
  </si>
  <si>
    <t>BEETS,RAW</t>
  </si>
  <si>
    <t>BLACKBERRIES,RAW</t>
  </si>
  <si>
    <t>BREAD,MULTI-GRAIN,TSTD (INCLUDES WHOLE-GRAIN)</t>
  </si>
  <si>
    <t>BROADBEANS (FAVA BNS),MATURE SEEDS,CND</t>
  </si>
  <si>
    <t>BRUSSELS SPROUTS,RAW</t>
  </si>
  <si>
    <t>CABBAGE,RAW</t>
  </si>
  <si>
    <t>CAPERS,CANNED</t>
  </si>
  <si>
    <t>CASHEW BUTTER,PLN,WO/SALT</t>
  </si>
  <si>
    <t>CASHEW NUTS,DRY RSTD,WO/SALT</t>
  </si>
  <si>
    <t>CEREALS RTE,GENERAL MILLS,CHEERIOS</t>
  </si>
  <si>
    <t>CEREALS RTE,GRANOLA,HOMEMADE</t>
  </si>
  <si>
    <t>CEREALS RTE,KELLOGG,KELLOGG'S ALL-BRAN ORIGINAL</t>
  </si>
  <si>
    <t>CHARD,SWISS,RAW</t>
  </si>
  <si>
    <t>CHEESE,COTTAGE,LOWFAT,1% MILKFAT</t>
  </si>
  <si>
    <t>CHEESE,FETA</t>
  </si>
  <si>
    <t>CHEESE,MOZZARELLA,PART SKIM MILK</t>
  </si>
  <si>
    <t>CHEESE,PAST PROCESS,SWISS</t>
  </si>
  <si>
    <t>CHIA SEEDS,DRIED</t>
  </si>
  <si>
    <t>CHICKEN,GROUND,RAW</t>
  </si>
  <si>
    <t>CHICKEN,ROASTING,LT MEAT,MEAT ONLY,CKD,RSTD</t>
  </si>
  <si>
    <t>CHICKEN,ROASTING,MEAT ONLY,CKD,RSTD</t>
  </si>
  <si>
    <t>CHICKPEAS,MAT SEEDS,CND,DRND SOL</t>
  </si>
  <si>
    <t>CINNAMON,GROUND</t>
  </si>
  <si>
    <t>CLOVES,GROUND</t>
  </si>
  <si>
    <t>COCONUT MEAT,RAW</t>
  </si>
  <si>
    <t>COCONUT MILK,RAW (LIQ EXPRESSED FROM GRATED MEAT&amp;H2O)</t>
  </si>
  <si>
    <t>COLLARDS,RAW</t>
  </si>
  <si>
    <t>CORN,SWT,YEL,RAW</t>
  </si>
  <si>
    <t>COUSCOUS,COOKED</t>
  </si>
  <si>
    <t>DILL SEED</t>
  </si>
  <si>
    <t>EDAMAME,FRZ,PREP</t>
  </si>
  <si>
    <t>EGG,WHITE,RAW,FRESH</t>
  </si>
  <si>
    <t>EGG,WHL,RAW,FRSH</t>
  </si>
  <si>
    <t>EGGPLANT,RAW</t>
  </si>
  <si>
    <t>ELDERBERRIES,RAW</t>
  </si>
  <si>
    <t>FALAFEL,HOME-PREPARED</t>
  </si>
  <si>
    <t>FISH OIL,COD LIVER</t>
  </si>
  <si>
    <t>FISH,COD,PACIFIC,CKD,DRY HEAT (MAYBE PREVIOUSLY FROZEN)</t>
  </si>
  <si>
    <t>FISH,SALMON,SOCKEYE,CKD,DRY HEAT</t>
  </si>
  <si>
    <t>GARLIC,RAW</t>
  </si>
  <si>
    <t>GELATIN DSSRT,DRY MIX,PREP W/ H2O</t>
  </si>
  <si>
    <t>GOJI BERRIES,DRIED</t>
  </si>
  <si>
    <t>GOOSEBERRIES,RAW</t>
  </si>
  <si>
    <t>GRAPEFRUIT,RAW,PINK&amp;RED,ALL AREAS</t>
  </si>
  <si>
    <t>GROUND TURKEY,CKD</t>
  </si>
  <si>
    <t>GROUND TURKEY,FAT FREE,PATTIES,BRLD</t>
  </si>
  <si>
    <t>HADDOCK,COOKED,DRY HEAT</t>
  </si>
  <si>
    <t>HUMMUS,HOME PREP</t>
  </si>
  <si>
    <t>KUMQUATS,RAW</t>
  </si>
  <si>
    <t>LEEKS,(BULB&amp;LOWER LEAF-PORTION),CKD,BLD,DRND,WO/SALT</t>
  </si>
  <si>
    <t>LENTILS,SPROUTED,CKD,STIR-FRIED,WO/SALT</t>
  </si>
  <si>
    <t>LIMA BNS,IMMAT SEEDS,RAW</t>
  </si>
  <si>
    <t>MACADAMIA NUTS,DRY RSTD,WO/SALT</t>
  </si>
  <si>
    <t>MELONS,CANTALOUPE,HONEYDEW,RAW</t>
  </si>
  <si>
    <t>MILK,LOWFAT,FLUID,1% MILKFAT,W/ ADDED VIT A &amp; VITAMIN D</t>
  </si>
  <si>
    <t>MIXED NUTS,DRY RSTD,W/PNUTS,WO/SALT</t>
  </si>
  <si>
    <t>MUFFINS,OAT BRAN</t>
  </si>
  <si>
    <t>MUSHROOMS,PORTABELLA,SHIITAKE,WHITE</t>
  </si>
  <si>
    <t>MUSSEL,BLUE,CKD,MOIST HEAT</t>
  </si>
  <si>
    <t>MUSTARD GRNS,CKD,BLD,DRND,WO/SALT</t>
  </si>
  <si>
    <t>NUTMEG,GROUND</t>
  </si>
  <si>
    <t>NUTRITIONAL SUPP FOR PEOPLE W/ DIABETES,LIQ</t>
  </si>
  <si>
    <t>NUTS,MXD NUTS,OIL RSTD,W/ PNUTS,LIGHTLY SALTED</t>
  </si>
  <si>
    <t>OAT BRAN,RAW</t>
  </si>
  <si>
    <t>OATS</t>
  </si>
  <si>
    <t>OIL,COCNT</t>
  </si>
  <si>
    <t>OIL,OLIVE,SALAD OR COOKING</t>
  </si>
  <si>
    <t>ONIONS,CKD,BLD,DRND,WO/SALT</t>
  </si>
  <si>
    <t>PARSNIPS,CKD,BLD,DRND,WO/SALT</t>
  </si>
  <si>
    <t>PASSION-FRUIT,(GRANADILLA),PURPLE,RAW</t>
  </si>
  <si>
    <t>PASTA,WHOLE-WHEAT,CKD</t>
  </si>
  <si>
    <t>PEANUT BUTTER,CHUNK STYLE,W/SALT</t>
  </si>
  <si>
    <t>PEANUTS,ALL TYPES,DRY-ROASTED,WO/SALT</t>
  </si>
  <si>
    <t>PEAS,SPLIT,MATURE SEEDS,CKD,BLD,WO/SALT</t>
  </si>
  <si>
    <t>PEPPER,BLACK</t>
  </si>
  <si>
    <t>PEPPER,RED OR CAYENNE</t>
  </si>
  <si>
    <t>PEPPERMINT,FRESH</t>
  </si>
  <si>
    <t>PLANTAINS,COOKED</t>
  </si>
  <si>
    <t>POMEGRANATES,RAW</t>
  </si>
  <si>
    <t>POPCORN,AIR-POPPED</t>
  </si>
  <si>
    <t>POPPY SEED</t>
  </si>
  <si>
    <t>PROTEIN SUPP,MILK BSD,MUSCLE MILK LT,PDR</t>
  </si>
  <si>
    <t>PRUNES,DEHYD (LOW-MOISTURE),UNCKD</t>
  </si>
  <si>
    <t>PUMPKIN&amp;SQUASH SD KRNLS,RSTD,WO/SALT</t>
  </si>
  <si>
    <t>RASPBERRIES,RAW</t>
  </si>
  <si>
    <t>RICE,BROWN,LONG-GRAIN,CKD</t>
  </si>
  <si>
    <t>ROSEMARY,FRESH</t>
  </si>
  <si>
    <t>SAFFRON</t>
  </si>
  <si>
    <t>SAGE,GROUND</t>
  </si>
  <si>
    <t>SALMON,ATLANTIC,WILD,CKD,DRY HEAT</t>
  </si>
  <si>
    <t>SEEDS,HEMP SD,HULLED</t>
  </si>
  <si>
    <t>SESAME BUTTER,TAHINI,FROM RAW&amp;STONE GROUND KRNLS</t>
  </si>
  <si>
    <t>SOYBEANS,GRN,CKD,BLD,DRND,WO/SALT</t>
  </si>
  <si>
    <t>SOYMILK (ALL FLAVORS),UNSWTND,W/ ADDED CA,VITAMINS A &amp; D</t>
  </si>
  <si>
    <t>SPAGHETTI,SPINACH,COOKED</t>
  </si>
  <si>
    <t>SPEARMINT,FRESH</t>
  </si>
  <si>
    <t>SQUASH,SMMR,CROOKNECK &amp; STRAIGHTNECK,CKD,BLD,DRND,WO/ SALT</t>
  </si>
  <si>
    <t>STRAWBERRIES,RAW</t>
  </si>
  <si>
    <t>SUNFLOWER SD KRNLS,DRIED</t>
  </si>
  <si>
    <t>SWEET POTATO,CKD,BKD IN SKN,FLESH,WO/ SALT</t>
  </si>
  <si>
    <t>TOFU,FRIED</t>
  </si>
  <si>
    <t>TOMATOES,RED,RIPE,CKD</t>
  </si>
  <si>
    <t>TROUT,RAINBOW,WILD,CKD,DRY HEAT</t>
  </si>
  <si>
    <t>TUNA,FRSH,BLUEFIN,CKD,DRY HEAT</t>
  </si>
  <si>
    <t>TURKEY  WHITE  ROTISSERIE  DELI CUT</t>
  </si>
  <si>
    <t>TURKEY BREAST,LO SALT,PREPACKAGED OR DELI,LUNCHEON MEAT</t>
  </si>
  <si>
    <t>TURKEY,ALL CLASSES,LT MEAT,CKD,RSTD</t>
  </si>
  <si>
    <t>TURNIPS,CKD,BLD,DRND,WO/SALT</t>
  </si>
  <si>
    <t>VINEGAR,BALSAMIC</t>
  </si>
  <si>
    <t>VINEGAR,CIDER</t>
  </si>
  <si>
    <t>YAM,CKD,BLD,DRND,OR BKD,WO/SALT</t>
  </si>
  <si>
    <t>YOGURT,PLN,LOFAT,12 GRAMS PROT PER 8 OZ</t>
  </si>
  <si>
    <t>Bamboo Shoots</t>
  </si>
  <si>
    <t>Beef Jerky</t>
  </si>
  <si>
    <t>Cabbage</t>
  </si>
  <si>
    <t>Capers</t>
  </si>
  <si>
    <t>Cashew Butter</t>
  </si>
  <si>
    <t>Cashew Nuts</t>
  </si>
  <si>
    <t>Chia Seeds</t>
  </si>
  <si>
    <t>Chickpeas</t>
  </si>
  <si>
    <t>Artichoke</t>
  </si>
  <si>
    <t>Avodacdo</t>
  </si>
  <si>
    <t>Black Turtle Beans</t>
  </si>
  <si>
    <t>Kidney Beans</t>
  </si>
  <si>
    <t>Navy Beans</t>
  </si>
  <si>
    <t>Eye of Round Steak</t>
  </si>
  <si>
    <t>Multigrain Bread</t>
  </si>
  <si>
    <t>Fava Beans</t>
  </si>
  <si>
    <t>Cheerios</t>
  </si>
  <si>
    <t>All-Bran Cereal</t>
  </si>
  <si>
    <t>Swiss Chard</t>
  </si>
  <si>
    <t>Cottage Cheese (1%)</t>
  </si>
  <si>
    <t>Feta Cheese</t>
  </si>
  <si>
    <t>Mozzarella Cheese</t>
  </si>
  <si>
    <t>Swiss Chees</t>
  </si>
  <si>
    <t>Ground Chicken</t>
  </si>
  <si>
    <t>Lt Meat Roast Chicken</t>
  </si>
  <si>
    <t>Roast Chicken</t>
  </si>
  <si>
    <t>cinnamon</t>
  </si>
  <si>
    <t>ground cloves</t>
  </si>
  <si>
    <t>coconut meat</t>
  </si>
  <si>
    <t>coconut milk</t>
  </si>
  <si>
    <t>collards</t>
  </si>
  <si>
    <t>corn</t>
  </si>
  <si>
    <t>couscous</t>
  </si>
  <si>
    <t>dill seed</t>
  </si>
  <si>
    <t>edameme</t>
  </si>
  <si>
    <t>egg whites</t>
  </si>
  <si>
    <t>eggs, whole fried</t>
  </si>
  <si>
    <t>eggs, hard boiled</t>
  </si>
  <si>
    <t>eggs, raw</t>
  </si>
  <si>
    <t>eggplant</t>
  </si>
  <si>
    <t>elderberries</t>
  </si>
  <si>
    <t>falafel, home-made</t>
  </si>
  <si>
    <t>figs</t>
  </si>
  <si>
    <t>cod liver oil</t>
  </si>
  <si>
    <t>Pacific Cod</t>
  </si>
  <si>
    <t>Garlic</t>
  </si>
  <si>
    <t>Gelatin Dessert</t>
  </si>
  <si>
    <t>Fresh Ginger</t>
  </si>
  <si>
    <t>Goji Berries</t>
  </si>
  <si>
    <t>Fresh Haddock</t>
  </si>
  <si>
    <t>Kumquats</t>
  </si>
  <si>
    <t>Gooseberries</t>
  </si>
  <si>
    <t>Nutmeg</t>
  </si>
  <si>
    <t>Nutritional Supp For People W/ Diabetes</t>
  </si>
  <si>
    <t>Pepper</t>
  </si>
  <si>
    <t>Fresh Peppermint</t>
  </si>
  <si>
    <t>Pomegranates</t>
  </si>
  <si>
    <t>Poppy Seed</t>
  </si>
  <si>
    <t>Raspberries</t>
  </si>
  <si>
    <t>Rosemary</t>
  </si>
  <si>
    <t>Saffron</t>
  </si>
  <si>
    <t>Spearmint</t>
  </si>
  <si>
    <t>Sunflower Sd Krnls</t>
  </si>
  <si>
    <t>Melons</t>
  </si>
  <si>
    <t>Mustard Grns</t>
  </si>
  <si>
    <t>Nuts</t>
  </si>
  <si>
    <t>Parsnips</t>
  </si>
  <si>
    <t>Passion-Fruit</t>
  </si>
  <si>
    <t>Peas</t>
  </si>
  <si>
    <t>Potatoes</t>
  </si>
  <si>
    <t>Soybeans</t>
  </si>
  <si>
    <t>Squash</t>
  </si>
  <si>
    <t>Sweet Potato</t>
  </si>
  <si>
    <t>Tomatoes</t>
  </si>
  <si>
    <t>Turnips</t>
  </si>
  <si>
    <t>Yam</t>
  </si>
  <si>
    <t>Mushrooms</t>
  </si>
  <si>
    <t>Oat Bran</t>
  </si>
  <si>
    <t>Oats</t>
  </si>
  <si>
    <t>Papayas</t>
  </si>
  <si>
    <t>Peanuts</t>
  </si>
  <si>
    <t>Popcorn</t>
  </si>
  <si>
    <t>Soymilk (All Flavors)</t>
  </si>
  <si>
    <t>Chanterelle Mushrooms</t>
  </si>
  <si>
    <t>Coconut Oil</t>
  </si>
  <si>
    <t>Fresh Hummus</t>
  </si>
  <si>
    <t>Fresh Leeks</t>
  </si>
  <si>
    <t>Fresh Plantains</t>
  </si>
  <si>
    <t>Fresh Sage</t>
  </si>
  <si>
    <t>Olive Oil</t>
  </si>
  <si>
    <t>Common Guavas</t>
  </si>
  <si>
    <t>Grn Kiwifruit</t>
  </si>
  <si>
    <t>Immat Seeds Lima Bns</t>
  </si>
  <si>
    <t>Dry Rstd Macadamia Nuts</t>
  </si>
  <si>
    <t>(Tendergreen) Mustard Spinach</t>
  </si>
  <si>
    <t>Whole-Wheat Pasta</t>
  </si>
  <si>
    <t>Chunk Style Peanut Butter</t>
  </si>
  <si>
    <t>Rstd Pumpkin&amp;Squash Sd Krnls</t>
  </si>
  <si>
    <t>Hemp Sd Seeds</t>
  </si>
  <si>
    <t>Spinach Spaghetti</t>
  </si>
  <si>
    <t>Halibut</t>
  </si>
  <si>
    <t>Milk</t>
  </si>
  <si>
    <t>Mussels</t>
  </si>
  <si>
    <t>Red/Cayenee Pepper</t>
  </si>
  <si>
    <t>Muscle Milk Protein</t>
  </si>
  <si>
    <t>Prunes</t>
  </si>
  <si>
    <t>Brown Rice</t>
  </si>
  <si>
    <t>Atlantic Wild Salmon</t>
  </si>
  <si>
    <t>Sesame Butter</t>
  </si>
  <si>
    <t>Fried Tofu</t>
  </si>
  <si>
    <t>Wild Rainbow Trout</t>
  </si>
  <si>
    <t>Fresh Bluefin Tuna</t>
  </si>
  <si>
    <t>Light Canned Tuna</t>
  </si>
  <si>
    <t>Deli Turkey</t>
  </si>
  <si>
    <t>Deli Turkey Breast</t>
  </si>
  <si>
    <t>Lt Meat Turkey</t>
  </si>
  <si>
    <t>Balsamic Vinegar</t>
  </si>
  <si>
    <t>Cider Vinegar</t>
  </si>
  <si>
    <t>Plain Greek Yogurt Fat-Free</t>
  </si>
  <si>
    <t>LoFat Plain Yogurt</t>
  </si>
  <si>
    <t>Brussel Sprouts</t>
  </si>
  <si>
    <t>x</t>
  </si>
  <si>
    <t>Cholestorol(mg)</t>
  </si>
  <si>
    <t>prot</t>
  </si>
  <si>
    <t>fat</t>
  </si>
  <si>
    <t>carb</t>
  </si>
  <si>
    <t>kcal</t>
  </si>
  <si>
    <t>trfa</t>
  </si>
  <si>
    <t>tsat</t>
  </si>
  <si>
    <t>tusat</t>
  </si>
  <si>
    <t>tdf</t>
  </si>
  <si>
    <t>tsug</t>
  </si>
  <si>
    <t>ca</t>
  </si>
  <si>
    <t>fe</t>
  </si>
  <si>
    <t>mg</t>
  </si>
  <si>
    <t>k</t>
  </si>
  <si>
    <t>na</t>
  </si>
  <si>
    <t>zn</t>
  </si>
  <si>
    <t>vitc</t>
  </si>
  <si>
    <t>b6</t>
  </si>
  <si>
    <t>b12</t>
  </si>
  <si>
    <t>d_iu</t>
  </si>
  <si>
    <t>vitk</t>
  </si>
  <si>
    <t>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</si>
</sst>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0.0"/>
    <numFmt numFmtId="166" formatCode="0.00000"/>
    <numFmt numFmtId="167" formatCode="0.00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rgb="FF003300"/>
      <name val="Calibri"/>
      <family val="2"/>
      <scheme val="minor"/>
    </font>
    <font>
      <sz val="11"/>
      <color rgb="FF003300"/>
      <name val="Calibri"/>
      <family val="2"/>
      <scheme val="minor"/>
    </font>
    <font>
      <sz val="16"/>
      <color theme="6" tint="0.59999389629810485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1">
    <xf numFmtId="0" fontId="0" fillId="0" borderId="0" xfId="0"/>
    <xf numFmtId="0" fontId="0" fillId="0" borderId="0" xfId="0"/>
    <xf numFmtId="0" fontId="0" fillId="0" borderId="0" xfId="0" applyBorder="1"/>
    <xf numFmtId="9" fontId="4" fillId="7" borderId="16" xfId="0" applyNumberFormat="1" applyFont="1" applyFill="1" applyBorder="1" applyAlignment="1" applyProtection="1">
      <alignment horizontal="right"/>
      <protection locked="0"/>
    </xf>
    <xf numFmtId="9" fontId="4" fillId="7" borderId="21" xfId="0" applyNumberFormat="1" applyFont="1" applyFill="1" applyBorder="1" applyAlignment="1" applyProtection="1">
      <alignment horizontal="right"/>
      <protection locked="0"/>
    </xf>
    <xf numFmtId="9" fontId="6" fillId="2" borderId="16" xfId="0" applyNumberFormat="1" applyFont="1" applyFill="1" applyBorder="1" applyAlignment="1" applyProtection="1">
      <alignment horizontal="right"/>
      <protection locked="0"/>
    </xf>
    <xf numFmtId="9" fontId="6" fillId="2" borderId="21" xfId="0" applyNumberFormat="1" applyFont="1" applyFill="1" applyBorder="1" applyAlignment="1" applyProtection="1">
      <alignment horizontal="right"/>
      <protection locked="0"/>
    </xf>
    <xf numFmtId="0" fontId="6" fillId="6" borderId="8" xfId="0" applyFont="1" applyFill="1" applyBorder="1" applyAlignment="1" applyProtection="1"/>
    <xf numFmtId="0" fontId="6" fillId="6" borderId="18" xfId="0" applyFont="1" applyFill="1" applyBorder="1" applyAlignment="1" applyProtection="1"/>
    <xf numFmtId="0" fontId="0" fillId="6" borderId="0" xfId="0" applyFont="1" applyFill="1" applyBorder="1" applyAlignment="1" applyProtection="1">
      <alignment horizontal="right"/>
    </xf>
    <xf numFmtId="0" fontId="0" fillId="6" borderId="0" xfId="0" applyFont="1" applyFill="1" applyBorder="1" applyAlignment="1" applyProtection="1"/>
    <xf numFmtId="0" fontId="0" fillId="6" borderId="4" xfId="0" applyFont="1" applyFill="1" applyBorder="1" applyAlignment="1" applyProtection="1">
      <alignment horizontal="right"/>
    </xf>
    <xf numFmtId="0" fontId="3" fillId="2" borderId="1" xfId="0" applyFont="1" applyFill="1" applyBorder="1" applyAlignment="1" applyProtection="1">
      <alignment horizontal="center"/>
    </xf>
    <xf numFmtId="0" fontId="4" fillId="9" borderId="8" xfId="0" applyFont="1" applyFill="1" applyBorder="1" applyAlignment="1" applyProtection="1"/>
    <xf numFmtId="0" fontId="4" fillId="9" borderId="18" xfId="0" applyFont="1" applyFill="1" applyBorder="1" applyAlignment="1" applyProtection="1"/>
    <xf numFmtId="2" fontId="3" fillId="10" borderId="2" xfId="0" applyNumberFormat="1" applyFont="1" applyFill="1" applyBorder="1" applyProtection="1"/>
    <xf numFmtId="2" fontId="3" fillId="10" borderId="17" xfId="0" applyNumberFormat="1" applyFont="1" applyFill="1" applyBorder="1" applyProtection="1"/>
    <xf numFmtId="164" fontId="0" fillId="0" borderId="0" xfId="0" applyNumberFormat="1"/>
    <xf numFmtId="0" fontId="2" fillId="3" borderId="25" xfId="0" applyFont="1" applyFill="1" applyBorder="1"/>
    <xf numFmtId="164" fontId="2" fillId="3" borderId="25" xfId="0" applyNumberFormat="1" applyFont="1" applyFill="1" applyBorder="1"/>
    <xf numFmtId="0" fontId="0" fillId="0" borderId="0" xfId="0" applyBorder="1" applyAlignment="1">
      <alignment horizontal="right"/>
    </xf>
    <xf numFmtId="0" fontId="1" fillId="0" borderId="0" xfId="1" applyFon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1" fillId="0" borderId="0" xfId="1" applyFont="1" applyBorder="1"/>
    <xf numFmtId="49" fontId="1" fillId="0" borderId="0" xfId="1" applyNumberFormat="1" applyFont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49" fontId="0" fillId="0" borderId="0" xfId="0" applyNumberFormat="1" applyBorder="1"/>
    <xf numFmtId="16" fontId="0" fillId="0" borderId="0" xfId="0" applyNumberFormat="1" applyBorder="1"/>
    <xf numFmtId="16" fontId="0" fillId="0" borderId="0" xfId="0" applyNumberFormat="1" applyBorder="1" applyAlignment="1">
      <alignment horizontal="right"/>
    </xf>
    <xf numFmtId="0" fontId="2" fillId="3" borderId="9" xfId="0" applyFont="1" applyFill="1" applyBorder="1"/>
    <xf numFmtId="49" fontId="2" fillId="3" borderId="10" xfId="0" applyNumberFormat="1" applyFont="1" applyFill="1" applyBorder="1"/>
    <xf numFmtId="0" fontId="2" fillId="3" borderId="10" xfId="0" applyFont="1" applyFill="1" applyBorder="1" applyAlignment="1">
      <alignment horizontal="right"/>
    </xf>
    <xf numFmtId="0" fontId="2" fillId="3" borderId="10" xfId="0" applyFont="1" applyFill="1" applyBorder="1"/>
    <xf numFmtId="0" fontId="2" fillId="3" borderId="11" xfId="0" applyFont="1" applyFill="1" applyBorder="1"/>
    <xf numFmtId="165" fontId="0" fillId="0" borderId="0" xfId="0" applyNumberFormat="1" applyBorder="1"/>
    <xf numFmtId="165" fontId="0" fillId="0" borderId="0" xfId="0" applyNumberFormat="1" applyFill="1" applyBorder="1"/>
    <xf numFmtId="165" fontId="0" fillId="0" borderId="0" xfId="0" applyNumberFormat="1"/>
    <xf numFmtId="0" fontId="0" fillId="0" borderId="0" xfId="0" applyFill="1"/>
    <xf numFmtId="0" fontId="3" fillId="2" borderId="8" xfId="0" applyFont="1" applyFill="1" applyBorder="1" applyAlignment="1" applyProtection="1">
      <alignment horizontal="center"/>
    </xf>
    <xf numFmtId="0" fontId="3" fillId="2" borderId="14" xfId="0" applyFont="1" applyFill="1" applyBorder="1" applyAlignment="1" applyProtection="1">
      <alignment horizontal="center"/>
    </xf>
    <xf numFmtId="0" fontId="3" fillId="2" borderId="19" xfId="0" applyFont="1" applyFill="1" applyBorder="1" applyAlignment="1" applyProtection="1">
      <alignment horizontal="center"/>
    </xf>
    <xf numFmtId="0" fontId="4" fillId="9" borderId="0" xfId="0" applyFont="1" applyFill="1" applyBorder="1" applyAlignment="1" applyProtection="1"/>
    <xf numFmtId="9" fontId="4" fillId="7" borderId="28" xfId="0" applyNumberFormat="1" applyFont="1" applyFill="1" applyBorder="1" applyAlignment="1" applyProtection="1">
      <alignment horizontal="right"/>
      <protection locked="0"/>
    </xf>
    <xf numFmtId="0" fontId="0" fillId="6" borderId="30" xfId="0" applyFont="1" applyFill="1" applyBorder="1" applyAlignment="1" applyProtection="1">
      <alignment horizontal="right"/>
    </xf>
    <xf numFmtId="0" fontId="0" fillId="6" borderId="31" xfId="0" applyFont="1" applyFill="1" applyBorder="1" applyAlignment="1" applyProtection="1">
      <alignment horizontal="right"/>
    </xf>
    <xf numFmtId="0" fontId="0" fillId="6" borderId="3" xfId="0" applyFont="1" applyFill="1" applyBorder="1" applyAlignment="1" applyProtection="1"/>
    <xf numFmtId="0" fontId="0" fillId="6" borderId="3" xfId="0" applyFont="1" applyFill="1" applyBorder="1" applyAlignment="1" applyProtection="1">
      <alignment horizontal="right"/>
    </xf>
    <xf numFmtId="0" fontId="0" fillId="6" borderId="5" xfId="0" applyFont="1" applyFill="1" applyBorder="1" applyAlignment="1" applyProtection="1">
      <alignment horizontal="right"/>
    </xf>
    <xf numFmtId="2" fontId="3" fillId="2" borderId="1" xfId="0" applyNumberFormat="1" applyFont="1" applyFill="1" applyBorder="1" applyAlignment="1" applyProtection="1"/>
    <xf numFmtId="2" fontId="3" fillId="10" borderId="24" xfId="0" applyNumberFormat="1" applyFont="1" applyFill="1" applyBorder="1" applyProtection="1"/>
    <xf numFmtId="2" fontId="3" fillId="2" borderId="20" xfId="0" applyNumberFormat="1" applyFont="1" applyFill="1" applyBorder="1" applyAlignment="1" applyProtection="1"/>
    <xf numFmtId="0" fontId="3" fillId="2" borderId="13" xfId="0" applyFont="1" applyFill="1" applyBorder="1" applyAlignment="1" applyProtection="1"/>
    <xf numFmtId="0" fontId="3" fillId="2" borderId="17" xfId="0" applyFont="1" applyFill="1" applyBorder="1" applyAlignment="1" applyProtection="1"/>
    <xf numFmtId="0" fontId="3" fillId="6" borderId="6" xfId="0" applyFont="1" applyFill="1" applyBorder="1" applyAlignment="1" applyProtection="1">
      <alignment horizontal="right"/>
    </xf>
    <xf numFmtId="2" fontId="3" fillId="6" borderId="1" xfId="0" applyNumberFormat="1" applyFont="1" applyFill="1" applyBorder="1" applyAlignment="1" applyProtection="1"/>
    <xf numFmtId="0" fontId="8" fillId="13" borderId="0" xfId="0" applyFont="1" applyFill="1" applyAlignment="1">
      <alignment horizontal="center"/>
    </xf>
    <xf numFmtId="0" fontId="9" fillId="13" borderId="0" xfId="0" applyFont="1" applyFill="1"/>
    <xf numFmtId="0" fontId="0" fillId="14" borderId="0" xfId="0" applyFill="1"/>
    <xf numFmtId="0" fontId="0" fillId="15" borderId="0" xfId="0" applyFill="1"/>
    <xf numFmtId="0" fontId="2" fillId="0" borderId="0" xfId="0" applyFont="1"/>
    <xf numFmtId="0" fontId="3" fillId="6" borderId="23" xfId="0" applyFont="1" applyFill="1" applyBorder="1" applyAlignment="1" applyProtection="1">
      <alignment horizontal="right"/>
    </xf>
    <xf numFmtId="0" fontId="3" fillId="2" borderId="24" xfId="0" applyFont="1" applyFill="1" applyBorder="1" applyAlignment="1" applyProtection="1">
      <alignment horizontal="center"/>
    </xf>
    <xf numFmtId="0" fontId="4" fillId="9" borderId="8" xfId="0" applyFont="1" applyFill="1" applyBorder="1" applyAlignment="1" applyProtection="1">
      <alignment horizontal="right"/>
    </xf>
    <xf numFmtId="0" fontId="4" fillId="9" borderId="18" xfId="0" applyFont="1" applyFill="1" applyBorder="1" applyAlignment="1" applyProtection="1">
      <alignment horizontal="right"/>
    </xf>
    <xf numFmtId="0" fontId="4" fillId="9" borderId="0" xfId="0" applyFont="1" applyFill="1" applyBorder="1" applyAlignment="1" applyProtection="1">
      <alignment horizontal="right"/>
    </xf>
    <xf numFmtId="0" fontId="4" fillId="9" borderId="23" xfId="0" applyFont="1" applyFill="1" applyBorder="1" applyAlignment="1" applyProtection="1">
      <alignment horizontal="right"/>
    </xf>
    <xf numFmtId="0" fontId="6" fillId="6" borderId="18" xfId="0" applyFont="1" applyFill="1" applyBorder="1" applyAlignment="1" applyProtection="1">
      <alignment horizontal="right"/>
    </xf>
    <xf numFmtId="0" fontId="6" fillId="6" borderId="8" xfId="0" applyFont="1" applyFill="1" applyBorder="1" applyAlignment="1" applyProtection="1">
      <alignment horizontal="right"/>
    </xf>
    <xf numFmtId="9" fontId="4" fillId="7" borderId="12" xfId="0" applyNumberFormat="1" applyFont="1" applyFill="1" applyBorder="1" applyAlignment="1" applyProtection="1">
      <alignment horizontal="right"/>
      <protection locked="0"/>
    </xf>
    <xf numFmtId="0" fontId="6" fillId="6" borderId="0" xfId="0" applyFont="1" applyFill="1" applyBorder="1" applyAlignment="1" applyProtection="1">
      <alignment horizontal="right"/>
    </xf>
    <xf numFmtId="0" fontId="6" fillId="6" borderId="0" xfId="0" applyFont="1" applyFill="1" applyBorder="1" applyAlignment="1" applyProtection="1"/>
    <xf numFmtId="0" fontId="6" fillId="6" borderId="23" xfId="0" applyFont="1" applyFill="1" applyBorder="1" applyAlignment="1" applyProtection="1">
      <alignment horizontal="right"/>
    </xf>
    <xf numFmtId="9" fontId="6" fillId="2" borderId="12" xfId="0" applyNumberFormat="1" applyFont="1" applyFill="1" applyBorder="1" applyAlignment="1" applyProtection="1">
      <alignment horizontal="right"/>
      <protection locked="0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2" fillId="21" borderId="0" xfId="0" applyNumberFormat="1" applyFont="1" applyFill="1"/>
    <xf numFmtId="1" fontId="2" fillId="12" borderId="0" xfId="0" applyNumberFormat="1" applyFont="1" applyFill="1"/>
    <xf numFmtId="0" fontId="0" fillId="14" borderId="0" xfId="0" applyFill="1" applyAlignment="1"/>
    <xf numFmtId="0" fontId="0" fillId="15" borderId="0" xfId="0" applyFill="1" applyAlignment="1"/>
    <xf numFmtId="0" fontId="2" fillId="15" borderId="0" xfId="0" applyFont="1" applyFill="1"/>
    <xf numFmtId="0" fontId="4" fillId="9" borderId="0" xfId="0" applyFont="1" applyFill="1" applyBorder="1" applyAlignment="1" applyProtection="1">
      <alignment horizontal="right"/>
    </xf>
    <xf numFmtId="0" fontId="4" fillId="9" borderId="23" xfId="0" applyFont="1" applyFill="1" applyBorder="1" applyAlignment="1" applyProtection="1">
      <alignment horizontal="right"/>
    </xf>
    <xf numFmtId="0" fontId="0" fillId="22" borderId="0" xfId="0" applyFill="1" applyAlignment="1"/>
    <xf numFmtId="0" fontId="0" fillId="22" borderId="0" xfId="0" applyFill="1"/>
    <xf numFmtId="0" fontId="2" fillId="22" borderId="0" xfId="0" applyFont="1" applyFill="1"/>
    <xf numFmtId="0" fontId="10" fillId="0" borderId="0" xfId="0" applyFont="1"/>
    <xf numFmtId="0" fontId="0" fillId="15" borderId="0" xfId="0" applyFill="1" applyBorder="1"/>
    <xf numFmtId="0" fontId="0" fillId="15" borderId="3" xfId="0" applyFill="1" applyBorder="1"/>
    <xf numFmtId="0" fontId="2" fillId="2" borderId="8" xfId="0" applyFont="1" applyFill="1" applyBorder="1"/>
    <xf numFmtId="0" fontId="2" fillId="16" borderId="13" xfId="0" applyFont="1" applyFill="1" applyBorder="1"/>
    <xf numFmtId="0" fontId="2" fillId="16" borderId="0" xfId="0" applyFont="1" applyFill="1" applyBorder="1"/>
    <xf numFmtId="2" fontId="2" fillId="17" borderId="0" xfId="0" applyNumberFormat="1" applyFont="1" applyFill="1" applyBorder="1"/>
    <xf numFmtId="0" fontId="2" fillId="17" borderId="0" xfId="0" applyFont="1" applyFill="1" applyBorder="1"/>
    <xf numFmtId="0" fontId="2" fillId="18" borderId="13" xfId="0" applyFont="1" applyFill="1" applyBorder="1"/>
    <xf numFmtId="0" fontId="2" fillId="18" borderId="0" xfId="0" applyFont="1" applyFill="1" applyBorder="1"/>
    <xf numFmtId="0" fontId="2" fillId="14" borderId="13" xfId="0" applyFont="1" applyFill="1" applyBorder="1"/>
    <xf numFmtId="0" fontId="2" fillId="14" borderId="0" xfId="0" applyFont="1" applyFill="1" applyBorder="1"/>
    <xf numFmtId="0" fontId="0" fillId="15" borderId="30" xfId="0" applyFill="1" applyBorder="1"/>
    <xf numFmtId="0" fontId="2" fillId="0" borderId="9" xfId="0" applyFont="1" applyBorder="1"/>
    <xf numFmtId="0" fontId="2" fillId="12" borderId="10" xfId="0" applyFont="1" applyFill="1" applyBorder="1"/>
    <xf numFmtId="0" fontId="2" fillId="12" borderId="11" xfId="0" applyFont="1" applyFill="1" applyBorder="1"/>
    <xf numFmtId="166" fontId="2" fillId="19" borderId="0" xfId="0" applyNumberFormat="1" applyFont="1" applyFill="1" applyBorder="1"/>
    <xf numFmtId="166" fontId="2" fillId="19" borderId="18" xfId="0" applyNumberFormat="1" applyFont="1" applyFill="1" applyBorder="1"/>
    <xf numFmtId="166" fontId="0" fillId="0" borderId="0" xfId="0" applyNumberFormat="1" applyFill="1"/>
    <xf numFmtId="0" fontId="4" fillId="9" borderId="0" xfId="0" applyFont="1" applyFill="1" applyBorder="1" applyAlignment="1" applyProtection="1">
      <alignment horizontal="right"/>
    </xf>
    <xf numFmtId="0" fontId="6" fillId="6" borderId="22" xfId="0" applyFont="1" applyFill="1" applyBorder="1" applyAlignment="1" applyProtection="1">
      <alignment horizontal="right"/>
    </xf>
    <xf numFmtId="0" fontId="6" fillId="6" borderId="24" xfId="0" applyFont="1" applyFill="1" applyBorder="1" applyAlignment="1" applyProtection="1">
      <alignment horizontal="right"/>
    </xf>
    <xf numFmtId="0" fontId="3" fillId="2" borderId="15" xfId="0" applyFont="1" applyFill="1" applyBorder="1" applyAlignment="1" applyProtection="1">
      <alignment horizontal="center"/>
    </xf>
    <xf numFmtId="0" fontId="3" fillId="2" borderId="20" xfId="0" applyFont="1" applyFill="1" applyBorder="1" applyAlignment="1" applyProtection="1">
      <alignment horizontal="center"/>
    </xf>
    <xf numFmtId="0" fontId="0" fillId="0" borderId="0" xfId="0" applyAlignment="1">
      <alignment horizontal="left"/>
    </xf>
    <xf numFmtId="0" fontId="0" fillId="20" borderId="29" xfId="0" applyFont="1" applyFill="1" applyBorder="1" applyAlignment="1" applyProtection="1">
      <alignment horizontal="left"/>
      <protection locked="0"/>
    </xf>
    <xf numFmtId="0" fontId="0" fillId="20" borderId="12" xfId="0" applyFont="1" applyFill="1" applyBorder="1" applyAlignment="1" applyProtection="1">
      <alignment horizontal="left"/>
      <protection locked="0"/>
    </xf>
    <xf numFmtId="0" fontId="0" fillId="20" borderId="32" xfId="0" applyFont="1" applyFill="1" applyBorder="1" applyAlignment="1" applyProtection="1">
      <alignment horizontal="left"/>
      <protection locked="0"/>
    </xf>
    <xf numFmtId="0" fontId="0" fillId="23" borderId="31" xfId="0" applyFill="1" applyBorder="1"/>
    <xf numFmtId="0" fontId="0" fillId="23" borderId="4" xfId="0" applyFill="1" applyBorder="1"/>
    <xf numFmtId="0" fontId="0" fillId="23" borderId="5" xfId="0" applyFill="1" applyBorder="1"/>
    <xf numFmtId="0" fontId="4" fillId="2" borderId="8" xfId="0" applyFont="1" applyFill="1" applyBorder="1" applyAlignment="1" applyProtection="1">
      <alignment horizontal="left"/>
    </xf>
    <xf numFmtId="0" fontId="4" fillId="2" borderId="0" xfId="0" applyFont="1" applyFill="1" applyBorder="1" applyAlignment="1" applyProtection="1">
      <alignment horizontal="left"/>
    </xf>
    <xf numFmtId="10" fontId="3" fillId="2" borderId="24" xfId="0" applyNumberFormat="1" applyFont="1" applyFill="1" applyBorder="1" applyProtection="1"/>
    <xf numFmtId="10" fontId="3" fillId="2" borderId="2" xfId="0" applyNumberFormat="1" applyFont="1" applyFill="1" applyBorder="1" applyProtection="1"/>
    <xf numFmtId="10" fontId="3" fillId="6" borderId="2" xfId="0" applyNumberFormat="1" applyFont="1" applyFill="1" applyBorder="1" applyProtection="1"/>
    <xf numFmtId="2" fontId="3" fillId="10" borderId="18" xfId="0" applyNumberFormat="1" applyFont="1" applyFill="1" applyBorder="1" applyProtection="1"/>
    <xf numFmtId="0" fontId="3" fillId="6" borderId="15" xfId="0" applyFont="1" applyFill="1" applyBorder="1" applyAlignment="1" applyProtection="1"/>
    <xf numFmtId="2" fontId="2" fillId="12" borderId="25" xfId="0" applyNumberFormat="1" applyFont="1" applyFill="1" applyBorder="1"/>
    <xf numFmtId="0" fontId="3" fillId="2" borderId="2" xfId="0" applyFont="1" applyFill="1" applyBorder="1" applyProtection="1"/>
    <xf numFmtId="0" fontId="0" fillId="0" borderId="0" xfId="0" applyNumberFormat="1"/>
    <xf numFmtId="0" fontId="0" fillId="0" borderId="0" xfId="0" applyNumberFormat="1" applyAlignment="1">
      <alignment horizontal="left"/>
    </xf>
    <xf numFmtId="0" fontId="3" fillId="2" borderId="14" xfId="0" applyNumberFormat="1" applyFont="1" applyFill="1" applyBorder="1" applyProtection="1"/>
    <xf numFmtId="167" fontId="4" fillId="5" borderId="7" xfId="0" applyNumberFormat="1" applyFont="1" applyFill="1" applyBorder="1" applyProtection="1"/>
    <xf numFmtId="167" fontId="4" fillId="5" borderId="14" xfId="0" applyNumberFormat="1" applyFont="1" applyFill="1" applyBorder="1" applyProtection="1"/>
    <xf numFmtId="167" fontId="4" fillId="5" borderId="12" xfId="0" applyNumberFormat="1" applyFont="1" applyFill="1" applyBorder="1" applyProtection="1"/>
    <xf numFmtId="0" fontId="0" fillId="0" borderId="35" xfId="0" applyNumberFormat="1" applyFill="1" applyBorder="1" applyAlignment="1">
      <alignment horizontal="left"/>
    </xf>
    <xf numFmtId="0" fontId="0" fillId="0" borderId="6" xfId="0" applyNumberFormat="1" applyFill="1" applyBorder="1" applyAlignment="1">
      <alignment horizontal="left"/>
    </xf>
    <xf numFmtId="0" fontId="0" fillId="0" borderId="6" xfId="0" applyNumberFormat="1" applyFill="1" applyBorder="1"/>
    <xf numFmtId="0" fontId="0" fillId="0" borderId="36" xfId="0" applyNumberFormat="1" applyFill="1" applyBorder="1"/>
    <xf numFmtId="1" fontId="2" fillId="4" borderId="35" xfId="0" applyNumberFormat="1" applyFont="1" applyFill="1" applyBorder="1" applyAlignment="1"/>
    <xf numFmtId="1" fontId="2" fillId="4" borderId="30" xfId="0" applyNumberFormat="1" applyFont="1" applyFill="1" applyBorder="1" applyAlignment="1"/>
    <xf numFmtId="1" fontId="2" fillId="4" borderId="31" xfId="0" applyNumberFormat="1" applyFont="1" applyFill="1" applyBorder="1" applyAlignment="1"/>
    <xf numFmtId="0" fontId="0" fillId="20" borderId="12" xfId="0" applyFill="1" applyBorder="1" applyAlignment="1">
      <alignment horizontal="left"/>
    </xf>
    <xf numFmtId="0" fontId="0" fillId="20" borderId="29" xfId="0" applyFill="1" applyBorder="1" applyAlignment="1">
      <alignment horizontal="left"/>
    </xf>
    <xf numFmtId="0" fontId="0" fillId="20" borderId="32" xfId="0" applyFill="1" applyBorder="1" applyAlignment="1">
      <alignment horizontal="left"/>
    </xf>
    <xf numFmtId="0" fontId="0" fillId="20" borderId="37" xfId="0" applyFill="1" applyBorder="1"/>
    <xf numFmtId="0" fontId="0" fillId="20" borderId="38" xfId="0" applyFill="1" applyBorder="1"/>
    <xf numFmtId="0" fontId="0" fillId="20" borderId="39" xfId="0" applyFill="1" applyBorder="1"/>
    <xf numFmtId="0" fontId="2" fillId="0" borderId="0" xfId="0" applyFont="1" applyFill="1" applyBorder="1"/>
    <xf numFmtId="0" fontId="4" fillId="5" borderId="0" xfId="0" applyFont="1" applyFill="1" applyBorder="1" applyAlignment="1" applyProtection="1">
      <alignment horizontal="left"/>
    </xf>
    <xf numFmtId="0" fontId="4" fillId="5" borderId="18" xfId="0" applyFont="1" applyFill="1" applyBorder="1" applyAlignment="1" applyProtection="1">
      <alignment horizontal="left"/>
    </xf>
    <xf numFmtId="0" fontId="0" fillId="4" borderId="1" xfId="0" applyFill="1" applyBorder="1" applyProtection="1">
      <protection locked="0"/>
    </xf>
    <xf numFmtId="0" fontId="0" fillId="14" borderId="1" xfId="0" applyFill="1" applyBorder="1" applyAlignment="1"/>
    <xf numFmtId="49" fontId="0" fillId="5" borderId="1" xfId="0" applyNumberFormat="1" applyFill="1" applyBorder="1" applyAlignment="1">
      <alignment horizontal="left"/>
    </xf>
    <xf numFmtId="0" fontId="0" fillId="11" borderId="1" xfId="0" applyFill="1" applyBorder="1" applyProtection="1">
      <protection locked="0"/>
    </xf>
    <xf numFmtId="2" fontId="0" fillId="11" borderId="1" xfId="0" applyNumberFormat="1" applyFill="1" applyBorder="1" applyProtection="1">
      <protection locked="0"/>
    </xf>
    <xf numFmtId="10" fontId="0" fillId="0" borderId="1" xfId="0" applyNumberFormat="1" applyBorder="1"/>
    <xf numFmtId="2" fontId="0" fillId="0" borderId="1" xfId="0" applyNumberFormat="1" applyBorder="1"/>
    <xf numFmtId="0" fontId="11" fillId="0" borderId="0" xfId="0" applyFont="1"/>
    <xf numFmtId="0" fontId="12" fillId="6" borderId="30" xfId="0" applyFont="1" applyFill="1" applyBorder="1" applyAlignment="1" applyProtection="1"/>
    <xf numFmtId="0" fontId="0" fillId="20" borderId="0" xfId="0" applyFont="1" applyFill="1" applyBorder="1" applyAlignment="1" applyProtection="1">
      <alignment horizontal="left"/>
      <protection locked="0"/>
    </xf>
    <xf numFmtId="0" fontId="0" fillId="20" borderId="30" xfId="0" applyFont="1" applyFill="1" applyBorder="1" applyAlignment="1" applyProtection="1">
      <alignment horizontal="left"/>
      <protection locked="0"/>
    </xf>
    <xf numFmtId="0" fontId="0" fillId="20" borderId="3" xfId="0" applyFont="1" applyFill="1" applyBorder="1" applyAlignment="1" applyProtection="1">
      <alignment horizontal="left"/>
      <protection locked="0"/>
    </xf>
    <xf numFmtId="2" fontId="6" fillId="2" borderId="18" xfId="0" applyNumberFormat="1" applyFont="1" applyFill="1" applyBorder="1" applyAlignment="1" applyProtection="1">
      <protection locked="0"/>
    </xf>
    <xf numFmtId="2" fontId="6" fillId="17" borderId="41" xfId="0" applyNumberFormat="1" applyFont="1" applyFill="1" applyBorder="1" applyAlignment="1" applyProtection="1">
      <protection locked="0"/>
    </xf>
    <xf numFmtId="2" fontId="6" fillId="25" borderId="42" xfId="0" applyNumberFormat="1" applyFont="1" applyFill="1" applyBorder="1" applyAlignment="1" applyProtection="1">
      <protection locked="0"/>
    </xf>
    <xf numFmtId="2" fontId="6" fillId="24" borderId="40" xfId="0" applyNumberFormat="1" applyFont="1" applyFill="1" applyBorder="1" applyAlignment="1" applyProtection="1">
      <protection locked="0"/>
    </xf>
    <xf numFmtId="2" fontId="4" fillId="7" borderId="43" xfId="0" applyNumberFormat="1" applyFont="1" applyFill="1" applyBorder="1" applyAlignment="1" applyProtection="1">
      <protection locked="0"/>
    </xf>
    <xf numFmtId="2" fontId="4" fillId="7" borderId="13" xfId="0" applyNumberFormat="1" applyFont="1" applyFill="1" applyBorder="1" applyAlignment="1" applyProtection="1">
      <protection locked="0"/>
    </xf>
    <xf numFmtId="2" fontId="6" fillId="2" borderId="7" xfId="0" applyNumberFormat="1" applyFont="1" applyFill="1" applyBorder="1" applyAlignment="1" applyProtection="1">
      <protection locked="0"/>
    </xf>
    <xf numFmtId="2" fontId="6" fillId="2" borderId="17" xfId="0" applyNumberFormat="1" applyFont="1" applyFill="1" applyBorder="1" applyAlignment="1" applyProtection="1">
      <protection locked="0"/>
    </xf>
    <xf numFmtId="2" fontId="4" fillId="24" borderId="44" xfId="0" applyNumberFormat="1" applyFont="1" applyFill="1" applyBorder="1" applyAlignment="1" applyProtection="1">
      <protection locked="0"/>
    </xf>
    <xf numFmtId="2" fontId="4" fillId="17" borderId="45" xfId="0" applyNumberFormat="1" applyFont="1" applyFill="1" applyBorder="1" applyAlignment="1" applyProtection="1">
      <protection locked="0"/>
    </xf>
    <xf numFmtId="2" fontId="4" fillId="25" borderId="45" xfId="0" applyNumberFormat="1" applyFont="1" applyFill="1" applyBorder="1" applyAlignment="1" applyProtection="1">
      <protection locked="0"/>
    </xf>
    <xf numFmtId="2" fontId="6" fillId="24" borderId="46" xfId="0" applyNumberFormat="1" applyFont="1" applyFill="1" applyBorder="1" applyAlignment="1" applyProtection="1">
      <protection locked="0"/>
    </xf>
    <xf numFmtId="2" fontId="6" fillId="17" borderId="46" xfId="0" applyNumberFormat="1" applyFont="1" applyFill="1" applyBorder="1" applyAlignment="1" applyProtection="1">
      <protection locked="0"/>
    </xf>
    <xf numFmtId="2" fontId="6" fillId="2" borderId="46" xfId="0" applyNumberFormat="1" applyFont="1" applyFill="1" applyBorder="1" applyAlignment="1" applyProtection="1">
      <protection locked="0"/>
    </xf>
    <xf numFmtId="2" fontId="4" fillId="24" borderId="45" xfId="0" applyNumberFormat="1" applyFont="1" applyFill="1" applyBorder="1" applyAlignment="1" applyProtection="1">
      <protection locked="0"/>
    </xf>
    <xf numFmtId="2" fontId="6" fillId="2" borderId="45" xfId="0" applyNumberFormat="1" applyFont="1" applyFill="1" applyBorder="1" applyAlignment="1" applyProtection="1">
      <protection locked="0"/>
    </xf>
    <xf numFmtId="0" fontId="5" fillId="6" borderId="7" xfId="0" applyFont="1" applyFill="1" applyBorder="1" applyAlignment="1" applyProtection="1">
      <alignment horizontal="right" vertical="center"/>
    </xf>
    <xf numFmtId="0" fontId="5" fillId="6" borderId="13" xfId="0" applyFont="1" applyFill="1" applyBorder="1" applyAlignment="1" applyProtection="1">
      <alignment horizontal="right" vertical="center"/>
    </xf>
    <xf numFmtId="0" fontId="5" fillId="6" borderId="17" xfId="0" applyFont="1" applyFill="1" applyBorder="1" applyAlignment="1" applyProtection="1">
      <alignment horizontal="right" vertical="center"/>
    </xf>
    <xf numFmtId="0" fontId="4" fillId="9" borderId="8" xfId="0" applyFont="1" applyFill="1" applyBorder="1" applyAlignment="1" applyProtection="1">
      <alignment horizontal="right"/>
    </xf>
    <xf numFmtId="0" fontId="4" fillId="9" borderId="22" xfId="0" applyFont="1" applyFill="1" applyBorder="1" applyAlignment="1" applyProtection="1">
      <alignment horizontal="right"/>
    </xf>
    <xf numFmtId="0" fontId="4" fillId="9" borderId="18" xfId="0" applyFont="1" applyFill="1" applyBorder="1" applyAlignment="1" applyProtection="1">
      <alignment horizontal="right"/>
    </xf>
    <xf numFmtId="0" fontId="4" fillId="9" borderId="24" xfId="0" applyFont="1" applyFill="1" applyBorder="1" applyAlignment="1" applyProtection="1">
      <alignment horizontal="right"/>
    </xf>
    <xf numFmtId="0" fontId="7" fillId="8" borderId="9" xfId="0" applyFont="1" applyFill="1" applyBorder="1" applyAlignment="1" applyProtection="1">
      <alignment horizontal="left" vertical="center"/>
      <protection locked="0"/>
    </xf>
    <xf numFmtId="0" fontId="7" fillId="8" borderId="10" xfId="0" applyFont="1" applyFill="1" applyBorder="1" applyAlignment="1" applyProtection="1">
      <alignment horizontal="left" vertical="center"/>
      <protection locked="0"/>
    </xf>
    <xf numFmtId="0" fontId="7" fillId="8" borderId="11" xfId="0" applyFont="1" applyFill="1" applyBorder="1" applyAlignment="1" applyProtection="1">
      <alignment horizontal="left" vertical="center"/>
      <protection locked="0"/>
    </xf>
    <xf numFmtId="0" fontId="3" fillId="6" borderId="26" xfId="0" applyFont="1" applyFill="1" applyBorder="1" applyAlignment="1" applyProtection="1">
      <alignment horizontal="right"/>
    </xf>
    <xf numFmtId="0" fontId="3" fillId="6" borderId="27" xfId="0" applyFont="1" applyFill="1" applyBorder="1" applyAlignment="1" applyProtection="1">
      <alignment horizontal="right"/>
    </xf>
    <xf numFmtId="0" fontId="6" fillId="6" borderId="18" xfId="0" applyFont="1" applyFill="1" applyBorder="1" applyAlignment="1" applyProtection="1">
      <alignment horizontal="right"/>
    </xf>
    <xf numFmtId="0" fontId="6" fillId="6" borderId="24" xfId="0" applyFont="1" applyFill="1" applyBorder="1" applyAlignment="1" applyProtection="1">
      <alignment horizontal="right"/>
    </xf>
    <xf numFmtId="0" fontId="3" fillId="9" borderId="7" xfId="0" applyFont="1" applyFill="1" applyBorder="1" applyAlignment="1" applyProtection="1">
      <alignment horizontal="right" vertical="center"/>
    </xf>
    <xf numFmtId="0" fontId="3" fillId="9" borderId="13" xfId="0" applyFont="1" applyFill="1" applyBorder="1" applyAlignment="1" applyProtection="1">
      <alignment horizontal="right" vertical="center"/>
    </xf>
    <xf numFmtId="0" fontId="3" fillId="6" borderId="33" xfId="0" applyFont="1" applyFill="1" applyBorder="1" applyAlignment="1" applyProtection="1">
      <alignment horizontal="right"/>
    </xf>
    <xf numFmtId="0" fontId="3" fillId="6" borderId="34" xfId="0" applyFont="1" applyFill="1" applyBorder="1" applyAlignment="1" applyProtection="1">
      <alignment horizontal="right"/>
    </xf>
    <xf numFmtId="0" fontId="3" fillId="9" borderId="17" xfId="0" applyFont="1" applyFill="1" applyBorder="1" applyAlignment="1" applyProtection="1">
      <alignment horizontal="right" vertical="center"/>
    </xf>
    <xf numFmtId="0" fontId="4" fillId="9" borderId="0" xfId="0" applyFont="1" applyFill="1" applyBorder="1" applyAlignment="1" applyProtection="1">
      <alignment horizontal="right"/>
    </xf>
    <xf numFmtId="0" fontId="4" fillId="9" borderId="23" xfId="0" applyFont="1" applyFill="1" applyBorder="1" applyAlignment="1" applyProtection="1">
      <alignment horizontal="right"/>
    </xf>
    <xf numFmtId="0" fontId="6" fillId="6" borderId="8" xfId="0" applyFont="1" applyFill="1" applyBorder="1" applyAlignment="1" applyProtection="1">
      <alignment horizontal="right"/>
    </xf>
    <xf numFmtId="0" fontId="6" fillId="6" borderId="22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horizontal="right"/>
    </xf>
    <xf numFmtId="0" fontId="3" fillId="2" borderId="23" xfId="0" applyFont="1" applyFill="1" applyBorder="1" applyAlignment="1" applyProtection="1">
      <alignment horizontal="right"/>
    </xf>
    <xf numFmtId="0" fontId="3" fillId="2" borderId="18" xfId="0" applyFont="1" applyFill="1" applyBorder="1" applyAlignment="1" applyProtection="1">
      <alignment horizontal="right"/>
    </xf>
    <xf numFmtId="0" fontId="3" fillId="2" borderId="24" xfId="0" applyFont="1" applyFill="1" applyBorder="1" applyAlignment="1" applyProtection="1">
      <alignment horizontal="right"/>
    </xf>
    <xf numFmtId="0" fontId="3" fillId="2" borderId="17" xfId="0" applyFont="1" applyFill="1" applyBorder="1" applyAlignment="1" applyProtection="1">
      <alignment horizontal="center"/>
    </xf>
    <xf numFmtId="0" fontId="3" fillId="2" borderId="24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22" xfId="0" applyFont="1" applyFill="1" applyBorder="1" applyAlignment="1" applyProtection="1">
      <alignment horizontal="center"/>
    </xf>
    <xf numFmtId="0" fontId="3" fillId="2" borderId="15" xfId="0" applyFont="1" applyFill="1" applyBorder="1" applyAlignment="1" applyProtection="1">
      <alignment horizontal="center"/>
    </xf>
    <xf numFmtId="0" fontId="3" fillId="2" borderId="20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right"/>
    </xf>
  </cellXfs>
  <cellStyles count="2">
    <cellStyle name="Normal" xfId="0" builtinId="0"/>
    <cellStyle name="Normal 2" xfId="1"/>
  </cellStyles>
  <dxfs count="3">
    <dxf>
      <font>
        <color rgb="FFFF0000"/>
      </font>
      <fill>
        <patternFill>
          <bgColor rgb="FFFF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colors>
    <mruColors>
      <color rgb="FFFFFFCC"/>
      <color rgb="FFFFFF99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1"/>
  <sheetViews>
    <sheetView workbookViewId="0">
      <selection activeCell="B43" sqref="B43"/>
    </sheetView>
  </sheetViews>
  <sheetFormatPr defaultRowHeight="14.4" x14ac:dyDescent="0.55000000000000004"/>
  <cols>
    <col min="2" max="2" width="19.83984375" bestFit="1" customWidth="1"/>
    <col min="3" max="3" width="16" bestFit="1" customWidth="1"/>
    <col min="4" max="4" width="12.26171875" bestFit="1" customWidth="1"/>
    <col min="5" max="5" width="12.26171875" style="1" customWidth="1"/>
  </cols>
  <sheetData>
    <row r="1" spans="1:13" s="1" customFormat="1" ht="30.75" customHeight="1" thickBot="1" x14ac:dyDescent="0.6">
      <c r="A1" s="127"/>
      <c r="B1" s="184"/>
      <c r="C1" s="185"/>
      <c r="D1" s="185"/>
      <c r="E1" s="185"/>
      <c r="F1" s="185"/>
      <c r="G1" s="185"/>
      <c r="H1" s="185"/>
      <c r="I1" s="186"/>
    </row>
    <row r="2" spans="1:13" s="1" customFormat="1" ht="14.7" thickBot="1" x14ac:dyDescent="0.6">
      <c r="A2" s="127"/>
      <c r="B2" s="54"/>
      <c r="C2" s="61"/>
      <c r="D2" s="113"/>
      <c r="E2" s="158"/>
      <c r="F2" s="10"/>
      <c r="G2" s="9"/>
      <c r="H2" s="9"/>
      <c r="I2" s="11"/>
      <c r="J2" s="156">
        <f>D2-J3</f>
        <v>0</v>
      </c>
    </row>
    <row r="3" spans="1:13" s="1" customFormat="1" x14ac:dyDescent="0.55000000000000004">
      <c r="A3" s="127"/>
      <c r="B3" s="187" t="s">
        <v>291</v>
      </c>
      <c r="C3" s="188"/>
      <c r="D3" s="112">
        <v>185</v>
      </c>
      <c r="E3" s="159"/>
      <c r="F3" s="157">
        <f>D2-D3</f>
        <v>-185</v>
      </c>
      <c r="G3" s="44"/>
      <c r="H3" s="44"/>
      <c r="I3" s="45"/>
    </row>
    <row r="4" spans="1:13" s="1" customFormat="1" x14ac:dyDescent="0.55000000000000004">
      <c r="A4" s="127"/>
      <c r="B4" s="54"/>
      <c r="C4" s="61" t="s">
        <v>292</v>
      </c>
      <c r="D4" s="113">
        <v>72</v>
      </c>
      <c r="E4" s="158"/>
      <c r="F4" s="10"/>
      <c r="G4" s="9"/>
      <c r="H4" s="9"/>
      <c r="I4" s="11"/>
    </row>
    <row r="5" spans="1:13" s="1" customFormat="1" x14ac:dyDescent="0.55000000000000004">
      <c r="A5" s="127"/>
      <c r="B5" s="54"/>
      <c r="C5" s="61" t="s">
        <v>298</v>
      </c>
      <c r="D5" s="113">
        <v>29</v>
      </c>
      <c r="E5" s="158"/>
      <c r="F5" s="10"/>
      <c r="G5" s="9"/>
      <c r="H5" s="9"/>
      <c r="I5" s="11"/>
      <c r="M5" s="111"/>
    </row>
    <row r="6" spans="1:13" s="1" customFormat="1" x14ac:dyDescent="0.55000000000000004">
      <c r="A6" s="127"/>
      <c r="B6" s="54"/>
      <c r="C6" s="61" t="s">
        <v>329</v>
      </c>
      <c r="D6" s="113" t="s">
        <v>328</v>
      </c>
      <c r="E6" s="158"/>
      <c r="F6" s="10"/>
      <c r="G6" s="9"/>
      <c r="H6" s="9"/>
      <c r="I6" s="11"/>
    </row>
    <row r="7" spans="1:13" s="1" customFormat="1" x14ac:dyDescent="0.55000000000000004">
      <c r="A7" s="127"/>
      <c r="B7" s="54"/>
      <c r="C7" s="61" t="s">
        <v>295</v>
      </c>
      <c r="D7" s="113" t="s">
        <v>330</v>
      </c>
      <c r="E7" s="158"/>
      <c r="F7" s="10"/>
      <c r="G7" s="9"/>
      <c r="H7" s="9"/>
      <c r="I7" s="11"/>
      <c r="L7" s="25"/>
    </row>
    <row r="8" spans="1:13" s="1" customFormat="1" ht="14.7" thickBot="1" x14ac:dyDescent="0.6">
      <c r="A8" s="127"/>
      <c r="B8" s="193" t="s">
        <v>255</v>
      </c>
      <c r="C8" s="194"/>
      <c r="D8" s="114" t="s">
        <v>263</v>
      </c>
      <c r="E8" s="160"/>
      <c r="F8" s="46"/>
      <c r="G8" s="47"/>
      <c r="H8" s="47"/>
      <c r="I8" s="48"/>
    </row>
    <row r="9" spans="1:13" s="1" customFormat="1" x14ac:dyDescent="0.55000000000000004">
      <c r="A9" s="127"/>
      <c r="B9" s="192" t="s">
        <v>170</v>
      </c>
      <c r="C9" s="65" t="s">
        <v>166</v>
      </c>
      <c r="D9" s="165">
        <v>1.1499999999999999</v>
      </c>
      <c r="E9" s="169">
        <f>D9*4</f>
        <v>4.5999999999999996</v>
      </c>
      <c r="F9" s="42"/>
      <c r="G9" s="196" t="s">
        <v>167</v>
      </c>
      <c r="H9" s="197"/>
      <c r="I9" s="43"/>
    </row>
    <row r="10" spans="1:13" s="1" customFormat="1" x14ac:dyDescent="0.55000000000000004">
      <c r="A10" s="127"/>
      <c r="B10" s="192"/>
      <c r="C10" s="65" t="s">
        <v>302</v>
      </c>
      <c r="D10" s="165">
        <f>AVERAGE(D9,D11)</f>
        <v>1.325</v>
      </c>
      <c r="E10" s="170">
        <f t="shared" ref="E10:E11" si="0">D10*4</f>
        <v>5.3</v>
      </c>
      <c r="F10" s="42"/>
      <c r="G10" s="65"/>
      <c r="H10" s="66"/>
      <c r="I10" s="69"/>
    </row>
    <row r="11" spans="1:13" s="1" customFormat="1" x14ac:dyDescent="0.55000000000000004">
      <c r="A11" s="127"/>
      <c r="B11" s="195"/>
      <c r="C11" s="64" t="s">
        <v>165</v>
      </c>
      <c r="D11" s="166">
        <v>1.5</v>
      </c>
      <c r="E11" s="171">
        <f t="shared" si="0"/>
        <v>6</v>
      </c>
      <c r="F11" s="14"/>
      <c r="G11" s="182" t="s">
        <v>168</v>
      </c>
      <c r="H11" s="183"/>
      <c r="I11" s="4"/>
    </row>
    <row r="12" spans="1:13" s="1" customFormat="1" x14ac:dyDescent="0.55000000000000004">
      <c r="A12" s="127"/>
      <c r="B12" s="177" t="s">
        <v>171</v>
      </c>
      <c r="C12" s="68" t="s">
        <v>166</v>
      </c>
      <c r="D12" s="167">
        <v>0.7</v>
      </c>
      <c r="E12" s="172">
        <f>D12*9</f>
        <v>6.3</v>
      </c>
      <c r="F12" s="7"/>
      <c r="G12" s="198" t="s">
        <v>167</v>
      </c>
      <c r="H12" s="199"/>
      <c r="I12" s="5"/>
    </row>
    <row r="13" spans="1:13" s="1" customFormat="1" x14ac:dyDescent="0.55000000000000004">
      <c r="A13" s="127"/>
      <c r="B13" s="178"/>
      <c r="C13" s="70" t="s">
        <v>302</v>
      </c>
      <c r="D13" s="167">
        <f>AVERAGE(D12,D14)</f>
        <v>0.75</v>
      </c>
      <c r="E13" s="173">
        <f>D13*9</f>
        <v>6.75</v>
      </c>
      <c r="F13" s="71"/>
      <c r="G13" s="70"/>
      <c r="H13" s="72"/>
      <c r="I13" s="73"/>
    </row>
    <row r="14" spans="1:13" s="1" customFormat="1" x14ac:dyDescent="0.55000000000000004">
      <c r="A14" s="127"/>
      <c r="B14" s="179"/>
      <c r="C14" s="67" t="s">
        <v>165</v>
      </c>
      <c r="D14" s="168">
        <v>0.8</v>
      </c>
      <c r="E14" s="174">
        <f>D14*9</f>
        <v>7.2</v>
      </c>
      <c r="F14" s="8"/>
      <c r="G14" s="189" t="s">
        <v>168</v>
      </c>
      <c r="H14" s="190"/>
      <c r="I14" s="6"/>
    </row>
    <row r="15" spans="1:13" s="1" customFormat="1" x14ac:dyDescent="0.55000000000000004">
      <c r="A15" s="127"/>
      <c r="B15" s="191" t="s">
        <v>172</v>
      </c>
      <c r="C15" s="63" t="s">
        <v>166</v>
      </c>
      <c r="D15" s="165">
        <v>0.9</v>
      </c>
      <c r="E15" s="175">
        <f>D15*4</f>
        <v>3.6</v>
      </c>
      <c r="F15" s="13"/>
      <c r="G15" s="180" t="s">
        <v>167</v>
      </c>
      <c r="H15" s="181"/>
      <c r="I15" s="3"/>
    </row>
    <row r="16" spans="1:13" s="1" customFormat="1" x14ac:dyDescent="0.55000000000000004">
      <c r="A16" s="127"/>
      <c r="B16" s="192"/>
      <c r="C16" s="65" t="s">
        <v>302</v>
      </c>
      <c r="D16" s="165">
        <f>AVERAGE(D15,D17)</f>
        <v>1</v>
      </c>
      <c r="E16" s="170">
        <f t="shared" ref="E16:E17" si="1">D16*4</f>
        <v>4</v>
      </c>
      <c r="F16" s="42"/>
      <c r="G16" s="65"/>
      <c r="H16" s="66"/>
      <c r="I16" s="69"/>
    </row>
    <row r="17" spans="1:9" s="1" customFormat="1" x14ac:dyDescent="0.55000000000000004">
      <c r="A17" s="127"/>
      <c r="B17" s="192"/>
      <c r="C17" s="106" t="s">
        <v>165</v>
      </c>
      <c r="D17" s="166">
        <v>1.1000000000000001</v>
      </c>
      <c r="E17" s="171">
        <f t="shared" si="1"/>
        <v>4.4000000000000004</v>
      </c>
      <c r="F17" s="14"/>
      <c r="G17" s="182" t="s">
        <v>168</v>
      </c>
      <c r="H17" s="183"/>
      <c r="I17" s="4"/>
    </row>
    <row r="18" spans="1:9" s="1" customFormat="1" ht="14.7" thickBot="1" x14ac:dyDescent="0.6">
      <c r="A18" s="127"/>
      <c r="B18" s="177" t="s">
        <v>351</v>
      </c>
      <c r="C18" s="107" t="s">
        <v>338</v>
      </c>
      <c r="D18" s="161">
        <f>IF(D7=Lists!P3,66.47+(13.75*D3/2.2) + (5*D4*2.54)-(6.75*D5),665.09+(9.56*D3/2.2)+1.84*D4*2.54-4.67*D5)</f>
        <v>1670.0682909090908</v>
      </c>
      <c r="E18" s="176"/>
      <c r="F18" s="42"/>
      <c r="G18" s="82"/>
      <c r="H18" s="83"/>
      <c r="I18" s="69"/>
    </row>
    <row r="19" spans="1:9" s="1" customFormat="1" x14ac:dyDescent="0.55000000000000004">
      <c r="A19" s="127"/>
      <c r="B19" s="178"/>
      <c r="C19" s="72" t="s">
        <v>293</v>
      </c>
      <c r="D19" s="161">
        <f>SUM(E15,E12,E9)*D$3</f>
        <v>2682.5</v>
      </c>
      <c r="E19" s="164">
        <f>SUM(E15,E12,E9)*D$3</f>
        <v>2682.5</v>
      </c>
      <c r="F19" s="13"/>
      <c r="G19" s="180"/>
      <c r="H19" s="181"/>
      <c r="I19" s="3"/>
    </row>
    <row r="20" spans="1:9" s="1" customFormat="1" x14ac:dyDescent="0.55000000000000004">
      <c r="A20" s="127"/>
      <c r="B20" s="178"/>
      <c r="C20" s="72" t="s">
        <v>302</v>
      </c>
      <c r="D20" s="161">
        <f t="shared" ref="D20:D21" si="2">SUM(E16,E13,E10)*D$3</f>
        <v>2969.25</v>
      </c>
      <c r="E20" s="162">
        <f t="shared" ref="E20:E21" si="3">SUM(E16,E13,E10)*D$3</f>
        <v>2969.25</v>
      </c>
      <c r="F20" s="42"/>
      <c r="G20" s="65"/>
      <c r="H20" s="66"/>
      <c r="I20" s="69"/>
    </row>
    <row r="21" spans="1:9" s="1" customFormat="1" ht="14.7" thickBot="1" x14ac:dyDescent="0.6">
      <c r="A21" s="127"/>
      <c r="B21" s="179"/>
      <c r="C21" s="108" t="s">
        <v>294</v>
      </c>
      <c r="D21" s="161">
        <f t="shared" si="2"/>
        <v>3256.0000000000005</v>
      </c>
      <c r="E21" s="163">
        <f t="shared" si="3"/>
        <v>3256.0000000000005</v>
      </c>
      <c r="F21" s="14"/>
      <c r="G21" s="182"/>
      <c r="H21" s="183"/>
      <c r="I21" s="4"/>
    </row>
  </sheetData>
  <mergeCells count="15">
    <mergeCell ref="B18:B21"/>
    <mergeCell ref="G19:H19"/>
    <mergeCell ref="G21:H21"/>
    <mergeCell ref="B1:I1"/>
    <mergeCell ref="B3:C3"/>
    <mergeCell ref="G14:H14"/>
    <mergeCell ref="B15:B17"/>
    <mergeCell ref="G15:H15"/>
    <mergeCell ref="G17:H17"/>
    <mergeCell ref="B8:C8"/>
    <mergeCell ref="B9:B11"/>
    <mergeCell ref="G9:H9"/>
    <mergeCell ref="G11:H11"/>
    <mergeCell ref="B12:B14"/>
    <mergeCell ref="G12:H12"/>
  </mergeCells>
  <conditionalFormatting sqref="F3">
    <cfRule type="cellIs" dxfId="0" priority="1" operator="greaterThan">
      <formula>10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Lists!$R$2:$R$3</xm:f>
          </x14:formula1>
          <xm:sqref>D6:E6</xm:sqref>
        </x14:dataValidation>
        <x14:dataValidation type="list" allowBlank="1" showInputMessage="1" showErrorMessage="1">
          <x14:formula1>
            <xm:f>Lists!$P$2:$P$3</xm:f>
          </x14:formula1>
          <xm:sqref>D7:E7</xm:sqref>
        </x14:dataValidation>
        <x14:dataValidation type="list" allowBlank="1" showInputMessage="1" showErrorMessage="1">
          <x14:formula1>
            <xm:f>Lists!$N$2:$N$6</xm:f>
          </x14:formula1>
          <xm:sqref>D8:E8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V252"/>
  <sheetViews>
    <sheetView tabSelected="1" topLeftCell="C1" zoomScale="70" zoomScaleNormal="70" workbookViewId="0">
      <pane ySplit="1" topLeftCell="A120" activePane="bottomLeft" state="frozen"/>
      <selection pane="bottomLeft" activeCell="D175" sqref="D175"/>
    </sheetView>
  </sheetViews>
  <sheetFormatPr defaultRowHeight="14.4" x14ac:dyDescent="0.55000000000000004"/>
  <cols>
    <col min="1" max="1" width="8.41796875" style="127" bestFit="1" customWidth="1"/>
    <col min="2" max="2" width="20.83984375" style="1" customWidth="1"/>
    <col min="3" max="3" width="66.41796875" style="1" bestFit="1" customWidth="1"/>
    <col min="4" max="4" width="12" customWidth="1"/>
    <col min="5" max="6" width="12" style="1" customWidth="1"/>
    <col min="7" max="7" width="12.578125" style="38" bestFit="1" customWidth="1"/>
    <col min="8" max="8" width="12.26171875" bestFit="1" customWidth="1"/>
    <col min="9" max="9" width="12.68359375" style="1" bestFit="1" customWidth="1"/>
    <col min="10" max="10" width="15.15625" style="1" bestFit="1" customWidth="1"/>
    <col min="11" max="11" width="16.578125" bestFit="1" customWidth="1"/>
    <col min="12" max="12" width="12.83984375" bestFit="1" customWidth="1"/>
    <col min="13" max="13" width="16.41796875" bestFit="1" customWidth="1"/>
    <col min="14" max="14" width="13.41796875" bestFit="1" customWidth="1"/>
    <col min="15" max="15" width="12.26171875" bestFit="1" customWidth="1"/>
    <col min="16" max="16" width="15.41796875" bestFit="1" customWidth="1"/>
    <col min="17" max="17" width="9" bestFit="1" customWidth="1"/>
    <col min="18" max="19" width="8.578125" bestFit="1" customWidth="1"/>
    <col min="26" max="26" width="12" bestFit="1" customWidth="1"/>
    <col min="27" max="27" width="13.26171875" style="59" bestFit="1" customWidth="1"/>
    <col min="28" max="28" width="11" style="85" bestFit="1" customWidth="1"/>
    <col min="29" max="29" width="14.41796875" style="85" bestFit="1" customWidth="1"/>
    <col min="30" max="30" width="6.83984375" style="85" bestFit="1" customWidth="1"/>
    <col min="31" max="31" width="7" style="85" bestFit="1" customWidth="1"/>
    <col min="32" max="32" width="9.15625" style="85" bestFit="1" customWidth="1"/>
    <col min="33" max="35" width="6.83984375" style="85" bestFit="1" customWidth="1"/>
    <col min="36" max="37" width="8.578125" style="85" bestFit="1" customWidth="1"/>
    <col min="38" max="38" width="11.26171875" style="85" bestFit="1" customWidth="1"/>
    <col min="39" max="39" width="10.15625" style="85" bestFit="1" customWidth="1"/>
    <col min="40" max="40" width="10.26171875" style="85" bestFit="1" customWidth="1"/>
    <col min="41" max="47" width="8.578125" style="85" bestFit="1" customWidth="1"/>
    <col min="48" max="48" width="11.68359375" style="85" bestFit="1" customWidth="1"/>
  </cols>
  <sheetData>
    <row r="1" spans="1:48" x14ac:dyDescent="0.55000000000000004">
      <c r="A1" s="127" t="s">
        <v>198</v>
      </c>
      <c r="B1" s="1" t="s">
        <v>305</v>
      </c>
      <c r="C1" s="1" t="s">
        <v>199</v>
      </c>
      <c r="D1" s="56" t="s">
        <v>264</v>
      </c>
      <c r="E1" s="56" t="s">
        <v>265</v>
      </c>
      <c r="F1" s="56" t="s">
        <v>264</v>
      </c>
      <c r="G1" s="79" t="s">
        <v>722</v>
      </c>
      <c r="H1" s="79" t="s">
        <v>719</v>
      </c>
      <c r="I1" s="79" t="s">
        <v>720</v>
      </c>
      <c r="J1" s="79" t="s">
        <v>724</v>
      </c>
      <c r="K1" s="79" t="s">
        <v>721</v>
      </c>
      <c r="L1" s="79" t="s">
        <v>726</v>
      </c>
      <c r="M1" s="79" t="s">
        <v>727</v>
      </c>
      <c r="N1" s="79" t="s">
        <v>728</v>
      </c>
      <c r="O1" s="79" t="s">
        <v>729</v>
      </c>
      <c r="P1" s="79" t="s">
        <v>730</v>
      </c>
      <c r="Q1" s="79" t="s">
        <v>731</v>
      </c>
      <c r="R1" s="79" t="s">
        <v>732</v>
      </c>
      <c r="S1" s="79" t="s">
        <v>733</v>
      </c>
      <c r="T1" s="79" t="s">
        <v>734</v>
      </c>
      <c r="U1" s="79" t="s">
        <v>735</v>
      </c>
      <c r="V1" s="79" t="s">
        <v>736</v>
      </c>
      <c r="W1" s="79" t="s">
        <v>723</v>
      </c>
      <c r="X1" s="79" t="s">
        <v>737</v>
      </c>
      <c r="Y1" s="79" t="s">
        <v>738</v>
      </c>
      <c r="Z1" s="79" t="s">
        <v>739</v>
      </c>
      <c r="AA1" s="80" t="s">
        <v>268</v>
      </c>
      <c r="AB1" s="84" t="s">
        <v>722</v>
      </c>
      <c r="AC1" s="84" t="s">
        <v>719</v>
      </c>
      <c r="AD1" s="84" t="s">
        <v>268</v>
      </c>
      <c r="AE1" s="84" t="s">
        <v>724</v>
      </c>
      <c r="AF1" s="84" t="s">
        <v>725</v>
      </c>
      <c r="AG1" s="84" t="s">
        <v>721</v>
      </c>
      <c r="AH1" s="84" t="s">
        <v>726</v>
      </c>
      <c r="AI1" s="84" t="s">
        <v>727</v>
      </c>
      <c r="AJ1" s="84" t="s">
        <v>728</v>
      </c>
      <c r="AK1" s="84" t="s">
        <v>729</v>
      </c>
      <c r="AL1" s="84" t="s">
        <v>730</v>
      </c>
      <c r="AM1" s="84" t="s">
        <v>731</v>
      </c>
      <c r="AN1" s="84" t="s">
        <v>732</v>
      </c>
      <c r="AO1" s="84" t="s">
        <v>733</v>
      </c>
      <c r="AP1" s="84" t="s">
        <v>734</v>
      </c>
      <c r="AQ1" s="84" t="s">
        <v>735</v>
      </c>
      <c r="AR1" s="84" t="s">
        <v>736</v>
      </c>
      <c r="AS1" s="84" t="s">
        <v>723</v>
      </c>
      <c r="AT1" s="84" t="s">
        <v>737</v>
      </c>
      <c r="AU1" s="84" t="s">
        <v>738</v>
      </c>
      <c r="AV1" s="84" t="s">
        <v>739</v>
      </c>
    </row>
    <row r="2" spans="1:48" x14ac:dyDescent="0.55000000000000004">
      <c r="D2" s="57" t="s">
        <v>339</v>
      </c>
      <c r="E2" s="57" t="s">
        <v>339</v>
      </c>
      <c r="F2" s="57" t="s">
        <v>339</v>
      </c>
      <c r="G2" s="58" t="s">
        <v>257</v>
      </c>
      <c r="H2" s="58" t="s">
        <v>257</v>
      </c>
      <c r="I2" s="58" t="s">
        <v>257</v>
      </c>
      <c r="J2" s="58" t="s">
        <v>257</v>
      </c>
      <c r="K2" s="58" t="s">
        <v>257</v>
      </c>
      <c r="L2" s="58" t="s">
        <v>257</v>
      </c>
      <c r="M2" s="58" t="s">
        <v>257</v>
      </c>
      <c r="N2" s="58" t="s">
        <v>286</v>
      </c>
      <c r="O2" s="58" t="s">
        <v>286</v>
      </c>
      <c r="P2" s="58" t="s">
        <v>286</v>
      </c>
      <c r="Q2" s="58" t="s">
        <v>286</v>
      </c>
      <c r="R2" s="58" t="s">
        <v>286</v>
      </c>
      <c r="S2" s="58" t="s">
        <v>286</v>
      </c>
      <c r="T2" s="58" t="s">
        <v>286</v>
      </c>
      <c r="U2" s="58" t="s">
        <v>286</v>
      </c>
      <c r="V2" s="58" t="s">
        <v>288</v>
      </c>
      <c r="W2" s="58" t="s">
        <v>286</v>
      </c>
      <c r="X2" s="58" t="s">
        <v>288</v>
      </c>
      <c r="Y2" s="58" t="s">
        <v>288</v>
      </c>
      <c r="Z2" s="58" t="s">
        <v>286</v>
      </c>
      <c r="AA2" s="59" t="s">
        <v>257</v>
      </c>
      <c r="AB2" s="85" t="s">
        <v>284</v>
      </c>
      <c r="AC2" s="85" t="s">
        <v>256</v>
      </c>
      <c r="AD2" s="85" t="s">
        <v>256</v>
      </c>
      <c r="AE2" s="85" t="s">
        <v>256</v>
      </c>
      <c r="AF2" s="85" t="s">
        <v>256</v>
      </c>
      <c r="AG2" s="85" t="s">
        <v>256</v>
      </c>
      <c r="AH2" s="85" t="s">
        <v>256</v>
      </c>
      <c r="AI2" s="85" t="s">
        <v>256</v>
      </c>
      <c r="AJ2" s="85" t="s">
        <v>285</v>
      </c>
      <c r="AK2" s="85" t="s">
        <v>285</v>
      </c>
      <c r="AL2" s="85" t="s">
        <v>285</v>
      </c>
      <c r="AM2" s="85" t="s">
        <v>285</v>
      </c>
      <c r="AN2" s="85" t="s">
        <v>285</v>
      </c>
      <c r="AO2" s="85" t="s">
        <v>285</v>
      </c>
      <c r="AP2" s="85" t="s">
        <v>285</v>
      </c>
      <c r="AQ2" s="85" t="s">
        <v>285</v>
      </c>
      <c r="AR2" s="85" t="s">
        <v>287</v>
      </c>
      <c r="AS2" s="85" t="s">
        <v>285</v>
      </c>
      <c r="AT2" s="85" t="s">
        <v>287</v>
      </c>
      <c r="AU2" s="85" t="s">
        <v>287</v>
      </c>
      <c r="AV2" s="85" t="s">
        <v>285</v>
      </c>
    </row>
    <row r="3" spans="1:48" s="1" customFormat="1" x14ac:dyDescent="0.55000000000000004">
      <c r="A3" s="128">
        <v>0</v>
      </c>
      <c r="B3" s="87"/>
      <c r="D3" s="59"/>
      <c r="E3" s="59"/>
      <c r="F3" s="59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9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</row>
    <row r="4" spans="1:48" s="1" customFormat="1" x14ac:dyDescent="0.55000000000000004">
      <c r="A4" s="1" t="s">
        <v>353</v>
      </c>
      <c r="B4" s="1" t="s">
        <v>15</v>
      </c>
      <c r="C4" s="1" t="s">
        <v>474</v>
      </c>
      <c r="D4" s="59">
        <v>0</v>
      </c>
      <c r="E4" s="59">
        <v>250</v>
      </c>
      <c r="F4" s="59">
        <f t="shared" ref="F4:F67" si="0">FLOOR(D4,1)</f>
        <v>0</v>
      </c>
      <c r="G4" s="58">
        <f t="shared" ref="G4:G35" si="1">AB4*$D4/100</f>
        <v>0</v>
      </c>
      <c r="H4" s="58">
        <f t="shared" ref="H4:H35" si="2">AC4*$D4/100</f>
        <v>0</v>
      </c>
      <c r="I4" s="58">
        <f>AD4*$D4/100</f>
        <v>0</v>
      </c>
      <c r="J4" s="58">
        <f>AE4*$D4/100</f>
        <v>0</v>
      </c>
      <c r="K4" s="58">
        <f t="shared" ref="K4:K35" si="3">AG4*$D4/100</f>
        <v>0</v>
      </c>
      <c r="L4" s="58">
        <f t="shared" ref="L4:L35" si="4">AH4*$D4/100</f>
        <v>0</v>
      </c>
      <c r="M4" s="58">
        <f t="shared" ref="M4:M35" si="5">AI4*$D4/100</f>
        <v>0</v>
      </c>
      <c r="N4" s="58">
        <f t="shared" ref="N4:N35" si="6">AJ4*$D4/100</f>
        <v>0</v>
      </c>
      <c r="O4" s="58">
        <f t="shared" ref="O4:O35" si="7">AK4*$D4/100</f>
        <v>0</v>
      </c>
      <c r="P4" s="58">
        <f t="shared" ref="P4:P35" si="8">AL4*$D4/100</f>
        <v>0</v>
      </c>
      <c r="Q4" s="58">
        <f t="shared" ref="Q4:Q35" si="9">AM4*$D4/100</f>
        <v>0</v>
      </c>
      <c r="R4" s="58">
        <f t="shared" ref="R4:R35" si="10">AN4*$D4/100</f>
        <v>0</v>
      </c>
      <c r="S4" s="58">
        <f t="shared" ref="S4:S35" si="11">AO4*$D4/100</f>
        <v>0</v>
      </c>
      <c r="T4" s="58">
        <f t="shared" ref="T4:T35" si="12">AP4*$D4/100</f>
        <v>0</v>
      </c>
      <c r="U4" s="58">
        <f t="shared" ref="U4:U35" si="13">AQ4*$D4/100</f>
        <v>0</v>
      </c>
      <c r="V4" s="58">
        <f t="shared" ref="V4:V35" si="14">AR4*$D4/100</f>
        <v>0</v>
      </c>
      <c r="W4" s="58">
        <f t="shared" ref="W4:W35" si="15">AS4*$D4/100</f>
        <v>0</v>
      </c>
      <c r="X4" s="58">
        <f t="shared" ref="X4:X35" si="16">AT4*$D4/100</f>
        <v>0</v>
      </c>
      <c r="Y4" s="58">
        <f t="shared" ref="Y4:Y35" si="17">AU4*$D4/100</f>
        <v>0</v>
      </c>
      <c r="Z4" s="58">
        <f t="shared" ref="Z4:Z35" si="18">AV4*$D4/100</f>
        <v>0</v>
      </c>
      <c r="AA4" s="59">
        <f t="shared" ref="AA4:AA62" si="19">AD4*$D4/100</f>
        <v>0</v>
      </c>
      <c r="AB4" s="85">
        <v>614</v>
      </c>
      <c r="AC4" s="85">
        <v>20.96</v>
      </c>
      <c r="AD4" s="85">
        <v>55.5</v>
      </c>
      <c r="AE4" s="85">
        <v>4.1520000000000001</v>
      </c>
      <c r="AF4" s="85">
        <v>46.058</v>
      </c>
      <c r="AG4" s="85">
        <v>18.82</v>
      </c>
      <c r="AH4" s="85">
        <v>10.3</v>
      </c>
      <c r="AI4" s="85">
        <v>4.43</v>
      </c>
      <c r="AJ4" s="85">
        <v>347</v>
      </c>
      <c r="AK4" s="85">
        <v>3.49</v>
      </c>
      <c r="AL4" s="85">
        <v>279</v>
      </c>
      <c r="AM4" s="85">
        <v>748</v>
      </c>
      <c r="AN4" s="85">
        <v>7</v>
      </c>
      <c r="AO4" s="85">
        <v>3.29</v>
      </c>
      <c r="AP4" s="85">
        <v>0</v>
      </c>
      <c r="AQ4" s="85">
        <v>0.10299999999999999</v>
      </c>
      <c r="AR4" s="85">
        <v>0</v>
      </c>
      <c r="AS4" s="85">
        <v>24.21</v>
      </c>
      <c r="AT4" s="85">
        <v>0</v>
      </c>
      <c r="AU4" s="85">
        <v>0</v>
      </c>
      <c r="AV4" s="85">
        <v>0</v>
      </c>
    </row>
    <row r="5" spans="1:48" s="1" customFormat="1" x14ac:dyDescent="0.55000000000000004">
      <c r="A5" s="1" t="s">
        <v>354</v>
      </c>
      <c r="B5" s="1" t="s">
        <v>19</v>
      </c>
      <c r="C5" s="1" t="s">
        <v>475</v>
      </c>
      <c r="D5" s="59">
        <v>0</v>
      </c>
      <c r="E5" s="59">
        <v>250</v>
      </c>
      <c r="F5" s="59">
        <f t="shared" si="0"/>
        <v>0</v>
      </c>
      <c r="G5" s="58">
        <f t="shared" si="1"/>
        <v>0</v>
      </c>
      <c r="H5" s="58">
        <f t="shared" si="2"/>
        <v>0</v>
      </c>
      <c r="I5" s="58">
        <f t="shared" ref="I5:I68" si="20">AD5*$D5/100</f>
        <v>0</v>
      </c>
      <c r="J5" s="58">
        <f t="shared" ref="J5:J68" si="21">AE5*$D5/100</f>
        <v>0</v>
      </c>
      <c r="K5" s="58">
        <f t="shared" si="3"/>
        <v>0</v>
      </c>
      <c r="L5" s="58">
        <f t="shared" si="4"/>
        <v>0</v>
      </c>
      <c r="M5" s="58">
        <f t="shared" si="5"/>
        <v>0</v>
      </c>
      <c r="N5" s="58">
        <f t="shared" si="6"/>
        <v>0</v>
      </c>
      <c r="O5" s="58">
        <f t="shared" si="7"/>
        <v>0</v>
      </c>
      <c r="P5" s="58">
        <f t="shared" si="8"/>
        <v>0</v>
      </c>
      <c r="Q5" s="58">
        <f t="shared" si="9"/>
        <v>0</v>
      </c>
      <c r="R5" s="58">
        <f t="shared" si="10"/>
        <v>0</v>
      </c>
      <c r="S5" s="58">
        <f t="shared" si="11"/>
        <v>0</v>
      </c>
      <c r="T5" s="58">
        <f t="shared" si="12"/>
        <v>0</v>
      </c>
      <c r="U5" s="58">
        <f t="shared" si="13"/>
        <v>0</v>
      </c>
      <c r="V5" s="58">
        <f t="shared" si="14"/>
        <v>0</v>
      </c>
      <c r="W5" s="58">
        <f t="shared" si="15"/>
        <v>0</v>
      </c>
      <c r="X5" s="58">
        <f t="shared" si="16"/>
        <v>0</v>
      </c>
      <c r="Y5" s="58">
        <f t="shared" si="17"/>
        <v>0</v>
      </c>
      <c r="Z5" s="58">
        <f t="shared" si="18"/>
        <v>0</v>
      </c>
      <c r="AA5" s="59">
        <f t="shared" si="19"/>
        <v>0</v>
      </c>
      <c r="AB5" s="85">
        <v>598</v>
      </c>
      <c r="AC5" s="85">
        <v>20.96</v>
      </c>
      <c r="AD5" s="85">
        <v>52.54</v>
      </c>
      <c r="AE5" s="85">
        <v>4.0919999999999996</v>
      </c>
      <c r="AF5" s="85">
        <v>46.030999999999999</v>
      </c>
      <c r="AG5" s="85">
        <v>21.01</v>
      </c>
      <c r="AH5" s="85">
        <v>10.9</v>
      </c>
      <c r="AI5" s="85">
        <v>4.8600000000000003</v>
      </c>
      <c r="AJ5" s="85">
        <v>268</v>
      </c>
      <c r="AK5" s="85">
        <v>3.73</v>
      </c>
      <c r="AL5" s="85">
        <v>279</v>
      </c>
      <c r="AM5" s="85">
        <v>713</v>
      </c>
      <c r="AN5" s="85">
        <v>3</v>
      </c>
      <c r="AO5" s="85">
        <v>3.31</v>
      </c>
      <c r="AP5" s="85">
        <v>0</v>
      </c>
      <c r="AQ5" s="85">
        <v>0.13600000000000001</v>
      </c>
      <c r="AR5" s="85">
        <v>0</v>
      </c>
      <c r="AS5" s="85">
        <v>23.9</v>
      </c>
      <c r="AT5" s="85">
        <v>0</v>
      </c>
      <c r="AU5" s="85">
        <v>0</v>
      </c>
      <c r="AV5" s="85">
        <v>0</v>
      </c>
    </row>
    <row r="6" spans="1:48" s="1" customFormat="1" x14ac:dyDescent="0.55000000000000004">
      <c r="A6" s="1" t="s">
        <v>206</v>
      </c>
      <c r="B6" s="1" t="s">
        <v>17</v>
      </c>
      <c r="C6" s="1" t="s">
        <v>207</v>
      </c>
      <c r="D6" s="59">
        <v>0</v>
      </c>
      <c r="E6" s="59">
        <v>250</v>
      </c>
      <c r="F6" s="59">
        <f t="shared" si="0"/>
        <v>0</v>
      </c>
      <c r="G6" s="58">
        <f t="shared" si="1"/>
        <v>0</v>
      </c>
      <c r="H6" s="58">
        <f t="shared" si="2"/>
        <v>0</v>
      </c>
      <c r="I6" s="58">
        <f t="shared" si="20"/>
        <v>0</v>
      </c>
      <c r="J6" s="58">
        <f t="shared" si="21"/>
        <v>0</v>
      </c>
      <c r="K6" s="58">
        <f t="shared" si="3"/>
        <v>0</v>
      </c>
      <c r="L6" s="58">
        <f t="shared" si="4"/>
        <v>0</v>
      </c>
      <c r="M6" s="58">
        <f t="shared" si="5"/>
        <v>0</v>
      </c>
      <c r="N6" s="58">
        <f t="shared" si="6"/>
        <v>0</v>
      </c>
      <c r="O6" s="58">
        <f t="shared" si="7"/>
        <v>0</v>
      </c>
      <c r="P6" s="58">
        <f t="shared" si="8"/>
        <v>0</v>
      </c>
      <c r="Q6" s="58">
        <f t="shared" si="9"/>
        <v>0</v>
      </c>
      <c r="R6" s="58">
        <f t="shared" si="10"/>
        <v>0</v>
      </c>
      <c r="S6" s="58">
        <f t="shared" si="11"/>
        <v>0</v>
      </c>
      <c r="T6" s="58">
        <f t="shared" si="12"/>
        <v>0</v>
      </c>
      <c r="U6" s="58">
        <f t="shared" si="13"/>
        <v>0</v>
      </c>
      <c r="V6" s="58">
        <f t="shared" si="14"/>
        <v>0</v>
      </c>
      <c r="W6" s="58">
        <f t="shared" si="15"/>
        <v>0</v>
      </c>
      <c r="X6" s="58">
        <f t="shared" si="16"/>
        <v>0</v>
      </c>
      <c r="Y6" s="58">
        <f t="shared" si="17"/>
        <v>0</v>
      </c>
      <c r="Z6" s="58">
        <f t="shared" si="18"/>
        <v>0</v>
      </c>
      <c r="AA6" s="59">
        <f t="shared" si="19"/>
        <v>0</v>
      </c>
      <c r="AB6" s="85">
        <v>52</v>
      </c>
      <c r="AC6" s="85">
        <v>0.26</v>
      </c>
      <c r="AD6" s="85">
        <v>0.17</v>
      </c>
      <c r="AE6" s="85">
        <v>2.8000000000000001E-2</v>
      </c>
      <c r="AF6" s="85">
        <v>5.7999999999999996E-2</v>
      </c>
      <c r="AG6" s="85">
        <v>13.81</v>
      </c>
      <c r="AH6" s="85">
        <v>2.4</v>
      </c>
      <c r="AI6" s="85">
        <v>10.39</v>
      </c>
      <c r="AJ6" s="85">
        <v>6</v>
      </c>
      <c r="AK6" s="85">
        <v>0.12</v>
      </c>
      <c r="AL6" s="85">
        <v>5</v>
      </c>
      <c r="AM6" s="85">
        <v>107</v>
      </c>
      <c r="AN6" s="85">
        <v>1</v>
      </c>
      <c r="AO6" s="85">
        <v>0.04</v>
      </c>
      <c r="AP6" s="85">
        <v>4.5999999999999996</v>
      </c>
      <c r="AQ6" s="85">
        <v>4.1000000000000002E-2</v>
      </c>
      <c r="AR6" s="85">
        <v>0</v>
      </c>
      <c r="AS6" s="85">
        <v>0.18</v>
      </c>
      <c r="AT6" s="85">
        <v>0</v>
      </c>
      <c r="AU6" s="85">
        <v>2.2000000000000002</v>
      </c>
      <c r="AV6" s="85">
        <v>0</v>
      </c>
    </row>
    <row r="7" spans="1:48" s="1" customFormat="1" x14ac:dyDescent="0.55000000000000004">
      <c r="A7" s="1" t="s">
        <v>227</v>
      </c>
      <c r="B7" s="1" t="s">
        <v>604</v>
      </c>
      <c r="C7" s="1" t="s">
        <v>228</v>
      </c>
      <c r="D7" s="59">
        <v>0</v>
      </c>
      <c r="E7" s="59">
        <v>250</v>
      </c>
      <c r="F7" s="59">
        <f t="shared" si="0"/>
        <v>0</v>
      </c>
      <c r="G7" s="58">
        <f t="shared" si="1"/>
        <v>0</v>
      </c>
      <c r="H7" s="58">
        <f t="shared" si="2"/>
        <v>0</v>
      </c>
      <c r="I7" s="58">
        <f t="shared" si="20"/>
        <v>0</v>
      </c>
      <c r="J7" s="58">
        <f t="shared" si="21"/>
        <v>0</v>
      </c>
      <c r="K7" s="58">
        <f t="shared" si="3"/>
        <v>0</v>
      </c>
      <c r="L7" s="58">
        <f t="shared" si="4"/>
        <v>0</v>
      </c>
      <c r="M7" s="58">
        <f t="shared" si="5"/>
        <v>0</v>
      </c>
      <c r="N7" s="58">
        <f t="shared" si="6"/>
        <v>0</v>
      </c>
      <c r="O7" s="58">
        <f t="shared" si="7"/>
        <v>0</v>
      </c>
      <c r="P7" s="58">
        <f t="shared" si="8"/>
        <v>0</v>
      </c>
      <c r="Q7" s="58">
        <f t="shared" si="9"/>
        <v>0</v>
      </c>
      <c r="R7" s="58">
        <f t="shared" si="10"/>
        <v>0</v>
      </c>
      <c r="S7" s="58">
        <f t="shared" si="11"/>
        <v>0</v>
      </c>
      <c r="T7" s="58">
        <f t="shared" si="12"/>
        <v>0</v>
      </c>
      <c r="U7" s="58">
        <f t="shared" si="13"/>
        <v>0</v>
      </c>
      <c r="V7" s="58">
        <f t="shared" si="14"/>
        <v>0</v>
      </c>
      <c r="W7" s="58">
        <f t="shared" si="15"/>
        <v>0</v>
      </c>
      <c r="X7" s="58">
        <f t="shared" si="16"/>
        <v>0</v>
      </c>
      <c r="Y7" s="58">
        <f t="shared" si="17"/>
        <v>0</v>
      </c>
      <c r="Z7" s="58">
        <f t="shared" si="18"/>
        <v>0</v>
      </c>
      <c r="AA7" s="59">
        <f t="shared" si="19"/>
        <v>0</v>
      </c>
      <c r="AB7" s="85">
        <v>47</v>
      </c>
      <c r="AC7" s="85">
        <v>3.27</v>
      </c>
      <c r="AD7" s="85">
        <v>0.15</v>
      </c>
      <c r="AE7" s="85">
        <v>3.5999999999999997E-2</v>
      </c>
      <c r="AF7" s="85">
        <v>6.9000000000000006E-2</v>
      </c>
      <c r="AG7" s="85">
        <v>10.51</v>
      </c>
      <c r="AH7" s="85">
        <v>5.4</v>
      </c>
      <c r="AI7" s="85">
        <v>0.99</v>
      </c>
      <c r="AJ7" s="85">
        <v>44</v>
      </c>
      <c r="AK7" s="85">
        <v>1.28</v>
      </c>
      <c r="AL7" s="85">
        <v>60</v>
      </c>
      <c r="AM7" s="85">
        <v>370</v>
      </c>
      <c r="AN7" s="85">
        <v>94</v>
      </c>
      <c r="AO7" s="85">
        <v>0.49</v>
      </c>
      <c r="AP7" s="85">
        <v>11.7</v>
      </c>
      <c r="AQ7" s="85">
        <v>0.11600000000000001</v>
      </c>
      <c r="AR7" s="85">
        <v>0</v>
      </c>
      <c r="AS7" s="85">
        <v>0.19</v>
      </c>
      <c r="AT7" s="85">
        <v>0</v>
      </c>
      <c r="AU7" s="85">
        <v>14.8</v>
      </c>
      <c r="AV7" s="85">
        <v>0</v>
      </c>
    </row>
    <row r="8" spans="1:48" s="1" customFormat="1" x14ac:dyDescent="0.55000000000000004">
      <c r="A8" s="1" t="s">
        <v>355</v>
      </c>
      <c r="B8" s="1" t="s">
        <v>111</v>
      </c>
      <c r="C8" s="1" t="s">
        <v>476</v>
      </c>
      <c r="D8" s="59">
        <v>0</v>
      </c>
      <c r="E8" s="59">
        <v>250</v>
      </c>
      <c r="F8" s="59">
        <f t="shared" si="0"/>
        <v>0</v>
      </c>
      <c r="G8" s="58">
        <f t="shared" si="1"/>
        <v>0</v>
      </c>
      <c r="H8" s="58">
        <f t="shared" si="2"/>
        <v>0</v>
      </c>
      <c r="I8" s="58">
        <f t="shared" si="20"/>
        <v>0</v>
      </c>
      <c r="J8" s="58">
        <f t="shared" si="21"/>
        <v>0</v>
      </c>
      <c r="K8" s="58">
        <f t="shared" si="3"/>
        <v>0</v>
      </c>
      <c r="L8" s="58">
        <f t="shared" si="4"/>
        <v>0</v>
      </c>
      <c r="M8" s="58">
        <f t="shared" si="5"/>
        <v>0</v>
      </c>
      <c r="N8" s="58">
        <f t="shared" si="6"/>
        <v>0</v>
      </c>
      <c r="O8" s="58">
        <f t="shared" si="7"/>
        <v>0</v>
      </c>
      <c r="P8" s="58">
        <f t="shared" si="8"/>
        <v>0</v>
      </c>
      <c r="Q8" s="58">
        <f t="shared" si="9"/>
        <v>0</v>
      </c>
      <c r="R8" s="58">
        <f t="shared" si="10"/>
        <v>0</v>
      </c>
      <c r="S8" s="58">
        <f t="shared" si="11"/>
        <v>0</v>
      </c>
      <c r="T8" s="58">
        <f t="shared" si="12"/>
        <v>0</v>
      </c>
      <c r="U8" s="58">
        <f t="shared" si="13"/>
        <v>0</v>
      </c>
      <c r="V8" s="58">
        <f t="shared" si="14"/>
        <v>0</v>
      </c>
      <c r="W8" s="58">
        <f t="shared" si="15"/>
        <v>0</v>
      </c>
      <c r="X8" s="58">
        <f t="shared" si="16"/>
        <v>0</v>
      </c>
      <c r="Y8" s="58">
        <f t="shared" si="17"/>
        <v>0</v>
      </c>
      <c r="Z8" s="58">
        <f t="shared" si="18"/>
        <v>0</v>
      </c>
      <c r="AA8" s="59">
        <f t="shared" si="19"/>
        <v>0</v>
      </c>
      <c r="AB8" s="85">
        <v>22</v>
      </c>
      <c r="AC8" s="85">
        <v>2.4</v>
      </c>
      <c r="AD8" s="85">
        <v>0.22</v>
      </c>
      <c r="AE8" s="85">
        <v>4.8000000000000001E-2</v>
      </c>
      <c r="AF8" s="85">
        <v>0.105</v>
      </c>
      <c r="AG8" s="85">
        <v>4.1100000000000003</v>
      </c>
      <c r="AH8" s="85">
        <v>2</v>
      </c>
      <c r="AI8" s="85">
        <v>1.3</v>
      </c>
      <c r="AJ8" s="85">
        <v>23</v>
      </c>
      <c r="AK8" s="85">
        <v>0.91</v>
      </c>
      <c r="AL8" s="85">
        <v>14</v>
      </c>
      <c r="AM8" s="85">
        <v>224</v>
      </c>
      <c r="AN8" s="85">
        <v>240</v>
      </c>
      <c r="AO8" s="85">
        <v>0.6</v>
      </c>
      <c r="AP8" s="85">
        <v>7.7</v>
      </c>
      <c r="AQ8" s="85">
        <v>7.9000000000000001E-2</v>
      </c>
      <c r="AR8" s="85">
        <v>0</v>
      </c>
      <c r="AS8" s="85">
        <v>1.5</v>
      </c>
      <c r="AT8" s="85">
        <v>0</v>
      </c>
      <c r="AU8" s="85">
        <v>50.6</v>
      </c>
      <c r="AV8" s="85">
        <v>0</v>
      </c>
    </row>
    <row r="9" spans="1:48" s="1" customFormat="1" x14ac:dyDescent="0.55000000000000004">
      <c r="A9" s="1" t="s">
        <v>208</v>
      </c>
      <c r="B9" s="1" t="s">
        <v>605</v>
      </c>
      <c r="C9" s="1" t="s">
        <v>209</v>
      </c>
      <c r="D9" s="59">
        <v>0</v>
      </c>
      <c r="E9" s="59">
        <v>250</v>
      </c>
      <c r="F9" s="59">
        <f t="shared" si="0"/>
        <v>0</v>
      </c>
      <c r="G9" s="58">
        <f t="shared" si="1"/>
        <v>0</v>
      </c>
      <c r="H9" s="58">
        <f t="shared" si="2"/>
        <v>0</v>
      </c>
      <c r="I9" s="58">
        <f t="shared" si="20"/>
        <v>0</v>
      </c>
      <c r="J9" s="58">
        <f t="shared" si="21"/>
        <v>0</v>
      </c>
      <c r="K9" s="58">
        <f t="shared" si="3"/>
        <v>0</v>
      </c>
      <c r="L9" s="58">
        <f t="shared" si="4"/>
        <v>0</v>
      </c>
      <c r="M9" s="58">
        <f t="shared" si="5"/>
        <v>0</v>
      </c>
      <c r="N9" s="58">
        <f t="shared" si="6"/>
        <v>0</v>
      </c>
      <c r="O9" s="58">
        <f t="shared" si="7"/>
        <v>0</v>
      </c>
      <c r="P9" s="58">
        <f t="shared" si="8"/>
        <v>0</v>
      </c>
      <c r="Q9" s="58">
        <f t="shared" si="9"/>
        <v>0</v>
      </c>
      <c r="R9" s="58">
        <f t="shared" si="10"/>
        <v>0</v>
      </c>
      <c r="S9" s="58">
        <f t="shared" si="11"/>
        <v>0</v>
      </c>
      <c r="T9" s="58">
        <f t="shared" si="12"/>
        <v>0</v>
      </c>
      <c r="U9" s="58">
        <f t="shared" si="13"/>
        <v>0</v>
      </c>
      <c r="V9" s="58">
        <f t="shared" si="14"/>
        <v>0</v>
      </c>
      <c r="W9" s="58">
        <f t="shared" si="15"/>
        <v>0</v>
      </c>
      <c r="X9" s="58">
        <f t="shared" si="16"/>
        <v>0</v>
      </c>
      <c r="Y9" s="58">
        <f t="shared" si="17"/>
        <v>0</v>
      </c>
      <c r="Z9" s="58">
        <f t="shared" si="18"/>
        <v>0</v>
      </c>
      <c r="AA9" s="59">
        <f t="shared" si="19"/>
        <v>0</v>
      </c>
      <c r="AB9" s="85">
        <v>160</v>
      </c>
      <c r="AC9" s="85">
        <v>2</v>
      </c>
      <c r="AD9" s="85">
        <v>14.66</v>
      </c>
      <c r="AE9" s="85">
        <v>2.1259999999999999</v>
      </c>
      <c r="AF9" s="85">
        <v>11.615</v>
      </c>
      <c r="AG9" s="85">
        <v>8.5299999999999994</v>
      </c>
      <c r="AH9" s="85">
        <v>6.7</v>
      </c>
      <c r="AI9" s="85">
        <v>0.66</v>
      </c>
      <c r="AJ9" s="85">
        <v>12</v>
      </c>
      <c r="AK9" s="85">
        <v>0.55000000000000004</v>
      </c>
      <c r="AL9" s="85">
        <v>29</v>
      </c>
      <c r="AM9" s="85">
        <v>485</v>
      </c>
      <c r="AN9" s="85">
        <v>7</v>
      </c>
      <c r="AO9" s="85">
        <v>0.64</v>
      </c>
      <c r="AP9" s="85">
        <v>10</v>
      </c>
      <c r="AQ9" s="85">
        <v>0.25700000000000001</v>
      </c>
      <c r="AR9" s="85">
        <v>0</v>
      </c>
      <c r="AS9" s="85">
        <v>2.0699999999999998</v>
      </c>
      <c r="AT9" s="85">
        <v>0</v>
      </c>
      <c r="AU9" s="85">
        <v>21</v>
      </c>
      <c r="AV9" s="85">
        <v>0</v>
      </c>
    </row>
    <row r="10" spans="1:48" s="1" customFormat="1" x14ac:dyDescent="0.55000000000000004">
      <c r="A10" s="1" t="s">
        <v>356</v>
      </c>
      <c r="B10" s="1" t="s">
        <v>151</v>
      </c>
      <c r="C10" s="1" t="s">
        <v>477</v>
      </c>
      <c r="D10" s="59">
        <v>0</v>
      </c>
      <c r="E10" s="59">
        <v>250</v>
      </c>
      <c r="F10" s="59">
        <f t="shared" si="0"/>
        <v>0</v>
      </c>
      <c r="G10" s="58">
        <f t="shared" si="1"/>
        <v>0</v>
      </c>
      <c r="H10" s="58">
        <f t="shared" si="2"/>
        <v>0</v>
      </c>
      <c r="I10" s="58">
        <f t="shared" si="20"/>
        <v>0</v>
      </c>
      <c r="J10" s="58">
        <f t="shared" si="21"/>
        <v>0</v>
      </c>
      <c r="K10" s="58">
        <f t="shared" si="3"/>
        <v>0</v>
      </c>
      <c r="L10" s="58">
        <f t="shared" si="4"/>
        <v>0</v>
      </c>
      <c r="M10" s="58">
        <f t="shared" si="5"/>
        <v>0</v>
      </c>
      <c r="N10" s="58">
        <f t="shared" si="6"/>
        <v>0</v>
      </c>
      <c r="O10" s="58">
        <f t="shared" si="7"/>
        <v>0</v>
      </c>
      <c r="P10" s="58">
        <f t="shared" si="8"/>
        <v>0</v>
      </c>
      <c r="Q10" s="58">
        <f t="shared" si="9"/>
        <v>0</v>
      </c>
      <c r="R10" s="58">
        <f t="shared" si="10"/>
        <v>0</v>
      </c>
      <c r="S10" s="58">
        <f t="shared" si="11"/>
        <v>0</v>
      </c>
      <c r="T10" s="58">
        <f t="shared" si="12"/>
        <v>0</v>
      </c>
      <c r="U10" s="58">
        <f t="shared" si="13"/>
        <v>0</v>
      </c>
      <c r="V10" s="58">
        <f t="shared" si="14"/>
        <v>0</v>
      </c>
      <c r="W10" s="58">
        <f t="shared" si="15"/>
        <v>0</v>
      </c>
      <c r="X10" s="58">
        <f t="shared" si="16"/>
        <v>0</v>
      </c>
      <c r="Y10" s="58">
        <f t="shared" si="17"/>
        <v>0</v>
      </c>
      <c r="Z10" s="58">
        <f t="shared" si="18"/>
        <v>0</v>
      </c>
      <c r="AA10" s="59">
        <f t="shared" si="19"/>
        <v>0</v>
      </c>
      <c r="AB10" s="85">
        <v>255</v>
      </c>
      <c r="AC10" s="85">
        <v>10.7</v>
      </c>
      <c r="AD10" s="85">
        <v>1.2</v>
      </c>
      <c r="AE10" s="85">
        <v>0.191</v>
      </c>
      <c r="AF10" s="85">
        <v>0.73499999999999999</v>
      </c>
      <c r="AG10" s="85">
        <v>53.3</v>
      </c>
      <c r="AH10" s="85">
        <v>3.6</v>
      </c>
      <c r="AI10" s="85">
        <v>1.63</v>
      </c>
      <c r="AJ10" s="85">
        <v>12</v>
      </c>
      <c r="AK10" s="85">
        <v>3.08</v>
      </c>
      <c r="AL10" s="85">
        <v>31</v>
      </c>
      <c r="AM10" s="85">
        <v>115</v>
      </c>
      <c r="AN10" s="85">
        <v>590</v>
      </c>
      <c r="AO10" s="85">
        <v>0.9</v>
      </c>
      <c r="AP10" s="85">
        <v>0.2</v>
      </c>
      <c r="AQ10" s="85">
        <v>4.2999999999999997E-2</v>
      </c>
      <c r="AR10" s="85">
        <v>0</v>
      </c>
      <c r="AS10" s="85">
        <v>0.33</v>
      </c>
      <c r="AT10" s="85">
        <v>0</v>
      </c>
      <c r="AU10" s="85">
        <v>0.4</v>
      </c>
      <c r="AV10" s="85">
        <v>0</v>
      </c>
    </row>
    <row r="11" spans="1:48" s="1" customFormat="1" x14ac:dyDescent="0.55000000000000004">
      <c r="A11" s="1" t="s">
        <v>357</v>
      </c>
      <c r="B11" s="1" t="s">
        <v>596</v>
      </c>
      <c r="C11" s="1" t="s">
        <v>478</v>
      </c>
      <c r="D11" s="59">
        <v>0</v>
      </c>
      <c r="E11" s="59">
        <v>250</v>
      </c>
      <c r="F11" s="59">
        <f t="shared" si="0"/>
        <v>0</v>
      </c>
      <c r="G11" s="58">
        <f t="shared" si="1"/>
        <v>0</v>
      </c>
      <c r="H11" s="58">
        <f t="shared" si="2"/>
        <v>0</v>
      </c>
      <c r="I11" s="58">
        <f t="shared" si="20"/>
        <v>0</v>
      </c>
      <c r="J11" s="58">
        <f t="shared" si="21"/>
        <v>0</v>
      </c>
      <c r="K11" s="58">
        <f t="shared" si="3"/>
        <v>0</v>
      </c>
      <c r="L11" s="58">
        <f t="shared" si="4"/>
        <v>0</v>
      </c>
      <c r="M11" s="58">
        <f t="shared" si="5"/>
        <v>0</v>
      </c>
      <c r="N11" s="58">
        <f t="shared" si="6"/>
        <v>0</v>
      </c>
      <c r="O11" s="58">
        <f t="shared" si="7"/>
        <v>0</v>
      </c>
      <c r="P11" s="58">
        <f t="shared" si="8"/>
        <v>0</v>
      </c>
      <c r="Q11" s="58">
        <f t="shared" si="9"/>
        <v>0</v>
      </c>
      <c r="R11" s="58">
        <f t="shared" si="10"/>
        <v>0</v>
      </c>
      <c r="S11" s="58">
        <f t="shared" si="11"/>
        <v>0</v>
      </c>
      <c r="T11" s="58">
        <f t="shared" si="12"/>
        <v>0</v>
      </c>
      <c r="U11" s="58">
        <f t="shared" si="13"/>
        <v>0</v>
      </c>
      <c r="V11" s="58">
        <f t="shared" si="14"/>
        <v>0</v>
      </c>
      <c r="W11" s="58">
        <f t="shared" si="15"/>
        <v>0</v>
      </c>
      <c r="X11" s="58">
        <f t="shared" si="16"/>
        <v>0</v>
      </c>
      <c r="Y11" s="58">
        <f t="shared" si="17"/>
        <v>0</v>
      </c>
      <c r="Z11" s="58">
        <f t="shared" si="18"/>
        <v>0</v>
      </c>
      <c r="AA11" s="59">
        <f t="shared" si="19"/>
        <v>0</v>
      </c>
      <c r="AB11" s="85">
        <v>27</v>
      </c>
      <c r="AC11" s="85">
        <v>2.6</v>
      </c>
      <c r="AD11" s="85">
        <v>0.3</v>
      </c>
      <c r="AE11" s="85">
        <v>6.9000000000000006E-2</v>
      </c>
      <c r="AF11" s="85">
        <v>0.14100000000000001</v>
      </c>
      <c r="AG11" s="85">
        <v>5.2</v>
      </c>
      <c r="AH11" s="85">
        <v>2.2000000000000002</v>
      </c>
      <c r="AI11" s="85">
        <v>3</v>
      </c>
      <c r="AJ11" s="85">
        <v>13</v>
      </c>
      <c r="AK11" s="85">
        <v>0.5</v>
      </c>
      <c r="AL11" s="85">
        <v>3</v>
      </c>
      <c r="AM11" s="85">
        <v>533</v>
      </c>
      <c r="AN11" s="85">
        <v>4</v>
      </c>
      <c r="AO11" s="85">
        <v>1.1000000000000001</v>
      </c>
      <c r="AP11" s="85">
        <v>4</v>
      </c>
      <c r="AQ11" s="85">
        <v>0.24</v>
      </c>
      <c r="AR11" s="85">
        <v>0</v>
      </c>
      <c r="AS11" s="85">
        <v>1</v>
      </c>
      <c r="AT11" s="85">
        <v>0</v>
      </c>
      <c r="AU11" s="85">
        <v>0</v>
      </c>
      <c r="AV11" s="85">
        <v>0</v>
      </c>
    </row>
    <row r="12" spans="1:48" s="1" customFormat="1" x14ac:dyDescent="0.55000000000000004">
      <c r="A12" s="1" t="s">
        <v>210</v>
      </c>
      <c r="B12" s="1" t="s">
        <v>14</v>
      </c>
      <c r="C12" s="1" t="s">
        <v>211</v>
      </c>
      <c r="D12" s="59">
        <v>0</v>
      </c>
      <c r="E12" s="59">
        <v>250</v>
      </c>
      <c r="F12" s="59">
        <f t="shared" si="0"/>
        <v>0</v>
      </c>
      <c r="G12" s="58">
        <f t="shared" si="1"/>
        <v>0</v>
      </c>
      <c r="H12" s="58">
        <f t="shared" si="2"/>
        <v>0</v>
      </c>
      <c r="I12" s="58">
        <f t="shared" si="20"/>
        <v>0</v>
      </c>
      <c r="J12" s="58">
        <f t="shared" si="21"/>
        <v>0</v>
      </c>
      <c r="K12" s="58">
        <f t="shared" si="3"/>
        <v>0</v>
      </c>
      <c r="L12" s="58">
        <f t="shared" si="4"/>
        <v>0</v>
      </c>
      <c r="M12" s="58">
        <f t="shared" si="5"/>
        <v>0</v>
      </c>
      <c r="N12" s="58">
        <f t="shared" si="6"/>
        <v>0</v>
      </c>
      <c r="O12" s="58">
        <f t="shared" si="7"/>
        <v>0</v>
      </c>
      <c r="P12" s="58">
        <f t="shared" si="8"/>
        <v>0</v>
      </c>
      <c r="Q12" s="58">
        <f t="shared" si="9"/>
        <v>0</v>
      </c>
      <c r="R12" s="58">
        <f t="shared" si="10"/>
        <v>0</v>
      </c>
      <c r="S12" s="58">
        <f t="shared" si="11"/>
        <v>0</v>
      </c>
      <c r="T12" s="58">
        <f t="shared" si="12"/>
        <v>0</v>
      </c>
      <c r="U12" s="58">
        <f t="shared" si="13"/>
        <v>0</v>
      </c>
      <c r="V12" s="58">
        <f t="shared" si="14"/>
        <v>0</v>
      </c>
      <c r="W12" s="58">
        <f t="shared" si="15"/>
        <v>0</v>
      </c>
      <c r="X12" s="58">
        <f t="shared" si="16"/>
        <v>0</v>
      </c>
      <c r="Y12" s="58">
        <f t="shared" si="17"/>
        <v>0</v>
      </c>
      <c r="Z12" s="58">
        <f t="shared" si="18"/>
        <v>0</v>
      </c>
      <c r="AA12" s="59">
        <f t="shared" si="19"/>
        <v>0</v>
      </c>
      <c r="AB12" s="85">
        <v>89</v>
      </c>
      <c r="AC12" s="85">
        <v>1.0900000000000001</v>
      </c>
      <c r="AD12" s="85">
        <v>0.33</v>
      </c>
      <c r="AE12" s="85">
        <v>0.112</v>
      </c>
      <c r="AF12" s="85">
        <v>0.105</v>
      </c>
      <c r="AG12" s="85">
        <v>22.84</v>
      </c>
      <c r="AH12" s="85">
        <v>2.6</v>
      </c>
      <c r="AI12" s="85">
        <v>12.23</v>
      </c>
      <c r="AJ12" s="85">
        <v>5</v>
      </c>
      <c r="AK12" s="85">
        <v>0.26</v>
      </c>
      <c r="AL12" s="85">
        <v>27</v>
      </c>
      <c r="AM12" s="85">
        <v>358</v>
      </c>
      <c r="AN12" s="85">
        <v>1</v>
      </c>
      <c r="AO12" s="85">
        <v>0.15</v>
      </c>
      <c r="AP12" s="85">
        <v>8.6999999999999993</v>
      </c>
      <c r="AQ12" s="85">
        <v>0.36699999999999999</v>
      </c>
      <c r="AR12" s="85">
        <v>0</v>
      </c>
      <c r="AS12" s="85">
        <v>0.1</v>
      </c>
      <c r="AT12" s="85">
        <v>0</v>
      </c>
      <c r="AU12" s="85">
        <v>0.5</v>
      </c>
      <c r="AV12" s="85">
        <v>0</v>
      </c>
    </row>
    <row r="13" spans="1:48" s="1" customFormat="1" x14ac:dyDescent="0.55000000000000004">
      <c r="A13" s="1" t="s">
        <v>358</v>
      </c>
      <c r="B13" s="1" t="s">
        <v>606</v>
      </c>
      <c r="C13" s="1" t="s">
        <v>479</v>
      </c>
      <c r="D13" s="59">
        <v>0</v>
      </c>
      <c r="E13" s="59">
        <v>250</v>
      </c>
      <c r="F13" s="59">
        <f t="shared" si="0"/>
        <v>0</v>
      </c>
      <c r="G13" s="58">
        <f t="shared" si="1"/>
        <v>0</v>
      </c>
      <c r="H13" s="58">
        <f t="shared" si="2"/>
        <v>0</v>
      </c>
      <c r="I13" s="58">
        <f t="shared" si="20"/>
        <v>0</v>
      </c>
      <c r="J13" s="58">
        <f t="shared" si="21"/>
        <v>0</v>
      </c>
      <c r="K13" s="58">
        <f t="shared" si="3"/>
        <v>0</v>
      </c>
      <c r="L13" s="58">
        <f t="shared" si="4"/>
        <v>0</v>
      </c>
      <c r="M13" s="58">
        <f t="shared" si="5"/>
        <v>0</v>
      </c>
      <c r="N13" s="58">
        <f t="shared" si="6"/>
        <v>0</v>
      </c>
      <c r="O13" s="58">
        <f t="shared" si="7"/>
        <v>0</v>
      </c>
      <c r="P13" s="58">
        <f t="shared" si="8"/>
        <v>0</v>
      </c>
      <c r="Q13" s="58">
        <f t="shared" si="9"/>
        <v>0</v>
      </c>
      <c r="R13" s="58">
        <f t="shared" si="10"/>
        <v>0</v>
      </c>
      <c r="S13" s="58">
        <f t="shared" si="11"/>
        <v>0</v>
      </c>
      <c r="T13" s="58">
        <f t="shared" si="12"/>
        <v>0</v>
      </c>
      <c r="U13" s="58">
        <f t="shared" si="13"/>
        <v>0</v>
      </c>
      <c r="V13" s="58">
        <f t="shared" si="14"/>
        <v>0</v>
      </c>
      <c r="W13" s="58">
        <f t="shared" si="15"/>
        <v>0</v>
      </c>
      <c r="X13" s="58">
        <f t="shared" si="16"/>
        <v>0</v>
      </c>
      <c r="Y13" s="58">
        <f t="shared" si="17"/>
        <v>0</v>
      </c>
      <c r="Z13" s="58">
        <f t="shared" si="18"/>
        <v>0</v>
      </c>
      <c r="AA13" s="59">
        <f t="shared" si="19"/>
        <v>0</v>
      </c>
      <c r="AB13" s="85">
        <v>91</v>
      </c>
      <c r="AC13" s="85">
        <v>6.03</v>
      </c>
      <c r="AD13" s="85">
        <v>0.28999999999999998</v>
      </c>
      <c r="AE13" s="85">
        <v>7.4999999999999997E-2</v>
      </c>
      <c r="AF13" s="85">
        <v>0.15</v>
      </c>
      <c r="AG13" s="85">
        <v>16.55</v>
      </c>
      <c r="AH13" s="85">
        <v>6.9</v>
      </c>
      <c r="AI13" s="85">
        <v>0.23</v>
      </c>
      <c r="AJ13" s="85">
        <v>35</v>
      </c>
      <c r="AK13" s="85">
        <v>1.9</v>
      </c>
      <c r="AL13" s="85">
        <v>35</v>
      </c>
      <c r="AM13" s="85">
        <v>308</v>
      </c>
      <c r="AN13" s="85">
        <v>384</v>
      </c>
      <c r="AO13" s="85">
        <v>0.54</v>
      </c>
      <c r="AP13" s="85">
        <v>2.7</v>
      </c>
      <c r="AQ13" s="85">
        <v>5.5E-2</v>
      </c>
      <c r="AR13" s="85">
        <v>0</v>
      </c>
      <c r="AS13" s="85">
        <v>0.62</v>
      </c>
      <c r="AT13" s="85">
        <v>0</v>
      </c>
      <c r="AU13" s="85">
        <v>2.2999999999999998</v>
      </c>
      <c r="AV13" s="85">
        <v>0</v>
      </c>
    </row>
    <row r="14" spans="1:48" s="1" customFormat="1" x14ac:dyDescent="0.55000000000000004">
      <c r="A14" s="1" t="s">
        <v>359</v>
      </c>
      <c r="B14" s="1" t="s">
        <v>607</v>
      </c>
      <c r="C14" s="1" t="s">
        <v>480</v>
      </c>
      <c r="D14" s="59">
        <v>0</v>
      </c>
      <c r="E14" s="59">
        <v>250</v>
      </c>
      <c r="F14" s="59">
        <f t="shared" si="0"/>
        <v>0</v>
      </c>
      <c r="G14" s="58">
        <f t="shared" si="1"/>
        <v>0</v>
      </c>
      <c r="H14" s="58">
        <f t="shared" si="2"/>
        <v>0</v>
      </c>
      <c r="I14" s="58">
        <f t="shared" si="20"/>
        <v>0</v>
      </c>
      <c r="J14" s="58">
        <f t="shared" si="21"/>
        <v>0</v>
      </c>
      <c r="K14" s="58">
        <f t="shared" si="3"/>
        <v>0</v>
      </c>
      <c r="L14" s="58">
        <f t="shared" si="4"/>
        <v>0</v>
      </c>
      <c r="M14" s="58">
        <f t="shared" si="5"/>
        <v>0</v>
      </c>
      <c r="N14" s="58">
        <f t="shared" si="6"/>
        <v>0</v>
      </c>
      <c r="O14" s="58">
        <f t="shared" si="7"/>
        <v>0</v>
      </c>
      <c r="P14" s="58">
        <f t="shared" si="8"/>
        <v>0</v>
      </c>
      <c r="Q14" s="58">
        <f t="shared" si="9"/>
        <v>0</v>
      </c>
      <c r="R14" s="58">
        <f t="shared" si="10"/>
        <v>0</v>
      </c>
      <c r="S14" s="58">
        <f t="shared" si="11"/>
        <v>0</v>
      </c>
      <c r="T14" s="58">
        <f t="shared" si="12"/>
        <v>0</v>
      </c>
      <c r="U14" s="58">
        <f t="shared" si="13"/>
        <v>0</v>
      </c>
      <c r="V14" s="58">
        <f t="shared" si="14"/>
        <v>0</v>
      </c>
      <c r="W14" s="58">
        <f t="shared" si="15"/>
        <v>0</v>
      </c>
      <c r="X14" s="58">
        <f t="shared" si="16"/>
        <v>0</v>
      </c>
      <c r="Y14" s="58">
        <f t="shared" si="17"/>
        <v>0</v>
      </c>
      <c r="Z14" s="58">
        <f t="shared" si="18"/>
        <v>0</v>
      </c>
      <c r="AA14" s="59">
        <f t="shared" si="19"/>
        <v>0</v>
      </c>
      <c r="AB14" s="85">
        <v>84</v>
      </c>
      <c r="AC14" s="85">
        <v>5.22</v>
      </c>
      <c r="AD14" s="85">
        <v>0.6</v>
      </c>
      <c r="AE14" s="85">
        <v>0.14099999999999999</v>
      </c>
      <c r="AF14" s="85">
        <v>0.64500000000000002</v>
      </c>
      <c r="AG14" s="85">
        <v>14.5</v>
      </c>
      <c r="AH14" s="85">
        <v>4.3</v>
      </c>
      <c r="AI14" s="85">
        <v>1.85</v>
      </c>
      <c r="AJ14" s="85">
        <v>34</v>
      </c>
      <c r="AK14" s="85">
        <v>1.17</v>
      </c>
      <c r="AL14" s="85">
        <v>27</v>
      </c>
      <c r="AM14" s="85">
        <v>237</v>
      </c>
      <c r="AN14" s="85">
        <v>296</v>
      </c>
      <c r="AO14" s="85">
        <v>0.46</v>
      </c>
      <c r="AP14" s="85">
        <v>1.2</v>
      </c>
      <c r="AQ14" s="85">
        <v>7.3999999999999996E-2</v>
      </c>
      <c r="AR14" s="85">
        <v>0</v>
      </c>
      <c r="AS14" s="85">
        <v>0.02</v>
      </c>
      <c r="AT14" s="85">
        <v>0</v>
      </c>
      <c r="AU14" s="85">
        <v>4.0999999999999996</v>
      </c>
      <c r="AV14" s="85">
        <v>0</v>
      </c>
    </row>
    <row r="15" spans="1:48" s="1" customFormat="1" x14ac:dyDescent="0.55000000000000004">
      <c r="A15" s="1" t="s">
        <v>360</v>
      </c>
      <c r="B15" s="1" t="s">
        <v>608</v>
      </c>
      <c r="C15" s="1" t="s">
        <v>481</v>
      </c>
      <c r="D15" s="59">
        <v>0</v>
      </c>
      <c r="E15" s="59">
        <v>250</v>
      </c>
      <c r="F15" s="59">
        <f t="shared" si="0"/>
        <v>0</v>
      </c>
      <c r="G15" s="58">
        <f t="shared" si="1"/>
        <v>0</v>
      </c>
      <c r="H15" s="58">
        <f t="shared" si="2"/>
        <v>0</v>
      </c>
      <c r="I15" s="58">
        <f t="shared" si="20"/>
        <v>0</v>
      </c>
      <c r="J15" s="58">
        <f t="shared" si="21"/>
        <v>0</v>
      </c>
      <c r="K15" s="58">
        <f t="shared" si="3"/>
        <v>0</v>
      </c>
      <c r="L15" s="58">
        <f t="shared" si="4"/>
        <v>0</v>
      </c>
      <c r="M15" s="58">
        <f t="shared" si="5"/>
        <v>0</v>
      </c>
      <c r="N15" s="58">
        <f t="shared" si="6"/>
        <v>0</v>
      </c>
      <c r="O15" s="58">
        <f t="shared" si="7"/>
        <v>0</v>
      </c>
      <c r="P15" s="58">
        <f t="shared" si="8"/>
        <v>0</v>
      </c>
      <c r="Q15" s="58">
        <f t="shared" si="9"/>
        <v>0</v>
      </c>
      <c r="R15" s="58">
        <f t="shared" si="10"/>
        <v>0</v>
      </c>
      <c r="S15" s="58">
        <f t="shared" si="11"/>
        <v>0</v>
      </c>
      <c r="T15" s="58">
        <f t="shared" si="12"/>
        <v>0</v>
      </c>
      <c r="U15" s="58">
        <f t="shared" si="13"/>
        <v>0</v>
      </c>
      <c r="V15" s="58">
        <f t="shared" si="14"/>
        <v>0</v>
      </c>
      <c r="W15" s="58">
        <f t="shared" si="15"/>
        <v>0</v>
      </c>
      <c r="X15" s="58">
        <f t="shared" si="16"/>
        <v>0</v>
      </c>
      <c r="Y15" s="58">
        <f t="shared" si="17"/>
        <v>0</v>
      </c>
      <c r="Z15" s="58">
        <f t="shared" si="18"/>
        <v>0</v>
      </c>
      <c r="AA15" s="59">
        <f t="shared" si="19"/>
        <v>0</v>
      </c>
      <c r="AB15" s="85">
        <v>113</v>
      </c>
      <c r="AC15" s="85">
        <v>7.53</v>
      </c>
      <c r="AD15" s="85">
        <v>0.43</v>
      </c>
      <c r="AE15" s="85">
        <v>0.112</v>
      </c>
      <c r="AF15" s="85">
        <v>0.224</v>
      </c>
      <c r="AG15" s="85">
        <v>20.45</v>
      </c>
      <c r="AH15" s="85">
        <v>5.0999999999999996</v>
      </c>
      <c r="AI15" s="85">
        <v>0.28000000000000003</v>
      </c>
      <c r="AJ15" s="85">
        <v>47</v>
      </c>
      <c r="AK15" s="85">
        <v>1.85</v>
      </c>
      <c r="AL15" s="85">
        <v>47</v>
      </c>
      <c r="AM15" s="85">
        <v>288</v>
      </c>
      <c r="AN15" s="85">
        <v>336</v>
      </c>
      <c r="AO15" s="85">
        <v>0.77</v>
      </c>
      <c r="AP15" s="85">
        <v>0.7</v>
      </c>
      <c r="AQ15" s="85">
        <v>0.10299999999999999</v>
      </c>
      <c r="AR15" s="85">
        <v>0</v>
      </c>
      <c r="AS15" s="85">
        <v>0.78</v>
      </c>
      <c r="AT15" s="85">
        <v>0</v>
      </c>
      <c r="AU15" s="85">
        <v>2.9</v>
      </c>
      <c r="AV15" s="85">
        <v>0</v>
      </c>
    </row>
    <row r="16" spans="1:48" s="1" customFormat="1" x14ac:dyDescent="0.55000000000000004">
      <c r="A16" s="1" t="s">
        <v>361</v>
      </c>
      <c r="B16" s="1" t="s">
        <v>597</v>
      </c>
      <c r="C16" s="1" t="s">
        <v>482</v>
      </c>
      <c r="D16" s="59">
        <v>0</v>
      </c>
      <c r="E16" s="59">
        <v>250</v>
      </c>
      <c r="F16" s="59">
        <f t="shared" si="0"/>
        <v>0</v>
      </c>
      <c r="G16" s="58">
        <f t="shared" si="1"/>
        <v>0</v>
      </c>
      <c r="H16" s="58">
        <f t="shared" si="2"/>
        <v>0</v>
      </c>
      <c r="I16" s="58">
        <f t="shared" si="20"/>
        <v>0</v>
      </c>
      <c r="J16" s="58">
        <f t="shared" si="21"/>
        <v>0</v>
      </c>
      <c r="K16" s="58">
        <f t="shared" si="3"/>
        <v>0</v>
      </c>
      <c r="L16" s="58">
        <f t="shared" si="4"/>
        <v>0</v>
      </c>
      <c r="M16" s="58">
        <f t="shared" si="5"/>
        <v>0</v>
      </c>
      <c r="N16" s="58">
        <f t="shared" si="6"/>
        <v>0</v>
      </c>
      <c r="O16" s="58">
        <f t="shared" si="7"/>
        <v>0</v>
      </c>
      <c r="P16" s="58">
        <f t="shared" si="8"/>
        <v>0</v>
      </c>
      <c r="Q16" s="58">
        <f t="shared" si="9"/>
        <v>0</v>
      </c>
      <c r="R16" s="58">
        <f t="shared" si="10"/>
        <v>0</v>
      </c>
      <c r="S16" s="58">
        <f t="shared" si="11"/>
        <v>0</v>
      </c>
      <c r="T16" s="58">
        <f t="shared" si="12"/>
        <v>0</v>
      </c>
      <c r="U16" s="58">
        <f t="shared" si="13"/>
        <v>0</v>
      </c>
      <c r="V16" s="58">
        <f t="shared" si="14"/>
        <v>0</v>
      </c>
      <c r="W16" s="58">
        <f t="shared" si="15"/>
        <v>0</v>
      </c>
      <c r="X16" s="58">
        <f t="shared" si="16"/>
        <v>0</v>
      </c>
      <c r="Y16" s="58">
        <f t="shared" si="17"/>
        <v>0</v>
      </c>
      <c r="Z16" s="58">
        <f t="shared" si="18"/>
        <v>0</v>
      </c>
      <c r="AA16" s="59">
        <f t="shared" si="19"/>
        <v>0</v>
      </c>
      <c r="AB16" s="85">
        <v>410</v>
      </c>
      <c r="AC16" s="85">
        <v>33.200000000000003</v>
      </c>
      <c r="AD16" s="85">
        <v>25.6</v>
      </c>
      <c r="AE16" s="85">
        <v>10.85</v>
      </c>
      <c r="AF16" s="85">
        <v>12.315999999999999</v>
      </c>
      <c r="AG16" s="85">
        <v>11</v>
      </c>
      <c r="AH16" s="85">
        <v>1.8</v>
      </c>
      <c r="AI16" s="85">
        <v>9</v>
      </c>
      <c r="AJ16" s="85">
        <v>20</v>
      </c>
      <c r="AK16" s="85">
        <v>5.42</v>
      </c>
      <c r="AL16" s="85">
        <v>51</v>
      </c>
      <c r="AM16" s="85">
        <v>597</v>
      </c>
      <c r="AN16" s="85">
        <v>2081</v>
      </c>
      <c r="AO16" s="85">
        <v>8.11</v>
      </c>
      <c r="AP16" s="85">
        <v>0</v>
      </c>
      <c r="AQ16" s="85">
        <v>0.17899999999999999</v>
      </c>
      <c r="AR16" s="85">
        <v>0.99</v>
      </c>
      <c r="AS16" s="85">
        <v>0.49</v>
      </c>
      <c r="AT16" s="85">
        <v>11</v>
      </c>
      <c r="AU16" s="85">
        <v>2.2999999999999998</v>
      </c>
      <c r="AV16" s="85">
        <v>48</v>
      </c>
    </row>
    <row r="17" spans="1:48" s="1" customFormat="1" x14ac:dyDescent="0.55000000000000004">
      <c r="A17" s="1" t="s">
        <v>362</v>
      </c>
      <c r="B17" s="1" t="s">
        <v>609</v>
      </c>
      <c r="C17" s="1" t="s">
        <v>483</v>
      </c>
      <c r="D17" s="59">
        <v>0</v>
      </c>
      <c r="E17" s="59">
        <v>0</v>
      </c>
      <c r="F17" s="59">
        <f t="shared" si="0"/>
        <v>0</v>
      </c>
      <c r="G17" s="58">
        <f t="shared" si="1"/>
        <v>0</v>
      </c>
      <c r="H17" s="58">
        <f t="shared" si="2"/>
        <v>0</v>
      </c>
      <c r="I17" s="58">
        <f t="shared" si="20"/>
        <v>0</v>
      </c>
      <c r="J17" s="58">
        <f t="shared" si="21"/>
        <v>0</v>
      </c>
      <c r="K17" s="58">
        <f t="shared" si="3"/>
        <v>0</v>
      </c>
      <c r="L17" s="58">
        <f t="shared" si="4"/>
        <v>0</v>
      </c>
      <c r="M17" s="58">
        <f t="shared" si="5"/>
        <v>0</v>
      </c>
      <c r="N17" s="58">
        <f t="shared" si="6"/>
        <v>0</v>
      </c>
      <c r="O17" s="58">
        <f t="shared" si="7"/>
        <v>0</v>
      </c>
      <c r="P17" s="58">
        <f t="shared" si="8"/>
        <v>0</v>
      </c>
      <c r="Q17" s="58">
        <f t="shared" si="9"/>
        <v>0</v>
      </c>
      <c r="R17" s="58">
        <f t="shared" si="10"/>
        <v>0</v>
      </c>
      <c r="S17" s="58">
        <f t="shared" si="11"/>
        <v>0</v>
      </c>
      <c r="T17" s="58">
        <f t="shared" si="12"/>
        <v>0</v>
      </c>
      <c r="U17" s="58">
        <f t="shared" si="13"/>
        <v>0</v>
      </c>
      <c r="V17" s="58">
        <f t="shared" si="14"/>
        <v>0</v>
      </c>
      <c r="W17" s="58">
        <f t="shared" si="15"/>
        <v>0</v>
      </c>
      <c r="X17" s="58">
        <f t="shared" si="16"/>
        <v>0</v>
      </c>
      <c r="Y17" s="58">
        <f t="shared" si="17"/>
        <v>0</v>
      </c>
      <c r="Z17" s="58">
        <f t="shared" si="18"/>
        <v>0</v>
      </c>
      <c r="AA17" s="59">
        <f t="shared" si="19"/>
        <v>0</v>
      </c>
      <c r="AB17" s="85">
        <v>171</v>
      </c>
      <c r="AC17" s="85">
        <v>29.79</v>
      </c>
      <c r="AD17" s="85">
        <v>4.83</v>
      </c>
      <c r="AE17" s="85">
        <v>1.6559999999999999</v>
      </c>
      <c r="AF17" s="85">
        <v>2.2920000000000003</v>
      </c>
      <c r="AG17" s="85">
        <v>0</v>
      </c>
      <c r="AH17" s="85">
        <v>0</v>
      </c>
      <c r="AI17" s="85">
        <v>0</v>
      </c>
      <c r="AJ17" s="85">
        <v>16</v>
      </c>
      <c r="AK17" s="85">
        <v>1.86</v>
      </c>
      <c r="AL17" s="85">
        <v>15</v>
      </c>
      <c r="AM17" s="85">
        <v>408</v>
      </c>
      <c r="AN17" s="85">
        <v>66</v>
      </c>
      <c r="AO17" s="85">
        <v>4.32</v>
      </c>
      <c r="AP17" s="85">
        <v>0</v>
      </c>
      <c r="AQ17" s="85">
        <v>0.81699999999999995</v>
      </c>
      <c r="AR17" s="85">
        <v>2.13</v>
      </c>
      <c r="AS17" s="85">
        <v>0.31</v>
      </c>
      <c r="AT17" s="85">
        <v>1</v>
      </c>
      <c r="AU17" s="85">
        <v>1.3</v>
      </c>
      <c r="AV17" s="85">
        <v>74</v>
      </c>
    </row>
    <row r="18" spans="1:48" s="1" customFormat="1" x14ac:dyDescent="0.55000000000000004">
      <c r="A18" s="1" t="s">
        <v>363</v>
      </c>
      <c r="B18" s="1" t="s">
        <v>62</v>
      </c>
      <c r="C18" s="1" t="s">
        <v>484</v>
      </c>
      <c r="D18" s="59">
        <v>0</v>
      </c>
      <c r="E18" s="59">
        <v>250</v>
      </c>
      <c r="F18" s="59">
        <f t="shared" si="0"/>
        <v>0</v>
      </c>
      <c r="G18" s="58">
        <f t="shared" si="1"/>
        <v>0</v>
      </c>
      <c r="H18" s="58">
        <f t="shared" si="2"/>
        <v>0</v>
      </c>
      <c r="I18" s="58">
        <f t="shared" si="20"/>
        <v>0</v>
      </c>
      <c r="J18" s="58">
        <f t="shared" si="21"/>
        <v>0</v>
      </c>
      <c r="K18" s="58">
        <f t="shared" si="3"/>
        <v>0</v>
      </c>
      <c r="L18" s="58">
        <f t="shared" si="4"/>
        <v>0</v>
      </c>
      <c r="M18" s="58">
        <f t="shared" si="5"/>
        <v>0</v>
      </c>
      <c r="N18" s="58">
        <f t="shared" si="6"/>
        <v>0</v>
      </c>
      <c r="O18" s="58">
        <f t="shared" si="7"/>
        <v>0</v>
      </c>
      <c r="P18" s="58">
        <f t="shared" si="8"/>
        <v>0</v>
      </c>
      <c r="Q18" s="58">
        <f t="shared" si="9"/>
        <v>0</v>
      </c>
      <c r="R18" s="58">
        <f t="shared" si="10"/>
        <v>0</v>
      </c>
      <c r="S18" s="58">
        <f t="shared" si="11"/>
        <v>0</v>
      </c>
      <c r="T18" s="58">
        <f t="shared" si="12"/>
        <v>0</v>
      </c>
      <c r="U18" s="58">
        <f t="shared" si="13"/>
        <v>0</v>
      </c>
      <c r="V18" s="58">
        <f t="shared" si="14"/>
        <v>0</v>
      </c>
      <c r="W18" s="58">
        <f t="shared" si="15"/>
        <v>0</v>
      </c>
      <c r="X18" s="58">
        <f t="shared" si="16"/>
        <v>0</v>
      </c>
      <c r="Y18" s="58">
        <f t="shared" si="17"/>
        <v>0</v>
      </c>
      <c r="Z18" s="58">
        <f t="shared" si="18"/>
        <v>0</v>
      </c>
      <c r="AA18" s="59">
        <f t="shared" si="19"/>
        <v>0</v>
      </c>
      <c r="AB18" s="85">
        <v>43</v>
      </c>
      <c r="AC18" s="85">
        <v>1.61</v>
      </c>
      <c r="AD18" s="85">
        <v>0.17</v>
      </c>
      <c r="AE18" s="85">
        <v>2.7E-2</v>
      </c>
      <c r="AF18" s="85">
        <v>9.1999999999999998E-2</v>
      </c>
      <c r="AG18" s="85">
        <v>9.56</v>
      </c>
      <c r="AH18" s="85">
        <v>2.8</v>
      </c>
      <c r="AI18" s="85">
        <v>6.76</v>
      </c>
      <c r="AJ18" s="85">
        <v>16</v>
      </c>
      <c r="AK18" s="85">
        <v>0.8</v>
      </c>
      <c r="AL18" s="85">
        <v>23</v>
      </c>
      <c r="AM18" s="85">
        <v>325</v>
      </c>
      <c r="AN18" s="85">
        <v>78</v>
      </c>
      <c r="AO18" s="85">
        <v>0.35</v>
      </c>
      <c r="AP18" s="85">
        <v>4.9000000000000004</v>
      </c>
      <c r="AQ18" s="85">
        <v>6.7000000000000004E-2</v>
      </c>
      <c r="AR18" s="85">
        <v>0</v>
      </c>
      <c r="AS18" s="85">
        <v>0.04</v>
      </c>
      <c r="AT18" s="85">
        <v>0</v>
      </c>
      <c r="AU18" s="85">
        <v>0.2</v>
      </c>
      <c r="AV18" s="85">
        <v>0</v>
      </c>
    </row>
    <row r="19" spans="1:48" s="1" customFormat="1" x14ac:dyDescent="0.55000000000000004">
      <c r="A19" s="1" t="s">
        <v>364</v>
      </c>
      <c r="B19" s="1" t="s">
        <v>485</v>
      </c>
      <c r="C19" s="1" t="s">
        <v>485</v>
      </c>
      <c r="D19" s="59">
        <v>0</v>
      </c>
      <c r="E19" s="59">
        <v>250</v>
      </c>
      <c r="F19" s="59">
        <f t="shared" si="0"/>
        <v>0</v>
      </c>
      <c r="G19" s="58">
        <f t="shared" si="1"/>
        <v>0</v>
      </c>
      <c r="H19" s="58">
        <f t="shared" si="2"/>
        <v>0</v>
      </c>
      <c r="I19" s="58">
        <f t="shared" si="20"/>
        <v>0</v>
      </c>
      <c r="J19" s="58">
        <f t="shared" si="21"/>
        <v>0</v>
      </c>
      <c r="K19" s="58">
        <f t="shared" si="3"/>
        <v>0</v>
      </c>
      <c r="L19" s="58">
        <f t="shared" si="4"/>
        <v>0</v>
      </c>
      <c r="M19" s="58">
        <f t="shared" si="5"/>
        <v>0</v>
      </c>
      <c r="N19" s="58">
        <f t="shared" si="6"/>
        <v>0</v>
      </c>
      <c r="O19" s="58">
        <f t="shared" si="7"/>
        <v>0</v>
      </c>
      <c r="P19" s="58">
        <f t="shared" si="8"/>
        <v>0</v>
      </c>
      <c r="Q19" s="58">
        <f t="shared" si="9"/>
        <v>0</v>
      </c>
      <c r="R19" s="58">
        <f t="shared" si="10"/>
        <v>0</v>
      </c>
      <c r="S19" s="58">
        <f t="shared" si="11"/>
        <v>0</v>
      </c>
      <c r="T19" s="58">
        <f t="shared" si="12"/>
        <v>0</v>
      </c>
      <c r="U19" s="58">
        <f t="shared" si="13"/>
        <v>0</v>
      </c>
      <c r="V19" s="58">
        <f t="shared" si="14"/>
        <v>0</v>
      </c>
      <c r="W19" s="58">
        <f t="shared" si="15"/>
        <v>0</v>
      </c>
      <c r="X19" s="58">
        <f t="shared" si="16"/>
        <v>0</v>
      </c>
      <c r="Y19" s="58">
        <f t="shared" si="17"/>
        <v>0</v>
      </c>
      <c r="Z19" s="58">
        <f t="shared" si="18"/>
        <v>0</v>
      </c>
      <c r="AA19" s="59">
        <f t="shared" si="19"/>
        <v>0</v>
      </c>
      <c r="AB19" s="85">
        <v>43</v>
      </c>
      <c r="AC19" s="85">
        <v>1.39</v>
      </c>
      <c r="AD19" s="85">
        <v>0.49</v>
      </c>
      <c r="AE19" s="85">
        <v>1.4E-2</v>
      </c>
      <c r="AF19" s="85">
        <v>0.32700000000000001</v>
      </c>
      <c r="AG19" s="85">
        <v>9.61</v>
      </c>
      <c r="AH19" s="85">
        <v>5.3</v>
      </c>
      <c r="AI19" s="85">
        <v>4.88</v>
      </c>
      <c r="AJ19" s="85">
        <v>29</v>
      </c>
      <c r="AK19" s="85">
        <v>0.62</v>
      </c>
      <c r="AL19" s="85">
        <v>20</v>
      </c>
      <c r="AM19" s="85">
        <v>162</v>
      </c>
      <c r="AN19" s="85">
        <v>1</v>
      </c>
      <c r="AO19" s="85">
        <v>0.53</v>
      </c>
      <c r="AP19" s="85">
        <v>21</v>
      </c>
      <c r="AQ19" s="85">
        <v>0.03</v>
      </c>
      <c r="AR19" s="85">
        <v>0</v>
      </c>
      <c r="AS19" s="85">
        <v>1.17</v>
      </c>
      <c r="AT19" s="85">
        <v>0</v>
      </c>
      <c r="AU19" s="85">
        <v>19.8</v>
      </c>
      <c r="AV19" s="85">
        <v>0</v>
      </c>
    </row>
    <row r="20" spans="1:48" s="1" customFormat="1" x14ac:dyDescent="0.55000000000000004">
      <c r="A20" s="1" t="s">
        <v>212</v>
      </c>
      <c r="B20" s="1" t="s">
        <v>213</v>
      </c>
      <c r="C20" s="1" t="s">
        <v>213</v>
      </c>
      <c r="D20" s="59">
        <v>0</v>
      </c>
      <c r="E20" s="59">
        <v>250</v>
      </c>
      <c r="F20" s="59">
        <f t="shared" si="0"/>
        <v>0</v>
      </c>
      <c r="G20" s="58">
        <f t="shared" si="1"/>
        <v>0</v>
      </c>
      <c r="H20" s="58">
        <f t="shared" si="2"/>
        <v>0</v>
      </c>
      <c r="I20" s="58">
        <f t="shared" si="20"/>
        <v>0</v>
      </c>
      <c r="J20" s="58">
        <f t="shared" si="21"/>
        <v>0</v>
      </c>
      <c r="K20" s="58">
        <f t="shared" si="3"/>
        <v>0</v>
      </c>
      <c r="L20" s="58">
        <f t="shared" si="4"/>
        <v>0</v>
      </c>
      <c r="M20" s="58">
        <f t="shared" si="5"/>
        <v>0</v>
      </c>
      <c r="N20" s="58">
        <f t="shared" si="6"/>
        <v>0</v>
      </c>
      <c r="O20" s="58">
        <f t="shared" si="7"/>
        <v>0</v>
      </c>
      <c r="P20" s="58">
        <f t="shared" si="8"/>
        <v>0</v>
      </c>
      <c r="Q20" s="58">
        <f t="shared" si="9"/>
        <v>0</v>
      </c>
      <c r="R20" s="58">
        <f t="shared" si="10"/>
        <v>0</v>
      </c>
      <c r="S20" s="58">
        <f t="shared" si="11"/>
        <v>0</v>
      </c>
      <c r="T20" s="58">
        <f t="shared" si="12"/>
        <v>0</v>
      </c>
      <c r="U20" s="58">
        <f t="shared" si="13"/>
        <v>0</v>
      </c>
      <c r="V20" s="58">
        <f t="shared" si="14"/>
        <v>0</v>
      </c>
      <c r="W20" s="58">
        <f t="shared" si="15"/>
        <v>0</v>
      </c>
      <c r="X20" s="58">
        <f t="shared" si="16"/>
        <v>0</v>
      </c>
      <c r="Y20" s="58">
        <f t="shared" si="17"/>
        <v>0</v>
      </c>
      <c r="Z20" s="58">
        <f t="shared" si="18"/>
        <v>0</v>
      </c>
      <c r="AA20" s="59">
        <f t="shared" si="19"/>
        <v>0</v>
      </c>
      <c r="AB20" s="85">
        <v>57</v>
      </c>
      <c r="AC20" s="85">
        <v>0.74</v>
      </c>
      <c r="AD20" s="85">
        <v>0.33</v>
      </c>
      <c r="AE20" s="85">
        <v>2.8000000000000001E-2</v>
      </c>
      <c r="AF20" s="85">
        <v>0.193</v>
      </c>
      <c r="AG20" s="85">
        <v>14.49</v>
      </c>
      <c r="AH20" s="85">
        <v>2.4</v>
      </c>
      <c r="AI20" s="85">
        <v>9.9600000000000009</v>
      </c>
      <c r="AJ20" s="85">
        <v>6</v>
      </c>
      <c r="AK20" s="85">
        <v>0.28000000000000003</v>
      </c>
      <c r="AL20" s="85">
        <v>6</v>
      </c>
      <c r="AM20" s="85">
        <v>77</v>
      </c>
      <c r="AN20" s="85">
        <v>1</v>
      </c>
      <c r="AO20" s="85">
        <v>0.16</v>
      </c>
      <c r="AP20" s="85">
        <v>9.6999999999999993</v>
      </c>
      <c r="AQ20" s="85">
        <v>5.1999999999999998E-2</v>
      </c>
      <c r="AR20" s="85">
        <v>0</v>
      </c>
      <c r="AS20" s="85">
        <v>0.56999999999999995</v>
      </c>
      <c r="AT20" s="85">
        <v>0</v>
      </c>
      <c r="AU20" s="85">
        <v>19.3</v>
      </c>
      <c r="AV20" s="85">
        <v>0</v>
      </c>
    </row>
    <row r="21" spans="1:48" s="1" customFormat="1" x14ac:dyDescent="0.55000000000000004">
      <c r="A21" s="1" t="s">
        <v>365</v>
      </c>
      <c r="B21" s="1" t="s">
        <v>610</v>
      </c>
      <c r="C21" s="1" t="s">
        <v>486</v>
      </c>
      <c r="D21" s="59">
        <v>0</v>
      </c>
      <c r="E21" s="59">
        <v>250</v>
      </c>
      <c r="F21" s="59">
        <f t="shared" si="0"/>
        <v>0</v>
      </c>
      <c r="G21" s="58">
        <f t="shared" si="1"/>
        <v>0</v>
      </c>
      <c r="H21" s="58">
        <f t="shared" si="2"/>
        <v>0</v>
      </c>
      <c r="I21" s="58">
        <f t="shared" si="20"/>
        <v>0</v>
      </c>
      <c r="J21" s="58">
        <f t="shared" si="21"/>
        <v>0</v>
      </c>
      <c r="K21" s="58">
        <f t="shared" si="3"/>
        <v>0</v>
      </c>
      <c r="L21" s="58">
        <f t="shared" si="4"/>
        <v>0</v>
      </c>
      <c r="M21" s="58">
        <f t="shared" si="5"/>
        <v>0</v>
      </c>
      <c r="N21" s="58">
        <f t="shared" si="6"/>
        <v>0</v>
      </c>
      <c r="O21" s="58">
        <f t="shared" si="7"/>
        <v>0</v>
      </c>
      <c r="P21" s="58">
        <f t="shared" si="8"/>
        <v>0</v>
      </c>
      <c r="Q21" s="58">
        <f t="shared" si="9"/>
        <v>0</v>
      </c>
      <c r="R21" s="58">
        <f t="shared" si="10"/>
        <v>0</v>
      </c>
      <c r="S21" s="58">
        <f t="shared" si="11"/>
        <v>0</v>
      </c>
      <c r="T21" s="58">
        <f t="shared" si="12"/>
        <v>0</v>
      </c>
      <c r="U21" s="58">
        <f t="shared" si="13"/>
        <v>0</v>
      </c>
      <c r="V21" s="58">
        <f t="shared" si="14"/>
        <v>0</v>
      </c>
      <c r="W21" s="58">
        <f t="shared" si="15"/>
        <v>0</v>
      </c>
      <c r="X21" s="58">
        <f t="shared" si="16"/>
        <v>0</v>
      </c>
      <c r="Y21" s="58">
        <f t="shared" si="17"/>
        <v>0</v>
      </c>
      <c r="Z21" s="58">
        <f t="shared" si="18"/>
        <v>0</v>
      </c>
      <c r="AA21" s="59">
        <f t="shared" si="19"/>
        <v>0</v>
      </c>
      <c r="AB21" s="85">
        <v>288</v>
      </c>
      <c r="AC21" s="85">
        <v>14.52</v>
      </c>
      <c r="AD21" s="85">
        <v>4.5999999999999996</v>
      </c>
      <c r="AE21" s="85">
        <v>0.94799999999999995</v>
      </c>
      <c r="AF21" s="85">
        <v>2.8610000000000002</v>
      </c>
      <c r="AG21" s="85">
        <v>47.11</v>
      </c>
      <c r="AH21" s="85">
        <v>8.1</v>
      </c>
      <c r="AI21" s="85">
        <v>6.94</v>
      </c>
      <c r="AJ21" s="85">
        <v>111</v>
      </c>
      <c r="AK21" s="85">
        <v>2.72</v>
      </c>
      <c r="AL21" s="85">
        <v>85</v>
      </c>
      <c r="AM21" s="85">
        <v>250</v>
      </c>
      <c r="AN21" s="85">
        <v>414</v>
      </c>
      <c r="AO21" s="85">
        <v>1.85</v>
      </c>
      <c r="AP21" s="85">
        <v>0.1</v>
      </c>
      <c r="AQ21" s="85">
        <v>0.28599999999999998</v>
      </c>
      <c r="AR21" s="85">
        <v>0</v>
      </c>
      <c r="AS21" s="85">
        <v>0.4</v>
      </c>
      <c r="AT21" s="85">
        <v>0</v>
      </c>
      <c r="AU21" s="85">
        <v>1.5</v>
      </c>
      <c r="AV21" s="85">
        <v>0</v>
      </c>
    </row>
    <row r="22" spans="1:48" s="1" customFormat="1" x14ac:dyDescent="0.55000000000000004">
      <c r="A22" s="1" t="s">
        <v>366</v>
      </c>
      <c r="B22" s="1" t="s">
        <v>611</v>
      </c>
      <c r="C22" s="1" t="s">
        <v>487</v>
      </c>
      <c r="D22" s="59">
        <v>132.41743413912863</v>
      </c>
      <c r="E22" s="59">
        <v>250</v>
      </c>
      <c r="F22" s="59">
        <f t="shared" si="0"/>
        <v>132</v>
      </c>
      <c r="G22" s="58">
        <f t="shared" si="1"/>
        <v>94.016378238781328</v>
      </c>
      <c r="H22" s="58">
        <f t="shared" si="2"/>
        <v>10.593394731130291</v>
      </c>
      <c r="I22" s="58">
        <f t="shared" si="20"/>
        <v>0.92692203897390035</v>
      </c>
      <c r="J22" s="58">
        <f t="shared" si="21"/>
        <v>0.13241743413912865</v>
      </c>
      <c r="K22" s="58">
        <f t="shared" si="3"/>
        <v>23.835138145043153</v>
      </c>
      <c r="L22" s="58">
        <f t="shared" si="4"/>
        <v>10.593394731130291</v>
      </c>
      <c r="M22" s="58">
        <f t="shared" si="5"/>
        <v>0</v>
      </c>
      <c r="N22" s="58">
        <f t="shared" si="6"/>
        <v>34.428532876173442</v>
      </c>
      <c r="O22" s="58">
        <f t="shared" si="7"/>
        <v>1.3241743413912863</v>
      </c>
      <c r="P22" s="58">
        <f t="shared" si="8"/>
        <v>42.373578924521162</v>
      </c>
      <c r="Q22" s="58">
        <f t="shared" si="9"/>
        <v>320.45019061669132</v>
      </c>
      <c r="R22" s="58">
        <f t="shared" si="10"/>
        <v>599.85097665025273</v>
      </c>
      <c r="S22" s="58">
        <f t="shared" si="11"/>
        <v>0.82098809166259756</v>
      </c>
      <c r="T22" s="58">
        <f t="shared" si="12"/>
        <v>2.3835138145043153</v>
      </c>
      <c r="U22" s="58">
        <f t="shared" si="13"/>
        <v>5.9587845362607882E-2</v>
      </c>
      <c r="V22" s="58">
        <f t="shared" si="14"/>
        <v>0</v>
      </c>
      <c r="W22" s="58">
        <f t="shared" si="15"/>
        <v>0</v>
      </c>
      <c r="X22" s="58">
        <f t="shared" si="16"/>
        <v>0</v>
      </c>
      <c r="Y22" s="58">
        <f t="shared" si="17"/>
        <v>0</v>
      </c>
      <c r="Z22" s="58">
        <f t="shared" si="18"/>
        <v>0</v>
      </c>
      <c r="AA22" s="59">
        <f t="shared" si="19"/>
        <v>0.92692203897390035</v>
      </c>
      <c r="AB22" s="85">
        <v>71</v>
      </c>
      <c r="AC22" s="85">
        <v>8</v>
      </c>
      <c r="AD22" s="85">
        <v>0.7</v>
      </c>
      <c r="AE22" s="85">
        <v>0.1</v>
      </c>
      <c r="AF22" s="85">
        <v>0.4</v>
      </c>
      <c r="AG22" s="85">
        <v>18</v>
      </c>
      <c r="AH22" s="85">
        <v>8</v>
      </c>
      <c r="AI22" s="85">
        <v>0</v>
      </c>
      <c r="AJ22" s="85">
        <v>26</v>
      </c>
      <c r="AK22" s="85">
        <v>1</v>
      </c>
      <c r="AL22" s="85">
        <v>32</v>
      </c>
      <c r="AM22" s="85">
        <v>242</v>
      </c>
      <c r="AN22" s="85">
        <v>453</v>
      </c>
      <c r="AO22" s="85">
        <v>0.62</v>
      </c>
      <c r="AP22" s="85">
        <v>1.8</v>
      </c>
      <c r="AQ22" s="85">
        <v>4.4999999999999998E-2</v>
      </c>
      <c r="AR22" s="85">
        <v>0</v>
      </c>
      <c r="AS22" s="85">
        <v>0</v>
      </c>
      <c r="AT22" s="85">
        <v>0</v>
      </c>
      <c r="AU22" s="85">
        <v>0</v>
      </c>
      <c r="AV22" s="85">
        <v>0</v>
      </c>
    </row>
    <row r="23" spans="1:48" s="1" customFormat="1" x14ac:dyDescent="0.55000000000000004">
      <c r="A23" s="1" t="s">
        <v>229</v>
      </c>
      <c r="B23" s="1" t="s">
        <v>107</v>
      </c>
      <c r="C23" s="1" t="s">
        <v>230</v>
      </c>
      <c r="D23" s="59">
        <v>0</v>
      </c>
      <c r="E23" s="59">
        <v>250</v>
      </c>
      <c r="F23" s="59">
        <f t="shared" si="0"/>
        <v>0</v>
      </c>
      <c r="G23" s="58">
        <f t="shared" si="1"/>
        <v>0</v>
      </c>
      <c r="H23" s="58">
        <f t="shared" si="2"/>
        <v>0</v>
      </c>
      <c r="I23" s="58">
        <f t="shared" si="20"/>
        <v>0</v>
      </c>
      <c r="J23" s="58">
        <f t="shared" si="21"/>
        <v>0</v>
      </c>
      <c r="K23" s="58">
        <f t="shared" si="3"/>
        <v>0</v>
      </c>
      <c r="L23" s="58">
        <f t="shared" si="4"/>
        <v>0</v>
      </c>
      <c r="M23" s="58">
        <f t="shared" si="5"/>
        <v>0</v>
      </c>
      <c r="N23" s="58">
        <f t="shared" si="6"/>
        <v>0</v>
      </c>
      <c r="O23" s="58">
        <f t="shared" si="7"/>
        <v>0</v>
      </c>
      <c r="P23" s="58">
        <f t="shared" si="8"/>
        <v>0</v>
      </c>
      <c r="Q23" s="58">
        <f t="shared" si="9"/>
        <v>0</v>
      </c>
      <c r="R23" s="58">
        <f t="shared" si="10"/>
        <v>0</v>
      </c>
      <c r="S23" s="58">
        <f t="shared" si="11"/>
        <v>0</v>
      </c>
      <c r="T23" s="58">
        <f t="shared" si="12"/>
        <v>0</v>
      </c>
      <c r="U23" s="58">
        <f t="shared" si="13"/>
        <v>0</v>
      </c>
      <c r="V23" s="58">
        <f t="shared" si="14"/>
        <v>0</v>
      </c>
      <c r="W23" s="58">
        <f t="shared" si="15"/>
        <v>0</v>
      </c>
      <c r="X23" s="58">
        <f t="shared" si="16"/>
        <v>0</v>
      </c>
      <c r="Y23" s="58">
        <f t="shared" si="17"/>
        <v>0</v>
      </c>
      <c r="Z23" s="58">
        <f t="shared" si="18"/>
        <v>0</v>
      </c>
      <c r="AA23" s="59">
        <f t="shared" si="19"/>
        <v>0</v>
      </c>
      <c r="AB23" s="85">
        <v>34</v>
      </c>
      <c r="AC23" s="85">
        <v>2.82</v>
      </c>
      <c r="AD23" s="85">
        <v>0.37</v>
      </c>
      <c r="AE23" s="85">
        <v>3.9E-2</v>
      </c>
      <c r="AF23" s="85">
        <v>4.9000000000000002E-2</v>
      </c>
      <c r="AG23" s="85">
        <v>6.64</v>
      </c>
      <c r="AH23" s="85">
        <v>2.6</v>
      </c>
      <c r="AI23" s="85">
        <v>1.7</v>
      </c>
      <c r="AJ23" s="85">
        <v>47</v>
      </c>
      <c r="AK23" s="85">
        <v>0.73</v>
      </c>
      <c r="AL23" s="85">
        <v>21</v>
      </c>
      <c r="AM23" s="85">
        <v>316</v>
      </c>
      <c r="AN23" s="85">
        <v>33</v>
      </c>
      <c r="AO23" s="85">
        <v>0.41</v>
      </c>
      <c r="AP23" s="85">
        <v>89.2</v>
      </c>
      <c r="AQ23" s="85">
        <v>0.17499999999999999</v>
      </c>
      <c r="AR23" s="85">
        <v>0</v>
      </c>
      <c r="AS23" s="85">
        <v>0.78</v>
      </c>
      <c r="AT23" s="85">
        <v>0</v>
      </c>
      <c r="AU23" s="85">
        <v>101.6</v>
      </c>
      <c r="AV23" s="85">
        <v>0</v>
      </c>
    </row>
    <row r="24" spans="1:48" s="1" customFormat="1" x14ac:dyDescent="0.55000000000000004">
      <c r="A24" s="1" t="s">
        <v>367</v>
      </c>
      <c r="B24" s="1" t="s">
        <v>716</v>
      </c>
      <c r="C24" s="1" t="s">
        <v>488</v>
      </c>
      <c r="D24" s="59">
        <v>0</v>
      </c>
      <c r="E24" s="59">
        <v>250</v>
      </c>
      <c r="F24" s="59">
        <f t="shared" si="0"/>
        <v>0</v>
      </c>
      <c r="G24" s="58">
        <f t="shared" si="1"/>
        <v>0</v>
      </c>
      <c r="H24" s="58">
        <f t="shared" si="2"/>
        <v>0</v>
      </c>
      <c r="I24" s="58">
        <f t="shared" si="20"/>
        <v>0</v>
      </c>
      <c r="J24" s="58">
        <f t="shared" si="21"/>
        <v>0</v>
      </c>
      <c r="K24" s="58">
        <f t="shared" si="3"/>
        <v>0</v>
      </c>
      <c r="L24" s="58">
        <f t="shared" si="4"/>
        <v>0</v>
      </c>
      <c r="M24" s="58">
        <f t="shared" si="5"/>
        <v>0</v>
      </c>
      <c r="N24" s="58">
        <f t="shared" si="6"/>
        <v>0</v>
      </c>
      <c r="O24" s="58">
        <f t="shared" si="7"/>
        <v>0</v>
      </c>
      <c r="P24" s="58">
        <f t="shared" si="8"/>
        <v>0</v>
      </c>
      <c r="Q24" s="58">
        <f t="shared" si="9"/>
        <v>0</v>
      </c>
      <c r="R24" s="58">
        <f t="shared" si="10"/>
        <v>0</v>
      </c>
      <c r="S24" s="58">
        <f t="shared" si="11"/>
        <v>0</v>
      </c>
      <c r="T24" s="58">
        <f t="shared" si="12"/>
        <v>0</v>
      </c>
      <c r="U24" s="58">
        <f t="shared" si="13"/>
        <v>0</v>
      </c>
      <c r="V24" s="58">
        <f t="shared" si="14"/>
        <v>0</v>
      </c>
      <c r="W24" s="58">
        <f t="shared" si="15"/>
        <v>0</v>
      </c>
      <c r="X24" s="58">
        <f t="shared" si="16"/>
        <v>0</v>
      </c>
      <c r="Y24" s="58">
        <f t="shared" si="17"/>
        <v>0</v>
      </c>
      <c r="Z24" s="58">
        <f t="shared" si="18"/>
        <v>0</v>
      </c>
      <c r="AA24" s="59">
        <f t="shared" si="19"/>
        <v>0</v>
      </c>
      <c r="AB24" s="85">
        <v>43</v>
      </c>
      <c r="AC24" s="85">
        <v>3.38</v>
      </c>
      <c r="AD24" s="85">
        <v>0.3</v>
      </c>
      <c r="AE24" s="85">
        <v>6.2E-2</v>
      </c>
      <c r="AF24" s="85">
        <v>0.17599999999999999</v>
      </c>
      <c r="AG24" s="85">
        <v>8.9499999999999993</v>
      </c>
      <c r="AH24" s="85">
        <v>3.8</v>
      </c>
      <c r="AI24" s="85">
        <v>2.2000000000000002</v>
      </c>
      <c r="AJ24" s="85">
        <v>42</v>
      </c>
      <c r="AK24" s="85">
        <v>1.4</v>
      </c>
      <c r="AL24" s="85">
        <v>23</v>
      </c>
      <c r="AM24" s="85">
        <v>389</v>
      </c>
      <c r="AN24" s="85">
        <v>25</v>
      </c>
      <c r="AO24" s="85">
        <v>0.42</v>
      </c>
      <c r="AP24" s="85">
        <v>85</v>
      </c>
      <c r="AQ24" s="85">
        <v>0.219</v>
      </c>
      <c r="AR24" s="85">
        <v>0</v>
      </c>
      <c r="AS24" s="85">
        <v>0.88</v>
      </c>
      <c r="AT24" s="85">
        <v>0</v>
      </c>
      <c r="AU24" s="85">
        <v>177</v>
      </c>
      <c r="AV24" s="85">
        <v>0</v>
      </c>
    </row>
    <row r="25" spans="1:48" s="1" customFormat="1" x14ac:dyDescent="0.55000000000000004">
      <c r="A25" s="1" t="s">
        <v>368</v>
      </c>
      <c r="B25" s="1" t="s">
        <v>598</v>
      </c>
      <c r="C25" s="1" t="s">
        <v>489</v>
      </c>
      <c r="D25" s="59">
        <v>0</v>
      </c>
      <c r="E25" s="59">
        <v>250</v>
      </c>
      <c r="F25" s="59">
        <f t="shared" si="0"/>
        <v>0</v>
      </c>
      <c r="G25" s="58">
        <f t="shared" si="1"/>
        <v>0</v>
      </c>
      <c r="H25" s="58">
        <f t="shared" si="2"/>
        <v>0</v>
      </c>
      <c r="I25" s="58">
        <f t="shared" si="20"/>
        <v>0</v>
      </c>
      <c r="J25" s="58">
        <f t="shared" si="21"/>
        <v>0</v>
      </c>
      <c r="K25" s="58">
        <f t="shared" si="3"/>
        <v>0</v>
      </c>
      <c r="L25" s="58">
        <f t="shared" si="4"/>
        <v>0</v>
      </c>
      <c r="M25" s="58">
        <f t="shared" si="5"/>
        <v>0</v>
      </c>
      <c r="N25" s="58">
        <f t="shared" si="6"/>
        <v>0</v>
      </c>
      <c r="O25" s="58">
        <f t="shared" si="7"/>
        <v>0</v>
      </c>
      <c r="P25" s="58">
        <f t="shared" si="8"/>
        <v>0</v>
      </c>
      <c r="Q25" s="58">
        <f t="shared" si="9"/>
        <v>0</v>
      </c>
      <c r="R25" s="58">
        <f t="shared" si="10"/>
        <v>0</v>
      </c>
      <c r="S25" s="58">
        <f t="shared" si="11"/>
        <v>0</v>
      </c>
      <c r="T25" s="58">
        <f t="shared" si="12"/>
        <v>0</v>
      </c>
      <c r="U25" s="58">
        <f t="shared" si="13"/>
        <v>0</v>
      </c>
      <c r="V25" s="58">
        <f t="shared" si="14"/>
        <v>0</v>
      </c>
      <c r="W25" s="58">
        <f t="shared" si="15"/>
        <v>0</v>
      </c>
      <c r="X25" s="58">
        <f t="shared" si="16"/>
        <v>0</v>
      </c>
      <c r="Y25" s="58">
        <f t="shared" si="17"/>
        <v>0</v>
      </c>
      <c r="Z25" s="58">
        <f t="shared" si="18"/>
        <v>0</v>
      </c>
      <c r="AA25" s="59">
        <f t="shared" si="19"/>
        <v>0</v>
      </c>
      <c r="AB25" s="85">
        <v>25</v>
      </c>
      <c r="AC25" s="85">
        <v>1.28</v>
      </c>
      <c r="AD25" s="85">
        <v>0.1</v>
      </c>
      <c r="AE25" s="85">
        <v>3.4000000000000002E-2</v>
      </c>
      <c r="AF25" s="85">
        <v>3.4000000000000002E-2</v>
      </c>
      <c r="AG25" s="85">
        <v>5.8</v>
      </c>
      <c r="AH25" s="85">
        <v>2.5</v>
      </c>
      <c r="AI25" s="85">
        <v>3.2</v>
      </c>
      <c r="AJ25" s="85">
        <v>40</v>
      </c>
      <c r="AK25" s="85">
        <v>0.47</v>
      </c>
      <c r="AL25" s="85">
        <v>12</v>
      </c>
      <c r="AM25" s="85">
        <v>170</v>
      </c>
      <c r="AN25" s="85">
        <v>18</v>
      </c>
      <c r="AO25" s="85">
        <v>0.18</v>
      </c>
      <c r="AP25" s="85">
        <v>36.6</v>
      </c>
      <c r="AQ25" s="85">
        <v>0.124</v>
      </c>
      <c r="AR25" s="85">
        <v>0</v>
      </c>
      <c r="AS25" s="85">
        <v>0.15</v>
      </c>
      <c r="AT25" s="85">
        <v>0</v>
      </c>
      <c r="AU25" s="85">
        <v>76</v>
      </c>
      <c r="AV25" s="85">
        <v>0</v>
      </c>
    </row>
    <row r="26" spans="1:48" s="1" customFormat="1" x14ac:dyDescent="0.55000000000000004">
      <c r="A26" s="1" t="s">
        <v>369</v>
      </c>
      <c r="B26" s="1" t="s">
        <v>599</v>
      </c>
      <c r="C26" s="1" t="s">
        <v>490</v>
      </c>
      <c r="D26" s="59">
        <v>0</v>
      </c>
      <c r="E26" s="59">
        <v>250</v>
      </c>
      <c r="F26" s="59">
        <f t="shared" si="0"/>
        <v>0</v>
      </c>
      <c r="G26" s="58">
        <f t="shared" si="1"/>
        <v>0</v>
      </c>
      <c r="H26" s="58">
        <f t="shared" si="2"/>
        <v>0</v>
      </c>
      <c r="I26" s="58">
        <f t="shared" si="20"/>
        <v>0</v>
      </c>
      <c r="J26" s="58">
        <f t="shared" si="21"/>
        <v>0</v>
      </c>
      <c r="K26" s="58">
        <f t="shared" si="3"/>
        <v>0</v>
      </c>
      <c r="L26" s="58">
        <f t="shared" si="4"/>
        <v>0</v>
      </c>
      <c r="M26" s="58">
        <f t="shared" si="5"/>
        <v>0</v>
      </c>
      <c r="N26" s="58">
        <f t="shared" si="6"/>
        <v>0</v>
      </c>
      <c r="O26" s="58">
        <f t="shared" si="7"/>
        <v>0</v>
      </c>
      <c r="P26" s="58">
        <f t="shared" si="8"/>
        <v>0</v>
      </c>
      <c r="Q26" s="58">
        <f t="shared" si="9"/>
        <v>0</v>
      </c>
      <c r="R26" s="58">
        <f t="shared" si="10"/>
        <v>0</v>
      </c>
      <c r="S26" s="58">
        <f t="shared" si="11"/>
        <v>0</v>
      </c>
      <c r="T26" s="58">
        <f t="shared" si="12"/>
        <v>0</v>
      </c>
      <c r="U26" s="58">
        <f t="shared" si="13"/>
        <v>0</v>
      </c>
      <c r="V26" s="58">
        <f t="shared" si="14"/>
        <v>0</v>
      </c>
      <c r="W26" s="58">
        <f t="shared" si="15"/>
        <v>0</v>
      </c>
      <c r="X26" s="58">
        <f t="shared" si="16"/>
        <v>0</v>
      </c>
      <c r="Y26" s="58">
        <f t="shared" si="17"/>
        <v>0</v>
      </c>
      <c r="Z26" s="58">
        <f t="shared" si="18"/>
        <v>0</v>
      </c>
      <c r="AA26" s="59">
        <f t="shared" si="19"/>
        <v>0</v>
      </c>
      <c r="AB26" s="85">
        <v>23</v>
      </c>
      <c r="AC26" s="85">
        <v>2.36</v>
      </c>
      <c r="AD26" s="85">
        <v>0.86</v>
      </c>
      <c r="AE26" s="85">
        <v>0.23300000000000001</v>
      </c>
      <c r="AF26" s="85">
        <v>0.36699999999999999</v>
      </c>
      <c r="AG26" s="85">
        <v>4.8899999999999997</v>
      </c>
      <c r="AH26" s="85">
        <v>3.2</v>
      </c>
      <c r="AI26" s="85">
        <v>0.41</v>
      </c>
      <c r="AJ26" s="85">
        <v>40</v>
      </c>
      <c r="AK26" s="85">
        <v>1.67</v>
      </c>
      <c r="AL26" s="85">
        <v>33</v>
      </c>
      <c r="AM26" s="85">
        <v>40</v>
      </c>
      <c r="AN26" s="85">
        <v>2348</v>
      </c>
      <c r="AO26" s="85">
        <v>0.32</v>
      </c>
      <c r="AP26" s="85">
        <v>4.3</v>
      </c>
      <c r="AQ26" s="85">
        <v>2.3E-2</v>
      </c>
      <c r="AR26" s="85">
        <v>0</v>
      </c>
      <c r="AS26" s="85">
        <v>0.88</v>
      </c>
      <c r="AT26" s="85">
        <v>0</v>
      </c>
      <c r="AU26" s="85">
        <v>24.6</v>
      </c>
      <c r="AV26" s="85">
        <v>0</v>
      </c>
    </row>
    <row r="27" spans="1:48" s="1" customFormat="1" x14ac:dyDescent="0.55000000000000004">
      <c r="A27" s="1" t="s">
        <v>231</v>
      </c>
      <c r="B27" s="1" t="s">
        <v>135</v>
      </c>
      <c r="C27" s="1" t="s">
        <v>232</v>
      </c>
      <c r="D27" s="59">
        <v>0</v>
      </c>
      <c r="E27" s="59">
        <v>250</v>
      </c>
      <c r="F27" s="59">
        <f t="shared" si="0"/>
        <v>0</v>
      </c>
      <c r="G27" s="58">
        <f t="shared" si="1"/>
        <v>0</v>
      </c>
      <c r="H27" s="58">
        <f t="shared" si="2"/>
        <v>0</v>
      </c>
      <c r="I27" s="58">
        <f t="shared" si="20"/>
        <v>0</v>
      </c>
      <c r="J27" s="58">
        <f t="shared" si="21"/>
        <v>0</v>
      </c>
      <c r="K27" s="58">
        <f t="shared" si="3"/>
        <v>0</v>
      </c>
      <c r="L27" s="58">
        <f t="shared" si="4"/>
        <v>0</v>
      </c>
      <c r="M27" s="58">
        <f t="shared" si="5"/>
        <v>0</v>
      </c>
      <c r="N27" s="58">
        <f t="shared" si="6"/>
        <v>0</v>
      </c>
      <c r="O27" s="58">
        <f t="shared" si="7"/>
        <v>0</v>
      </c>
      <c r="P27" s="58">
        <f t="shared" si="8"/>
        <v>0</v>
      </c>
      <c r="Q27" s="58">
        <f t="shared" si="9"/>
        <v>0</v>
      </c>
      <c r="R27" s="58">
        <f t="shared" si="10"/>
        <v>0</v>
      </c>
      <c r="S27" s="58">
        <f t="shared" si="11"/>
        <v>0</v>
      </c>
      <c r="T27" s="58">
        <f t="shared" si="12"/>
        <v>0</v>
      </c>
      <c r="U27" s="58">
        <f t="shared" si="13"/>
        <v>0</v>
      </c>
      <c r="V27" s="58">
        <f t="shared" si="14"/>
        <v>0</v>
      </c>
      <c r="W27" s="58">
        <f t="shared" si="15"/>
        <v>0</v>
      </c>
      <c r="X27" s="58">
        <f t="shared" si="16"/>
        <v>0</v>
      </c>
      <c r="Y27" s="58">
        <f t="shared" si="17"/>
        <v>0</v>
      </c>
      <c r="Z27" s="58">
        <f t="shared" si="18"/>
        <v>0</v>
      </c>
      <c r="AA27" s="59">
        <f t="shared" si="19"/>
        <v>0</v>
      </c>
      <c r="AB27" s="85">
        <v>41</v>
      </c>
      <c r="AC27" s="85">
        <v>0.93</v>
      </c>
      <c r="AD27" s="85">
        <v>0.24</v>
      </c>
      <c r="AE27" s="85">
        <v>3.6999999999999998E-2</v>
      </c>
      <c r="AF27" s="85">
        <v>0.13100000000000001</v>
      </c>
      <c r="AG27" s="85">
        <v>9.58</v>
      </c>
      <c r="AH27" s="85">
        <v>2.8</v>
      </c>
      <c r="AI27" s="85">
        <v>4.74</v>
      </c>
      <c r="AJ27" s="85">
        <v>33</v>
      </c>
      <c r="AK27" s="85">
        <v>0.3</v>
      </c>
      <c r="AL27" s="85">
        <v>12</v>
      </c>
      <c r="AM27" s="85">
        <v>320</v>
      </c>
      <c r="AN27" s="85">
        <v>69</v>
      </c>
      <c r="AO27" s="85">
        <v>0.24</v>
      </c>
      <c r="AP27" s="85">
        <v>5.9</v>
      </c>
      <c r="AQ27" s="85">
        <v>0.13800000000000001</v>
      </c>
      <c r="AR27" s="85">
        <v>0</v>
      </c>
      <c r="AS27" s="85">
        <v>0.66</v>
      </c>
      <c r="AT27" s="85">
        <v>0</v>
      </c>
      <c r="AU27" s="85">
        <v>13.2</v>
      </c>
      <c r="AV27" s="85">
        <v>0</v>
      </c>
    </row>
    <row r="28" spans="1:48" s="1" customFormat="1" x14ac:dyDescent="0.55000000000000004">
      <c r="A28" s="1" t="s">
        <v>370</v>
      </c>
      <c r="B28" s="1" t="s">
        <v>600</v>
      </c>
      <c r="C28" s="1" t="s">
        <v>491</v>
      </c>
      <c r="D28" s="59">
        <v>0</v>
      </c>
      <c r="E28" s="59">
        <v>250</v>
      </c>
      <c r="F28" s="59">
        <f t="shared" si="0"/>
        <v>0</v>
      </c>
      <c r="G28" s="58">
        <f t="shared" si="1"/>
        <v>0</v>
      </c>
      <c r="H28" s="58">
        <f t="shared" si="2"/>
        <v>0</v>
      </c>
      <c r="I28" s="58">
        <f t="shared" si="20"/>
        <v>0</v>
      </c>
      <c r="J28" s="58">
        <f t="shared" si="21"/>
        <v>0</v>
      </c>
      <c r="K28" s="58">
        <f t="shared" si="3"/>
        <v>0</v>
      </c>
      <c r="L28" s="58">
        <f t="shared" si="4"/>
        <v>0</v>
      </c>
      <c r="M28" s="58">
        <f t="shared" si="5"/>
        <v>0</v>
      </c>
      <c r="N28" s="58">
        <f t="shared" si="6"/>
        <v>0</v>
      </c>
      <c r="O28" s="58">
        <f t="shared" si="7"/>
        <v>0</v>
      </c>
      <c r="P28" s="58">
        <f t="shared" si="8"/>
        <v>0</v>
      </c>
      <c r="Q28" s="58">
        <f t="shared" si="9"/>
        <v>0</v>
      </c>
      <c r="R28" s="58">
        <f t="shared" si="10"/>
        <v>0</v>
      </c>
      <c r="S28" s="58">
        <f t="shared" si="11"/>
        <v>0</v>
      </c>
      <c r="T28" s="58">
        <f t="shared" si="12"/>
        <v>0</v>
      </c>
      <c r="U28" s="58">
        <f t="shared" si="13"/>
        <v>0</v>
      </c>
      <c r="V28" s="58">
        <f t="shared" si="14"/>
        <v>0</v>
      </c>
      <c r="W28" s="58">
        <f t="shared" si="15"/>
        <v>0</v>
      </c>
      <c r="X28" s="58">
        <f t="shared" si="16"/>
        <v>0</v>
      </c>
      <c r="Y28" s="58">
        <f t="shared" si="17"/>
        <v>0</v>
      </c>
      <c r="Z28" s="58">
        <f t="shared" si="18"/>
        <v>0</v>
      </c>
      <c r="AA28" s="59">
        <f t="shared" si="19"/>
        <v>0</v>
      </c>
      <c r="AB28" s="85">
        <v>587</v>
      </c>
      <c r="AC28" s="85">
        <v>17.559999999999999</v>
      </c>
      <c r="AD28" s="85">
        <v>49.41</v>
      </c>
      <c r="AE28" s="85">
        <v>9.7629999999999999</v>
      </c>
      <c r="AF28" s="85">
        <v>37.475999999999999</v>
      </c>
      <c r="AG28" s="85">
        <v>27.57</v>
      </c>
      <c r="AH28" s="85">
        <v>2</v>
      </c>
      <c r="AI28" s="85">
        <v>0</v>
      </c>
      <c r="AJ28" s="85">
        <v>43</v>
      </c>
      <c r="AK28" s="85">
        <v>5.03</v>
      </c>
      <c r="AL28" s="85">
        <v>258</v>
      </c>
      <c r="AM28" s="85">
        <v>546</v>
      </c>
      <c r="AN28" s="85">
        <v>15</v>
      </c>
      <c r="AO28" s="85">
        <v>5.16</v>
      </c>
      <c r="AP28" s="85">
        <v>0</v>
      </c>
      <c r="AQ28" s="85">
        <v>0.252</v>
      </c>
      <c r="AR28" s="85">
        <v>0</v>
      </c>
      <c r="AS28" s="85">
        <v>0</v>
      </c>
      <c r="AT28" s="85">
        <v>0</v>
      </c>
      <c r="AU28" s="85">
        <v>0</v>
      </c>
      <c r="AV28" s="85">
        <v>0</v>
      </c>
    </row>
    <row r="29" spans="1:48" s="1" customFormat="1" x14ac:dyDescent="0.55000000000000004">
      <c r="A29" s="1" t="s">
        <v>371</v>
      </c>
      <c r="B29" s="1" t="s">
        <v>601</v>
      </c>
      <c r="C29" s="1" t="s">
        <v>492</v>
      </c>
      <c r="D29" s="59">
        <v>0</v>
      </c>
      <c r="E29" s="59">
        <v>250</v>
      </c>
      <c r="F29" s="59">
        <f t="shared" si="0"/>
        <v>0</v>
      </c>
      <c r="G29" s="58">
        <f t="shared" si="1"/>
        <v>0</v>
      </c>
      <c r="H29" s="58">
        <f t="shared" si="2"/>
        <v>0</v>
      </c>
      <c r="I29" s="58">
        <f t="shared" si="20"/>
        <v>0</v>
      </c>
      <c r="J29" s="58">
        <f t="shared" si="21"/>
        <v>0</v>
      </c>
      <c r="K29" s="58">
        <f t="shared" si="3"/>
        <v>0</v>
      </c>
      <c r="L29" s="58">
        <f t="shared" si="4"/>
        <v>0</v>
      </c>
      <c r="M29" s="58">
        <f t="shared" si="5"/>
        <v>0</v>
      </c>
      <c r="N29" s="58">
        <f t="shared" si="6"/>
        <v>0</v>
      </c>
      <c r="O29" s="58">
        <f t="shared" si="7"/>
        <v>0</v>
      </c>
      <c r="P29" s="58">
        <f t="shared" si="8"/>
        <v>0</v>
      </c>
      <c r="Q29" s="58">
        <f t="shared" si="9"/>
        <v>0</v>
      </c>
      <c r="R29" s="58">
        <f t="shared" si="10"/>
        <v>0</v>
      </c>
      <c r="S29" s="58">
        <f t="shared" si="11"/>
        <v>0</v>
      </c>
      <c r="T29" s="58">
        <f t="shared" si="12"/>
        <v>0</v>
      </c>
      <c r="U29" s="58">
        <f t="shared" si="13"/>
        <v>0</v>
      </c>
      <c r="V29" s="58">
        <f t="shared" si="14"/>
        <v>0</v>
      </c>
      <c r="W29" s="58">
        <f t="shared" si="15"/>
        <v>0</v>
      </c>
      <c r="X29" s="58">
        <f t="shared" si="16"/>
        <v>0</v>
      </c>
      <c r="Y29" s="58">
        <f t="shared" si="17"/>
        <v>0</v>
      </c>
      <c r="Z29" s="58">
        <f t="shared" si="18"/>
        <v>0</v>
      </c>
      <c r="AA29" s="59">
        <f t="shared" si="19"/>
        <v>0</v>
      </c>
      <c r="AB29" s="85">
        <v>574</v>
      </c>
      <c r="AC29" s="85">
        <v>15.31</v>
      </c>
      <c r="AD29" s="85">
        <v>46.35</v>
      </c>
      <c r="AE29" s="85">
        <v>9.157</v>
      </c>
      <c r="AF29" s="85">
        <v>35.152999999999999</v>
      </c>
      <c r="AG29" s="85">
        <v>32.69</v>
      </c>
      <c r="AH29" s="85">
        <v>3</v>
      </c>
      <c r="AI29" s="85">
        <v>5.01</v>
      </c>
      <c r="AJ29" s="85">
        <v>45</v>
      </c>
      <c r="AK29" s="85">
        <v>6</v>
      </c>
      <c r="AL29" s="85">
        <v>260</v>
      </c>
      <c r="AM29" s="85">
        <v>565</v>
      </c>
      <c r="AN29" s="85">
        <v>16</v>
      </c>
      <c r="AO29" s="85">
        <v>5.6</v>
      </c>
      <c r="AP29" s="85">
        <v>0</v>
      </c>
      <c r="AQ29" s="85">
        <v>0.25600000000000001</v>
      </c>
      <c r="AR29" s="85">
        <v>0</v>
      </c>
      <c r="AS29" s="85">
        <v>0.92</v>
      </c>
      <c r="AT29" s="85">
        <v>0</v>
      </c>
      <c r="AU29" s="85">
        <v>34.700000000000003</v>
      </c>
      <c r="AV29" s="85">
        <v>0</v>
      </c>
    </row>
    <row r="30" spans="1:48" s="1" customFormat="1" x14ac:dyDescent="0.55000000000000004">
      <c r="A30" s="1" t="s">
        <v>372</v>
      </c>
      <c r="B30" s="1" t="s">
        <v>612</v>
      </c>
      <c r="C30" s="1" t="s">
        <v>493</v>
      </c>
      <c r="D30" s="59">
        <v>0</v>
      </c>
      <c r="E30" s="59">
        <v>250</v>
      </c>
      <c r="F30" s="59">
        <f t="shared" si="0"/>
        <v>0</v>
      </c>
      <c r="G30" s="58">
        <f t="shared" si="1"/>
        <v>0</v>
      </c>
      <c r="H30" s="58">
        <f t="shared" si="2"/>
        <v>0</v>
      </c>
      <c r="I30" s="58">
        <f t="shared" si="20"/>
        <v>0</v>
      </c>
      <c r="J30" s="58">
        <f t="shared" si="21"/>
        <v>0</v>
      </c>
      <c r="K30" s="58">
        <f t="shared" si="3"/>
        <v>0</v>
      </c>
      <c r="L30" s="58">
        <f t="shared" si="4"/>
        <v>0</v>
      </c>
      <c r="M30" s="58">
        <f t="shared" si="5"/>
        <v>0</v>
      </c>
      <c r="N30" s="58">
        <f t="shared" si="6"/>
        <v>0</v>
      </c>
      <c r="O30" s="58">
        <f t="shared" si="7"/>
        <v>0</v>
      </c>
      <c r="P30" s="58">
        <f t="shared" si="8"/>
        <v>0</v>
      </c>
      <c r="Q30" s="58">
        <f t="shared" si="9"/>
        <v>0</v>
      </c>
      <c r="R30" s="58">
        <f t="shared" si="10"/>
        <v>0</v>
      </c>
      <c r="S30" s="58">
        <f t="shared" si="11"/>
        <v>0</v>
      </c>
      <c r="T30" s="58">
        <f t="shared" si="12"/>
        <v>0</v>
      </c>
      <c r="U30" s="58">
        <f t="shared" si="13"/>
        <v>0</v>
      </c>
      <c r="V30" s="58">
        <f t="shared" si="14"/>
        <v>0</v>
      </c>
      <c r="W30" s="58">
        <f t="shared" si="15"/>
        <v>0</v>
      </c>
      <c r="X30" s="58">
        <f t="shared" si="16"/>
        <v>0</v>
      </c>
      <c r="Y30" s="58">
        <f t="shared" si="17"/>
        <v>0</v>
      </c>
      <c r="Z30" s="58">
        <f t="shared" si="18"/>
        <v>0</v>
      </c>
      <c r="AA30" s="59">
        <f t="shared" si="19"/>
        <v>0</v>
      </c>
      <c r="AB30" s="85">
        <v>376</v>
      </c>
      <c r="AC30" s="85">
        <v>12.09</v>
      </c>
      <c r="AD30" s="85">
        <v>6.73</v>
      </c>
      <c r="AE30" s="85">
        <v>1.5</v>
      </c>
      <c r="AF30" s="85">
        <v>4.8079999999999998</v>
      </c>
      <c r="AG30" s="85">
        <v>73.23</v>
      </c>
      <c r="AH30" s="85">
        <v>9.4</v>
      </c>
      <c r="AI30" s="85">
        <v>4.3600000000000003</v>
      </c>
      <c r="AJ30" s="85">
        <v>401</v>
      </c>
      <c r="AK30" s="85">
        <v>33.17</v>
      </c>
      <c r="AL30" s="85">
        <v>114</v>
      </c>
      <c r="AM30" s="85">
        <v>641</v>
      </c>
      <c r="AN30" s="85">
        <v>497</v>
      </c>
      <c r="AO30" s="85">
        <v>16.73</v>
      </c>
      <c r="AP30" s="85">
        <v>21.6</v>
      </c>
      <c r="AQ30" s="85">
        <v>2.39</v>
      </c>
      <c r="AR30" s="85">
        <v>6.77</v>
      </c>
      <c r="AS30" s="85">
        <v>0.65</v>
      </c>
      <c r="AT30" s="85">
        <v>136</v>
      </c>
      <c r="AU30" s="85">
        <v>1.8</v>
      </c>
      <c r="AV30" s="85">
        <v>0</v>
      </c>
    </row>
    <row r="31" spans="1:48" s="1" customFormat="1" x14ac:dyDescent="0.55000000000000004">
      <c r="A31" s="1" t="s">
        <v>373</v>
      </c>
      <c r="B31" s="1" t="s">
        <v>10</v>
      </c>
      <c r="C31" s="1" t="s">
        <v>494</v>
      </c>
      <c r="D31" s="59">
        <v>0</v>
      </c>
      <c r="E31" s="59">
        <v>250</v>
      </c>
      <c r="F31" s="59">
        <f t="shared" si="0"/>
        <v>0</v>
      </c>
      <c r="G31" s="58">
        <f t="shared" si="1"/>
        <v>0</v>
      </c>
      <c r="H31" s="58">
        <f t="shared" si="2"/>
        <v>0</v>
      </c>
      <c r="I31" s="58">
        <f t="shared" si="20"/>
        <v>0</v>
      </c>
      <c r="J31" s="58">
        <f t="shared" si="21"/>
        <v>0</v>
      </c>
      <c r="K31" s="58">
        <f t="shared" si="3"/>
        <v>0</v>
      </c>
      <c r="L31" s="58">
        <f t="shared" si="4"/>
        <v>0</v>
      </c>
      <c r="M31" s="58">
        <f t="shared" si="5"/>
        <v>0</v>
      </c>
      <c r="N31" s="58">
        <f t="shared" si="6"/>
        <v>0</v>
      </c>
      <c r="O31" s="58">
        <f t="shared" si="7"/>
        <v>0</v>
      </c>
      <c r="P31" s="58">
        <f t="shared" si="8"/>
        <v>0</v>
      </c>
      <c r="Q31" s="58">
        <f t="shared" si="9"/>
        <v>0</v>
      </c>
      <c r="R31" s="58">
        <f t="shared" si="10"/>
        <v>0</v>
      </c>
      <c r="S31" s="58">
        <f t="shared" si="11"/>
        <v>0</v>
      </c>
      <c r="T31" s="58">
        <f t="shared" si="12"/>
        <v>0</v>
      </c>
      <c r="U31" s="58">
        <f t="shared" si="13"/>
        <v>0</v>
      </c>
      <c r="V31" s="58">
        <f t="shared" si="14"/>
        <v>0</v>
      </c>
      <c r="W31" s="58">
        <f t="shared" si="15"/>
        <v>0</v>
      </c>
      <c r="X31" s="58">
        <f t="shared" si="16"/>
        <v>0</v>
      </c>
      <c r="Y31" s="58">
        <f t="shared" si="17"/>
        <v>0</v>
      </c>
      <c r="Z31" s="58">
        <f t="shared" si="18"/>
        <v>0</v>
      </c>
      <c r="AA31" s="59">
        <f t="shared" si="19"/>
        <v>0</v>
      </c>
      <c r="AB31" s="85">
        <v>489</v>
      </c>
      <c r="AC31" s="85">
        <v>13.67</v>
      </c>
      <c r="AD31" s="85">
        <v>24.31</v>
      </c>
      <c r="AE31" s="85">
        <v>3.9569999999999999</v>
      </c>
      <c r="AF31" s="85">
        <v>18.760000000000002</v>
      </c>
      <c r="AG31" s="85">
        <v>53.88</v>
      </c>
      <c r="AH31" s="85">
        <v>8.9</v>
      </c>
      <c r="AI31" s="85">
        <v>19.8</v>
      </c>
      <c r="AJ31" s="85">
        <v>76</v>
      </c>
      <c r="AK31" s="85">
        <v>3.95</v>
      </c>
      <c r="AL31" s="85">
        <v>168</v>
      </c>
      <c r="AM31" s="85">
        <v>539</v>
      </c>
      <c r="AN31" s="85">
        <v>26</v>
      </c>
      <c r="AO31" s="85">
        <v>4.17</v>
      </c>
      <c r="AP31" s="85">
        <v>1.2</v>
      </c>
      <c r="AQ31" s="85">
        <v>0.37</v>
      </c>
      <c r="AR31" s="85">
        <v>0</v>
      </c>
      <c r="AS31" s="85">
        <v>11.1</v>
      </c>
      <c r="AT31" s="85">
        <v>0</v>
      </c>
      <c r="AU31" s="85">
        <v>5.3</v>
      </c>
      <c r="AV31" s="85">
        <v>0</v>
      </c>
    </row>
    <row r="32" spans="1:48" s="1" customFormat="1" x14ac:dyDescent="0.55000000000000004">
      <c r="A32" s="1" t="s">
        <v>374</v>
      </c>
      <c r="B32" s="1" t="s">
        <v>613</v>
      </c>
      <c r="C32" s="1" t="s">
        <v>495</v>
      </c>
      <c r="D32" s="59">
        <v>0</v>
      </c>
      <c r="E32" s="59">
        <v>250</v>
      </c>
      <c r="F32" s="59">
        <f t="shared" si="0"/>
        <v>0</v>
      </c>
      <c r="G32" s="58">
        <f t="shared" si="1"/>
        <v>0</v>
      </c>
      <c r="H32" s="58">
        <f t="shared" si="2"/>
        <v>0</v>
      </c>
      <c r="I32" s="58">
        <f t="shared" si="20"/>
        <v>0</v>
      </c>
      <c r="J32" s="58">
        <f t="shared" si="21"/>
        <v>0</v>
      </c>
      <c r="K32" s="58">
        <f t="shared" si="3"/>
        <v>0</v>
      </c>
      <c r="L32" s="58">
        <f t="shared" si="4"/>
        <v>0</v>
      </c>
      <c r="M32" s="58">
        <f t="shared" si="5"/>
        <v>0</v>
      </c>
      <c r="N32" s="58">
        <f t="shared" si="6"/>
        <v>0</v>
      </c>
      <c r="O32" s="58">
        <f t="shared" si="7"/>
        <v>0</v>
      </c>
      <c r="P32" s="58">
        <f t="shared" si="8"/>
        <v>0</v>
      </c>
      <c r="Q32" s="58">
        <f t="shared" si="9"/>
        <v>0</v>
      </c>
      <c r="R32" s="58">
        <f t="shared" si="10"/>
        <v>0</v>
      </c>
      <c r="S32" s="58">
        <f t="shared" si="11"/>
        <v>0</v>
      </c>
      <c r="T32" s="58">
        <f t="shared" si="12"/>
        <v>0</v>
      </c>
      <c r="U32" s="58">
        <f t="shared" si="13"/>
        <v>0</v>
      </c>
      <c r="V32" s="58">
        <f t="shared" si="14"/>
        <v>0</v>
      </c>
      <c r="W32" s="58">
        <f t="shared" si="15"/>
        <v>0</v>
      </c>
      <c r="X32" s="58">
        <f t="shared" si="16"/>
        <v>0</v>
      </c>
      <c r="Y32" s="58">
        <f t="shared" si="17"/>
        <v>0</v>
      </c>
      <c r="Z32" s="58">
        <f t="shared" si="18"/>
        <v>0</v>
      </c>
      <c r="AA32" s="59">
        <f t="shared" si="19"/>
        <v>0</v>
      </c>
      <c r="AB32" s="85">
        <v>259</v>
      </c>
      <c r="AC32" s="85">
        <v>13.14</v>
      </c>
      <c r="AD32" s="85">
        <v>4.9000000000000004</v>
      </c>
      <c r="AE32" s="85">
        <v>1.1000000000000001</v>
      </c>
      <c r="AF32" s="85">
        <v>2.89</v>
      </c>
      <c r="AG32" s="85">
        <v>74.239999999999995</v>
      </c>
      <c r="AH32" s="85">
        <v>29.3</v>
      </c>
      <c r="AI32" s="85">
        <v>15.69</v>
      </c>
      <c r="AJ32" s="85">
        <v>389</v>
      </c>
      <c r="AK32" s="85">
        <v>17.600000000000001</v>
      </c>
      <c r="AL32" s="85">
        <v>362</v>
      </c>
      <c r="AM32" s="85">
        <v>1020</v>
      </c>
      <c r="AN32" s="85">
        <v>258</v>
      </c>
      <c r="AO32" s="85">
        <v>12.4</v>
      </c>
      <c r="AP32" s="85">
        <v>20</v>
      </c>
      <c r="AQ32" s="85">
        <v>12</v>
      </c>
      <c r="AR32" s="85">
        <v>18.8</v>
      </c>
      <c r="AS32" s="85">
        <v>1.19</v>
      </c>
      <c r="AT32" s="85">
        <v>170</v>
      </c>
      <c r="AU32" s="85">
        <v>5.2</v>
      </c>
      <c r="AV32" s="85">
        <v>0</v>
      </c>
    </row>
    <row r="33" spans="1:48" s="1" customFormat="1" x14ac:dyDescent="0.55000000000000004">
      <c r="A33" s="1" t="s">
        <v>375</v>
      </c>
      <c r="B33" s="1" t="s">
        <v>614</v>
      </c>
      <c r="C33" s="1" t="s">
        <v>496</v>
      </c>
      <c r="D33" s="59">
        <v>0</v>
      </c>
      <c r="E33" s="59">
        <v>250</v>
      </c>
      <c r="F33" s="59">
        <f t="shared" si="0"/>
        <v>0</v>
      </c>
      <c r="G33" s="58">
        <f t="shared" si="1"/>
        <v>0</v>
      </c>
      <c r="H33" s="58">
        <f t="shared" si="2"/>
        <v>0</v>
      </c>
      <c r="I33" s="58">
        <f t="shared" si="20"/>
        <v>0</v>
      </c>
      <c r="J33" s="58">
        <f t="shared" si="21"/>
        <v>0</v>
      </c>
      <c r="K33" s="58">
        <f t="shared" si="3"/>
        <v>0</v>
      </c>
      <c r="L33" s="58">
        <f t="shared" si="4"/>
        <v>0</v>
      </c>
      <c r="M33" s="58">
        <f t="shared" si="5"/>
        <v>0</v>
      </c>
      <c r="N33" s="58">
        <f t="shared" si="6"/>
        <v>0</v>
      </c>
      <c r="O33" s="58">
        <f t="shared" si="7"/>
        <v>0</v>
      </c>
      <c r="P33" s="58">
        <f t="shared" si="8"/>
        <v>0</v>
      </c>
      <c r="Q33" s="58">
        <f t="shared" si="9"/>
        <v>0</v>
      </c>
      <c r="R33" s="58">
        <f t="shared" si="10"/>
        <v>0</v>
      </c>
      <c r="S33" s="58">
        <f t="shared" si="11"/>
        <v>0</v>
      </c>
      <c r="T33" s="58">
        <f t="shared" si="12"/>
        <v>0</v>
      </c>
      <c r="U33" s="58">
        <f t="shared" si="13"/>
        <v>0</v>
      </c>
      <c r="V33" s="58">
        <f t="shared" si="14"/>
        <v>0</v>
      </c>
      <c r="W33" s="58">
        <f t="shared" si="15"/>
        <v>0</v>
      </c>
      <c r="X33" s="58">
        <f t="shared" si="16"/>
        <v>0</v>
      </c>
      <c r="Y33" s="58">
        <f t="shared" si="17"/>
        <v>0</v>
      </c>
      <c r="Z33" s="58">
        <f t="shared" si="18"/>
        <v>0</v>
      </c>
      <c r="AA33" s="59">
        <f t="shared" si="19"/>
        <v>0</v>
      </c>
      <c r="AB33" s="85">
        <v>19</v>
      </c>
      <c r="AC33" s="85">
        <v>1.8</v>
      </c>
      <c r="AD33" s="85">
        <v>0.2</v>
      </c>
      <c r="AE33" s="85">
        <v>0.03</v>
      </c>
      <c r="AF33" s="85">
        <v>0.11000000000000001</v>
      </c>
      <c r="AG33" s="85">
        <v>3.74</v>
      </c>
      <c r="AH33" s="85">
        <v>1.6</v>
      </c>
      <c r="AI33" s="85">
        <v>1.1000000000000001</v>
      </c>
      <c r="AJ33" s="85">
        <v>51</v>
      </c>
      <c r="AK33" s="85">
        <v>1.8</v>
      </c>
      <c r="AL33" s="85">
        <v>81</v>
      </c>
      <c r="AM33" s="85">
        <v>379</v>
      </c>
      <c r="AN33" s="85">
        <v>213</v>
      </c>
      <c r="AO33" s="85">
        <v>0.36</v>
      </c>
      <c r="AP33" s="85">
        <v>30</v>
      </c>
      <c r="AQ33" s="85">
        <v>9.9000000000000005E-2</v>
      </c>
      <c r="AR33" s="85">
        <v>0</v>
      </c>
      <c r="AS33" s="85">
        <v>1.89</v>
      </c>
      <c r="AT33" s="85">
        <v>0</v>
      </c>
      <c r="AU33" s="85">
        <v>830</v>
      </c>
      <c r="AV33" s="85">
        <v>0</v>
      </c>
    </row>
    <row r="34" spans="1:48" s="1" customFormat="1" x14ac:dyDescent="0.55000000000000004">
      <c r="A34" s="1" t="s">
        <v>376</v>
      </c>
      <c r="B34" s="1" t="s">
        <v>615</v>
      </c>
      <c r="C34" s="1" t="s">
        <v>497</v>
      </c>
      <c r="D34" s="59">
        <v>0</v>
      </c>
      <c r="E34" s="59">
        <v>250</v>
      </c>
      <c r="F34" s="59">
        <f t="shared" si="0"/>
        <v>0</v>
      </c>
      <c r="G34" s="58">
        <f t="shared" si="1"/>
        <v>0</v>
      </c>
      <c r="H34" s="58">
        <f t="shared" si="2"/>
        <v>0</v>
      </c>
      <c r="I34" s="58">
        <f t="shared" si="20"/>
        <v>0</v>
      </c>
      <c r="J34" s="58">
        <f t="shared" si="21"/>
        <v>0</v>
      </c>
      <c r="K34" s="58">
        <f t="shared" si="3"/>
        <v>0</v>
      </c>
      <c r="L34" s="58">
        <f t="shared" si="4"/>
        <v>0</v>
      </c>
      <c r="M34" s="58">
        <f t="shared" si="5"/>
        <v>0</v>
      </c>
      <c r="N34" s="58">
        <f t="shared" si="6"/>
        <v>0</v>
      </c>
      <c r="O34" s="58">
        <f t="shared" si="7"/>
        <v>0</v>
      </c>
      <c r="P34" s="58">
        <f t="shared" si="8"/>
        <v>0</v>
      </c>
      <c r="Q34" s="58">
        <f t="shared" si="9"/>
        <v>0</v>
      </c>
      <c r="R34" s="58">
        <f t="shared" si="10"/>
        <v>0</v>
      </c>
      <c r="S34" s="58">
        <f t="shared" si="11"/>
        <v>0</v>
      </c>
      <c r="T34" s="58">
        <f t="shared" si="12"/>
        <v>0</v>
      </c>
      <c r="U34" s="58">
        <f t="shared" si="13"/>
        <v>0</v>
      </c>
      <c r="V34" s="58">
        <f t="shared" si="14"/>
        <v>0</v>
      </c>
      <c r="W34" s="58">
        <f t="shared" si="15"/>
        <v>0</v>
      </c>
      <c r="X34" s="58">
        <f t="shared" si="16"/>
        <v>0</v>
      </c>
      <c r="Y34" s="58">
        <f t="shared" si="17"/>
        <v>0</v>
      </c>
      <c r="Z34" s="58">
        <f t="shared" si="18"/>
        <v>0</v>
      </c>
      <c r="AA34" s="59">
        <f t="shared" si="19"/>
        <v>0</v>
      </c>
      <c r="AB34" s="85">
        <v>72</v>
      </c>
      <c r="AC34" s="85">
        <v>12.39</v>
      </c>
      <c r="AD34" s="85">
        <v>1.02</v>
      </c>
      <c r="AE34" s="85">
        <v>0.64500000000000002</v>
      </c>
      <c r="AF34" s="85">
        <v>0.32199999999999995</v>
      </c>
      <c r="AG34" s="85">
        <v>2.72</v>
      </c>
      <c r="AH34" s="85">
        <v>0</v>
      </c>
      <c r="AI34" s="85">
        <v>2.72</v>
      </c>
      <c r="AJ34" s="85">
        <v>61</v>
      </c>
      <c r="AK34" s="85">
        <v>0.14000000000000001</v>
      </c>
      <c r="AL34" s="85">
        <v>5</v>
      </c>
      <c r="AM34" s="85">
        <v>86</v>
      </c>
      <c r="AN34" s="85">
        <v>406</v>
      </c>
      <c r="AO34" s="85">
        <v>0.38</v>
      </c>
      <c r="AP34" s="85">
        <v>0</v>
      </c>
      <c r="AQ34" s="85">
        <v>6.8000000000000005E-2</v>
      </c>
      <c r="AR34" s="85">
        <v>0.63</v>
      </c>
      <c r="AS34" s="85">
        <v>0.01</v>
      </c>
      <c r="AT34" s="85">
        <v>0</v>
      </c>
      <c r="AU34" s="85">
        <v>0.1</v>
      </c>
      <c r="AV34" s="85">
        <v>4</v>
      </c>
    </row>
    <row r="35" spans="1:48" s="1" customFormat="1" x14ac:dyDescent="0.55000000000000004">
      <c r="A35" s="1" t="s">
        <v>377</v>
      </c>
      <c r="B35" s="1" t="s">
        <v>616</v>
      </c>
      <c r="C35" s="1" t="s">
        <v>498</v>
      </c>
      <c r="D35" s="59">
        <v>0</v>
      </c>
      <c r="E35" s="59">
        <v>250</v>
      </c>
      <c r="F35" s="59">
        <f t="shared" si="0"/>
        <v>0</v>
      </c>
      <c r="G35" s="58">
        <f t="shared" si="1"/>
        <v>0</v>
      </c>
      <c r="H35" s="58">
        <f t="shared" si="2"/>
        <v>0</v>
      </c>
      <c r="I35" s="58">
        <f t="shared" si="20"/>
        <v>0</v>
      </c>
      <c r="J35" s="58">
        <f t="shared" si="21"/>
        <v>0</v>
      </c>
      <c r="K35" s="58">
        <f t="shared" si="3"/>
        <v>0</v>
      </c>
      <c r="L35" s="58">
        <f t="shared" si="4"/>
        <v>0</v>
      </c>
      <c r="M35" s="58">
        <f t="shared" si="5"/>
        <v>0</v>
      </c>
      <c r="N35" s="58">
        <f t="shared" si="6"/>
        <v>0</v>
      </c>
      <c r="O35" s="58">
        <f t="shared" si="7"/>
        <v>0</v>
      </c>
      <c r="P35" s="58">
        <f t="shared" si="8"/>
        <v>0</v>
      </c>
      <c r="Q35" s="58">
        <f t="shared" si="9"/>
        <v>0</v>
      </c>
      <c r="R35" s="58">
        <f t="shared" si="10"/>
        <v>0</v>
      </c>
      <c r="S35" s="58">
        <f t="shared" si="11"/>
        <v>0</v>
      </c>
      <c r="T35" s="58">
        <f t="shared" si="12"/>
        <v>0</v>
      </c>
      <c r="U35" s="58">
        <f t="shared" si="13"/>
        <v>0</v>
      </c>
      <c r="V35" s="58">
        <f t="shared" si="14"/>
        <v>0</v>
      </c>
      <c r="W35" s="58">
        <f t="shared" si="15"/>
        <v>0</v>
      </c>
      <c r="X35" s="58">
        <f t="shared" si="16"/>
        <v>0</v>
      </c>
      <c r="Y35" s="58">
        <f t="shared" si="17"/>
        <v>0</v>
      </c>
      <c r="Z35" s="58">
        <f t="shared" si="18"/>
        <v>0</v>
      </c>
      <c r="AA35" s="59">
        <f t="shared" si="19"/>
        <v>0</v>
      </c>
      <c r="AB35" s="85">
        <v>264</v>
      </c>
      <c r="AC35" s="85">
        <v>14.21</v>
      </c>
      <c r="AD35" s="85">
        <v>21.28</v>
      </c>
      <c r="AE35" s="85">
        <v>14.946</v>
      </c>
      <c r="AF35" s="85">
        <v>5.2140000000000004</v>
      </c>
      <c r="AG35" s="85">
        <v>4.09</v>
      </c>
      <c r="AH35" s="85">
        <v>0</v>
      </c>
      <c r="AI35" s="85">
        <v>4.09</v>
      </c>
      <c r="AJ35" s="85">
        <v>493</v>
      </c>
      <c r="AK35" s="85">
        <v>0.65</v>
      </c>
      <c r="AL35" s="85">
        <v>19</v>
      </c>
      <c r="AM35" s="85">
        <v>62</v>
      </c>
      <c r="AN35" s="85">
        <v>917</v>
      </c>
      <c r="AO35" s="85">
        <v>2.88</v>
      </c>
      <c r="AP35" s="85">
        <v>0</v>
      </c>
      <c r="AQ35" s="85">
        <v>0.42399999999999999</v>
      </c>
      <c r="AR35" s="85">
        <v>1.69</v>
      </c>
      <c r="AS35" s="85">
        <v>0.18</v>
      </c>
      <c r="AT35" s="85">
        <v>16</v>
      </c>
      <c r="AU35" s="85">
        <v>1.8</v>
      </c>
      <c r="AV35" s="85">
        <v>89</v>
      </c>
    </row>
    <row r="36" spans="1:48" s="1" customFormat="1" x14ac:dyDescent="0.55000000000000004">
      <c r="A36" s="1" t="s">
        <v>378</v>
      </c>
      <c r="B36" s="1" t="s">
        <v>617</v>
      </c>
      <c r="C36" s="1" t="s">
        <v>499</v>
      </c>
      <c r="D36" s="59">
        <v>24.025780552918896</v>
      </c>
      <c r="E36" s="59">
        <v>250</v>
      </c>
      <c r="F36" s="59">
        <f t="shared" si="0"/>
        <v>24</v>
      </c>
      <c r="G36" s="58">
        <f t="shared" ref="G36:G67" si="22">AB36*$D36/100</f>
        <v>61.025482604413995</v>
      </c>
      <c r="H36" s="58">
        <f t="shared" ref="H36:H67" si="23">AC36*$D36/100</f>
        <v>5.828654362138125</v>
      </c>
      <c r="I36" s="58">
        <f t="shared" si="20"/>
        <v>3.824904264024688</v>
      </c>
      <c r="J36" s="58">
        <f t="shared" si="21"/>
        <v>2.4299674451222173</v>
      </c>
      <c r="K36" s="58">
        <f t="shared" ref="K36:K67" si="24">AG36*$D36/100</f>
        <v>0.66551412131585341</v>
      </c>
      <c r="L36" s="58">
        <f t="shared" ref="L36:L67" si="25">AH36*$D36/100</f>
        <v>0</v>
      </c>
      <c r="M36" s="58">
        <f t="shared" ref="M36:M67" si="26">AI36*$D36/100</f>
        <v>0.2714913202479835</v>
      </c>
      <c r="N36" s="58">
        <f t="shared" ref="N36:N67" si="27">AJ36*$D36/100</f>
        <v>187.88160392382576</v>
      </c>
      <c r="O36" s="58">
        <f t="shared" ref="O36:O67" si="28">AK36*$D36/100</f>
        <v>5.2856717216421573E-2</v>
      </c>
      <c r="P36" s="58">
        <f t="shared" ref="P36:P67" si="29">AL36*$D36/100</f>
        <v>5.5259295271713462</v>
      </c>
      <c r="Q36" s="58">
        <f t="shared" ref="Q36:Q67" si="30">AM36*$D36/100</f>
        <v>20.181655664451874</v>
      </c>
      <c r="R36" s="58">
        <f t="shared" ref="R36:R67" si="31">AN36*$D36/100</f>
        <v>148.71958162256797</v>
      </c>
      <c r="S36" s="58">
        <f t="shared" ref="S36:S67" si="32">AO36*$D36/100</f>
        <v>0.66311154326056143</v>
      </c>
      <c r="T36" s="58">
        <f t="shared" ref="T36:T67" si="33">AP36*$D36/100</f>
        <v>0</v>
      </c>
      <c r="U36" s="58">
        <f t="shared" ref="U36:U67" si="34">AQ36*$D36/100</f>
        <v>1.6818046387043227E-2</v>
      </c>
      <c r="V36" s="58">
        <f t="shared" ref="V36:V67" si="35">AR36*$D36/100</f>
        <v>0.19701140053393495</v>
      </c>
      <c r="W36" s="58">
        <f t="shared" ref="W36:W67" si="36">AS36*$D36/100</f>
        <v>3.3636092774086454E-2</v>
      </c>
      <c r="X36" s="58">
        <f t="shared" ref="X36:X67" si="37">AT36*$D36/100</f>
        <v>2.883093666350268</v>
      </c>
      <c r="Y36" s="58">
        <f t="shared" ref="Y36:Y67" si="38">AU36*$D36/100</f>
        <v>0.38441248884670237</v>
      </c>
      <c r="Z36" s="58">
        <f t="shared" ref="Z36:Z67" si="39">AV36*$D36/100</f>
        <v>15.376499553868094</v>
      </c>
      <c r="AA36" s="59">
        <f t="shared" si="19"/>
        <v>3.824904264024688</v>
      </c>
      <c r="AB36" s="85">
        <v>254</v>
      </c>
      <c r="AC36" s="85">
        <v>24.26</v>
      </c>
      <c r="AD36" s="85">
        <v>15.92</v>
      </c>
      <c r="AE36" s="85">
        <v>10.114000000000001</v>
      </c>
      <c r="AF36" s="85">
        <v>4.9819999999999993</v>
      </c>
      <c r="AG36" s="85">
        <v>2.77</v>
      </c>
      <c r="AH36" s="85">
        <v>0</v>
      </c>
      <c r="AI36" s="85">
        <v>1.1299999999999999</v>
      </c>
      <c r="AJ36" s="85">
        <v>782</v>
      </c>
      <c r="AK36" s="85">
        <v>0.22</v>
      </c>
      <c r="AL36" s="85">
        <v>23</v>
      </c>
      <c r="AM36" s="85">
        <v>84</v>
      </c>
      <c r="AN36" s="85">
        <v>619</v>
      </c>
      <c r="AO36" s="85">
        <v>2.76</v>
      </c>
      <c r="AP36" s="85">
        <v>0</v>
      </c>
      <c r="AQ36" s="85">
        <v>7.0000000000000007E-2</v>
      </c>
      <c r="AR36" s="85">
        <v>0.82</v>
      </c>
      <c r="AS36" s="85">
        <v>0.14000000000000001</v>
      </c>
      <c r="AT36" s="85">
        <v>12</v>
      </c>
      <c r="AU36" s="85">
        <v>1.6</v>
      </c>
      <c r="AV36" s="85">
        <v>64</v>
      </c>
    </row>
    <row r="37" spans="1:48" s="1" customFormat="1" x14ac:dyDescent="0.55000000000000004">
      <c r="A37" s="1" t="s">
        <v>379</v>
      </c>
      <c r="B37" s="1" t="s">
        <v>618</v>
      </c>
      <c r="C37" s="1" t="s">
        <v>500</v>
      </c>
      <c r="D37" s="59">
        <v>0</v>
      </c>
      <c r="E37" s="59">
        <v>250</v>
      </c>
      <c r="F37" s="59">
        <f t="shared" si="0"/>
        <v>0</v>
      </c>
      <c r="G37" s="58">
        <f t="shared" si="22"/>
        <v>0</v>
      </c>
      <c r="H37" s="58">
        <f t="shared" si="23"/>
        <v>0</v>
      </c>
      <c r="I37" s="58">
        <f t="shared" si="20"/>
        <v>0</v>
      </c>
      <c r="J37" s="58">
        <f t="shared" si="21"/>
        <v>0</v>
      </c>
      <c r="K37" s="58">
        <f t="shared" si="24"/>
        <v>0</v>
      </c>
      <c r="L37" s="58">
        <f t="shared" si="25"/>
        <v>0</v>
      </c>
      <c r="M37" s="58">
        <f t="shared" si="26"/>
        <v>0</v>
      </c>
      <c r="N37" s="58">
        <f t="shared" si="27"/>
        <v>0</v>
      </c>
      <c r="O37" s="58">
        <f t="shared" si="28"/>
        <v>0</v>
      </c>
      <c r="P37" s="58">
        <f t="shared" si="29"/>
        <v>0</v>
      </c>
      <c r="Q37" s="58">
        <f t="shared" si="30"/>
        <v>0</v>
      </c>
      <c r="R37" s="58">
        <f t="shared" si="31"/>
        <v>0</v>
      </c>
      <c r="S37" s="58">
        <f t="shared" si="32"/>
        <v>0</v>
      </c>
      <c r="T37" s="58">
        <f t="shared" si="33"/>
        <v>0</v>
      </c>
      <c r="U37" s="58">
        <f t="shared" si="34"/>
        <v>0</v>
      </c>
      <c r="V37" s="58">
        <f t="shared" si="35"/>
        <v>0</v>
      </c>
      <c r="W37" s="58">
        <f t="shared" si="36"/>
        <v>0</v>
      </c>
      <c r="X37" s="58">
        <f t="shared" si="37"/>
        <v>0</v>
      </c>
      <c r="Y37" s="58">
        <f t="shared" si="38"/>
        <v>0</v>
      </c>
      <c r="Z37" s="58">
        <f t="shared" si="39"/>
        <v>0</v>
      </c>
      <c r="AA37" s="59">
        <f t="shared" si="19"/>
        <v>0</v>
      </c>
      <c r="AB37" s="85">
        <v>334</v>
      </c>
      <c r="AC37" s="85">
        <v>24.73</v>
      </c>
      <c r="AD37" s="85">
        <v>25.01</v>
      </c>
      <c r="AE37" s="85">
        <v>16.045000000000002</v>
      </c>
      <c r="AF37" s="85">
        <v>7.6680000000000001</v>
      </c>
      <c r="AG37" s="85">
        <v>2.1</v>
      </c>
      <c r="AH37" s="85">
        <v>0</v>
      </c>
      <c r="AI37" s="85">
        <v>1.23</v>
      </c>
      <c r="AJ37" s="85">
        <v>772</v>
      </c>
      <c r="AK37" s="85">
        <v>0.61</v>
      </c>
      <c r="AL37" s="85">
        <v>29</v>
      </c>
      <c r="AM37" s="85">
        <v>216</v>
      </c>
      <c r="AN37" s="85">
        <v>1370</v>
      </c>
      <c r="AO37" s="85">
        <v>3.61</v>
      </c>
      <c r="AP37" s="85">
        <v>0</v>
      </c>
      <c r="AQ37" s="85">
        <v>3.5999999999999997E-2</v>
      </c>
      <c r="AR37" s="85">
        <v>1.23</v>
      </c>
      <c r="AS37" s="85">
        <v>0.34</v>
      </c>
      <c r="AT37" s="85">
        <v>18</v>
      </c>
      <c r="AU37" s="85">
        <v>2.2000000000000002</v>
      </c>
      <c r="AV37" s="85">
        <v>85</v>
      </c>
    </row>
    <row r="38" spans="1:48" s="1" customFormat="1" x14ac:dyDescent="0.55000000000000004">
      <c r="A38" s="1" t="s">
        <v>380</v>
      </c>
      <c r="B38" s="1" t="s">
        <v>602</v>
      </c>
      <c r="C38" s="1" t="s">
        <v>501</v>
      </c>
      <c r="D38" s="59">
        <v>0</v>
      </c>
      <c r="E38" s="59">
        <v>250</v>
      </c>
      <c r="F38" s="59">
        <f t="shared" si="0"/>
        <v>0</v>
      </c>
      <c r="G38" s="58">
        <f t="shared" si="22"/>
        <v>0</v>
      </c>
      <c r="H38" s="58">
        <f t="shared" si="23"/>
        <v>0</v>
      </c>
      <c r="I38" s="58">
        <f t="shared" si="20"/>
        <v>0</v>
      </c>
      <c r="J38" s="58">
        <f t="shared" si="21"/>
        <v>0</v>
      </c>
      <c r="K38" s="58">
        <f t="shared" si="24"/>
        <v>0</v>
      </c>
      <c r="L38" s="58">
        <f t="shared" si="25"/>
        <v>0</v>
      </c>
      <c r="M38" s="58">
        <f t="shared" si="26"/>
        <v>0</v>
      </c>
      <c r="N38" s="58">
        <f t="shared" si="27"/>
        <v>0</v>
      </c>
      <c r="O38" s="58">
        <f t="shared" si="28"/>
        <v>0</v>
      </c>
      <c r="P38" s="58">
        <f t="shared" si="29"/>
        <v>0</v>
      </c>
      <c r="Q38" s="58">
        <f t="shared" si="30"/>
        <v>0</v>
      </c>
      <c r="R38" s="58">
        <f t="shared" si="31"/>
        <v>0</v>
      </c>
      <c r="S38" s="58">
        <f t="shared" si="32"/>
        <v>0</v>
      </c>
      <c r="T38" s="58">
        <f t="shared" si="33"/>
        <v>0</v>
      </c>
      <c r="U38" s="58">
        <f t="shared" si="34"/>
        <v>0</v>
      </c>
      <c r="V38" s="58">
        <f t="shared" si="35"/>
        <v>0</v>
      </c>
      <c r="W38" s="58">
        <f t="shared" si="36"/>
        <v>0</v>
      </c>
      <c r="X38" s="58">
        <f t="shared" si="37"/>
        <v>0</v>
      </c>
      <c r="Y38" s="58">
        <f t="shared" si="38"/>
        <v>0</v>
      </c>
      <c r="Z38" s="58">
        <f t="shared" si="39"/>
        <v>0</v>
      </c>
      <c r="AA38" s="59">
        <f t="shared" si="19"/>
        <v>0</v>
      </c>
      <c r="AB38" s="85">
        <v>486</v>
      </c>
      <c r="AC38" s="85">
        <v>16.54</v>
      </c>
      <c r="AD38" s="85">
        <v>30.74</v>
      </c>
      <c r="AE38" s="85">
        <v>3.33</v>
      </c>
      <c r="AF38" s="85">
        <v>25.974</v>
      </c>
      <c r="AG38" s="85">
        <v>42.12</v>
      </c>
      <c r="AH38" s="85">
        <v>34.4</v>
      </c>
      <c r="AI38" s="85">
        <v>0</v>
      </c>
      <c r="AJ38" s="85">
        <v>631</v>
      </c>
      <c r="AK38" s="85">
        <v>7.72</v>
      </c>
      <c r="AL38" s="85">
        <v>335</v>
      </c>
      <c r="AM38" s="85">
        <v>407</v>
      </c>
      <c r="AN38" s="85">
        <v>16</v>
      </c>
      <c r="AO38" s="85">
        <v>4.58</v>
      </c>
      <c r="AP38" s="85">
        <v>1.6</v>
      </c>
      <c r="AQ38" s="85">
        <v>0</v>
      </c>
      <c r="AR38" s="85">
        <v>0</v>
      </c>
      <c r="AS38" s="85">
        <v>0.5</v>
      </c>
      <c r="AT38" s="85">
        <v>0</v>
      </c>
      <c r="AU38" s="85">
        <v>0</v>
      </c>
      <c r="AV38" s="85">
        <v>0</v>
      </c>
    </row>
    <row r="39" spans="1:48" s="1" customFormat="1" x14ac:dyDescent="0.55000000000000004">
      <c r="A39" s="1" t="s">
        <v>381</v>
      </c>
      <c r="B39" s="1" t="s">
        <v>619</v>
      </c>
      <c r="C39" s="1" t="s">
        <v>502</v>
      </c>
      <c r="D39" s="59">
        <v>0</v>
      </c>
      <c r="E39" s="59">
        <v>250</v>
      </c>
      <c r="F39" s="59">
        <f t="shared" si="0"/>
        <v>0</v>
      </c>
      <c r="G39" s="58">
        <f t="shared" si="22"/>
        <v>0</v>
      </c>
      <c r="H39" s="58">
        <f t="shared" si="23"/>
        <v>0</v>
      </c>
      <c r="I39" s="58">
        <f t="shared" si="20"/>
        <v>0</v>
      </c>
      <c r="J39" s="58">
        <f t="shared" si="21"/>
        <v>0</v>
      </c>
      <c r="K39" s="58">
        <f t="shared" si="24"/>
        <v>0</v>
      </c>
      <c r="L39" s="58">
        <f t="shared" si="25"/>
        <v>0</v>
      </c>
      <c r="M39" s="58">
        <f t="shared" si="26"/>
        <v>0</v>
      </c>
      <c r="N39" s="58">
        <f t="shared" si="27"/>
        <v>0</v>
      </c>
      <c r="O39" s="58">
        <f t="shared" si="28"/>
        <v>0</v>
      </c>
      <c r="P39" s="58">
        <f t="shared" si="29"/>
        <v>0</v>
      </c>
      <c r="Q39" s="58">
        <f t="shared" si="30"/>
        <v>0</v>
      </c>
      <c r="R39" s="58">
        <f t="shared" si="31"/>
        <v>0</v>
      </c>
      <c r="S39" s="58">
        <f t="shared" si="32"/>
        <v>0</v>
      </c>
      <c r="T39" s="58">
        <f t="shared" si="33"/>
        <v>0</v>
      </c>
      <c r="U39" s="58">
        <f t="shared" si="34"/>
        <v>0</v>
      </c>
      <c r="V39" s="58">
        <f t="shared" si="35"/>
        <v>0</v>
      </c>
      <c r="W39" s="58">
        <f t="shared" si="36"/>
        <v>0</v>
      </c>
      <c r="X39" s="58">
        <f t="shared" si="37"/>
        <v>0</v>
      </c>
      <c r="Y39" s="58">
        <f t="shared" si="38"/>
        <v>0</v>
      </c>
      <c r="Z39" s="58">
        <f t="shared" si="39"/>
        <v>0</v>
      </c>
      <c r="AA39" s="59">
        <f t="shared" si="19"/>
        <v>0</v>
      </c>
      <c r="AB39" s="85">
        <v>143</v>
      </c>
      <c r="AC39" s="85">
        <v>17.440000000000001</v>
      </c>
      <c r="AD39" s="85">
        <v>8.1</v>
      </c>
      <c r="AE39" s="85">
        <v>2.3010000000000002</v>
      </c>
      <c r="AF39" s="85">
        <v>5.1189999999999998</v>
      </c>
      <c r="AG39" s="85">
        <v>0.04</v>
      </c>
      <c r="AH39" s="85">
        <v>0</v>
      </c>
      <c r="AI39" s="85">
        <v>0</v>
      </c>
      <c r="AJ39" s="85">
        <v>6</v>
      </c>
      <c r="AK39" s="85">
        <v>0.82</v>
      </c>
      <c r="AL39" s="85">
        <v>21</v>
      </c>
      <c r="AM39" s="85">
        <v>522</v>
      </c>
      <c r="AN39" s="85">
        <v>60</v>
      </c>
      <c r="AO39" s="85">
        <v>1.47</v>
      </c>
      <c r="AP39" s="85">
        <v>0</v>
      </c>
      <c r="AQ39" s="85">
        <v>0.51200000000000001</v>
      </c>
      <c r="AR39" s="85">
        <v>0.56000000000000005</v>
      </c>
      <c r="AS39" s="85">
        <v>0.27</v>
      </c>
      <c r="AT39" s="85">
        <v>0</v>
      </c>
      <c r="AU39" s="85">
        <v>0.8</v>
      </c>
      <c r="AV39" s="85">
        <v>86</v>
      </c>
    </row>
    <row r="40" spans="1:48" s="1" customFormat="1" x14ac:dyDescent="0.55000000000000004">
      <c r="A40" s="1" t="s">
        <v>382</v>
      </c>
      <c r="B40" s="1" t="s">
        <v>620</v>
      </c>
      <c r="C40" s="1" t="s">
        <v>503</v>
      </c>
      <c r="D40" s="59">
        <v>0</v>
      </c>
      <c r="E40" s="59">
        <v>250</v>
      </c>
      <c r="F40" s="59">
        <f t="shared" si="0"/>
        <v>0</v>
      </c>
      <c r="G40" s="58">
        <f t="shared" si="22"/>
        <v>0</v>
      </c>
      <c r="H40" s="58">
        <f t="shared" si="23"/>
        <v>0</v>
      </c>
      <c r="I40" s="58">
        <f t="shared" si="20"/>
        <v>0</v>
      </c>
      <c r="J40" s="58">
        <f t="shared" si="21"/>
        <v>0</v>
      </c>
      <c r="K40" s="58">
        <f t="shared" si="24"/>
        <v>0</v>
      </c>
      <c r="L40" s="58">
        <f t="shared" si="25"/>
        <v>0</v>
      </c>
      <c r="M40" s="58">
        <f t="shared" si="26"/>
        <v>0</v>
      </c>
      <c r="N40" s="58">
        <f t="shared" si="27"/>
        <v>0</v>
      </c>
      <c r="O40" s="58">
        <f t="shared" si="28"/>
        <v>0</v>
      </c>
      <c r="P40" s="58">
        <f t="shared" si="29"/>
        <v>0</v>
      </c>
      <c r="Q40" s="58">
        <f t="shared" si="30"/>
        <v>0</v>
      </c>
      <c r="R40" s="58">
        <f t="shared" si="31"/>
        <v>0</v>
      </c>
      <c r="S40" s="58">
        <f t="shared" si="32"/>
        <v>0</v>
      </c>
      <c r="T40" s="58">
        <f t="shared" si="33"/>
        <v>0</v>
      </c>
      <c r="U40" s="58">
        <f t="shared" si="34"/>
        <v>0</v>
      </c>
      <c r="V40" s="58">
        <f t="shared" si="35"/>
        <v>0</v>
      </c>
      <c r="W40" s="58">
        <f t="shared" si="36"/>
        <v>0</v>
      </c>
      <c r="X40" s="58">
        <f t="shared" si="37"/>
        <v>0</v>
      </c>
      <c r="Y40" s="58">
        <f t="shared" si="38"/>
        <v>0</v>
      </c>
      <c r="Z40" s="58">
        <f t="shared" si="39"/>
        <v>0</v>
      </c>
      <c r="AA40" s="59">
        <f t="shared" si="19"/>
        <v>0</v>
      </c>
      <c r="AB40" s="85">
        <v>153</v>
      </c>
      <c r="AC40" s="85">
        <v>27.13</v>
      </c>
      <c r="AD40" s="85">
        <v>4.07</v>
      </c>
      <c r="AE40" s="85">
        <v>1.08</v>
      </c>
      <c r="AF40" s="85">
        <v>2.4500000000000002</v>
      </c>
      <c r="AG40" s="85">
        <v>0</v>
      </c>
      <c r="AH40" s="85">
        <v>0</v>
      </c>
      <c r="AI40" s="85">
        <v>0</v>
      </c>
      <c r="AJ40" s="85">
        <v>13</v>
      </c>
      <c r="AK40" s="85">
        <v>1.08</v>
      </c>
      <c r="AL40" s="85">
        <v>23</v>
      </c>
      <c r="AM40" s="85">
        <v>236</v>
      </c>
      <c r="AN40" s="85">
        <v>51</v>
      </c>
      <c r="AO40" s="85">
        <v>0.78</v>
      </c>
      <c r="AP40" s="85">
        <v>0</v>
      </c>
      <c r="AQ40" s="85">
        <v>0.54</v>
      </c>
      <c r="AR40" s="85">
        <v>0.31</v>
      </c>
      <c r="AS40" s="85">
        <v>0.27</v>
      </c>
      <c r="AT40" s="85">
        <v>5</v>
      </c>
      <c r="AU40" s="85">
        <v>0.3</v>
      </c>
      <c r="AV40" s="85">
        <v>75</v>
      </c>
    </row>
    <row r="41" spans="1:48" s="1" customFormat="1" x14ac:dyDescent="0.55000000000000004">
      <c r="A41" s="1" t="s">
        <v>383</v>
      </c>
      <c r="B41" s="1" t="s">
        <v>621</v>
      </c>
      <c r="C41" s="1" t="s">
        <v>504</v>
      </c>
      <c r="D41" s="59">
        <v>0</v>
      </c>
      <c r="E41" s="59">
        <v>250</v>
      </c>
      <c r="F41" s="59">
        <f t="shared" si="0"/>
        <v>0</v>
      </c>
      <c r="G41" s="58">
        <f t="shared" si="22"/>
        <v>0</v>
      </c>
      <c r="H41" s="58">
        <f t="shared" si="23"/>
        <v>0</v>
      </c>
      <c r="I41" s="58">
        <f t="shared" si="20"/>
        <v>0</v>
      </c>
      <c r="J41" s="58">
        <f t="shared" si="21"/>
        <v>0</v>
      </c>
      <c r="K41" s="58">
        <f t="shared" si="24"/>
        <v>0</v>
      </c>
      <c r="L41" s="58">
        <f t="shared" si="25"/>
        <v>0</v>
      </c>
      <c r="M41" s="58">
        <f t="shared" si="26"/>
        <v>0</v>
      </c>
      <c r="N41" s="58">
        <f t="shared" si="27"/>
        <v>0</v>
      </c>
      <c r="O41" s="58">
        <f t="shared" si="28"/>
        <v>0</v>
      </c>
      <c r="P41" s="58">
        <f t="shared" si="29"/>
        <v>0</v>
      </c>
      <c r="Q41" s="58">
        <f t="shared" si="30"/>
        <v>0</v>
      </c>
      <c r="R41" s="58">
        <f t="shared" si="31"/>
        <v>0</v>
      </c>
      <c r="S41" s="58">
        <f t="shared" si="32"/>
        <v>0</v>
      </c>
      <c r="T41" s="58">
        <f t="shared" si="33"/>
        <v>0</v>
      </c>
      <c r="U41" s="58">
        <f t="shared" si="34"/>
        <v>0</v>
      </c>
      <c r="V41" s="58">
        <f t="shared" si="35"/>
        <v>0</v>
      </c>
      <c r="W41" s="58">
        <f t="shared" si="36"/>
        <v>0</v>
      </c>
      <c r="X41" s="58">
        <f t="shared" si="37"/>
        <v>0</v>
      </c>
      <c r="Y41" s="58">
        <f t="shared" si="38"/>
        <v>0</v>
      </c>
      <c r="Z41" s="58">
        <f t="shared" si="39"/>
        <v>0</v>
      </c>
      <c r="AA41" s="59">
        <f t="shared" si="19"/>
        <v>0</v>
      </c>
      <c r="AB41" s="85">
        <v>167</v>
      </c>
      <c r="AC41" s="85">
        <v>25.01</v>
      </c>
      <c r="AD41" s="85">
        <v>6.63</v>
      </c>
      <c r="AE41" s="85">
        <v>1.81</v>
      </c>
      <c r="AF41" s="85">
        <v>4.01</v>
      </c>
      <c r="AG41" s="85">
        <v>0</v>
      </c>
      <c r="AH41" s="85">
        <v>0</v>
      </c>
      <c r="AI41" s="85">
        <v>0</v>
      </c>
      <c r="AJ41" s="85">
        <v>12</v>
      </c>
      <c r="AK41" s="85">
        <v>1.21</v>
      </c>
      <c r="AL41" s="85">
        <v>21</v>
      </c>
      <c r="AM41" s="85">
        <v>229</v>
      </c>
      <c r="AN41" s="85">
        <v>75</v>
      </c>
      <c r="AO41" s="85">
        <v>1.52</v>
      </c>
      <c r="AP41" s="85">
        <v>0</v>
      </c>
      <c r="AQ41" s="85">
        <v>0.41</v>
      </c>
      <c r="AR41" s="85">
        <v>0.28999999999999998</v>
      </c>
      <c r="AS41" s="85">
        <v>0</v>
      </c>
      <c r="AT41" s="85">
        <v>0</v>
      </c>
      <c r="AU41" s="85">
        <v>0</v>
      </c>
      <c r="AV41" s="85">
        <v>75</v>
      </c>
    </row>
    <row r="42" spans="1:48" s="1" customFormat="1" x14ac:dyDescent="0.55000000000000004">
      <c r="A42" s="1" t="s">
        <v>384</v>
      </c>
      <c r="B42" s="1" t="s">
        <v>603</v>
      </c>
      <c r="C42" s="1" t="s">
        <v>505</v>
      </c>
      <c r="D42" s="59">
        <v>0</v>
      </c>
      <c r="E42" s="59">
        <v>250</v>
      </c>
      <c r="F42" s="59">
        <f t="shared" si="0"/>
        <v>0</v>
      </c>
      <c r="G42" s="58">
        <f t="shared" si="22"/>
        <v>0</v>
      </c>
      <c r="H42" s="58">
        <f t="shared" si="23"/>
        <v>0</v>
      </c>
      <c r="I42" s="58">
        <f t="shared" si="20"/>
        <v>0</v>
      </c>
      <c r="J42" s="58">
        <f t="shared" si="21"/>
        <v>0</v>
      </c>
      <c r="K42" s="58">
        <f t="shared" si="24"/>
        <v>0</v>
      </c>
      <c r="L42" s="58">
        <f t="shared" si="25"/>
        <v>0</v>
      </c>
      <c r="M42" s="58">
        <f t="shared" si="26"/>
        <v>0</v>
      </c>
      <c r="N42" s="58">
        <f t="shared" si="27"/>
        <v>0</v>
      </c>
      <c r="O42" s="58">
        <f t="shared" si="28"/>
        <v>0</v>
      </c>
      <c r="P42" s="58">
        <f t="shared" si="29"/>
        <v>0</v>
      </c>
      <c r="Q42" s="58">
        <f t="shared" si="30"/>
        <v>0</v>
      </c>
      <c r="R42" s="58">
        <f t="shared" si="31"/>
        <v>0</v>
      </c>
      <c r="S42" s="58">
        <f t="shared" si="32"/>
        <v>0</v>
      </c>
      <c r="T42" s="58">
        <f t="shared" si="33"/>
        <v>0</v>
      </c>
      <c r="U42" s="58">
        <f t="shared" si="34"/>
        <v>0</v>
      </c>
      <c r="V42" s="58">
        <f t="shared" si="35"/>
        <v>0</v>
      </c>
      <c r="W42" s="58">
        <f t="shared" si="36"/>
        <v>0</v>
      </c>
      <c r="X42" s="58">
        <f t="shared" si="37"/>
        <v>0</v>
      </c>
      <c r="Y42" s="58">
        <f t="shared" si="38"/>
        <v>0</v>
      </c>
      <c r="Z42" s="58">
        <f t="shared" si="39"/>
        <v>0</v>
      </c>
      <c r="AA42" s="59">
        <f t="shared" si="19"/>
        <v>0</v>
      </c>
      <c r="AB42" s="85">
        <v>139</v>
      </c>
      <c r="AC42" s="85">
        <v>7.05</v>
      </c>
      <c r="AD42" s="85">
        <v>2.77</v>
      </c>
      <c r="AE42" s="85">
        <v>0.214</v>
      </c>
      <c r="AF42" s="85">
        <v>1.4550000000000001</v>
      </c>
      <c r="AG42" s="85">
        <v>22.53</v>
      </c>
      <c r="AH42" s="85">
        <v>6.4</v>
      </c>
      <c r="AI42" s="85">
        <v>4.01</v>
      </c>
      <c r="AJ42" s="85">
        <v>45</v>
      </c>
      <c r="AK42" s="85">
        <v>1.07</v>
      </c>
      <c r="AL42" s="85">
        <v>26</v>
      </c>
      <c r="AM42" s="85">
        <v>126</v>
      </c>
      <c r="AN42" s="85">
        <v>246</v>
      </c>
      <c r="AO42" s="85">
        <v>0.63</v>
      </c>
      <c r="AP42" s="85">
        <v>0.1</v>
      </c>
      <c r="AQ42" s="85">
        <v>0.11600000000000001</v>
      </c>
      <c r="AR42" s="85">
        <v>0</v>
      </c>
      <c r="AS42" s="85">
        <v>0.28999999999999998</v>
      </c>
      <c r="AT42" s="85">
        <v>0</v>
      </c>
      <c r="AU42" s="85">
        <v>3.4</v>
      </c>
      <c r="AV42" s="85">
        <v>0</v>
      </c>
    </row>
    <row r="43" spans="1:48" s="1" customFormat="1" x14ac:dyDescent="0.55000000000000004">
      <c r="A43" s="1" t="s">
        <v>385</v>
      </c>
      <c r="B43" s="1" t="s">
        <v>622</v>
      </c>
      <c r="C43" s="1" t="s">
        <v>506</v>
      </c>
      <c r="D43" s="59">
        <v>0</v>
      </c>
      <c r="E43" s="59">
        <v>250</v>
      </c>
      <c r="F43" s="59">
        <f t="shared" si="0"/>
        <v>0</v>
      </c>
      <c r="G43" s="58">
        <f t="shared" si="22"/>
        <v>0</v>
      </c>
      <c r="H43" s="58">
        <f t="shared" si="23"/>
        <v>0</v>
      </c>
      <c r="I43" s="58">
        <f t="shared" si="20"/>
        <v>0</v>
      </c>
      <c r="J43" s="58">
        <f t="shared" si="21"/>
        <v>0</v>
      </c>
      <c r="K43" s="58">
        <f t="shared" si="24"/>
        <v>0</v>
      </c>
      <c r="L43" s="58">
        <f t="shared" si="25"/>
        <v>0</v>
      </c>
      <c r="M43" s="58">
        <f t="shared" si="26"/>
        <v>0</v>
      </c>
      <c r="N43" s="58">
        <f t="shared" si="27"/>
        <v>0</v>
      </c>
      <c r="O43" s="58">
        <f t="shared" si="28"/>
        <v>0</v>
      </c>
      <c r="P43" s="58">
        <f t="shared" si="29"/>
        <v>0</v>
      </c>
      <c r="Q43" s="58">
        <f t="shared" si="30"/>
        <v>0</v>
      </c>
      <c r="R43" s="58">
        <f t="shared" si="31"/>
        <v>0</v>
      </c>
      <c r="S43" s="58">
        <f t="shared" si="32"/>
        <v>0</v>
      </c>
      <c r="T43" s="58">
        <f t="shared" si="33"/>
        <v>0</v>
      </c>
      <c r="U43" s="58">
        <f t="shared" si="34"/>
        <v>0</v>
      </c>
      <c r="V43" s="58">
        <f t="shared" si="35"/>
        <v>0</v>
      </c>
      <c r="W43" s="58">
        <f t="shared" si="36"/>
        <v>0</v>
      </c>
      <c r="X43" s="58">
        <f t="shared" si="37"/>
        <v>0</v>
      </c>
      <c r="Y43" s="58">
        <f t="shared" si="38"/>
        <v>0</v>
      </c>
      <c r="Z43" s="58">
        <f t="shared" si="39"/>
        <v>0</v>
      </c>
      <c r="AA43" s="59">
        <f t="shared" si="19"/>
        <v>0</v>
      </c>
      <c r="AB43" s="85">
        <v>247</v>
      </c>
      <c r="AC43" s="85">
        <v>3.99</v>
      </c>
      <c r="AD43" s="85">
        <v>1.24</v>
      </c>
      <c r="AE43" s="85">
        <v>0.34499999999999997</v>
      </c>
      <c r="AF43" s="85">
        <v>0.314</v>
      </c>
      <c r="AG43" s="85">
        <v>80.59</v>
      </c>
      <c r="AH43" s="85">
        <v>53.1</v>
      </c>
      <c r="AI43" s="85">
        <v>2.17</v>
      </c>
      <c r="AJ43" s="85">
        <v>1002</v>
      </c>
      <c r="AK43" s="85">
        <v>8.32</v>
      </c>
      <c r="AL43" s="85">
        <v>60</v>
      </c>
      <c r="AM43" s="85">
        <v>431</v>
      </c>
      <c r="AN43" s="85">
        <v>10</v>
      </c>
      <c r="AO43" s="85">
        <v>1.83</v>
      </c>
      <c r="AP43" s="85">
        <v>3.8</v>
      </c>
      <c r="AQ43" s="85">
        <v>0.158</v>
      </c>
      <c r="AR43" s="85">
        <v>0</v>
      </c>
      <c r="AS43" s="85">
        <v>2.3199999999999998</v>
      </c>
      <c r="AT43" s="85">
        <v>0</v>
      </c>
      <c r="AU43" s="85">
        <v>31.2</v>
      </c>
      <c r="AV43" s="85">
        <v>0</v>
      </c>
    </row>
    <row r="44" spans="1:48" s="1" customFormat="1" x14ac:dyDescent="0.55000000000000004">
      <c r="A44" s="1" t="s">
        <v>386</v>
      </c>
      <c r="B44" s="1" t="s">
        <v>623</v>
      </c>
      <c r="C44" s="1" t="s">
        <v>507</v>
      </c>
      <c r="D44" s="59">
        <v>0</v>
      </c>
      <c r="E44" s="59">
        <v>250</v>
      </c>
      <c r="F44" s="59">
        <f t="shared" si="0"/>
        <v>0</v>
      </c>
      <c r="G44" s="58">
        <f t="shared" si="22"/>
        <v>0</v>
      </c>
      <c r="H44" s="58">
        <f t="shared" si="23"/>
        <v>0</v>
      </c>
      <c r="I44" s="58">
        <f t="shared" si="20"/>
        <v>0</v>
      </c>
      <c r="J44" s="58">
        <f t="shared" si="21"/>
        <v>0</v>
      </c>
      <c r="K44" s="58">
        <f t="shared" si="24"/>
        <v>0</v>
      </c>
      <c r="L44" s="58">
        <f t="shared" si="25"/>
        <v>0</v>
      </c>
      <c r="M44" s="58">
        <f t="shared" si="26"/>
        <v>0</v>
      </c>
      <c r="N44" s="58">
        <f t="shared" si="27"/>
        <v>0</v>
      </c>
      <c r="O44" s="58">
        <f t="shared" si="28"/>
        <v>0</v>
      </c>
      <c r="P44" s="58">
        <f t="shared" si="29"/>
        <v>0</v>
      </c>
      <c r="Q44" s="58">
        <f t="shared" si="30"/>
        <v>0</v>
      </c>
      <c r="R44" s="58">
        <f t="shared" si="31"/>
        <v>0</v>
      </c>
      <c r="S44" s="58">
        <f t="shared" si="32"/>
        <v>0</v>
      </c>
      <c r="T44" s="58">
        <f t="shared" si="33"/>
        <v>0</v>
      </c>
      <c r="U44" s="58">
        <f t="shared" si="34"/>
        <v>0</v>
      </c>
      <c r="V44" s="58">
        <f t="shared" si="35"/>
        <v>0</v>
      </c>
      <c r="W44" s="58">
        <f t="shared" si="36"/>
        <v>0</v>
      </c>
      <c r="X44" s="58">
        <f t="shared" si="37"/>
        <v>0</v>
      </c>
      <c r="Y44" s="58">
        <f t="shared" si="38"/>
        <v>0</v>
      </c>
      <c r="Z44" s="58">
        <f t="shared" si="39"/>
        <v>0</v>
      </c>
      <c r="AA44" s="59">
        <f t="shared" si="19"/>
        <v>0</v>
      </c>
      <c r="AB44" s="85">
        <v>274</v>
      </c>
      <c r="AC44" s="85">
        <v>5.97</v>
      </c>
      <c r="AD44" s="85">
        <v>13</v>
      </c>
      <c r="AE44" s="85">
        <v>3.952</v>
      </c>
      <c r="AF44" s="85">
        <v>4.9989999999999997</v>
      </c>
      <c r="AG44" s="85">
        <v>65.53</v>
      </c>
      <c r="AH44" s="85">
        <v>33.9</v>
      </c>
      <c r="AI44" s="85">
        <v>2.38</v>
      </c>
      <c r="AJ44" s="85">
        <v>632</v>
      </c>
      <c r="AK44" s="85">
        <v>11.83</v>
      </c>
      <c r="AL44" s="85">
        <v>259</v>
      </c>
      <c r="AM44" s="85">
        <v>1020</v>
      </c>
      <c r="AN44" s="85">
        <v>277</v>
      </c>
      <c r="AO44" s="85">
        <v>2.3199999999999998</v>
      </c>
      <c r="AP44" s="85">
        <v>0.2</v>
      </c>
      <c r="AQ44" s="85">
        <v>0.39100000000000001</v>
      </c>
      <c r="AR44" s="85">
        <v>0</v>
      </c>
      <c r="AS44" s="85">
        <v>8.82</v>
      </c>
      <c r="AT44" s="85">
        <v>0</v>
      </c>
      <c r="AU44" s="85">
        <v>141.80000000000001</v>
      </c>
      <c r="AV44" s="85">
        <v>0</v>
      </c>
    </row>
    <row r="45" spans="1:48" s="1" customFormat="1" x14ac:dyDescent="0.55000000000000004">
      <c r="A45" s="1" t="s">
        <v>387</v>
      </c>
      <c r="B45" s="1" t="s">
        <v>624</v>
      </c>
      <c r="C45" s="1" t="s">
        <v>508</v>
      </c>
      <c r="D45" s="59">
        <v>0</v>
      </c>
      <c r="E45" s="59">
        <v>250</v>
      </c>
      <c r="F45" s="59">
        <f t="shared" si="0"/>
        <v>0</v>
      </c>
      <c r="G45" s="58">
        <f t="shared" si="22"/>
        <v>0</v>
      </c>
      <c r="H45" s="58">
        <f t="shared" si="23"/>
        <v>0</v>
      </c>
      <c r="I45" s="58">
        <f t="shared" si="20"/>
        <v>0</v>
      </c>
      <c r="J45" s="58">
        <f t="shared" si="21"/>
        <v>0</v>
      </c>
      <c r="K45" s="58">
        <f t="shared" si="24"/>
        <v>0</v>
      </c>
      <c r="L45" s="58">
        <f t="shared" si="25"/>
        <v>0</v>
      </c>
      <c r="M45" s="58">
        <f t="shared" si="26"/>
        <v>0</v>
      </c>
      <c r="N45" s="58">
        <f t="shared" si="27"/>
        <v>0</v>
      </c>
      <c r="O45" s="58">
        <f t="shared" si="28"/>
        <v>0</v>
      </c>
      <c r="P45" s="58">
        <f t="shared" si="29"/>
        <v>0</v>
      </c>
      <c r="Q45" s="58">
        <f t="shared" si="30"/>
        <v>0</v>
      </c>
      <c r="R45" s="58">
        <f t="shared" si="31"/>
        <v>0</v>
      </c>
      <c r="S45" s="58">
        <f t="shared" si="32"/>
        <v>0</v>
      </c>
      <c r="T45" s="58">
        <f t="shared" si="33"/>
        <v>0</v>
      </c>
      <c r="U45" s="58">
        <f t="shared" si="34"/>
        <v>0</v>
      </c>
      <c r="V45" s="58">
        <f t="shared" si="35"/>
        <v>0</v>
      </c>
      <c r="W45" s="58">
        <f t="shared" si="36"/>
        <v>0</v>
      </c>
      <c r="X45" s="58">
        <f t="shared" si="37"/>
        <v>0</v>
      </c>
      <c r="Y45" s="58">
        <f t="shared" si="38"/>
        <v>0</v>
      </c>
      <c r="Z45" s="58">
        <f t="shared" si="39"/>
        <v>0</v>
      </c>
      <c r="AA45" s="59">
        <f t="shared" si="19"/>
        <v>0</v>
      </c>
      <c r="AB45" s="85">
        <v>354</v>
      </c>
      <c r="AC45" s="85">
        <v>3.33</v>
      </c>
      <c r="AD45" s="85">
        <v>33.49</v>
      </c>
      <c r="AE45" s="85">
        <v>29.698</v>
      </c>
      <c r="AF45" s="85">
        <v>1.7909999999999999</v>
      </c>
      <c r="AG45" s="85">
        <v>15.23</v>
      </c>
      <c r="AH45" s="85">
        <v>9</v>
      </c>
      <c r="AI45" s="85">
        <v>6.23</v>
      </c>
      <c r="AJ45" s="85">
        <v>14</v>
      </c>
      <c r="AK45" s="85">
        <v>2.4300000000000002</v>
      </c>
      <c r="AL45" s="85">
        <v>32</v>
      </c>
      <c r="AM45" s="85">
        <v>356</v>
      </c>
      <c r="AN45" s="85">
        <v>20</v>
      </c>
      <c r="AO45" s="85">
        <v>1.1000000000000001</v>
      </c>
      <c r="AP45" s="85">
        <v>3.3</v>
      </c>
      <c r="AQ45" s="85">
        <v>5.3999999999999999E-2</v>
      </c>
      <c r="AR45" s="85">
        <v>0</v>
      </c>
      <c r="AS45" s="85">
        <v>0.24</v>
      </c>
      <c r="AT45" s="85">
        <v>0</v>
      </c>
      <c r="AU45" s="85">
        <v>0.2</v>
      </c>
      <c r="AV45" s="85">
        <v>0</v>
      </c>
    </row>
    <row r="46" spans="1:48" s="1" customFormat="1" x14ac:dyDescent="0.55000000000000004">
      <c r="A46" s="1" t="s">
        <v>388</v>
      </c>
      <c r="B46" s="1" t="s">
        <v>625</v>
      </c>
      <c r="C46" s="1" t="s">
        <v>509</v>
      </c>
      <c r="D46" s="59">
        <v>0</v>
      </c>
      <c r="E46" s="59">
        <v>250</v>
      </c>
      <c r="F46" s="59">
        <f t="shared" si="0"/>
        <v>0</v>
      </c>
      <c r="G46" s="58">
        <f t="shared" si="22"/>
        <v>0</v>
      </c>
      <c r="H46" s="58">
        <f t="shared" si="23"/>
        <v>0</v>
      </c>
      <c r="I46" s="58">
        <f t="shared" si="20"/>
        <v>0</v>
      </c>
      <c r="J46" s="58">
        <f t="shared" si="21"/>
        <v>0</v>
      </c>
      <c r="K46" s="58">
        <f t="shared" si="24"/>
        <v>0</v>
      </c>
      <c r="L46" s="58">
        <f t="shared" si="25"/>
        <v>0</v>
      </c>
      <c r="M46" s="58">
        <f t="shared" si="26"/>
        <v>0</v>
      </c>
      <c r="N46" s="58">
        <f t="shared" si="27"/>
        <v>0</v>
      </c>
      <c r="O46" s="58">
        <f t="shared" si="28"/>
        <v>0</v>
      </c>
      <c r="P46" s="58">
        <f t="shared" si="29"/>
        <v>0</v>
      </c>
      <c r="Q46" s="58">
        <f t="shared" si="30"/>
        <v>0</v>
      </c>
      <c r="R46" s="58">
        <f t="shared" si="31"/>
        <v>0</v>
      </c>
      <c r="S46" s="58">
        <f t="shared" si="32"/>
        <v>0</v>
      </c>
      <c r="T46" s="58">
        <f t="shared" si="33"/>
        <v>0</v>
      </c>
      <c r="U46" s="58">
        <f t="shared" si="34"/>
        <v>0</v>
      </c>
      <c r="V46" s="58">
        <f t="shared" si="35"/>
        <v>0</v>
      </c>
      <c r="W46" s="58">
        <f t="shared" si="36"/>
        <v>0</v>
      </c>
      <c r="X46" s="58">
        <f t="shared" si="37"/>
        <v>0</v>
      </c>
      <c r="Y46" s="58">
        <f t="shared" si="38"/>
        <v>0</v>
      </c>
      <c r="Z46" s="58">
        <f t="shared" si="39"/>
        <v>0</v>
      </c>
      <c r="AA46" s="59">
        <f t="shared" si="19"/>
        <v>0</v>
      </c>
      <c r="AB46" s="85">
        <v>230</v>
      </c>
      <c r="AC46" s="85">
        <v>2.29</v>
      </c>
      <c r="AD46" s="85">
        <v>23.84</v>
      </c>
      <c r="AE46" s="85">
        <v>21.14</v>
      </c>
      <c r="AF46" s="85">
        <v>1.2749999999999999</v>
      </c>
      <c r="AG46" s="85">
        <v>5.54</v>
      </c>
      <c r="AH46" s="85">
        <v>2.2000000000000002</v>
      </c>
      <c r="AI46" s="85">
        <v>3.34</v>
      </c>
      <c r="AJ46" s="85">
        <v>16</v>
      </c>
      <c r="AK46" s="85">
        <v>1.64</v>
      </c>
      <c r="AL46" s="85">
        <v>37</v>
      </c>
      <c r="AM46" s="85">
        <v>263</v>
      </c>
      <c r="AN46" s="85">
        <v>15</v>
      </c>
      <c r="AO46" s="85">
        <v>0.67</v>
      </c>
      <c r="AP46" s="85">
        <v>2.8</v>
      </c>
      <c r="AQ46" s="85">
        <v>3.3000000000000002E-2</v>
      </c>
      <c r="AR46" s="85">
        <v>0</v>
      </c>
      <c r="AS46" s="85">
        <v>0.15</v>
      </c>
      <c r="AT46" s="85">
        <v>0</v>
      </c>
      <c r="AU46" s="85">
        <v>0.1</v>
      </c>
      <c r="AV46" s="85">
        <v>0</v>
      </c>
    </row>
    <row r="47" spans="1:48" s="1" customFormat="1" x14ac:dyDescent="0.55000000000000004">
      <c r="A47" s="1" t="s">
        <v>389</v>
      </c>
      <c r="B47" s="1" t="s">
        <v>626</v>
      </c>
      <c r="C47" s="1" t="s">
        <v>510</v>
      </c>
      <c r="D47" s="59">
        <v>10.686052201694066</v>
      </c>
      <c r="E47" s="59">
        <v>250</v>
      </c>
      <c r="F47" s="59">
        <f t="shared" si="0"/>
        <v>10</v>
      </c>
      <c r="G47" s="58">
        <f t="shared" si="22"/>
        <v>3.419536704542101</v>
      </c>
      <c r="H47" s="58">
        <f t="shared" si="23"/>
        <v>0.32271877649116076</v>
      </c>
      <c r="I47" s="58">
        <f t="shared" si="20"/>
        <v>6.5184918430333805E-2</v>
      </c>
      <c r="J47" s="58">
        <f t="shared" si="21"/>
        <v>5.8773287109317365E-3</v>
      </c>
      <c r="K47" s="58">
        <f t="shared" si="24"/>
        <v>0.57918402933181834</v>
      </c>
      <c r="L47" s="58">
        <f t="shared" si="25"/>
        <v>0.42744208806776263</v>
      </c>
      <c r="M47" s="58">
        <f t="shared" si="26"/>
        <v>4.9155840127792706E-2</v>
      </c>
      <c r="N47" s="58">
        <f t="shared" si="27"/>
        <v>24.791641107930232</v>
      </c>
      <c r="O47" s="58">
        <f t="shared" si="28"/>
        <v>5.022444534796211E-2</v>
      </c>
      <c r="P47" s="58">
        <f t="shared" si="29"/>
        <v>2.885234094457398</v>
      </c>
      <c r="Q47" s="58">
        <f t="shared" si="30"/>
        <v>22.761291189608361</v>
      </c>
      <c r="R47" s="58">
        <f t="shared" si="31"/>
        <v>1.816628874287991</v>
      </c>
      <c r="S47" s="58">
        <f t="shared" si="32"/>
        <v>2.2440709623557539E-2</v>
      </c>
      <c r="T47" s="58">
        <f t="shared" si="33"/>
        <v>3.7721764271980049</v>
      </c>
      <c r="U47" s="58">
        <f t="shared" si="34"/>
        <v>1.7631986132795211E-2</v>
      </c>
      <c r="V47" s="58">
        <f t="shared" si="35"/>
        <v>0</v>
      </c>
      <c r="W47" s="58">
        <f t="shared" si="36"/>
        <v>0.24150477975828585</v>
      </c>
      <c r="X47" s="58">
        <f t="shared" si="37"/>
        <v>0</v>
      </c>
      <c r="Y47" s="58">
        <f t="shared" si="38"/>
        <v>46.708734173604761</v>
      </c>
      <c r="Z47" s="58">
        <f t="shared" si="39"/>
        <v>0</v>
      </c>
      <c r="AA47" s="59">
        <f t="shared" si="19"/>
        <v>6.5184918430333805E-2</v>
      </c>
      <c r="AB47" s="85">
        <v>32</v>
      </c>
      <c r="AC47" s="85">
        <v>3.02</v>
      </c>
      <c r="AD47" s="85">
        <v>0.61</v>
      </c>
      <c r="AE47" s="85">
        <v>5.5E-2</v>
      </c>
      <c r="AF47" s="85">
        <v>0.23100000000000001</v>
      </c>
      <c r="AG47" s="85">
        <v>5.42</v>
      </c>
      <c r="AH47" s="85">
        <v>4</v>
      </c>
      <c r="AI47" s="85">
        <v>0.46</v>
      </c>
      <c r="AJ47" s="85">
        <v>232</v>
      </c>
      <c r="AK47" s="85">
        <v>0.47</v>
      </c>
      <c r="AL47" s="85">
        <v>27</v>
      </c>
      <c r="AM47" s="85">
        <v>213</v>
      </c>
      <c r="AN47" s="85">
        <v>17</v>
      </c>
      <c r="AO47" s="85">
        <v>0.21</v>
      </c>
      <c r="AP47" s="85">
        <v>35.299999999999997</v>
      </c>
      <c r="AQ47" s="85">
        <v>0.16500000000000001</v>
      </c>
      <c r="AR47" s="85">
        <v>0</v>
      </c>
      <c r="AS47" s="85">
        <v>2.2599999999999998</v>
      </c>
      <c r="AT47" s="85">
        <v>0</v>
      </c>
      <c r="AU47" s="85">
        <v>437.1</v>
      </c>
      <c r="AV47" s="85">
        <v>0</v>
      </c>
    </row>
    <row r="48" spans="1:48" s="1" customFormat="1" x14ac:dyDescent="0.55000000000000004">
      <c r="A48" s="1" t="s">
        <v>390</v>
      </c>
      <c r="B48" s="1" t="s">
        <v>627</v>
      </c>
      <c r="C48" s="1" t="s">
        <v>511</v>
      </c>
      <c r="D48" s="59">
        <v>0</v>
      </c>
      <c r="E48" s="59">
        <v>250</v>
      </c>
      <c r="F48" s="59">
        <f t="shared" si="0"/>
        <v>0</v>
      </c>
      <c r="G48" s="58">
        <f t="shared" si="22"/>
        <v>0</v>
      </c>
      <c r="H48" s="58">
        <f t="shared" si="23"/>
        <v>0</v>
      </c>
      <c r="I48" s="58">
        <f t="shared" si="20"/>
        <v>0</v>
      </c>
      <c r="J48" s="58">
        <f t="shared" si="21"/>
        <v>0</v>
      </c>
      <c r="K48" s="58">
        <f t="shared" si="24"/>
        <v>0</v>
      </c>
      <c r="L48" s="58">
        <f t="shared" si="25"/>
        <v>0</v>
      </c>
      <c r="M48" s="58">
        <f t="shared" si="26"/>
        <v>0</v>
      </c>
      <c r="N48" s="58">
        <f t="shared" si="27"/>
        <v>0</v>
      </c>
      <c r="O48" s="58">
        <f t="shared" si="28"/>
        <v>0</v>
      </c>
      <c r="P48" s="58">
        <f t="shared" si="29"/>
        <v>0</v>
      </c>
      <c r="Q48" s="58">
        <f t="shared" si="30"/>
        <v>0</v>
      </c>
      <c r="R48" s="58">
        <f t="shared" si="31"/>
        <v>0</v>
      </c>
      <c r="S48" s="58">
        <f t="shared" si="32"/>
        <v>0</v>
      </c>
      <c r="T48" s="58">
        <f t="shared" si="33"/>
        <v>0</v>
      </c>
      <c r="U48" s="58">
        <f t="shared" si="34"/>
        <v>0</v>
      </c>
      <c r="V48" s="58">
        <f t="shared" si="35"/>
        <v>0</v>
      </c>
      <c r="W48" s="58">
        <f t="shared" si="36"/>
        <v>0</v>
      </c>
      <c r="X48" s="58">
        <f t="shared" si="37"/>
        <v>0</v>
      </c>
      <c r="Y48" s="58">
        <f t="shared" si="38"/>
        <v>0</v>
      </c>
      <c r="Z48" s="58">
        <f t="shared" si="39"/>
        <v>0</v>
      </c>
      <c r="AA48" s="59">
        <f t="shared" si="19"/>
        <v>0</v>
      </c>
      <c r="AB48" s="85">
        <v>86</v>
      </c>
      <c r="AC48" s="85">
        <v>3.27</v>
      </c>
      <c r="AD48" s="85">
        <v>1.35</v>
      </c>
      <c r="AE48" s="85">
        <v>0.32500000000000001</v>
      </c>
      <c r="AF48" s="85">
        <v>0.91900000000000004</v>
      </c>
      <c r="AG48" s="85">
        <v>18.7</v>
      </c>
      <c r="AH48" s="85">
        <v>2</v>
      </c>
      <c r="AI48" s="85">
        <v>6.26</v>
      </c>
      <c r="AJ48" s="85">
        <v>2</v>
      </c>
      <c r="AK48" s="85">
        <v>0.52</v>
      </c>
      <c r="AL48" s="85">
        <v>37</v>
      </c>
      <c r="AM48" s="85">
        <v>270</v>
      </c>
      <c r="AN48" s="85">
        <v>15</v>
      </c>
      <c r="AO48" s="85">
        <v>0.46</v>
      </c>
      <c r="AP48" s="85">
        <v>6.8</v>
      </c>
      <c r="AQ48" s="85">
        <v>9.2999999999999999E-2</v>
      </c>
      <c r="AR48" s="85">
        <v>0</v>
      </c>
      <c r="AS48" s="85">
        <v>7.0000000000000007E-2</v>
      </c>
      <c r="AT48" s="85">
        <v>0</v>
      </c>
      <c r="AU48" s="85">
        <v>0.3</v>
      </c>
      <c r="AV48" s="85">
        <v>0</v>
      </c>
    </row>
    <row r="49" spans="1:48" s="1" customFormat="1" x14ac:dyDescent="0.55000000000000004">
      <c r="A49" s="1" t="s">
        <v>391</v>
      </c>
      <c r="B49" s="1" t="s">
        <v>628</v>
      </c>
      <c r="C49" s="1" t="s">
        <v>512</v>
      </c>
      <c r="D49" s="59">
        <v>250</v>
      </c>
      <c r="E49" s="59">
        <v>250</v>
      </c>
      <c r="F49" s="59">
        <f t="shared" si="0"/>
        <v>250</v>
      </c>
      <c r="G49" s="58">
        <f t="shared" si="22"/>
        <v>280</v>
      </c>
      <c r="H49" s="58">
        <f t="shared" si="23"/>
        <v>9.4749999999999996</v>
      </c>
      <c r="I49" s="58">
        <f t="shared" si="20"/>
        <v>0.4</v>
      </c>
      <c r="J49" s="58">
        <f t="shared" si="21"/>
        <v>7.2499999999999995E-2</v>
      </c>
      <c r="K49" s="58">
        <f t="shared" si="24"/>
        <v>58.05</v>
      </c>
      <c r="L49" s="58">
        <f t="shared" si="25"/>
        <v>3.5</v>
      </c>
      <c r="M49" s="58">
        <f t="shared" si="26"/>
        <v>0.25</v>
      </c>
      <c r="N49" s="58">
        <f t="shared" si="27"/>
        <v>20</v>
      </c>
      <c r="O49" s="58">
        <f t="shared" si="28"/>
        <v>0.95</v>
      </c>
      <c r="P49" s="58">
        <f t="shared" si="29"/>
        <v>20</v>
      </c>
      <c r="Q49" s="58">
        <f t="shared" si="30"/>
        <v>145</v>
      </c>
      <c r="R49" s="58">
        <f t="shared" si="31"/>
        <v>12.5</v>
      </c>
      <c r="S49" s="58">
        <f t="shared" si="32"/>
        <v>0.65</v>
      </c>
      <c r="T49" s="58">
        <f t="shared" si="33"/>
        <v>0</v>
      </c>
      <c r="U49" s="58">
        <f t="shared" si="34"/>
        <v>0.1275</v>
      </c>
      <c r="V49" s="58">
        <f t="shared" si="35"/>
        <v>0</v>
      </c>
      <c r="W49" s="58">
        <f t="shared" si="36"/>
        <v>0.32500000000000001</v>
      </c>
      <c r="X49" s="58">
        <f t="shared" si="37"/>
        <v>0</v>
      </c>
      <c r="Y49" s="58">
        <f t="shared" si="38"/>
        <v>0.25</v>
      </c>
      <c r="Z49" s="58">
        <f t="shared" si="39"/>
        <v>0</v>
      </c>
      <c r="AA49" s="59">
        <f t="shared" si="19"/>
        <v>0.4</v>
      </c>
      <c r="AB49" s="85">
        <v>112</v>
      </c>
      <c r="AC49" s="85">
        <v>3.79</v>
      </c>
      <c r="AD49" s="85">
        <v>0.16</v>
      </c>
      <c r="AE49" s="85">
        <v>2.9000000000000001E-2</v>
      </c>
      <c r="AF49" s="85">
        <v>8.5999999999999993E-2</v>
      </c>
      <c r="AG49" s="85">
        <v>23.22</v>
      </c>
      <c r="AH49" s="85">
        <v>1.4</v>
      </c>
      <c r="AI49" s="85">
        <v>0.1</v>
      </c>
      <c r="AJ49" s="85">
        <v>8</v>
      </c>
      <c r="AK49" s="85">
        <v>0.38</v>
      </c>
      <c r="AL49" s="85">
        <v>8</v>
      </c>
      <c r="AM49" s="85">
        <v>58</v>
      </c>
      <c r="AN49" s="85">
        <v>5</v>
      </c>
      <c r="AO49" s="85">
        <v>0.26</v>
      </c>
      <c r="AP49" s="85">
        <v>0</v>
      </c>
      <c r="AQ49" s="85">
        <v>5.0999999999999997E-2</v>
      </c>
      <c r="AR49" s="85">
        <v>0</v>
      </c>
      <c r="AS49" s="85">
        <v>0.13</v>
      </c>
      <c r="AT49" s="85">
        <v>0</v>
      </c>
      <c r="AU49" s="85">
        <v>0.1</v>
      </c>
      <c r="AV49" s="85">
        <v>0</v>
      </c>
    </row>
    <row r="50" spans="1:48" s="1" customFormat="1" x14ac:dyDescent="0.55000000000000004">
      <c r="A50" s="1" t="s">
        <v>392</v>
      </c>
      <c r="B50" s="1" t="s">
        <v>629</v>
      </c>
      <c r="C50" s="1" t="s">
        <v>513</v>
      </c>
      <c r="D50" s="59">
        <v>0</v>
      </c>
      <c r="E50" s="59">
        <v>250</v>
      </c>
      <c r="F50" s="59">
        <f t="shared" si="0"/>
        <v>0</v>
      </c>
      <c r="G50" s="58">
        <f t="shared" si="22"/>
        <v>0</v>
      </c>
      <c r="H50" s="58">
        <f t="shared" si="23"/>
        <v>0</v>
      </c>
      <c r="I50" s="58">
        <f t="shared" si="20"/>
        <v>0</v>
      </c>
      <c r="J50" s="58">
        <f t="shared" si="21"/>
        <v>0</v>
      </c>
      <c r="K50" s="58">
        <f t="shared" si="24"/>
        <v>0</v>
      </c>
      <c r="L50" s="58">
        <f t="shared" si="25"/>
        <v>0</v>
      </c>
      <c r="M50" s="58">
        <f t="shared" si="26"/>
        <v>0</v>
      </c>
      <c r="N50" s="58">
        <f t="shared" si="27"/>
        <v>0</v>
      </c>
      <c r="O50" s="58">
        <f t="shared" si="28"/>
        <v>0</v>
      </c>
      <c r="P50" s="58">
        <f t="shared" si="29"/>
        <v>0</v>
      </c>
      <c r="Q50" s="58">
        <f t="shared" si="30"/>
        <v>0</v>
      </c>
      <c r="R50" s="58">
        <f t="shared" si="31"/>
        <v>0</v>
      </c>
      <c r="S50" s="58">
        <f t="shared" si="32"/>
        <v>0</v>
      </c>
      <c r="T50" s="58">
        <f t="shared" si="33"/>
        <v>0</v>
      </c>
      <c r="U50" s="58">
        <f t="shared" si="34"/>
        <v>0</v>
      </c>
      <c r="V50" s="58">
        <f t="shared" si="35"/>
        <v>0</v>
      </c>
      <c r="W50" s="58">
        <f t="shared" si="36"/>
        <v>0</v>
      </c>
      <c r="X50" s="58">
        <f t="shared" si="37"/>
        <v>0</v>
      </c>
      <c r="Y50" s="58">
        <f t="shared" si="38"/>
        <v>0</v>
      </c>
      <c r="Z50" s="58">
        <f t="shared" si="39"/>
        <v>0</v>
      </c>
      <c r="AA50" s="59">
        <f t="shared" si="19"/>
        <v>0</v>
      </c>
      <c r="AB50" s="85">
        <v>305</v>
      </c>
      <c r="AC50" s="85">
        <v>15.98</v>
      </c>
      <c r="AD50" s="85">
        <v>14.54</v>
      </c>
      <c r="AE50" s="85">
        <v>0.73</v>
      </c>
      <c r="AF50" s="85">
        <v>10.42</v>
      </c>
      <c r="AG50" s="85">
        <v>55.17</v>
      </c>
      <c r="AH50" s="85">
        <v>21.1</v>
      </c>
      <c r="AI50" s="85">
        <v>0</v>
      </c>
      <c r="AJ50" s="85">
        <v>1516</v>
      </c>
      <c r="AK50" s="85">
        <v>16.329999999999998</v>
      </c>
      <c r="AL50" s="85">
        <v>256</v>
      </c>
      <c r="AM50" s="85">
        <v>1186</v>
      </c>
      <c r="AN50" s="85">
        <v>20</v>
      </c>
      <c r="AO50" s="85">
        <v>5.2</v>
      </c>
      <c r="AP50" s="85">
        <v>21</v>
      </c>
      <c r="AQ50" s="85">
        <v>0.25</v>
      </c>
      <c r="AR50" s="85">
        <v>0</v>
      </c>
      <c r="AS50" s="85">
        <v>0</v>
      </c>
      <c r="AT50" s="85">
        <v>0</v>
      </c>
      <c r="AU50" s="85">
        <v>0</v>
      </c>
      <c r="AV50" s="85">
        <v>0</v>
      </c>
    </row>
    <row r="51" spans="1:48" s="1" customFormat="1" x14ac:dyDescent="0.55000000000000004">
      <c r="A51" s="1" t="s">
        <v>393</v>
      </c>
      <c r="B51" s="1" t="s">
        <v>630</v>
      </c>
      <c r="C51" s="1" t="s">
        <v>514</v>
      </c>
      <c r="D51" s="59">
        <v>0</v>
      </c>
      <c r="E51" s="59">
        <v>250</v>
      </c>
      <c r="F51" s="59">
        <f t="shared" si="0"/>
        <v>0</v>
      </c>
      <c r="G51" s="58">
        <f t="shared" si="22"/>
        <v>0</v>
      </c>
      <c r="H51" s="58">
        <f t="shared" si="23"/>
        <v>0</v>
      </c>
      <c r="I51" s="58">
        <f t="shared" si="20"/>
        <v>0</v>
      </c>
      <c r="J51" s="58">
        <f t="shared" si="21"/>
        <v>0</v>
      </c>
      <c r="K51" s="58">
        <f t="shared" si="24"/>
        <v>0</v>
      </c>
      <c r="L51" s="58">
        <f t="shared" si="25"/>
        <v>0</v>
      </c>
      <c r="M51" s="58">
        <f t="shared" si="26"/>
        <v>0</v>
      </c>
      <c r="N51" s="58">
        <f t="shared" si="27"/>
        <v>0</v>
      </c>
      <c r="O51" s="58">
        <f t="shared" si="28"/>
        <v>0</v>
      </c>
      <c r="P51" s="58">
        <f t="shared" si="29"/>
        <v>0</v>
      </c>
      <c r="Q51" s="58">
        <f t="shared" si="30"/>
        <v>0</v>
      </c>
      <c r="R51" s="58">
        <f t="shared" si="31"/>
        <v>0</v>
      </c>
      <c r="S51" s="58">
        <f t="shared" si="32"/>
        <v>0</v>
      </c>
      <c r="T51" s="58">
        <f t="shared" si="33"/>
        <v>0</v>
      </c>
      <c r="U51" s="58">
        <f t="shared" si="34"/>
        <v>0</v>
      </c>
      <c r="V51" s="58">
        <f t="shared" si="35"/>
        <v>0</v>
      </c>
      <c r="W51" s="58">
        <f t="shared" si="36"/>
        <v>0</v>
      </c>
      <c r="X51" s="58">
        <f t="shared" si="37"/>
        <v>0</v>
      </c>
      <c r="Y51" s="58">
        <f t="shared" si="38"/>
        <v>0</v>
      </c>
      <c r="Z51" s="58">
        <f t="shared" si="39"/>
        <v>0</v>
      </c>
      <c r="AA51" s="59">
        <f t="shared" si="19"/>
        <v>0</v>
      </c>
      <c r="AB51" s="85">
        <v>121</v>
      </c>
      <c r="AC51" s="85">
        <v>11.91</v>
      </c>
      <c r="AD51" s="85">
        <v>5.2</v>
      </c>
      <c r="AE51" s="85">
        <v>0.62</v>
      </c>
      <c r="AF51" s="85">
        <v>3.4380000000000002</v>
      </c>
      <c r="AG51" s="85">
        <v>8.91</v>
      </c>
      <c r="AH51" s="85">
        <v>5.2</v>
      </c>
      <c r="AI51" s="85">
        <v>2.1800000000000002</v>
      </c>
      <c r="AJ51" s="85">
        <v>63</v>
      </c>
      <c r="AK51" s="85">
        <v>2.27</v>
      </c>
      <c r="AL51" s="85">
        <v>64</v>
      </c>
      <c r="AM51" s="85">
        <v>436</v>
      </c>
      <c r="AN51" s="85">
        <v>6</v>
      </c>
      <c r="AO51" s="85">
        <v>1.37</v>
      </c>
      <c r="AP51" s="85">
        <v>6.1</v>
      </c>
      <c r="AQ51" s="85">
        <v>0.1</v>
      </c>
      <c r="AR51" s="85">
        <v>0</v>
      </c>
      <c r="AS51" s="85">
        <v>0.68</v>
      </c>
      <c r="AT51" s="85">
        <v>0</v>
      </c>
      <c r="AU51" s="85">
        <v>26.7</v>
      </c>
      <c r="AV51" s="85">
        <v>0</v>
      </c>
    </row>
    <row r="52" spans="1:48" s="1" customFormat="1" x14ac:dyDescent="0.55000000000000004">
      <c r="A52" s="1" t="s">
        <v>394</v>
      </c>
      <c r="B52" s="1" t="s">
        <v>631</v>
      </c>
      <c r="C52" s="1" t="s">
        <v>515</v>
      </c>
      <c r="D52" s="59">
        <v>250</v>
      </c>
      <c r="E52" s="59">
        <v>250</v>
      </c>
      <c r="F52" s="59">
        <f t="shared" si="0"/>
        <v>250</v>
      </c>
      <c r="G52" s="58">
        <f t="shared" si="22"/>
        <v>130</v>
      </c>
      <c r="H52" s="58">
        <f t="shared" si="23"/>
        <v>27.25</v>
      </c>
      <c r="I52" s="58">
        <f t="shared" si="20"/>
        <v>0.42499999999999999</v>
      </c>
      <c r="J52" s="58">
        <f t="shared" si="21"/>
        <v>0</v>
      </c>
      <c r="K52" s="58">
        <f t="shared" si="24"/>
        <v>1.825</v>
      </c>
      <c r="L52" s="58">
        <f t="shared" si="25"/>
        <v>0</v>
      </c>
      <c r="M52" s="58">
        <f t="shared" si="26"/>
        <v>1.7749999999999999</v>
      </c>
      <c r="N52" s="58">
        <f t="shared" si="27"/>
        <v>17.5</v>
      </c>
      <c r="O52" s="58">
        <f t="shared" si="28"/>
        <v>0.2</v>
      </c>
      <c r="P52" s="58">
        <f t="shared" si="29"/>
        <v>27.5</v>
      </c>
      <c r="Q52" s="58">
        <f t="shared" si="30"/>
        <v>407.5</v>
      </c>
      <c r="R52" s="58">
        <f t="shared" si="31"/>
        <v>415</v>
      </c>
      <c r="S52" s="58">
        <f t="shared" si="32"/>
        <v>7.4999999999999997E-2</v>
      </c>
      <c r="T52" s="58">
        <f t="shared" si="33"/>
        <v>0</v>
      </c>
      <c r="U52" s="58">
        <f t="shared" si="34"/>
        <v>1.2500000000000001E-2</v>
      </c>
      <c r="V52" s="58">
        <f t="shared" si="35"/>
        <v>0.22500000000000001</v>
      </c>
      <c r="W52" s="58">
        <f t="shared" si="36"/>
        <v>0</v>
      </c>
      <c r="X52" s="58">
        <f t="shared" si="37"/>
        <v>0</v>
      </c>
      <c r="Y52" s="58">
        <f t="shared" si="38"/>
        <v>0</v>
      </c>
      <c r="Z52" s="58">
        <f t="shared" si="39"/>
        <v>0</v>
      </c>
      <c r="AA52" s="59">
        <f t="shared" si="19"/>
        <v>0.42499999999999999</v>
      </c>
      <c r="AB52" s="85">
        <v>52</v>
      </c>
      <c r="AC52" s="85">
        <v>10.9</v>
      </c>
      <c r="AD52" s="85">
        <v>0.17</v>
      </c>
      <c r="AE52" s="85">
        <v>0</v>
      </c>
      <c r="AF52" s="85">
        <v>0</v>
      </c>
      <c r="AG52" s="85">
        <v>0.73</v>
      </c>
      <c r="AH52" s="85">
        <v>0</v>
      </c>
      <c r="AI52" s="85">
        <v>0.71</v>
      </c>
      <c r="AJ52" s="85">
        <v>7</v>
      </c>
      <c r="AK52" s="85">
        <v>0.08</v>
      </c>
      <c r="AL52" s="85">
        <v>11</v>
      </c>
      <c r="AM52" s="85">
        <v>163</v>
      </c>
      <c r="AN52" s="85">
        <v>166</v>
      </c>
      <c r="AO52" s="85">
        <v>0.03</v>
      </c>
      <c r="AP52" s="85">
        <v>0</v>
      </c>
      <c r="AQ52" s="85">
        <v>5.0000000000000001E-3</v>
      </c>
      <c r="AR52" s="85">
        <v>0.09</v>
      </c>
      <c r="AS52" s="85">
        <v>0</v>
      </c>
      <c r="AT52" s="85">
        <v>0</v>
      </c>
      <c r="AU52" s="85">
        <v>0</v>
      </c>
      <c r="AV52" s="85">
        <v>0</v>
      </c>
    </row>
    <row r="53" spans="1:48" s="1" customFormat="1" x14ac:dyDescent="0.55000000000000004">
      <c r="A53" s="1" t="s">
        <v>200</v>
      </c>
      <c r="B53" s="1" t="s">
        <v>632</v>
      </c>
      <c r="C53" s="1" t="s">
        <v>201</v>
      </c>
      <c r="D53" s="59">
        <v>0</v>
      </c>
      <c r="E53" s="59">
        <v>250</v>
      </c>
      <c r="F53" s="59">
        <f t="shared" si="0"/>
        <v>0</v>
      </c>
      <c r="G53" s="58">
        <f t="shared" si="22"/>
        <v>0</v>
      </c>
      <c r="H53" s="58">
        <f t="shared" si="23"/>
        <v>0</v>
      </c>
      <c r="I53" s="58">
        <f t="shared" si="20"/>
        <v>0</v>
      </c>
      <c r="J53" s="58">
        <f t="shared" si="21"/>
        <v>0</v>
      </c>
      <c r="K53" s="58">
        <f t="shared" si="24"/>
        <v>0</v>
      </c>
      <c r="L53" s="58">
        <f t="shared" si="25"/>
        <v>0</v>
      </c>
      <c r="M53" s="58">
        <f t="shared" si="26"/>
        <v>0</v>
      </c>
      <c r="N53" s="58">
        <f t="shared" si="27"/>
        <v>0</v>
      </c>
      <c r="O53" s="58">
        <f t="shared" si="28"/>
        <v>0</v>
      </c>
      <c r="P53" s="58">
        <f t="shared" si="29"/>
        <v>0</v>
      </c>
      <c r="Q53" s="58">
        <f t="shared" si="30"/>
        <v>0</v>
      </c>
      <c r="R53" s="58">
        <f t="shared" si="31"/>
        <v>0</v>
      </c>
      <c r="S53" s="58">
        <f t="shared" si="32"/>
        <v>0</v>
      </c>
      <c r="T53" s="58">
        <f t="shared" si="33"/>
        <v>0</v>
      </c>
      <c r="U53" s="58">
        <f t="shared" si="34"/>
        <v>0</v>
      </c>
      <c r="V53" s="58">
        <f t="shared" si="35"/>
        <v>0</v>
      </c>
      <c r="W53" s="58">
        <f t="shared" si="36"/>
        <v>0</v>
      </c>
      <c r="X53" s="58">
        <f t="shared" si="37"/>
        <v>0</v>
      </c>
      <c r="Y53" s="58">
        <f t="shared" si="38"/>
        <v>0</v>
      </c>
      <c r="Z53" s="58">
        <f t="shared" si="39"/>
        <v>0</v>
      </c>
      <c r="AA53" s="59">
        <f t="shared" si="19"/>
        <v>0</v>
      </c>
      <c r="AB53" s="85">
        <v>196</v>
      </c>
      <c r="AC53" s="85">
        <v>13.61</v>
      </c>
      <c r="AD53" s="85">
        <v>14.84</v>
      </c>
      <c r="AE53" s="85">
        <v>4.3230000000000004</v>
      </c>
      <c r="AF53" s="85">
        <v>9.4329999999999998</v>
      </c>
      <c r="AG53" s="85">
        <v>0.83</v>
      </c>
      <c r="AH53" s="85">
        <v>0</v>
      </c>
      <c r="AI53" s="85">
        <v>0.4</v>
      </c>
      <c r="AJ53" s="85">
        <v>62</v>
      </c>
      <c r="AK53" s="85">
        <v>1.89</v>
      </c>
      <c r="AL53" s="85">
        <v>13</v>
      </c>
      <c r="AM53" s="85">
        <v>152</v>
      </c>
      <c r="AN53" s="85">
        <v>207</v>
      </c>
      <c r="AO53" s="85">
        <v>1.39</v>
      </c>
      <c r="AP53" s="85">
        <v>0</v>
      </c>
      <c r="AQ53" s="85">
        <v>0.184</v>
      </c>
      <c r="AR53" s="85">
        <v>0.97</v>
      </c>
      <c r="AS53" s="85">
        <v>1.31</v>
      </c>
      <c r="AT53" s="85">
        <v>88</v>
      </c>
      <c r="AU53" s="85">
        <v>5.6</v>
      </c>
      <c r="AV53" s="85">
        <v>401</v>
      </c>
    </row>
    <row r="54" spans="1:48" s="1" customFormat="1" x14ac:dyDescent="0.55000000000000004">
      <c r="A54" s="1" t="s">
        <v>202</v>
      </c>
      <c r="B54" s="1" t="s">
        <v>633</v>
      </c>
      <c r="C54" s="1" t="s">
        <v>203</v>
      </c>
      <c r="D54" s="59">
        <v>0</v>
      </c>
      <c r="E54" s="59">
        <v>250</v>
      </c>
      <c r="F54" s="59">
        <f t="shared" si="0"/>
        <v>0</v>
      </c>
      <c r="G54" s="58">
        <f t="shared" si="22"/>
        <v>0</v>
      </c>
      <c r="H54" s="58">
        <f t="shared" si="23"/>
        <v>0</v>
      </c>
      <c r="I54" s="58">
        <f t="shared" si="20"/>
        <v>0</v>
      </c>
      <c r="J54" s="58">
        <f t="shared" si="21"/>
        <v>0</v>
      </c>
      <c r="K54" s="58">
        <f t="shared" si="24"/>
        <v>0</v>
      </c>
      <c r="L54" s="58">
        <f t="shared" si="25"/>
        <v>0</v>
      </c>
      <c r="M54" s="58">
        <f t="shared" si="26"/>
        <v>0</v>
      </c>
      <c r="N54" s="58">
        <f t="shared" si="27"/>
        <v>0</v>
      </c>
      <c r="O54" s="58">
        <f t="shared" si="28"/>
        <v>0</v>
      </c>
      <c r="P54" s="58">
        <f t="shared" si="29"/>
        <v>0</v>
      </c>
      <c r="Q54" s="58">
        <f t="shared" si="30"/>
        <v>0</v>
      </c>
      <c r="R54" s="58">
        <f t="shared" si="31"/>
        <v>0</v>
      </c>
      <c r="S54" s="58">
        <f t="shared" si="32"/>
        <v>0</v>
      </c>
      <c r="T54" s="58">
        <f t="shared" si="33"/>
        <v>0</v>
      </c>
      <c r="U54" s="58">
        <f t="shared" si="34"/>
        <v>0</v>
      </c>
      <c r="V54" s="58">
        <f t="shared" si="35"/>
        <v>0</v>
      </c>
      <c r="W54" s="58">
        <f t="shared" si="36"/>
        <v>0</v>
      </c>
      <c r="X54" s="58">
        <f t="shared" si="37"/>
        <v>0</v>
      </c>
      <c r="Y54" s="58">
        <f t="shared" si="38"/>
        <v>0</v>
      </c>
      <c r="Z54" s="58">
        <f t="shared" si="39"/>
        <v>0</v>
      </c>
      <c r="AA54" s="59">
        <f t="shared" si="19"/>
        <v>0</v>
      </c>
      <c r="AB54" s="85">
        <v>155</v>
      </c>
      <c r="AC54" s="85">
        <v>12.58</v>
      </c>
      <c r="AD54" s="85">
        <v>10.61</v>
      </c>
      <c r="AE54" s="85">
        <v>3.2669999999999999</v>
      </c>
      <c r="AF54" s="85">
        <v>5.4909999999999997</v>
      </c>
      <c r="AG54" s="85">
        <v>1.1200000000000001</v>
      </c>
      <c r="AH54" s="85">
        <v>0</v>
      </c>
      <c r="AI54" s="85">
        <v>1.1200000000000001</v>
      </c>
      <c r="AJ54" s="85">
        <v>50</v>
      </c>
      <c r="AK54" s="85">
        <v>1.19</v>
      </c>
      <c r="AL54" s="85">
        <v>10</v>
      </c>
      <c r="AM54" s="85">
        <v>126</v>
      </c>
      <c r="AN54" s="85">
        <v>124</v>
      </c>
      <c r="AO54" s="85">
        <v>1.05</v>
      </c>
      <c r="AP54" s="85">
        <v>0</v>
      </c>
      <c r="AQ54" s="85">
        <v>0.121</v>
      </c>
      <c r="AR54" s="85">
        <v>1.1100000000000001</v>
      </c>
      <c r="AS54" s="85">
        <v>1.03</v>
      </c>
      <c r="AT54" s="85">
        <v>87</v>
      </c>
      <c r="AU54" s="85">
        <v>0.3</v>
      </c>
      <c r="AV54" s="85">
        <v>373</v>
      </c>
    </row>
    <row r="55" spans="1:48" s="1" customFormat="1" x14ac:dyDescent="0.55000000000000004">
      <c r="A55" s="1" t="s">
        <v>395</v>
      </c>
      <c r="B55" s="1" t="s">
        <v>634</v>
      </c>
      <c r="C55" s="1" t="s">
        <v>516</v>
      </c>
      <c r="D55" s="59">
        <v>0</v>
      </c>
      <c r="E55" s="59">
        <v>250</v>
      </c>
      <c r="F55" s="59">
        <f t="shared" si="0"/>
        <v>0</v>
      </c>
      <c r="G55" s="58">
        <f t="shared" si="22"/>
        <v>0</v>
      </c>
      <c r="H55" s="58">
        <f t="shared" si="23"/>
        <v>0</v>
      </c>
      <c r="I55" s="58">
        <f t="shared" si="20"/>
        <v>0</v>
      </c>
      <c r="J55" s="58">
        <f t="shared" si="21"/>
        <v>0</v>
      </c>
      <c r="K55" s="58">
        <f t="shared" si="24"/>
        <v>0</v>
      </c>
      <c r="L55" s="58">
        <f t="shared" si="25"/>
        <v>0</v>
      </c>
      <c r="M55" s="58">
        <f t="shared" si="26"/>
        <v>0</v>
      </c>
      <c r="N55" s="58">
        <f t="shared" si="27"/>
        <v>0</v>
      </c>
      <c r="O55" s="58">
        <f t="shared" si="28"/>
        <v>0</v>
      </c>
      <c r="P55" s="58">
        <f t="shared" si="29"/>
        <v>0</v>
      </c>
      <c r="Q55" s="58">
        <f t="shared" si="30"/>
        <v>0</v>
      </c>
      <c r="R55" s="58">
        <f t="shared" si="31"/>
        <v>0</v>
      </c>
      <c r="S55" s="58">
        <f t="shared" si="32"/>
        <v>0</v>
      </c>
      <c r="T55" s="58">
        <f t="shared" si="33"/>
        <v>0</v>
      </c>
      <c r="U55" s="58">
        <f t="shared" si="34"/>
        <v>0</v>
      </c>
      <c r="V55" s="58">
        <f t="shared" si="35"/>
        <v>0</v>
      </c>
      <c r="W55" s="58">
        <f t="shared" si="36"/>
        <v>0</v>
      </c>
      <c r="X55" s="58">
        <f t="shared" si="37"/>
        <v>0</v>
      </c>
      <c r="Y55" s="58">
        <f t="shared" si="38"/>
        <v>0</v>
      </c>
      <c r="Z55" s="58">
        <f t="shared" si="39"/>
        <v>0</v>
      </c>
      <c r="AA55" s="59">
        <f t="shared" si="19"/>
        <v>0</v>
      </c>
      <c r="AB55" s="85">
        <v>143</v>
      </c>
      <c r="AC55" s="85">
        <v>12.56</v>
      </c>
      <c r="AD55" s="85">
        <v>9.51</v>
      </c>
      <c r="AE55" s="85">
        <v>3.1259999999999999</v>
      </c>
      <c r="AF55" s="85">
        <v>5.569</v>
      </c>
      <c r="AG55" s="85">
        <v>0.72</v>
      </c>
      <c r="AH55" s="85">
        <v>0</v>
      </c>
      <c r="AI55" s="85">
        <v>0.37</v>
      </c>
      <c r="AJ55" s="85">
        <v>56</v>
      </c>
      <c r="AK55" s="85">
        <v>1.75</v>
      </c>
      <c r="AL55" s="85">
        <v>12</v>
      </c>
      <c r="AM55" s="85">
        <v>138</v>
      </c>
      <c r="AN55" s="85">
        <v>142</v>
      </c>
      <c r="AO55" s="85">
        <v>1.29</v>
      </c>
      <c r="AP55" s="85">
        <v>0</v>
      </c>
      <c r="AQ55" s="85">
        <v>0.17</v>
      </c>
      <c r="AR55" s="85">
        <v>0.89</v>
      </c>
      <c r="AS55" s="85">
        <v>1.05</v>
      </c>
      <c r="AT55" s="85">
        <v>82</v>
      </c>
      <c r="AU55" s="85">
        <v>0.3</v>
      </c>
      <c r="AV55" s="85">
        <v>372</v>
      </c>
    </row>
    <row r="56" spans="1:48" s="1" customFormat="1" x14ac:dyDescent="0.55000000000000004">
      <c r="A56" s="1" t="s">
        <v>396</v>
      </c>
      <c r="B56" s="1" t="s">
        <v>635</v>
      </c>
      <c r="C56" s="1" t="s">
        <v>517</v>
      </c>
      <c r="D56" s="59">
        <v>0</v>
      </c>
      <c r="E56" s="59">
        <v>250</v>
      </c>
      <c r="F56" s="59">
        <f t="shared" si="0"/>
        <v>0</v>
      </c>
      <c r="G56" s="58">
        <f t="shared" si="22"/>
        <v>0</v>
      </c>
      <c r="H56" s="58">
        <f t="shared" si="23"/>
        <v>0</v>
      </c>
      <c r="I56" s="58">
        <f t="shared" si="20"/>
        <v>0</v>
      </c>
      <c r="J56" s="58">
        <f t="shared" si="21"/>
        <v>0</v>
      </c>
      <c r="K56" s="58">
        <f t="shared" si="24"/>
        <v>0</v>
      </c>
      <c r="L56" s="58">
        <f t="shared" si="25"/>
        <v>0</v>
      </c>
      <c r="M56" s="58">
        <f t="shared" si="26"/>
        <v>0</v>
      </c>
      <c r="N56" s="58">
        <f t="shared" si="27"/>
        <v>0</v>
      </c>
      <c r="O56" s="58">
        <f t="shared" si="28"/>
        <v>0</v>
      </c>
      <c r="P56" s="58">
        <f t="shared" si="29"/>
        <v>0</v>
      </c>
      <c r="Q56" s="58">
        <f t="shared" si="30"/>
        <v>0</v>
      </c>
      <c r="R56" s="58">
        <f t="shared" si="31"/>
        <v>0</v>
      </c>
      <c r="S56" s="58">
        <f t="shared" si="32"/>
        <v>0</v>
      </c>
      <c r="T56" s="58">
        <f t="shared" si="33"/>
        <v>0</v>
      </c>
      <c r="U56" s="58">
        <f t="shared" si="34"/>
        <v>0</v>
      </c>
      <c r="V56" s="58">
        <f t="shared" si="35"/>
        <v>0</v>
      </c>
      <c r="W56" s="58">
        <f t="shared" si="36"/>
        <v>0</v>
      </c>
      <c r="X56" s="58">
        <f t="shared" si="37"/>
        <v>0</v>
      </c>
      <c r="Y56" s="58">
        <f t="shared" si="38"/>
        <v>0</v>
      </c>
      <c r="Z56" s="58">
        <f t="shared" si="39"/>
        <v>0</v>
      </c>
      <c r="AA56" s="59">
        <f t="shared" si="19"/>
        <v>0</v>
      </c>
      <c r="AB56" s="85">
        <v>25</v>
      </c>
      <c r="AC56" s="85">
        <v>0.98</v>
      </c>
      <c r="AD56" s="85">
        <v>0.18</v>
      </c>
      <c r="AE56" s="85">
        <v>3.4000000000000002E-2</v>
      </c>
      <c r="AF56" s="85">
        <v>9.1999999999999998E-2</v>
      </c>
      <c r="AG56" s="85">
        <v>5.88</v>
      </c>
      <c r="AH56" s="85">
        <v>3</v>
      </c>
      <c r="AI56" s="85">
        <v>3.53</v>
      </c>
      <c r="AJ56" s="85">
        <v>9</v>
      </c>
      <c r="AK56" s="85">
        <v>0.23</v>
      </c>
      <c r="AL56" s="85">
        <v>14</v>
      </c>
      <c r="AM56" s="85">
        <v>229</v>
      </c>
      <c r="AN56" s="85">
        <v>2</v>
      </c>
      <c r="AO56" s="85">
        <v>0.16</v>
      </c>
      <c r="AP56" s="85">
        <v>2.2000000000000002</v>
      </c>
      <c r="AQ56" s="85">
        <v>8.4000000000000005E-2</v>
      </c>
      <c r="AR56" s="85">
        <v>0</v>
      </c>
      <c r="AS56" s="85">
        <v>0.3</v>
      </c>
      <c r="AT56" s="85">
        <v>0</v>
      </c>
      <c r="AU56" s="85">
        <v>3.5</v>
      </c>
      <c r="AV56" s="85">
        <v>0</v>
      </c>
    </row>
    <row r="57" spans="1:48" s="1" customFormat="1" x14ac:dyDescent="0.55000000000000004">
      <c r="A57" s="1" t="s">
        <v>397</v>
      </c>
      <c r="B57" s="1" t="s">
        <v>636</v>
      </c>
      <c r="C57" s="1" t="s">
        <v>518</v>
      </c>
      <c r="D57" s="59">
        <v>0</v>
      </c>
      <c r="E57" s="59">
        <v>250</v>
      </c>
      <c r="F57" s="59">
        <f t="shared" si="0"/>
        <v>0</v>
      </c>
      <c r="G57" s="58">
        <f t="shared" si="22"/>
        <v>0</v>
      </c>
      <c r="H57" s="58">
        <f t="shared" si="23"/>
        <v>0</v>
      </c>
      <c r="I57" s="58">
        <f t="shared" si="20"/>
        <v>0</v>
      </c>
      <c r="J57" s="58">
        <f t="shared" si="21"/>
        <v>0</v>
      </c>
      <c r="K57" s="58">
        <f t="shared" si="24"/>
        <v>0</v>
      </c>
      <c r="L57" s="58">
        <f t="shared" si="25"/>
        <v>0</v>
      </c>
      <c r="M57" s="58">
        <f t="shared" si="26"/>
        <v>0</v>
      </c>
      <c r="N57" s="58">
        <f t="shared" si="27"/>
        <v>0</v>
      </c>
      <c r="O57" s="58">
        <f t="shared" si="28"/>
        <v>0</v>
      </c>
      <c r="P57" s="58">
        <f t="shared" si="29"/>
        <v>0</v>
      </c>
      <c r="Q57" s="58">
        <f t="shared" si="30"/>
        <v>0</v>
      </c>
      <c r="R57" s="58">
        <f t="shared" si="31"/>
        <v>0</v>
      </c>
      <c r="S57" s="58">
        <f t="shared" si="32"/>
        <v>0</v>
      </c>
      <c r="T57" s="58">
        <f t="shared" si="33"/>
        <v>0</v>
      </c>
      <c r="U57" s="58">
        <f t="shared" si="34"/>
        <v>0</v>
      </c>
      <c r="V57" s="58">
        <f t="shared" si="35"/>
        <v>0</v>
      </c>
      <c r="W57" s="58">
        <f t="shared" si="36"/>
        <v>0</v>
      </c>
      <c r="X57" s="58">
        <f t="shared" si="37"/>
        <v>0</v>
      </c>
      <c r="Y57" s="58">
        <f t="shared" si="38"/>
        <v>0</v>
      </c>
      <c r="Z57" s="58">
        <f t="shared" si="39"/>
        <v>0</v>
      </c>
      <c r="AA57" s="59">
        <f t="shared" si="19"/>
        <v>0</v>
      </c>
      <c r="AB57" s="85">
        <v>73</v>
      </c>
      <c r="AC57" s="85">
        <v>0.66</v>
      </c>
      <c r="AD57" s="85">
        <v>0.5</v>
      </c>
      <c r="AE57" s="85">
        <v>2.3E-2</v>
      </c>
      <c r="AF57" s="85">
        <v>0.32700000000000001</v>
      </c>
      <c r="AG57" s="85">
        <v>18.399999999999999</v>
      </c>
      <c r="AH57" s="85">
        <v>7</v>
      </c>
      <c r="AI57" s="85">
        <v>0</v>
      </c>
      <c r="AJ57" s="85">
        <v>38</v>
      </c>
      <c r="AK57" s="85">
        <v>1.6</v>
      </c>
      <c r="AL57" s="85">
        <v>5</v>
      </c>
      <c r="AM57" s="85">
        <v>280</v>
      </c>
      <c r="AN57" s="85">
        <v>6</v>
      </c>
      <c r="AO57" s="85">
        <v>0.11</v>
      </c>
      <c r="AP57" s="85">
        <v>36</v>
      </c>
      <c r="AQ57" s="85">
        <v>0.23</v>
      </c>
      <c r="AR57" s="85">
        <v>0</v>
      </c>
      <c r="AS57" s="85">
        <v>0</v>
      </c>
      <c r="AT57" s="85">
        <v>0</v>
      </c>
      <c r="AU57" s="85">
        <v>0</v>
      </c>
      <c r="AV57" s="85">
        <v>0</v>
      </c>
    </row>
    <row r="58" spans="1:48" s="1" customFormat="1" x14ac:dyDescent="0.55000000000000004">
      <c r="A58" s="1" t="s">
        <v>398</v>
      </c>
      <c r="B58" s="1" t="s">
        <v>637</v>
      </c>
      <c r="C58" s="1" t="s">
        <v>519</v>
      </c>
      <c r="D58" s="59">
        <v>0</v>
      </c>
      <c r="E58" s="59">
        <v>250</v>
      </c>
      <c r="F58" s="59">
        <f t="shared" si="0"/>
        <v>0</v>
      </c>
      <c r="G58" s="58">
        <f t="shared" si="22"/>
        <v>0</v>
      </c>
      <c r="H58" s="58">
        <f t="shared" si="23"/>
        <v>0</v>
      </c>
      <c r="I58" s="58">
        <f t="shared" si="20"/>
        <v>0</v>
      </c>
      <c r="J58" s="58">
        <f t="shared" si="21"/>
        <v>0</v>
      </c>
      <c r="K58" s="58">
        <f t="shared" si="24"/>
        <v>0</v>
      </c>
      <c r="L58" s="58">
        <f t="shared" si="25"/>
        <v>0</v>
      </c>
      <c r="M58" s="58">
        <f t="shared" si="26"/>
        <v>0</v>
      </c>
      <c r="N58" s="58">
        <f t="shared" si="27"/>
        <v>0</v>
      </c>
      <c r="O58" s="58">
        <f t="shared" si="28"/>
        <v>0</v>
      </c>
      <c r="P58" s="58">
        <f t="shared" si="29"/>
        <v>0</v>
      </c>
      <c r="Q58" s="58">
        <f t="shared" si="30"/>
        <v>0</v>
      </c>
      <c r="R58" s="58">
        <f t="shared" si="31"/>
        <v>0</v>
      </c>
      <c r="S58" s="58">
        <f t="shared" si="32"/>
        <v>0</v>
      </c>
      <c r="T58" s="58">
        <f t="shared" si="33"/>
        <v>0</v>
      </c>
      <c r="U58" s="58">
        <f t="shared" si="34"/>
        <v>0</v>
      </c>
      <c r="V58" s="58">
        <f t="shared" si="35"/>
        <v>0</v>
      </c>
      <c r="W58" s="58">
        <f t="shared" si="36"/>
        <v>0</v>
      </c>
      <c r="X58" s="58">
        <f t="shared" si="37"/>
        <v>0</v>
      </c>
      <c r="Y58" s="58">
        <f t="shared" si="38"/>
        <v>0</v>
      </c>
      <c r="Z58" s="58">
        <f t="shared" si="39"/>
        <v>0</v>
      </c>
      <c r="AA58" s="59">
        <f t="shared" si="19"/>
        <v>0</v>
      </c>
      <c r="AB58" s="85">
        <v>333</v>
      </c>
      <c r="AC58" s="85">
        <v>13.31</v>
      </c>
      <c r="AD58" s="85">
        <v>17.8</v>
      </c>
      <c r="AE58" s="85">
        <v>2.383</v>
      </c>
      <c r="AF58" s="85">
        <v>14.331</v>
      </c>
      <c r="AG58" s="85">
        <v>31.84</v>
      </c>
      <c r="AH58" s="85">
        <v>0</v>
      </c>
      <c r="AI58" s="85">
        <v>0</v>
      </c>
      <c r="AJ58" s="85">
        <v>54</v>
      </c>
      <c r="AK58" s="85">
        <v>3.42</v>
      </c>
      <c r="AL58" s="85">
        <v>82</v>
      </c>
      <c r="AM58" s="85">
        <v>585</v>
      </c>
      <c r="AN58" s="85">
        <v>294</v>
      </c>
      <c r="AO58" s="85">
        <v>1.5</v>
      </c>
      <c r="AP58" s="85">
        <v>1.6</v>
      </c>
      <c r="AQ58" s="85">
        <v>0.125</v>
      </c>
      <c r="AR58" s="85">
        <v>0</v>
      </c>
      <c r="AS58" s="85">
        <v>0</v>
      </c>
      <c r="AT58" s="85">
        <v>0</v>
      </c>
      <c r="AU58" s="85">
        <v>0</v>
      </c>
      <c r="AV58" s="85">
        <v>0</v>
      </c>
    </row>
    <row r="59" spans="1:48" s="1" customFormat="1" x14ac:dyDescent="0.55000000000000004">
      <c r="A59" s="1" t="s">
        <v>214</v>
      </c>
      <c r="B59" s="1" t="s">
        <v>638</v>
      </c>
      <c r="C59" s="1" t="s">
        <v>215</v>
      </c>
      <c r="D59" s="59">
        <v>0</v>
      </c>
      <c r="E59" s="59">
        <v>250</v>
      </c>
      <c r="F59" s="59">
        <f t="shared" si="0"/>
        <v>0</v>
      </c>
      <c r="G59" s="58">
        <f t="shared" si="22"/>
        <v>0</v>
      </c>
      <c r="H59" s="58">
        <f t="shared" si="23"/>
        <v>0</v>
      </c>
      <c r="I59" s="58">
        <f t="shared" si="20"/>
        <v>0</v>
      </c>
      <c r="J59" s="58">
        <f t="shared" si="21"/>
        <v>0</v>
      </c>
      <c r="K59" s="58">
        <f t="shared" si="24"/>
        <v>0</v>
      </c>
      <c r="L59" s="58">
        <f t="shared" si="25"/>
        <v>0</v>
      </c>
      <c r="M59" s="58">
        <f t="shared" si="26"/>
        <v>0</v>
      </c>
      <c r="N59" s="58">
        <f t="shared" si="27"/>
        <v>0</v>
      </c>
      <c r="O59" s="58">
        <f t="shared" si="28"/>
        <v>0</v>
      </c>
      <c r="P59" s="58">
        <f t="shared" si="29"/>
        <v>0</v>
      </c>
      <c r="Q59" s="58">
        <f t="shared" si="30"/>
        <v>0</v>
      </c>
      <c r="R59" s="58">
        <f t="shared" si="31"/>
        <v>0</v>
      </c>
      <c r="S59" s="58">
        <f t="shared" si="32"/>
        <v>0</v>
      </c>
      <c r="T59" s="58">
        <f t="shared" si="33"/>
        <v>0</v>
      </c>
      <c r="U59" s="58">
        <f t="shared" si="34"/>
        <v>0</v>
      </c>
      <c r="V59" s="58">
        <f t="shared" si="35"/>
        <v>0</v>
      </c>
      <c r="W59" s="58">
        <f t="shared" si="36"/>
        <v>0</v>
      </c>
      <c r="X59" s="58">
        <f t="shared" si="37"/>
        <v>0</v>
      </c>
      <c r="Y59" s="58">
        <f t="shared" si="38"/>
        <v>0</v>
      </c>
      <c r="Z59" s="58">
        <f t="shared" si="39"/>
        <v>0</v>
      </c>
      <c r="AA59" s="59">
        <f t="shared" si="19"/>
        <v>0</v>
      </c>
      <c r="AB59" s="85">
        <v>74</v>
      </c>
      <c r="AC59" s="85">
        <v>0.75</v>
      </c>
      <c r="AD59" s="85">
        <v>0.3</v>
      </c>
      <c r="AE59" s="85">
        <v>0.06</v>
      </c>
      <c r="AF59" s="85">
        <v>0.21</v>
      </c>
      <c r="AG59" s="85">
        <v>19.18</v>
      </c>
      <c r="AH59" s="85">
        <v>2.9</v>
      </c>
      <c r="AI59" s="85">
        <v>16.260000000000002</v>
      </c>
      <c r="AJ59" s="85">
        <v>35</v>
      </c>
      <c r="AK59" s="85">
        <v>0.37</v>
      </c>
      <c r="AL59" s="85">
        <v>17</v>
      </c>
      <c r="AM59" s="85">
        <v>232</v>
      </c>
      <c r="AN59" s="85">
        <v>1</v>
      </c>
      <c r="AO59" s="85">
        <v>0.15</v>
      </c>
      <c r="AP59" s="85">
        <v>2</v>
      </c>
      <c r="AQ59" s="85">
        <v>0.113</v>
      </c>
      <c r="AR59" s="85">
        <v>0</v>
      </c>
      <c r="AS59" s="85">
        <v>0.11</v>
      </c>
      <c r="AT59" s="85">
        <v>0</v>
      </c>
      <c r="AU59" s="85">
        <v>4.7</v>
      </c>
      <c r="AV59" s="85">
        <v>0</v>
      </c>
    </row>
    <row r="60" spans="1:48" s="1" customFormat="1" x14ac:dyDescent="0.55000000000000004">
      <c r="A60" s="1" t="s">
        <v>399</v>
      </c>
      <c r="B60" s="1" t="s">
        <v>639</v>
      </c>
      <c r="C60" s="1" t="s">
        <v>520</v>
      </c>
      <c r="D60" s="59">
        <v>0</v>
      </c>
      <c r="E60" s="59">
        <v>250</v>
      </c>
      <c r="F60" s="59">
        <f t="shared" si="0"/>
        <v>0</v>
      </c>
      <c r="G60" s="58">
        <f t="shared" si="22"/>
        <v>0</v>
      </c>
      <c r="H60" s="58">
        <f t="shared" si="23"/>
        <v>0</v>
      </c>
      <c r="I60" s="58">
        <f t="shared" si="20"/>
        <v>0</v>
      </c>
      <c r="J60" s="58">
        <f t="shared" si="21"/>
        <v>0</v>
      </c>
      <c r="K60" s="58">
        <f t="shared" si="24"/>
        <v>0</v>
      </c>
      <c r="L60" s="58">
        <f t="shared" si="25"/>
        <v>0</v>
      </c>
      <c r="M60" s="58">
        <f t="shared" si="26"/>
        <v>0</v>
      </c>
      <c r="N60" s="58">
        <f t="shared" si="27"/>
        <v>0</v>
      </c>
      <c r="O60" s="58">
        <f t="shared" si="28"/>
        <v>0</v>
      </c>
      <c r="P60" s="58">
        <f t="shared" si="29"/>
        <v>0</v>
      </c>
      <c r="Q60" s="58">
        <f t="shared" si="30"/>
        <v>0</v>
      </c>
      <c r="R60" s="58">
        <f t="shared" si="31"/>
        <v>0</v>
      </c>
      <c r="S60" s="58">
        <f t="shared" si="32"/>
        <v>0</v>
      </c>
      <c r="T60" s="58">
        <f t="shared" si="33"/>
        <v>0</v>
      </c>
      <c r="U60" s="58">
        <f t="shared" si="34"/>
        <v>0</v>
      </c>
      <c r="V60" s="58">
        <f t="shared" si="35"/>
        <v>0</v>
      </c>
      <c r="W60" s="58">
        <f t="shared" si="36"/>
        <v>0</v>
      </c>
      <c r="X60" s="58">
        <f t="shared" si="37"/>
        <v>0</v>
      </c>
      <c r="Y60" s="58">
        <f t="shared" si="38"/>
        <v>0</v>
      </c>
      <c r="Z60" s="58">
        <f t="shared" si="39"/>
        <v>0</v>
      </c>
      <c r="AA60" s="59">
        <f t="shared" si="19"/>
        <v>0</v>
      </c>
      <c r="AB60" s="85">
        <v>902</v>
      </c>
      <c r="AC60" s="85">
        <v>0</v>
      </c>
      <c r="AD60" s="85">
        <v>100</v>
      </c>
      <c r="AE60" s="85">
        <v>22.608000000000001</v>
      </c>
      <c r="AF60" s="85">
        <v>69.251999999999995</v>
      </c>
      <c r="AG60" s="85">
        <v>0</v>
      </c>
      <c r="AH60" s="85">
        <v>0</v>
      </c>
      <c r="AI60" s="85">
        <v>0</v>
      </c>
      <c r="AJ60" s="85">
        <v>0</v>
      </c>
      <c r="AK60" s="85">
        <v>0</v>
      </c>
      <c r="AL60" s="85">
        <v>0</v>
      </c>
      <c r="AM60" s="85">
        <v>0</v>
      </c>
      <c r="AN60" s="85">
        <v>0</v>
      </c>
      <c r="AO60" s="85">
        <v>0</v>
      </c>
      <c r="AP60" s="85">
        <v>0</v>
      </c>
      <c r="AQ60" s="85">
        <v>0</v>
      </c>
      <c r="AR60" s="85">
        <v>0</v>
      </c>
      <c r="AS60" s="85">
        <v>0</v>
      </c>
      <c r="AT60" s="85">
        <v>10000</v>
      </c>
      <c r="AU60" s="85">
        <v>0</v>
      </c>
      <c r="AV60" s="85">
        <v>570</v>
      </c>
    </row>
    <row r="61" spans="1:48" s="1" customFormat="1" x14ac:dyDescent="0.55000000000000004">
      <c r="A61" s="1" t="s">
        <v>400</v>
      </c>
      <c r="B61" s="1" t="s">
        <v>640</v>
      </c>
      <c r="C61" s="1" t="s">
        <v>521</v>
      </c>
      <c r="D61" s="59">
        <v>0</v>
      </c>
      <c r="E61" s="59">
        <v>250</v>
      </c>
      <c r="F61" s="59">
        <f t="shared" si="0"/>
        <v>0</v>
      </c>
      <c r="G61" s="58">
        <f t="shared" si="22"/>
        <v>0</v>
      </c>
      <c r="H61" s="58">
        <f t="shared" si="23"/>
        <v>0</v>
      </c>
      <c r="I61" s="58">
        <f t="shared" si="20"/>
        <v>0</v>
      </c>
      <c r="J61" s="58">
        <f t="shared" si="21"/>
        <v>0</v>
      </c>
      <c r="K61" s="58">
        <f t="shared" si="24"/>
        <v>0</v>
      </c>
      <c r="L61" s="58">
        <f t="shared" si="25"/>
        <v>0</v>
      </c>
      <c r="M61" s="58">
        <f t="shared" si="26"/>
        <v>0</v>
      </c>
      <c r="N61" s="58">
        <f t="shared" si="27"/>
        <v>0</v>
      </c>
      <c r="O61" s="58">
        <f t="shared" si="28"/>
        <v>0</v>
      </c>
      <c r="P61" s="58">
        <f t="shared" si="29"/>
        <v>0</v>
      </c>
      <c r="Q61" s="58">
        <f t="shared" si="30"/>
        <v>0</v>
      </c>
      <c r="R61" s="58">
        <f t="shared" si="31"/>
        <v>0</v>
      </c>
      <c r="S61" s="58">
        <f t="shared" si="32"/>
        <v>0</v>
      </c>
      <c r="T61" s="58">
        <f t="shared" si="33"/>
        <v>0</v>
      </c>
      <c r="U61" s="58">
        <f t="shared" si="34"/>
        <v>0</v>
      </c>
      <c r="V61" s="58">
        <f t="shared" si="35"/>
        <v>0</v>
      </c>
      <c r="W61" s="58">
        <f t="shared" si="36"/>
        <v>0</v>
      </c>
      <c r="X61" s="58">
        <f t="shared" si="37"/>
        <v>0</v>
      </c>
      <c r="Y61" s="58">
        <f t="shared" si="38"/>
        <v>0</v>
      </c>
      <c r="Z61" s="58">
        <f t="shared" si="39"/>
        <v>0</v>
      </c>
      <c r="AA61" s="59">
        <f t="shared" si="19"/>
        <v>0</v>
      </c>
      <c r="AB61" s="85">
        <v>85</v>
      </c>
      <c r="AC61" s="85">
        <v>18.73</v>
      </c>
      <c r="AD61" s="85">
        <v>0.5</v>
      </c>
      <c r="AE61" s="85">
        <v>0.105</v>
      </c>
      <c r="AF61" s="85">
        <v>0.29000000000000004</v>
      </c>
      <c r="AG61" s="85">
        <v>0</v>
      </c>
      <c r="AH61" s="85">
        <v>0</v>
      </c>
      <c r="AI61" s="85">
        <v>0</v>
      </c>
      <c r="AJ61" s="85">
        <v>10</v>
      </c>
      <c r="AK61" s="85">
        <v>0.2</v>
      </c>
      <c r="AL61" s="85">
        <v>24</v>
      </c>
      <c r="AM61" s="85">
        <v>289</v>
      </c>
      <c r="AN61" s="85">
        <v>372</v>
      </c>
      <c r="AO61" s="85">
        <v>0.39</v>
      </c>
      <c r="AP61" s="85">
        <v>0</v>
      </c>
      <c r="AQ61" s="85">
        <v>0.13600000000000001</v>
      </c>
      <c r="AR61" s="85">
        <v>2.31</v>
      </c>
      <c r="AS61" s="85">
        <v>0.67</v>
      </c>
      <c r="AT61" s="85">
        <v>24</v>
      </c>
      <c r="AU61" s="85">
        <v>0</v>
      </c>
      <c r="AV61" s="85">
        <v>57</v>
      </c>
    </row>
    <row r="62" spans="1:48" s="1" customFormat="1" x14ac:dyDescent="0.55000000000000004">
      <c r="A62" s="1" t="s">
        <v>401</v>
      </c>
      <c r="B62" s="1" t="s">
        <v>132</v>
      </c>
      <c r="C62" s="1" t="s">
        <v>522</v>
      </c>
      <c r="D62" s="59">
        <v>152.60147721455851</v>
      </c>
      <c r="E62" s="59">
        <v>250</v>
      </c>
      <c r="F62" s="59">
        <f t="shared" si="0"/>
        <v>152</v>
      </c>
      <c r="G62" s="58">
        <f t="shared" si="22"/>
        <v>238.05830445471128</v>
      </c>
      <c r="H62" s="58">
        <f t="shared" si="23"/>
        <v>40.408871166415096</v>
      </c>
      <c r="I62" s="58">
        <f t="shared" si="20"/>
        <v>8.4999022808509093</v>
      </c>
      <c r="J62" s="58">
        <f t="shared" si="21"/>
        <v>1.478708314209072</v>
      </c>
      <c r="K62" s="58">
        <f t="shared" si="24"/>
        <v>0</v>
      </c>
      <c r="L62" s="58">
        <f t="shared" si="25"/>
        <v>0</v>
      </c>
      <c r="M62" s="58">
        <f t="shared" si="26"/>
        <v>0</v>
      </c>
      <c r="N62" s="58">
        <f t="shared" si="27"/>
        <v>16.786162493601438</v>
      </c>
      <c r="O62" s="58">
        <f t="shared" si="28"/>
        <v>0.7935276815157043</v>
      </c>
      <c r="P62" s="58">
        <f t="shared" si="29"/>
        <v>54.936531797241066</v>
      </c>
      <c r="Q62" s="58">
        <f t="shared" si="30"/>
        <v>665.34244065547512</v>
      </c>
      <c r="R62" s="58">
        <f t="shared" si="31"/>
        <v>140.39335903739385</v>
      </c>
      <c r="S62" s="58">
        <f t="shared" si="32"/>
        <v>0.83930812468007188</v>
      </c>
      <c r="T62" s="58">
        <f t="shared" si="33"/>
        <v>0</v>
      </c>
      <c r="U62" s="58">
        <f t="shared" si="34"/>
        <v>1.2620142165643988</v>
      </c>
      <c r="V62" s="58">
        <f t="shared" si="35"/>
        <v>6.8212860314907653</v>
      </c>
      <c r="W62" s="58">
        <f t="shared" si="36"/>
        <v>1.5107546244241294</v>
      </c>
      <c r="X62" s="58">
        <f t="shared" si="37"/>
        <v>1022.4298973375421</v>
      </c>
      <c r="Y62" s="58">
        <f t="shared" si="38"/>
        <v>0.15260147721455852</v>
      </c>
      <c r="Z62" s="58">
        <f t="shared" si="39"/>
        <v>93.086901100880695</v>
      </c>
      <c r="AA62" s="59">
        <f t="shared" si="19"/>
        <v>8.4999022808509093</v>
      </c>
      <c r="AB62" s="85">
        <v>156</v>
      </c>
      <c r="AC62" s="85">
        <v>26.48</v>
      </c>
      <c r="AD62" s="85">
        <v>5.57</v>
      </c>
      <c r="AE62" s="85">
        <v>0.96899999999999997</v>
      </c>
      <c r="AF62" s="85">
        <v>3.1909999999999998</v>
      </c>
      <c r="AG62" s="85">
        <v>0</v>
      </c>
      <c r="AH62" s="85">
        <v>0</v>
      </c>
      <c r="AI62" s="85">
        <v>0</v>
      </c>
      <c r="AJ62" s="85">
        <v>11</v>
      </c>
      <c r="AK62" s="85">
        <v>0.52</v>
      </c>
      <c r="AL62" s="85">
        <v>36</v>
      </c>
      <c r="AM62" s="85">
        <v>436</v>
      </c>
      <c r="AN62" s="85">
        <v>92</v>
      </c>
      <c r="AO62" s="85">
        <v>0.55000000000000004</v>
      </c>
      <c r="AP62" s="85">
        <v>0</v>
      </c>
      <c r="AQ62" s="85">
        <v>0.82699999999999996</v>
      </c>
      <c r="AR62" s="85">
        <v>4.47</v>
      </c>
      <c r="AS62" s="85">
        <v>0.99</v>
      </c>
      <c r="AT62" s="85">
        <v>670</v>
      </c>
      <c r="AU62" s="85">
        <v>0.1</v>
      </c>
      <c r="AV62" s="85">
        <v>61</v>
      </c>
    </row>
    <row r="63" spans="1:48" s="1" customFormat="1" x14ac:dyDescent="0.55000000000000004">
      <c r="A63" s="1" t="s">
        <v>249</v>
      </c>
      <c r="B63" s="1" t="s">
        <v>311</v>
      </c>
      <c r="C63" s="1" t="s">
        <v>250</v>
      </c>
      <c r="D63" s="59">
        <v>0</v>
      </c>
      <c r="E63" s="59">
        <v>250</v>
      </c>
      <c r="F63" s="59">
        <f t="shared" si="0"/>
        <v>0</v>
      </c>
      <c r="G63" s="58">
        <f t="shared" si="22"/>
        <v>0</v>
      </c>
      <c r="H63" s="58">
        <f t="shared" si="23"/>
        <v>0</v>
      </c>
      <c r="I63" s="58">
        <f t="shared" si="20"/>
        <v>0</v>
      </c>
      <c r="J63" s="58">
        <f t="shared" si="21"/>
        <v>0</v>
      </c>
      <c r="K63" s="58">
        <f t="shared" si="24"/>
        <v>0</v>
      </c>
      <c r="L63" s="58">
        <f t="shared" si="25"/>
        <v>0</v>
      </c>
      <c r="M63" s="58">
        <f t="shared" si="26"/>
        <v>0</v>
      </c>
      <c r="N63" s="58">
        <f t="shared" si="27"/>
        <v>0</v>
      </c>
      <c r="O63" s="58">
        <f t="shared" si="28"/>
        <v>0</v>
      </c>
      <c r="P63" s="58">
        <f t="shared" si="29"/>
        <v>0</v>
      </c>
      <c r="Q63" s="58">
        <f t="shared" si="30"/>
        <v>0</v>
      </c>
      <c r="R63" s="58">
        <f t="shared" si="31"/>
        <v>0</v>
      </c>
      <c r="S63" s="58">
        <f t="shared" si="32"/>
        <v>0</v>
      </c>
      <c r="T63" s="58">
        <f t="shared" si="33"/>
        <v>0</v>
      </c>
      <c r="U63" s="58">
        <f t="shared" si="34"/>
        <v>0</v>
      </c>
      <c r="V63" s="58">
        <f t="shared" si="35"/>
        <v>0</v>
      </c>
      <c r="W63" s="58">
        <f t="shared" si="36"/>
        <v>0</v>
      </c>
      <c r="X63" s="58">
        <f t="shared" si="37"/>
        <v>0</v>
      </c>
      <c r="Y63" s="58">
        <f t="shared" si="38"/>
        <v>0</v>
      </c>
      <c r="Z63" s="58">
        <f t="shared" si="39"/>
        <v>0</v>
      </c>
      <c r="AA63" s="59">
        <f t="shared" ref="AA63:AA123" si="40">AD63*$D63/100</f>
        <v>0</v>
      </c>
      <c r="AB63" s="85">
        <v>128</v>
      </c>
      <c r="AC63" s="85">
        <v>26.15</v>
      </c>
      <c r="AD63" s="85">
        <v>2.65</v>
      </c>
      <c r="AE63" s="85">
        <v>0.94</v>
      </c>
      <c r="AF63" s="85">
        <v>1.5549999999999999</v>
      </c>
      <c r="AG63" s="85">
        <v>0</v>
      </c>
      <c r="AH63" s="85">
        <v>0</v>
      </c>
      <c r="AI63" s="85">
        <v>0</v>
      </c>
      <c r="AJ63" s="85">
        <v>14</v>
      </c>
      <c r="AK63" s="85">
        <v>0.69</v>
      </c>
      <c r="AL63" s="85">
        <v>34</v>
      </c>
      <c r="AM63" s="85">
        <v>380</v>
      </c>
      <c r="AN63" s="85">
        <v>56</v>
      </c>
      <c r="AO63" s="85">
        <v>0.41</v>
      </c>
      <c r="AP63" s="85">
        <v>0</v>
      </c>
      <c r="AQ63" s="85">
        <v>0.123</v>
      </c>
      <c r="AR63" s="85">
        <v>1.86</v>
      </c>
      <c r="AS63" s="85">
        <v>0.79</v>
      </c>
      <c r="AT63" s="85">
        <v>150</v>
      </c>
      <c r="AU63" s="85">
        <v>0.9</v>
      </c>
      <c r="AV63" s="85">
        <v>57</v>
      </c>
    </row>
    <row r="64" spans="1:48" s="1" customFormat="1" x14ac:dyDescent="0.55000000000000004">
      <c r="A64" s="1" t="s">
        <v>402</v>
      </c>
      <c r="B64" s="1" t="s">
        <v>641</v>
      </c>
      <c r="C64" s="1" t="s">
        <v>523</v>
      </c>
      <c r="D64" s="59">
        <v>0</v>
      </c>
      <c r="E64" s="59">
        <v>250</v>
      </c>
      <c r="F64" s="59">
        <f t="shared" si="0"/>
        <v>0</v>
      </c>
      <c r="G64" s="58">
        <f t="shared" si="22"/>
        <v>0</v>
      </c>
      <c r="H64" s="58">
        <f t="shared" si="23"/>
        <v>0</v>
      </c>
      <c r="I64" s="58">
        <f t="shared" si="20"/>
        <v>0</v>
      </c>
      <c r="J64" s="58">
        <f t="shared" si="21"/>
        <v>0</v>
      </c>
      <c r="K64" s="58">
        <f t="shared" si="24"/>
        <v>0</v>
      </c>
      <c r="L64" s="58">
        <f t="shared" si="25"/>
        <v>0</v>
      </c>
      <c r="M64" s="58">
        <f t="shared" si="26"/>
        <v>0</v>
      </c>
      <c r="N64" s="58">
        <f t="shared" si="27"/>
        <v>0</v>
      </c>
      <c r="O64" s="58">
        <f t="shared" si="28"/>
        <v>0</v>
      </c>
      <c r="P64" s="58">
        <f t="shared" si="29"/>
        <v>0</v>
      </c>
      <c r="Q64" s="58">
        <f t="shared" si="30"/>
        <v>0</v>
      </c>
      <c r="R64" s="58">
        <f t="shared" si="31"/>
        <v>0</v>
      </c>
      <c r="S64" s="58">
        <f t="shared" si="32"/>
        <v>0</v>
      </c>
      <c r="T64" s="58">
        <f t="shared" si="33"/>
        <v>0</v>
      </c>
      <c r="U64" s="58">
        <f t="shared" si="34"/>
        <v>0</v>
      </c>
      <c r="V64" s="58">
        <f t="shared" si="35"/>
        <v>0</v>
      </c>
      <c r="W64" s="58">
        <f t="shared" si="36"/>
        <v>0</v>
      </c>
      <c r="X64" s="58">
        <f t="shared" si="37"/>
        <v>0</v>
      </c>
      <c r="Y64" s="58">
        <f t="shared" si="38"/>
        <v>0</v>
      </c>
      <c r="Z64" s="58">
        <f t="shared" si="39"/>
        <v>0</v>
      </c>
      <c r="AA64" s="59">
        <f t="shared" si="40"/>
        <v>0</v>
      </c>
      <c r="AB64" s="85">
        <v>149</v>
      </c>
      <c r="AC64" s="85">
        <v>6.36</v>
      </c>
      <c r="AD64" s="85">
        <v>0.5</v>
      </c>
      <c r="AE64" s="85">
        <v>8.8999999999999996E-2</v>
      </c>
      <c r="AF64" s="85">
        <v>0.26</v>
      </c>
      <c r="AG64" s="85">
        <v>33.06</v>
      </c>
      <c r="AH64" s="85">
        <v>2.1</v>
      </c>
      <c r="AI64" s="85">
        <v>1</v>
      </c>
      <c r="AJ64" s="85">
        <v>181</v>
      </c>
      <c r="AK64" s="85">
        <v>1.7</v>
      </c>
      <c r="AL64" s="85">
        <v>25</v>
      </c>
      <c r="AM64" s="85">
        <v>401</v>
      </c>
      <c r="AN64" s="85">
        <v>17</v>
      </c>
      <c r="AO64" s="85">
        <v>1.1599999999999999</v>
      </c>
      <c r="AP64" s="85">
        <v>31.2</v>
      </c>
      <c r="AQ64" s="85">
        <v>1.2350000000000001</v>
      </c>
      <c r="AR64" s="85">
        <v>0</v>
      </c>
      <c r="AS64" s="85">
        <v>0.08</v>
      </c>
      <c r="AT64" s="85">
        <v>0</v>
      </c>
      <c r="AU64" s="85">
        <v>1.7</v>
      </c>
      <c r="AV64" s="85">
        <v>0</v>
      </c>
    </row>
    <row r="65" spans="1:48" s="1" customFormat="1" x14ac:dyDescent="0.55000000000000004">
      <c r="A65" s="1" t="s">
        <v>403</v>
      </c>
      <c r="B65" s="1" t="s">
        <v>642</v>
      </c>
      <c r="C65" s="1" t="s">
        <v>524</v>
      </c>
      <c r="D65" s="59">
        <v>0</v>
      </c>
      <c r="E65" s="59">
        <v>250</v>
      </c>
      <c r="F65" s="59">
        <f t="shared" si="0"/>
        <v>0</v>
      </c>
      <c r="G65" s="58">
        <f t="shared" si="22"/>
        <v>0</v>
      </c>
      <c r="H65" s="58">
        <f t="shared" si="23"/>
        <v>0</v>
      </c>
      <c r="I65" s="58">
        <f t="shared" si="20"/>
        <v>0</v>
      </c>
      <c r="J65" s="58">
        <f t="shared" si="21"/>
        <v>0</v>
      </c>
      <c r="K65" s="58">
        <f t="shared" si="24"/>
        <v>0</v>
      </c>
      <c r="L65" s="58">
        <f t="shared" si="25"/>
        <v>0</v>
      </c>
      <c r="M65" s="58">
        <f t="shared" si="26"/>
        <v>0</v>
      </c>
      <c r="N65" s="58">
        <f t="shared" si="27"/>
        <v>0</v>
      </c>
      <c r="O65" s="58">
        <f t="shared" si="28"/>
        <v>0</v>
      </c>
      <c r="P65" s="58">
        <f t="shared" si="29"/>
        <v>0</v>
      </c>
      <c r="Q65" s="58">
        <f t="shared" si="30"/>
        <v>0</v>
      </c>
      <c r="R65" s="58">
        <f t="shared" si="31"/>
        <v>0</v>
      </c>
      <c r="S65" s="58">
        <f t="shared" si="32"/>
        <v>0</v>
      </c>
      <c r="T65" s="58">
        <f t="shared" si="33"/>
        <v>0</v>
      </c>
      <c r="U65" s="58">
        <f t="shared" si="34"/>
        <v>0</v>
      </c>
      <c r="V65" s="58">
        <f t="shared" si="35"/>
        <v>0</v>
      </c>
      <c r="W65" s="58">
        <f t="shared" si="36"/>
        <v>0</v>
      </c>
      <c r="X65" s="58">
        <f t="shared" si="37"/>
        <v>0</v>
      </c>
      <c r="Y65" s="58">
        <f t="shared" si="38"/>
        <v>0</v>
      </c>
      <c r="Z65" s="58">
        <f t="shared" si="39"/>
        <v>0</v>
      </c>
      <c r="AA65" s="59">
        <f t="shared" si="40"/>
        <v>0</v>
      </c>
      <c r="AB65" s="85">
        <v>62</v>
      </c>
      <c r="AC65" s="85">
        <v>1.22</v>
      </c>
      <c r="AD65" s="85">
        <v>0</v>
      </c>
      <c r="AE65" s="85">
        <v>0</v>
      </c>
      <c r="AF65" s="85">
        <v>0</v>
      </c>
      <c r="AG65" s="85">
        <v>14.19</v>
      </c>
      <c r="AH65" s="85">
        <v>0</v>
      </c>
      <c r="AI65" s="85">
        <v>13.49</v>
      </c>
      <c r="AJ65" s="85">
        <v>3</v>
      </c>
      <c r="AK65" s="85">
        <v>0.02</v>
      </c>
      <c r="AL65" s="85">
        <v>1</v>
      </c>
      <c r="AM65" s="85">
        <v>1</v>
      </c>
      <c r="AN65" s="85">
        <v>75</v>
      </c>
      <c r="AO65" s="85">
        <v>0.01</v>
      </c>
      <c r="AP65" s="85">
        <v>0</v>
      </c>
      <c r="AQ65" s="85">
        <v>0</v>
      </c>
      <c r="AR65" s="85">
        <v>0</v>
      </c>
      <c r="AS65" s="85">
        <v>0</v>
      </c>
      <c r="AT65" s="85">
        <v>0</v>
      </c>
      <c r="AU65" s="85">
        <v>0</v>
      </c>
      <c r="AV65" s="85">
        <v>0</v>
      </c>
    </row>
    <row r="66" spans="1:48" s="1" customFormat="1" x14ac:dyDescent="0.55000000000000004">
      <c r="A66" s="1" t="s">
        <v>233</v>
      </c>
      <c r="B66" s="1" t="s">
        <v>643</v>
      </c>
      <c r="C66" s="1" t="s">
        <v>234</v>
      </c>
      <c r="D66" s="59">
        <v>0</v>
      </c>
      <c r="E66" s="59">
        <v>250</v>
      </c>
      <c r="F66" s="59">
        <f t="shared" si="0"/>
        <v>0</v>
      </c>
      <c r="G66" s="58">
        <f t="shared" si="22"/>
        <v>0</v>
      </c>
      <c r="H66" s="58">
        <f t="shared" si="23"/>
        <v>0</v>
      </c>
      <c r="I66" s="58">
        <f t="shared" si="20"/>
        <v>0</v>
      </c>
      <c r="J66" s="58">
        <f t="shared" si="21"/>
        <v>0</v>
      </c>
      <c r="K66" s="58">
        <f t="shared" si="24"/>
        <v>0</v>
      </c>
      <c r="L66" s="58">
        <f t="shared" si="25"/>
        <v>0</v>
      </c>
      <c r="M66" s="58">
        <f t="shared" si="26"/>
        <v>0</v>
      </c>
      <c r="N66" s="58">
        <f t="shared" si="27"/>
        <v>0</v>
      </c>
      <c r="O66" s="58">
        <f t="shared" si="28"/>
        <v>0</v>
      </c>
      <c r="P66" s="58">
        <f t="shared" si="29"/>
        <v>0</v>
      </c>
      <c r="Q66" s="58">
        <f t="shared" si="30"/>
        <v>0</v>
      </c>
      <c r="R66" s="58">
        <f t="shared" si="31"/>
        <v>0</v>
      </c>
      <c r="S66" s="58">
        <f t="shared" si="32"/>
        <v>0</v>
      </c>
      <c r="T66" s="58">
        <f t="shared" si="33"/>
        <v>0</v>
      </c>
      <c r="U66" s="58">
        <f t="shared" si="34"/>
        <v>0</v>
      </c>
      <c r="V66" s="58">
        <f t="shared" si="35"/>
        <v>0</v>
      </c>
      <c r="W66" s="58">
        <f t="shared" si="36"/>
        <v>0</v>
      </c>
      <c r="X66" s="58">
        <f t="shared" si="37"/>
        <v>0</v>
      </c>
      <c r="Y66" s="58">
        <f t="shared" si="38"/>
        <v>0</v>
      </c>
      <c r="Z66" s="58">
        <f t="shared" si="39"/>
        <v>0</v>
      </c>
      <c r="AA66" s="59">
        <f t="shared" si="40"/>
        <v>0</v>
      </c>
      <c r="AB66" s="85">
        <v>80</v>
      </c>
      <c r="AC66" s="85">
        <v>1.82</v>
      </c>
      <c r="AD66" s="85">
        <v>0.75</v>
      </c>
      <c r="AE66" s="85">
        <v>0.20300000000000001</v>
      </c>
      <c r="AF66" s="85">
        <v>0.308</v>
      </c>
      <c r="AG66" s="85">
        <v>17.77</v>
      </c>
      <c r="AH66" s="85">
        <v>2</v>
      </c>
      <c r="AI66" s="85">
        <v>1.7</v>
      </c>
      <c r="AJ66" s="85">
        <v>16</v>
      </c>
      <c r="AK66" s="85">
        <v>0.6</v>
      </c>
      <c r="AL66" s="85">
        <v>43</v>
      </c>
      <c r="AM66" s="85">
        <v>415</v>
      </c>
      <c r="AN66" s="85">
        <v>13</v>
      </c>
      <c r="AO66" s="85">
        <v>0.34</v>
      </c>
      <c r="AP66" s="85">
        <v>5</v>
      </c>
      <c r="AQ66" s="85">
        <v>0.16</v>
      </c>
      <c r="AR66" s="85">
        <v>0</v>
      </c>
      <c r="AS66" s="85">
        <v>0.26</v>
      </c>
      <c r="AT66" s="85">
        <v>0</v>
      </c>
      <c r="AU66" s="85">
        <v>0.1</v>
      </c>
      <c r="AV66" s="85">
        <v>0</v>
      </c>
    </row>
    <row r="67" spans="1:48" s="1" customFormat="1" x14ac:dyDescent="0.55000000000000004">
      <c r="A67" s="1" t="s">
        <v>404</v>
      </c>
      <c r="B67" s="1" t="s">
        <v>644</v>
      </c>
      <c r="C67" s="1" t="s">
        <v>525</v>
      </c>
      <c r="D67" s="59">
        <v>0</v>
      </c>
      <c r="E67" s="59">
        <v>250</v>
      </c>
      <c r="F67" s="59">
        <f t="shared" si="0"/>
        <v>0</v>
      </c>
      <c r="G67" s="58">
        <f t="shared" si="22"/>
        <v>0</v>
      </c>
      <c r="H67" s="58">
        <f t="shared" si="23"/>
        <v>0</v>
      </c>
      <c r="I67" s="58">
        <f t="shared" si="20"/>
        <v>0</v>
      </c>
      <c r="J67" s="58">
        <f t="shared" si="21"/>
        <v>0</v>
      </c>
      <c r="K67" s="58">
        <f t="shared" si="24"/>
        <v>0</v>
      </c>
      <c r="L67" s="58">
        <f t="shared" si="25"/>
        <v>0</v>
      </c>
      <c r="M67" s="58">
        <f t="shared" si="26"/>
        <v>0</v>
      </c>
      <c r="N67" s="58">
        <f t="shared" si="27"/>
        <v>0</v>
      </c>
      <c r="O67" s="58">
        <f t="shared" si="28"/>
        <v>0</v>
      </c>
      <c r="P67" s="58">
        <f t="shared" si="29"/>
        <v>0</v>
      </c>
      <c r="Q67" s="58">
        <f t="shared" si="30"/>
        <v>0</v>
      </c>
      <c r="R67" s="58">
        <f t="shared" si="31"/>
        <v>0</v>
      </c>
      <c r="S67" s="58">
        <f t="shared" si="32"/>
        <v>0</v>
      </c>
      <c r="T67" s="58">
        <f t="shared" si="33"/>
        <v>0</v>
      </c>
      <c r="U67" s="58">
        <f t="shared" si="34"/>
        <v>0</v>
      </c>
      <c r="V67" s="58">
        <f t="shared" si="35"/>
        <v>0</v>
      </c>
      <c r="W67" s="58">
        <f t="shared" si="36"/>
        <v>0</v>
      </c>
      <c r="X67" s="58">
        <f t="shared" si="37"/>
        <v>0</v>
      </c>
      <c r="Y67" s="58">
        <f t="shared" si="38"/>
        <v>0</v>
      </c>
      <c r="Z67" s="58">
        <f t="shared" si="39"/>
        <v>0</v>
      </c>
      <c r="AA67" s="59">
        <f t="shared" si="40"/>
        <v>0</v>
      </c>
      <c r="AB67" s="85">
        <v>349</v>
      </c>
      <c r="AC67" s="85">
        <v>14.26</v>
      </c>
      <c r="AD67" s="85">
        <v>0.39</v>
      </c>
      <c r="AE67" s="85">
        <v>0</v>
      </c>
      <c r="AF67" s="85">
        <v>0</v>
      </c>
      <c r="AG67" s="85">
        <v>77.06</v>
      </c>
      <c r="AH67" s="85">
        <v>13</v>
      </c>
      <c r="AI67" s="85">
        <v>45.61</v>
      </c>
      <c r="AJ67" s="85">
        <v>190</v>
      </c>
      <c r="AK67" s="85">
        <v>6.8</v>
      </c>
      <c r="AL67" s="85">
        <v>0</v>
      </c>
      <c r="AM67" s="85">
        <v>0</v>
      </c>
      <c r="AN67" s="85">
        <v>298</v>
      </c>
      <c r="AO67" s="85">
        <v>0</v>
      </c>
      <c r="AP67" s="85">
        <v>48.4</v>
      </c>
      <c r="AQ67" s="85">
        <v>0</v>
      </c>
      <c r="AR67" s="85">
        <v>0</v>
      </c>
      <c r="AS67" s="85">
        <v>0</v>
      </c>
      <c r="AT67" s="85">
        <v>0</v>
      </c>
      <c r="AU67" s="85">
        <v>0</v>
      </c>
      <c r="AV67" s="85">
        <v>0</v>
      </c>
    </row>
    <row r="68" spans="1:48" s="1" customFormat="1" x14ac:dyDescent="0.55000000000000004">
      <c r="A68" s="1" t="s">
        <v>405</v>
      </c>
      <c r="B68" s="1" t="s">
        <v>647</v>
      </c>
      <c r="C68" s="1" t="s">
        <v>526</v>
      </c>
      <c r="D68" s="59">
        <v>2.1571168747546232</v>
      </c>
      <c r="E68" s="59">
        <v>250</v>
      </c>
      <c r="F68" s="59">
        <f t="shared" ref="F68:F96" si="41">FLOOR(D68,1)</f>
        <v>2</v>
      </c>
      <c r="G68" s="58">
        <f t="shared" ref="G68:G99" si="42">AB68*$D68/100</f>
        <v>0.94913142489203428</v>
      </c>
      <c r="H68" s="58">
        <f t="shared" ref="H68:H99" si="43">AC68*$D68/100</f>
        <v>1.8982628497840683E-2</v>
      </c>
      <c r="I68" s="58">
        <f t="shared" si="20"/>
        <v>1.2511277873576815E-2</v>
      </c>
      <c r="J68" s="58">
        <f t="shared" si="21"/>
        <v>8.1970441240675684E-4</v>
      </c>
      <c r="K68" s="58">
        <f t="shared" ref="K68:K99" si="44">AG68*$D68/100</f>
        <v>0.21959449785002064</v>
      </c>
      <c r="L68" s="58">
        <f t="shared" ref="L68:L99" si="45">AH68*$D68/100</f>
        <v>9.2756025614448789E-2</v>
      </c>
      <c r="M68" s="58">
        <f t="shared" ref="M68:M99" si="46">AI68*$D68/100</f>
        <v>0</v>
      </c>
      <c r="N68" s="58">
        <f t="shared" ref="N68:N99" si="47">AJ68*$D68/100</f>
        <v>0.5392792186886558</v>
      </c>
      <c r="O68" s="58">
        <f t="shared" ref="O68:O99" si="48">AK68*$D68/100</f>
        <v>6.6870623117393328E-3</v>
      </c>
      <c r="P68" s="58">
        <f t="shared" ref="P68:P99" si="49">AL68*$D68/100</f>
        <v>0.21571168747546232</v>
      </c>
      <c r="Q68" s="58">
        <f t="shared" ref="Q68:Q99" si="50">AM68*$D68/100</f>
        <v>4.2710914120141545</v>
      </c>
      <c r="R68" s="58">
        <f t="shared" ref="R68:R99" si="51">AN68*$D68/100</f>
        <v>2.1571168747546231E-2</v>
      </c>
      <c r="S68" s="58">
        <f t="shared" ref="S68:S99" si="52">AO68*$D68/100</f>
        <v>2.5885402497055478E-3</v>
      </c>
      <c r="T68" s="58">
        <f t="shared" ref="T68:T99" si="53">AP68*$D68/100</f>
        <v>0.59752137430703056</v>
      </c>
      <c r="U68" s="58">
        <f t="shared" ref="U68:U99" si="54">AQ68*$D68/100</f>
        <v>1.7256934998036986E-3</v>
      </c>
      <c r="V68" s="58">
        <f t="shared" ref="V68:V99" si="55">AR68*$D68/100</f>
        <v>0</v>
      </c>
      <c r="W68" s="58">
        <f t="shared" ref="W68:W99" si="56">AS68*$D68/100</f>
        <v>7.9813324365921052E-3</v>
      </c>
      <c r="X68" s="58">
        <f t="shared" ref="X68:X99" si="57">AT68*$D68/100</f>
        <v>0</v>
      </c>
      <c r="Y68" s="58">
        <f t="shared" ref="Y68:Y99" si="58">AU68*$D68/100</f>
        <v>0</v>
      </c>
      <c r="Z68" s="58">
        <f t="shared" ref="Z68:Z99" si="59">AV68*$D68/100</f>
        <v>0</v>
      </c>
      <c r="AA68" s="59">
        <f t="shared" si="40"/>
        <v>1.2511277873576815E-2</v>
      </c>
      <c r="AB68" s="85">
        <v>44</v>
      </c>
      <c r="AC68" s="85">
        <v>0.88</v>
      </c>
      <c r="AD68" s="85">
        <v>0.57999999999999996</v>
      </c>
      <c r="AE68" s="85">
        <v>3.7999999999999999E-2</v>
      </c>
      <c r="AF68" s="85">
        <v>0.36799999999999999</v>
      </c>
      <c r="AG68" s="85">
        <v>10.18</v>
      </c>
      <c r="AH68" s="85">
        <v>4.3</v>
      </c>
      <c r="AI68" s="85">
        <v>0</v>
      </c>
      <c r="AJ68" s="85">
        <v>25</v>
      </c>
      <c r="AK68" s="85">
        <v>0.31</v>
      </c>
      <c r="AL68" s="85">
        <v>10</v>
      </c>
      <c r="AM68" s="85">
        <v>198</v>
      </c>
      <c r="AN68" s="85">
        <v>1</v>
      </c>
      <c r="AO68" s="85">
        <v>0.12</v>
      </c>
      <c r="AP68" s="85">
        <v>27.7</v>
      </c>
      <c r="AQ68" s="85">
        <v>0.08</v>
      </c>
      <c r="AR68" s="85">
        <v>0</v>
      </c>
      <c r="AS68" s="85">
        <v>0.37</v>
      </c>
      <c r="AT68" s="85">
        <v>0</v>
      </c>
      <c r="AU68" s="85">
        <v>0</v>
      </c>
      <c r="AV68" s="85">
        <v>0</v>
      </c>
    </row>
    <row r="69" spans="1:48" s="1" customFormat="1" x14ac:dyDescent="0.55000000000000004">
      <c r="A69" s="1" t="s">
        <v>406</v>
      </c>
      <c r="B69" s="1" t="s">
        <v>28</v>
      </c>
      <c r="C69" s="1" t="s">
        <v>527</v>
      </c>
      <c r="D69" s="59">
        <v>0</v>
      </c>
      <c r="E69" s="59">
        <v>250</v>
      </c>
      <c r="F69" s="59">
        <f t="shared" si="41"/>
        <v>0</v>
      </c>
      <c r="G69" s="58">
        <f t="shared" si="42"/>
        <v>0</v>
      </c>
      <c r="H69" s="58">
        <f t="shared" si="43"/>
        <v>0</v>
      </c>
      <c r="I69" s="58">
        <f t="shared" ref="I69:I132" si="60">AD69*$D69/100</f>
        <v>0</v>
      </c>
      <c r="J69" s="58">
        <f t="shared" ref="J69:J132" si="61">AE69*$D69/100</f>
        <v>0</v>
      </c>
      <c r="K69" s="58">
        <f t="shared" si="44"/>
        <v>0</v>
      </c>
      <c r="L69" s="58">
        <f t="shared" si="45"/>
        <v>0</v>
      </c>
      <c r="M69" s="58">
        <f t="shared" si="46"/>
        <v>0</v>
      </c>
      <c r="N69" s="58">
        <f t="shared" si="47"/>
        <v>0</v>
      </c>
      <c r="O69" s="58">
        <f t="shared" si="48"/>
        <v>0</v>
      </c>
      <c r="P69" s="58">
        <f t="shared" si="49"/>
        <v>0</v>
      </c>
      <c r="Q69" s="58">
        <f t="shared" si="50"/>
        <v>0</v>
      </c>
      <c r="R69" s="58">
        <f t="shared" si="51"/>
        <v>0</v>
      </c>
      <c r="S69" s="58">
        <f t="shared" si="52"/>
        <v>0</v>
      </c>
      <c r="T69" s="58">
        <f t="shared" si="53"/>
        <v>0</v>
      </c>
      <c r="U69" s="58">
        <f t="shared" si="54"/>
        <v>0</v>
      </c>
      <c r="V69" s="58">
        <f t="shared" si="55"/>
        <v>0</v>
      </c>
      <c r="W69" s="58">
        <f t="shared" si="56"/>
        <v>0</v>
      </c>
      <c r="X69" s="58">
        <f t="shared" si="57"/>
        <v>0</v>
      </c>
      <c r="Y69" s="58">
        <f t="shared" si="58"/>
        <v>0</v>
      </c>
      <c r="Z69" s="58">
        <f t="shared" si="59"/>
        <v>0</v>
      </c>
      <c r="AA69" s="59">
        <f t="shared" si="40"/>
        <v>0</v>
      </c>
      <c r="AB69" s="85">
        <v>42</v>
      </c>
      <c r="AC69" s="85">
        <v>0.77</v>
      </c>
      <c r="AD69" s="85">
        <v>0.14000000000000001</v>
      </c>
      <c r="AE69" s="85">
        <v>2.1000000000000001E-2</v>
      </c>
      <c r="AF69" s="85">
        <v>5.5999999999999994E-2</v>
      </c>
      <c r="AG69" s="85">
        <v>10.66</v>
      </c>
      <c r="AH69" s="85">
        <v>1.6</v>
      </c>
      <c r="AI69" s="85">
        <v>6.89</v>
      </c>
      <c r="AJ69" s="85">
        <v>22</v>
      </c>
      <c r="AK69" s="85">
        <v>0.08</v>
      </c>
      <c r="AL69" s="85">
        <v>9</v>
      </c>
      <c r="AM69" s="85">
        <v>135</v>
      </c>
      <c r="AN69" s="85">
        <v>0</v>
      </c>
      <c r="AO69" s="85">
        <v>7.0000000000000007E-2</v>
      </c>
      <c r="AP69" s="85">
        <v>31.2</v>
      </c>
      <c r="AQ69" s="85">
        <v>5.2999999999999999E-2</v>
      </c>
      <c r="AR69" s="85">
        <v>0</v>
      </c>
      <c r="AS69" s="85">
        <v>0.13</v>
      </c>
      <c r="AT69" s="85">
        <v>0</v>
      </c>
      <c r="AU69" s="85">
        <v>0</v>
      </c>
      <c r="AV69" s="85">
        <v>0</v>
      </c>
    </row>
    <row r="70" spans="1:48" s="1" customFormat="1" x14ac:dyDescent="0.55000000000000004">
      <c r="A70" s="1" t="s">
        <v>407</v>
      </c>
      <c r="B70" s="1" t="s">
        <v>101</v>
      </c>
      <c r="C70" s="1" t="s">
        <v>528</v>
      </c>
      <c r="D70" s="59">
        <v>0</v>
      </c>
      <c r="E70" s="59">
        <v>250</v>
      </c>
      <c r="F70" s="59">
        <f t="shared" si="41"/>
        <v>0</v>
      </c>
      <c r="G70" s="58">
        <f t="shared" si="42"/>
        <v>0</v>
      </c>
      <c r="H70" s="58">
        <f t="shared" si="43"/>
        <v>0</v>
      </c>
      <c r="I70" s="58">
        <f t="shared" si="60"/>
        <v>0</v>
      </c>
      <c r="J70" s="58">
        <f t="shared" si="61"/>
        <v>0</v>
      </c>
      <c r="K70" s="58">
        <f t="shared" si="44"/>
        <v>0</v>
      </c>
      <c r="L70" s="58">
        <f t="shared" si="45"/>
        <v>0</v>
      </c>
      <c r="M70" s="58">
        <f t="shared" si="46"/>
        <v>0</v>
      </c>
      <c r="N70" s="58">
        <f t="shared" si="47"/>
        <v>0</v>
      </c>
      <c r="O70" s="58">
        <f t="shared" si="48"/>
        <v>0</v>
      </c>
      <c r="P70" s="58">
        <f t="shared" si="49"/>
        <v>0</v>
      </c>
      <c r="Q70" s="58">
        <f t="shared" si="50"/>
        <v>0</v>
      </c>
      <c r="R70" s="58">
        <f t="shared" si="51"/>
        <v>0</v>
      </c>
      <c r="S70" s="58">
        <f t="shared" si="52"/>
        <v>0</v>
      </c>
      <c r="T70" s="58">
        <f t="shared" si="53"/>
        <v>0</v>
      </c>
      <c r="U70" s="58">
        <f t="shared" si="54"/>
        <v>0</v>
      </c>
      <c r="V70" s="58">
        <f t="shared" si="55"/>
        <v>0</v>
      </c>
      <c r="W70" s="58">
        <f t="shared" si="56"/>
        <v>0</v>
      </c>
      <c r="X70" s="58">
        <f t="shared" si="57"/>
        <v>0</v>
      </c>
      <c r="Y70" s="58">
        <f t="shared" si="58"/>
        <v>0</v>
      </c>
      <c r="Z70" s="58">
        <f t="shared" si="59"/>
        <v>0</v>
      </c>
      <c r="AA70" s="59">
        <f t="shared" si="40"/>
        <v>0</v>
      </c>
      <c r="AB70" s="85">
        <v>203</v>
      </c>
      <c r="AC70" s="85">
        <v>27.37</v>
      </c>
      <c r="AD70" s="85">
        <v>10.4</v>
      </c>
      <c r="AE70" s="85">
        <v>2.669</v>
      </c>
      <c r="AF70" s="85">
        <v>6.375</v>
      </c>
      <c r="AG70" s="85">
        <v>0</v>
      </c>
      <c r="AH70" s="85">
        <v>0</v>
      </c>
      <c r="AI70" s="85">
        <v>0</v>
      </c>
      <c r="AJ70" s="85">
        <v>28</v>
      </c>
      <c r="AK70" s="85">
        <v>1.52</v>
      </c>
      <c r="AL70" s="85">
        <v>30</v>
      </c>
      <c r="AM70" s="85">
        <v>294</v>
      </c>
      <c r="AN70" s="85">
        <v>78</v>
      </c>
      <c r="AO70" s="85">
        <v>3.11</v>
      </c>
      <c r="AP70" s="85">
        <v>0</v>
      </c>
      <c r="AQ70" s="85">
        <v>0.63300000000000001</v>
      </c>
      <c r="AR70" s="85">
        <v>1.34</v>
      </c>
      <c r="AS70" s="85">
        <v>0.11</v>
      </c>
      <c r="AT70" s="85">
        <v>8</v>
      </c>
      <c r="AU70" s="85">
        <v>0</v>
      </c>
      <c r="AV70" s="85">
        <v>93</v>
      </c>
    </row>
    <row r="71" spans="1:48" s="1" customFormat="1" x14ac:dyDescent="0.55000000000000004">
      <c r="A71" s="1" t="s">
        <v>408</v>
      </c>
      <c r="B71" s="1" t="s">
        <v>101</v>
      </c>
      <c r="C71" s="1" t="s">
        <v>529</v>
      </c>
      <c r="D71" s="59">
        <v>0</v>
      </c>
      <c r="E71" s="59">
        <v>0</v>
      </c>
      <c r="F71" s="59">
        <f t="shared" si="41"/>
        <v>0</v>
      </c>
      <c r="G71" s="58">
        <f t="shared" si="42"/>
        <v>0</v>
      </c>
      <c r="H71" s="58">
        <f t="shared" si="43"/>
        <v>0</v>
      </c>
      <c r="I71" s="58">
        <f t="shared" si="60"/>
        <v>0</v>
      </c>
      <c r="J71" s="58">
        <f t="shared" si="61"/>
        <v>0</v>
      </c>
      <c r="K71" s="58">
        <f t="shared" si="44"/>
        <v>0</v>
      </c>
      <c r="L71" s="58">
        <f t="shared" si="45"/>
        <v>0</v>
      </c>
      <c r="M71" s="58">
        <f t="shared" si="46"/>
        <v>0</v>
      </c>
      <c r="N71" s="58">
        <f t="shared" si="47"/>
        <v>0</v>
      </c>
      <c r="O71" s="58">
        <f t="shared" si="48"/>
        <v>0</v>
      </c>
      <c r="P71" s="58">
        <f t="shared" si="49"/>
        <v>0</v>
      </c>
      <c r="Q71" s="58">
        <f t="shared" si="50"/>
        <v>0</v>
      </c>
      <c r="R71" s="58">
        <f t="shared" si="51"/>
        <v>0</v>
      </c>
      <c r="S71" s="58">
        <f t="shared" si="52"/>
        <v>0</v>
      </c>
      <c r="T71" s="58">
        <f t="shared" si="53"/>
        <v>0</v>
      </c>
      <c r="U71" s="58">
        <f t="shared" si="54"/>
        <v>0</v>
      </c>
      <c r="V71" s="58">
        <f t="shared" si="55"/>
        <v>0</v>
      </c>
      <c r="W71" s="58">
        <f t="shared" si="56"/>
        <v>0</v>
      </c>
      <c r="X71" s="58">
        <f t="shared" si="57"/>
        <v>0</v>
      </c>
      <c r="Y71" s="58">
        <f t="shared" si="58"/>
        <v>0</v>
      </c>
      <c r="Z71" s="58">
        <f t="shared" si="59"/>
        <v>0</v>
      </c>
      <c r="AA71" s="59">
        <f t="shared" si="40"/>
        <v>0</v>
      </c>
      <c r="AB71" s="85">
        <v>138</v>
      </c>
      <c r="AC71" s="85">
        <v>28.99</v>
      </c>
      <c r="AD71" s="85">
        <v>2.48</v>
      </c>
      <c r="AE71" s="85">
        <v>0.67300000000000004</v>
      </c>
      <c r="AF71" s="85">
        <v>1.472</v>
      </c>
      <c r="AG71" s="85">
        <v>0</v>
      </c>
      <c r="AH71" s="85">
        <v>0</v>
      </c>
      <c r="AI71" s="85">
        <v>0</v>
      </c>
      <c r="AJ71" s="85">
        <v>6</v>
      </c>
      <c r="AK71" s="85">
        <v>0.78</v>
      </c>
      <c r="AL71" s="85">
        <v>35</v>
      </c>
      <c r="AM71" s="85">
        <v>339</v>
      </c>
      <c r="AN71" s="85">
        <v>59</v>
      </c>
      <c r="AO71" s="85">
        <v>2.19</v>
      </c>
      <c r="AP71" s="85">
        <v>0</v>
      </c>
      <c r="AQ71" s="85">
        <v>0.90800000000000003</v>
      </c>
      <c r="AR71" s="85">
        <v>0.67</v>
      </c>
      <c r="AS71" s="85">
        <v>0.09</v>
      </c>
      <c r="AT71" s="85">
        <v>8</v>
      </c>
      <c r="AU71" s="85">
        <v>0</v>
      </c>
      <c r="AV71" s="85">
        <v>65</v>
      </c>
    </row>
    <row r="72" spans="1:48" s="1" customFormat="1" x14ac:dyDescent="0.55000000000000004">
      <c r="A72" s="1" t="s">
        <v>216</v>
      </c>
      <c r="B72" s="1" t="s">
        <v>686</v>
      </c>
      <c r="C72" s="1" t="s">
        <v>217</v>
      </c>
      <c r="D72" s="59">
        <v>0</v>
      </c>
      <c r="E72" s="59">
        <v>250</v>
      </c>
      <c r="F72" s="59">
        <f t="shared" si="41"/>
        <v>0</v>
      </c>
      <c r="G72" s="58">
        <f t="shared" si="42"/>
        <v>0</v>
      </c>
      <c r="H72" s="58">
        <f t="shared" si="43"/>
        <v>0</v>
      </c>
      <c r="I72" s="58">
        <f t="shared" si="60"/>
        <v>0</v>
      </c>
      <c r="J72" s="58">
        <f t="shared" si="61"/>
        <v>0</v>
      </c>
      <c r="K72" s="58">
        <f t="shared" si="44"/>
        <v>0</v>
      </c>
      <c r="L72" s="58">
        <f t="shared" si="45"/>
        <v>0</v>
      </c>
      <c r="M72" s="58">
        <f t="shared" si="46"/>
        <v>0</v>
      </c>
      <c r="N72" s="58">
        <f t="shared" si="47"/>
        <v>0</v>
      </c>
      <c r="O72" s="58">
        <f t="shared" si="48"/>
        <v>0</v>
      </c>
      <c r="P72" s="58">
        <f t="shared" si="49"/>
        <v>0</v>
      </c>
      <c r="Q72" s="58">
        <f t="shared" si="50"/>
        <v>0</v>
      </c>
      <c r="R72" s="58">
        <f t="shared" si="51"/>
        <v>0</v>
      </c>
      <c r="S72" s="58">
        <f t="shared" si="52"/>
        <v>0</v>
      </c>
      <c r="T72" s="58">
        <f t="shared" si="53"/>
        <v>0</v>
      </c>
      <c r="U72" s="58">
        <f t="shared" si="54"/>
        <v>0</v>
      </c>
      <c r="V72" s="58">
        <f t="shared" si="55"/>
        <v>0</v>
      </c>
      <c r="W72" s="58">
        <f t="shared" si="56"/>
        <v>0</v>
      </c>
      <c r="X72" s="58">
        <f t="shared" si="57"/>
        <v>0</v>
      </c>
      <c r="Y72" s="58">
        <f t="shared" si="58"/>
        <v>0</v>
      </c>
      <c r="Z72" s="58">
        <f t="shared" si="59"/>
        <v>0</v>
      </c>
      <c r="AA72" s="59">
        <f t="shared" si="40"/>
        <v>0</v>
      </c>
      <c r="AB72" s="85">
        <v>68</v>
      </c>
      <c r="AC72" s="85">
        <v>2.5499999999999998</v>
      </c>
      <c r="AD72" s="85">
        <v>0.95</v>
      </c>
      <c r="AE72" s="85">
        <v>0.27200000000000002</v>
      </c>
      <c r="AF72" s="85">
        <v>0.48799999999999999</v>
      </c>
      <c r="AG72" s="85">
        <v>14.32</v>
      </c>
      <c r="AH72" s="85">
        <v>5.4</v>
      </c>
      <c r="AI72" s="85">
        <v>8.92</v>
      </c>
      <c r="AJ72" s="85">
        <v>18</v>
      </c>
      <c r="AK72" s="85">
        <v>0.26</v>
      </c>
      <c r="AL72" s="85">
        <v>22</v>
      </c>
      <c r="AM72" s="85">
        <v>417</v>
      </c>
      <c r="AN72" s="85">
        <v>2</v>
      </c>
      <c r="AO72" s="85">
        <v>0.23</v>
      </c>
      <c r="AP72" s="85">
        <v>228.3</v>
      </c>
      <c r="AQ72" s="85">
        <v>0.11</v>
      </c>
      <c r="AR72" s="85">
        <v>0</v>
      </c>
      <c r="AS72" s="85">
        <v>0.73</v>
      </c>
      <c r="AT72" s="85">
        <v>0</v>
      </c>
      <c r="AU72" s="85">
        <v>2.6</v>
      </c>
      <c r="AV72" s="85">
        <v>0</v>
      </c>
    </row>
    <row r="73" spans="1:48" s="1" customFormat="1" x14ac:dyDescent="0.55000000000000004">
      <c r="A73" s="1" t="s">
        <v>409</v>
      </c>
      <c r="B73" s="1" t="s">
        <v>645</v>
      </c>
      <c r="C73" s="1" t="s">
        <v>530</v>
      </c>
      <c r="D73" s="59">
        <v>0</v>
      </c>
      <c r="E73" s="59">
        <v>250</v>
      </c>
      <c r="F73" s="59">
        <f t="shared" si="41"/>
        <v>0</v>
      </c>
      <c r="G73" s="58">
        <f t="shared" si="42"/>
        <v>0</v>
      </c>
      <c r="H73" s="58">
        <f t="shared" si="43"/>
        <v>0</v>
      </c>
      <c r="I73" s="58">
        <f t="shared" si="60"/>
        <v>0</v>
      </c>
      <c r="J73" s="58">
        <f t="shared" si="61"/>
        <v>0</v>
      </c>
      <c r="K73" s="58">
        <f t="shared" si="44"/>
        <v>0</v>
      </c>
      <c r="L73" s="58">
        <f t="shared" si="45"/>
        <v>0</v>
      </c>
      <c r="M73" s="58">
        <f t="shared" si="46"/>
        <v>0</v>
      </c>
      <c r="N73" s="58">
        <f t="shared" si="47"/>
        <v>0</v>
      </c>
      <c r="O73" s="58">
        <f t="shared" si="48"/>
        <v>0</v>
      </c>
      <c r="P73" s="58">
        <f t="shared" si="49"/>
        <v>0</v>
      </c>
      <c r="Q73" s="58">
        <f t="shared" si="50"/>
        <v>0</v>
      </c>
      <c r="R73" s="58">
        <f t="shared" si="51"/>
        <v>0</v>
      </c>
      <c r="S73" s="58">
        <f t="shared" si="52"/>
        <v>0</v>
      </c>
      <c r="T73" s="58">
        <f t="shared" si="53"/>
        <v>0</v>
      </c>
      <c r="U73" s="58">
        <f t="shared" si="54"/>
        <v>0</v>
      </c>
      <c r="V73" s="58">
        <f t="shared" si="55"/>
        <v>0</v>
      </c>
      <c r="W73" s="58">
        <f t="shared" si="56"/>
        <v>0</v>
      </c>
      <c r="X73" s="58">
        <f t="shared" si="57"/>
        <v>0</v>
      </c>
      <c r="Y73" s="58">
        <f t="shared" si="58"/>
        <v>0</v>
      </c>
      <c r="Z73" s="58">
        <f t="shared" si="59"/>
        <v>0</v>
      </c>
      <c r="AA73" s="59">
        <f t="shared" si="40"/>
        <v>0</v>
      </c>
      <c r="AB73" s="85">
        <v>90</v>
      </c>
      <c r="AC73" s="85">
        <v>19.989999999999998</v>
      </c>
      <c r="AD73" s="85">
        <v>0.55000000000000004</v>
      </c>
      <c r="AE73" s="85">
        <v>0.111</v>
      </c>
      <c r="AF73" s="85">
        <v>0.27799999999999997</v>
      </c>
      <c r="AG73" s="85">
        <v>0</v>
      </c>
      <c r="AH73" s="85">
        <v>0</v>
      </c>
      <c r="AI73" s="85">
        <v>0</v>
      </c>
      <c r="AJ73" s="85">
        <v>14</v>
      </c>
      <c r="AK73" s="85">
        <v>0.21</v>
      </c>
      <c r="AL73" s="85">
        <v>26</v>
      </c>
      <c r="AM73" s="85">
        <v>351</v>
      </c>
      <c r="AN73" s="85">
        <v>261</v>
      </c>
      <c r="AO73" s="85">
        <v>0.4</v>
      </c>
      <c r="AP73" s="85">
        <v>0</v>
      </c>
      <c r="AQ73" s="85">
        <v>0.32700000000000001</v>
      </c>
      <c r="AR73" s="85">
        <v>2.13</v>
      </c>
      <c r="AS73" s="85">
        <v>0.55000000000000004</v>
      </c>
      <c r="AT73" s="85">
        <v>23</v>
      </c>
      <c r="AU73" s="85">
        <v>0.1</v>
      </c>
      <c r="AV73" s="85">
        <v>66</v>
      </c>
    </row>
    <row r="74" spans="1:48" s="1" customFormat="1" x14ac:dyDescent="0.55000000000000004">
      <c r="A74" s="1" t="s">
        <v>245</v>
      </c>
      <c r="B74" s="1" t="s">
        <v>696</v>
      </c>
      <c r="C74" s="1" t="s">
        <v>246</v>
      </c>
      <c r="D74" s="59">
        <v>250</v>
      </c>
      <c r="E74" s="59">
        <v>250</v>
      </c>
      <c r="F74" s="59">
        <f t="shared" si="41"/>
        <v>250</v>
      </c>
      <c r="G74" s="58">
        <f t="shared" si="42"/>
        <v>277.5</v>
      </c>
      <c r="H74" s="58">
        <f t="shared" si="43"/>
        <v>56.35</v>
      </c>
      <c r="I74" s="58">
        <f t="shared" si="60"/>
        <v>4.0250000000000004</v>
      </c>
      <c r="J74" s="58">
        <f t="shared" si="61"/>
        <v>0.88500000000000001</v>
      </c>
      <c r="K74" s="58">
        <f t="shared" si="44"/>
        <v>0</v>
      </c>
      <c r="L74" s="58">
        <f t="shared" si="45"/>
        <v>0</v>
      </c>
      <c r="M74" s="58">
        <f t="shared" si="46"/>
        <v>0</v>
      </c>
      <c r="N74" s="58">
        <f t="shared" si="47"/>
        <v>22.5</v>
      </c>
      <c r="O74" s="58">
        <f t="shared" si="48"/>
        <v>0.5</v>
      </c>
      <c r="P74" s="58">
        <f t="shared" si="49"/>
        <v>70</v>
      </c>
      <c r="Q74" s="58">
        <f t="shared" si="50"/>
        <v>1320</v>
      </c>
      <c r="R74" s="58">
        <f t="shared" si="51"/>
        <v>205</v>
      </c>
      <c r="S74" s="58">
        <f t="shared" si="52"/>
        <v>1.075</v>
      </c>
      <c r="T74" s="58">
        <f t="shared" si="53"/>
        <v>0</v>
      </c>
      <c r="U74" s="58">
        <f t="shared" si="54"/>
        <v>1.58</v>
      </c>
      <c r="V74" s="58">
        <f t="shared" si="55"/>
        <v>3.1749999999999998</v>
      </c>
      <c r="W74" s="58">
        <f t="shared" si="56"/>
        <v>1.85</v>
      </c>
      <c r="X74" s="58">
        <f t="shared" si="57"/>
        <v>577.5</v>
      </c>
      <c r="Y74" s="58">
        <f t="shared" si="58"/>
        <v>0</v>
      </c>
      <c r="Z74" s="58">
        <f t="shared" si="59"/>
        <v>150</v>
      </c>
      <c r="AA74" s="59">
        <f t="shared" si="40"/>
        <v>4.0250000000000004</v>
      </c>
      <c r="AB74" s="85">
        <v>111</v>
      </c>
      <c r="AC74" s="85">
        <v>22.54</v>
      </c>
      <c r="AD74" s="85">
        <v>1.61</v>
      </c>
      <c r="AE74" s="85">
        <v>0.35399999999999998</v>
      </c>
      <c r="AF74" s="85">
        <v>0.92499999999999993</v>
      </c>
      <c r="AG74" s="85">
        <v>0</v>
      </c>
      <c r="AH74" s="85">
        <v>0</v>
      </c>
      <c r="AI74" s="85">
        <v>0</v>
      </c>
      <c r="AJ74" s="85">
        <v>9</v>
      </c>
      <c r="AK74" s="85">
        <v>0.2</v>
      </c>
      <c r="AL74" s="85">
        <v>28</v>
      </c>
      <c r="AM74" s="85">
        <v>528</v>
      </c>
      <c r="AN74" s="85">
        <v>82</v>
      </c>
      <c r="AO74" s="85">
        <v>0.43</v>
      </c>
      <c r="AP74" s="85">
        <v>0</v>
      </c>
      <c r="AQ74" s="85">
        <v>0.63200000000000001</v>
      </c>
      <c r="AR74" s="85">
        <v>1.27</v>
      </c>
      <c r="AS74" s="85">
        <v>0.74</v>
      </c>
      <c r="AT74" s="85">
        <v>231</v>
      </c>
      <c r="AU74" s="85">
        <v>0</v>
      </c>
      <c r="AV74" s="85">
        <v>60</v>
      </c>
    </row>
    <row r="75" spans="1:48" s="1" customFormat="1" x14ac:dyDescent="0.55000000000000004">
      <c r="A75" s="1" t="s">
        <v>410</v>
      </c>
      <c r="B75" s="1" t="s">
        <v>681</v>
      </c>
      <c r="C75" s="1" t="s">
        <v>531</v>
      </c>
      <c r="D75" s="59">
        <v>0</v>
      </c>
      <c r="E75" s="59">
        <v>250</v>
      </c>
      <c r="F75" s="59">
        <f t="shared" si="41"/>
        <v>0</v>
      </c>
      <c r="G75" s="58">
        <f t="shared" si="42"/>
        <v>0</v>
      </c>
      <c r="H75" s="58">
        <f t="shared" si="43"/>
        <v>0</v>
      </c>
      <c r="I75" s="58">
        <f t="shared" si="60"/>
        <v>0</v>
      </c>
      <c r="J75" s="58">
        <f t="shared" si="61"/>
        <v>0</v>
      </c>
      <c r="K75" s="58">
        <f t="shared" si="44"/>
        <v>0</v>
      </c>
      <c r="L75" s="58">
        <f t="shared" si="45"/>
        <v>0</v>
      </c>
      <c r="M75" s="58">
        <f t="shared" si="46"/>
        <v>0</v>
      </c>
      <c r="N75" s="58">
        <f t="shared" si="47"/>
        <v>0</v>
      </c>
      <c r="O75" s="58">
        <f t="shared" si="48"/>
        <v>0</v>
      </c>
      <c r="P75" s="58">
        <f t="shared" si="49"/>
        <v>0</v>
      </c>
      <c r="Q75" s="58">
        <f t="shared" si="50"/>
        <v>0</v>
      </c>
      <c r="R75" s="58">
        <f t="shared" si="51"/>
        <v>0</v>
      </c>
      <c r="S75" s="58">
        <f t="shared" si="52"/>
        <v>0</v>
      </c>
      <c r="T75" s="58">
        <f t="shared" si="53"/>
        <v>0</v>
      </c>
      <c r="U75" s="58">
        <f t="shared" si="54"/>
        <v>0</v>
      </c>
      <c r="V75" s="58">
        <f t="shared" si="55"/>
        <v>0</v>
      </c>
      <c r="W75" s="58">
        <f t="shared" si="56"/>
        <v>0</v>
      </c>
      <c r="X75" s="58">
        <f t="shared" si="57"/>
        <v>0</v>
      </c>
      <c r="Y75" s="58">
        <f t="shared" si="58"/>
        <v>0</v>
      </c>
      <c r="Z75" s="58">
        <f t="shared" si="59"/>
        <v>0</v>
      </c>
      <c r="AA75" s="59">
        <f t="shared" si="40"/>
        <v>0</v>
      </c>
      <c r="AB75" s="85">
        <v>177</v>
      </c>
      <c r="AC75" s="85">
        <v>4.8600000000000003</v>
      </c>
      <c r="AD75" s="85">
        <v>8.59</v>
      </c>
      <c r="AE75" s="85">
        <v>1.141</v>
      </c>
      <c r="AF75" s="85">
        <v>6.9740000000000002</v>
      </c>
      <c r="AG75" s="85">
        <v>20.12</v>
      </c>
      <c r="AH75" s="85">
        <v>4</v>
      </c>
      <c r="AI75" s="85">
        <v>0.27</v>
      </c>
      <c r="AJ75" s="85">
        <v>49</v>
      </c>
      <c r="AK75" s="85">
        <v>1.56</v>
      </c>
      <c r="AL75" s="85">
        <v>29</v>
      </c>
      <c r="AM75" s="85">
        <v>173</v>
      </c>
      <c r="AN75" s="85">
        <v>242</v>
      </c>
      <c r="AO75" s="85">
        <v>1.0900000000000001</v>
      </c>
      <c r="AP75" s="85">
        <v>7.9</v>
      </c>
      <c r="AQ75" s="85">
        <v>0.39900000000000002</v>
      </c>
      <c r="AR75" s="85">
        <v>0</v>
      </c>
      <c r="AS75" s="85">
        <v>0.75</v>
      </c>
      <c r="AT75" s="85">
        <v>0</v>
      </c>
      <c r="AU75" s="85">
        <v>3</v>
      </c>
      <c r="AV75" s="85">
        <v>0</v>
      </c>
    </row>
    <row r="76" spans="1:48" s="1" customFormat="1" x14ac:dyDescent="0.55000000000000004">
      <c r="A76" s="1" t="s">
        <v>235</v>
      </c>
      <c r="B76" s="1" t="s">
        <v>308</v>
      </c>
      <c r="C76" s="1" t="s">
        <v>236</v>
      </c>
      <c r="D76" s="59">
        <v>0</v>
      </c>
      <c r="E76" s="59">
        <v>250</v>
      </c>
      <c r="F76" s="59">
        <f t="shared" si="41"/>
        <v>0</v>
      </c>
      <c r="G76" s="58">
        <f t="shared" si="42"/>
        <v>0</v>
      </c>
      <c r="H76" s="58">
        <f t="shared" si="43"/>
        <v>0</v>
      </c>
      <c r="I76" s="58">
        <f t="shared" si="60"/>
        <v>0</v>
      </c>
      <c r="J76" s="58">
        <f t="shared" si="61"/>
        <v>0</v>
      </c>
      <c r="K76" s="58">
        <f t="shared" si="44"/>
        <v>0</v>
      </c>
      <c r="L76" s="58">
        <f t="shared" si="45"/>
        <v>0</v>
      </c>
      <c r="M76" s="58">
        <f t="shared" si="46"/>
        <v>0</v>
      </c>
      <c r="N76" s="58">
        <f t="shared" si="47"/>
        <v>0</v>
      </c>
      <c r="O76" s="58">
        <f t="shared" si="48"/>
        <v>0</v>
      </c>
      <c r="P76" s="58">
        <f t="shared" si="49"/>
        <v>0</v>
      </c>
      <c r="Q76" s="58">
        <f t="shared" si="50"/>
        <v>0</v>
      </c>
      <c r="R76" s="58">
        <f t="shared" si="51"/>
        <v>0</v>
      </c>
      <c r="S76" s="58">
        <f t="shared" si="52"/>
        <v>0</v>
      </c>
      <c r="T76" s="58">
        <f t="shared" si="53"/>
        <v>0</v>
      </c>
      <c r="U76" s="58">
        <f t="shared" si="54"/>
        <v>0</v>
      </c>
      <c r="V76" s="58">
        <f t="shared" si="55"/>
        <v>0</v>
      </c>
      <c r="W76" s="58">
        <f t="shared" si="56"/>
        <v>0</v>
      </c>
      <c r="X76" s="58">
        <f t="shared" si="57"/>
        <v>0</v>
      </c>
      <c r="Y76" s="58">
        <f t="shared" si="58"/>
        <v>0</v>
      </c>
      <c r="Z76" s="58">
        <f t="shared" si="59"/>
        <v>0</v>
      </c>
      <c r="AA76" s="59">
        <f t="shared" si="40"/>
        <v>0</v>
      </c>
      <c r="AB76" s="85">
        <v>49</v>
      </c>
      <c r="AC76" s="85">
        <v>4.28</v>
      </c>
      <c r="AD76" s="85">
        <v>0.93</v>
      </c>
      <c r="AE76" s="85">
        <v>9.0999999999999998E-2</v>
      </c>
      <c r="AF76" s="85">
        <v>0.39</v>
      </c>
      <c r="AG76" s="85">
        <v>8.75</v>
      </c>
      <c r="AH76" s="85">
        <v>3.6</v>
      </c>
      <c r="AI76" s="85">
        <v>2.2599999999999998</v>
      </c>
      <c r="AJ76" s="85">
        <v>150</v>
      </c>
      <c r="AK76" s="85">
        <v>1.47</v>
      </c>
      <c r="AL76" s="85">
        <v>47</v>
      </c>
      <c r="AM76" s="85">
        <v>491</v>
      </c>
      <c r="AN76" s="85">
        <v>38</v>
      </c>
      <c r="AO76" s="85">
        <v>0.56000000000000005</v>
      </c>
      <c r="AP76" s="85">
        <v>120</v>
      </c>
      <c r="AQ76" s="85">
        <v>0.27100000000000002</v>
      </c>
      <c r="AR76" s="85">
        <v>0</v>
      </c>
      <c r="AS76" s="85">
        <v>1.54</v>
      </c>
      <c r="AT76" s="85">
        <v>0</v>
      </c>
      <c r="AU76" s="85">
        <v>704.8</v>
      </c>
      <c r="AV76" s="85">
        <v>0</v>
      </c>
    </row>
    <row r="77" spans="1:48" s="1" customFormat="1" x14ac:dyDescent="0.55000000000000004">
      <c r="A77" s="1" t="s">
        <v>218</v>
      </c>
      <c r="B77" s="1" t="s">
        <v>687</v>
      </c>
      <c r="C77" s="1" t="s">
        <v>219</v>
      </c>
      <c r="D77" s="59">
        <v>0</v>
      </c>
      <c r="E77" s="59">
        <v>250</v>
      </c>
      <c r="F77" s="59">
        <f t="shared" si="41"/>
        <v>0</v>
      </c>
      <c r="G77" s="58">
        <f t="shared" si="42"/>
        <v>0</v>
      </c>
      <c r="H77" s="58">
        <f t="shared" si="43"/>
        <v>0</v>
      </c>
      <c r="I77" s="58">
        <f t="shared" si="60"/>
        <v>0</v>
      </c>
      <c r="J77" s="58">
        <f t="shared" si="61"/>
        <v>0</v>
      </c>
      <c r="K77" s="58">
        <f t="shared" si="44"/>
        <v>0</v>
      </c>
      <c r="L77" s="58">
        <f t="shared" si="45"/>
        <v>0</v>
      </c>
      <c r="M77" s="58">
        <f t="shared" si="46"/>
        <v>0</v>
      </c>
      <c r="N77" s="58">
        <f t="shared" si="47"/>
        <v>0</v>
      </c>
      <c r="O77" s="58">
        <f t="shared" si="48"/>
        <v>0</v>
      </c>
      <c r="P77" s="58">
        <f t="shared" si="49"/>
        <v>0</v>
      </c>
      <c r="Q77" s="58">
        <f t="shared" si="50"/>
        <v>0</v>
      </c>
      <c r="R77" s="58">
        <f t="shared" si="51"/>
        <v>0</v>
      </c>
      <c r="S77" s="58">
        <f t="shared" si="52"/>
        <v>0</v>
      </c>
      <c r="T77" s="58">
        <f t="shared" si="53"/>
        <v>0</v>
      </c>
      <c r="U77" s="58">
        <f t="shared" si="54"/>
        <v>0</v>
      </c>
      <c r="V77" s="58">
        <f t="shared" si="55"/>
        <v>0</v>
      </c>
      <c r="W77" s="58">
        <f t="shared" si="56"/>
        <v>0</v>
      </c>
      <c r="X77" s="58">
        <f t="shared" si="57"/>
        <v>0</v>
      </c>
      <c r="Y77" s="58">
        <f t="shared" si="58"/>
        <v>0</v>
      </c>
      <c r="Z77" s="58">
        <f t="shared" si="59"/>
        <v>0</v>
      </c>
      <c r="AA77" s="59">
        <f t="shared" si="40"/>
        <v>0</v>
      </c>
      <c r="AB77" s="85">
        <v>61</v>
      </c>
      <c r="AC77" s="85">
        <v>1.1399999999999999</v>
      </c>
      <c r="AD77" s="85">
        <v>0.52</v>
      </c>
      <c r="AE77" s="85">
        <v>2.9000000000000001E-2</v>
      </c>
      <c r="AF77" s="85">
        <v>0.33399999999999996</v>
      </c>
      <c r="AG77" s="85">
        <v>14.66</v>
      </c>
      <c r="AH77" s="85">
        <v>3</v>
      </c>
      <c r="AI77" s="85">
        <v>8.99</v>
      </c>
      <c r="AJ77" s="85">
        <v>34</v>
      </c>
      <c r="AK77" s="85">
        <v>0.31</v>
      </c>
      <c r="AL77" s="85">
        <v>17</v>
      </c>
      <c r="AM77" s="85">
        <v>312</v>
      </c>
      <c r="AN77" s="85">
        <v>3</v>
      </c>
      <c r="AO77" s="85">
        <v>0.14000000000000001</v>
      </c>
      <c r="AP77" s="85">
        <v>92.7</v>
      </c>
      <c r="AQ77" s="85">
        <v>6.3E-2</v>
      </c>
      <c r="AR77" s="85">
        <v>0</v>
      </c>
      <c r="AS77" s="85">
        <v>1.46</v>
      </c>
      <c r="AT77" s="85">
        <v>0</v>
      </c>
      <c r="AU77" s="85">
        <v>40.299999999999997</v>
      </c>
      <c r="AV77" s="85">
        <v>0</v>
      </c>
    </row>
    <row r="78" spans="1:48" s="1" customFormat="1" x14ac:dyDescent="0.55000000000000004">
      <c r="A78" s="1" t="s">
        <v>411</v>
      </c>
      <c r="B78" s="1" t="s">
        <v>646</v>
      </c>
      <c r="C78" s="1" t="s">
        <v>532</v>
      </c>
      <c r="D78" s="59">
        <v>0</v>
      </c>
      <c r="E78" s="59">
        <v>250</v>
      </c>
      <c r="F78" s="59">
        <f t="shared" si="41"/>
        <v>0</v>
      </c>
      <c r="G78" s="58">
        <f t="shared" si="42"/>
        <v>0</v>
      </c>
      <c r="H78" s="58">
        <f t="shared" si="43"/>
        <v>0</v>
      </c>
      <c r="I78" s="58">
        <f t="shared" si="60"/>
        <v>0</v>
      </c>
      <c r="J78" s="58">
        <f t="shared" si="61"/>
        <v>0</v>
      </c>
      <c r="K78" s="58">
        <f t="shared" si="44"/>
        <v>0</v>
      </c>
      <c r="L78" s="58">
        <f t="shared" si="45"/>
        <v>0</v>
      </c>
      <c r="M78" s="58">
        <f t="shared" si="46"/>
        <v>0</v>
      </c>
      <c r="N78" s="58">
        <f t="shared" si="47"/>
        <v>0</v>
      </c>
      <c r="O78" s="58">
        <f t="shared" si="48"/>
        <v>0</v>
      </c>
      <c r="P78" s="58">
        <f t="shared" si="49"/>
        <v>0</v>
      </c>
      <c r="Q78" s="58">
        <f t="shared" si="50"/>
        <v>0</v>
      </c>
      <c r="R78" s="58">
        <f t="shared" si="51"/>
        <v>0</v>
      </c>
      <c r="S78" s="58">
        <f t="shared" si="52"/>
        <v>0</v>
      </c>
      <c r="T78" s="58">
        <f t="shared" si="53"/>
        <v>0</v>
      </c>
      <c r="U78" s="58">
        <f t="shared" si="54"/>
        <v>0</v>
      </c>
      <c r="V78" s="58">
        <f t="shared" si="55"/>
        <v>0</v>
      </c>
      <c r="W78" s="58">
        <f t="shared" si="56"/>
        <v>0</v>
      </c>
      <c r="X78" s="58">
        <f t="shared" si="57"/>
        <v>0</v>
      </c>
      <c r="Y78" s="58">
        <f t="shared" si="58"/>
        <v>0</v>
      </c>
      <c r="Z78" s="58">
        <f t="shared" si="59"/>
        <v>0</v>
      </c>
      <c r="AA78" s="59">
        <f t="shared" si="40"/>
        <v>0</v>
      </c>
      <c r="AB78" s="85">
        <v>71</v>
      </c>
      <c r="AC78" s="85">
        <v>1.88</v>
      </c>
      <c r="AD78" s="85">
        <v>0.86</v>
      </c>
      <c r="AE78" s="85">
        <v>0.10299999999999999</v>
      </c>
      <c r="AF78" s="85">
        <v>0.32500000000000001</v>
      </c>
      <c r="AG78" s="85">
        <v>15.9</v>
      </c>
      <c r="AH78" s="85">
        <v>6.5</v>
      </c>
      <c r="AI78" s="85">
        <v>9.36</v>
      </c>
      <c r="AJ78" s="85">
        <v>62</v>
      </c>
      <c r="AK78" s="85">
        <v>0.86</v>
      </c>
      <c r="AL78" s="85">
        <v>20</v>
      </c>
      <c r="AM78" s="85">
        <v>186</v>
      </c>
      <c r="AN78" s="85">
        <v>10</v>
      </c>
      <c r="AO78" s="85">
        <v>0.17</v>
      </c>
      <c r="AP78" s="85">
        <v>43.9</v>
      </c>
      <c r="AQ78" s="85">
        <v>3.5999999999999997E-2</v>
      </c>
      <c r="AR78" s="85">
        <v>0</v>
      </c>
      <c r="AS78" s="85">
        <v>0.15</v>
      </c>
      <c r="AT78" s="85">
        <v>0</v>
      </c>
      <c r="AU78" s="85">
        <v>0</v>
      </c>
      <c r="AV78" s="85">
        <v>0</v>
      </c>
    </row>
    <row r="79" spans="1:48" s="1" customFormat="1" x14ac:dyDescent="0.55000000000000004">
      <c r="A79" s="1" t="s">
        <v>412</v>
      </c>
      <c r="B79" s="1" t="s">
        <v>682</v>
      </c>
      <c r="C79" s="1" t="s">
        <v>533</v>
      </c>
      <c r="D79" s="59">
        <v>0</v>
      </c>
      <c r="E79" s="59">
        <v>250</v>
      </c>
      <c r="F79" s="59">
        <f t="shared" si="41"/>
        <v>0</v>
      </c>
      <c r="G79" s="58">
        <f t="shared" si="42"/>
        <v>0</v>
      </c>
      <c r="H79" s="58">
        <f t="shared" si="43"/>
        <v>0</v>
      </c>
      <c r="I79" s="58">
        <f t="shared" si="60"/>
        <v>0</v>
      </c>
      <c r="J79" s="58">
        <f t="shared" si="61"/>
        <v>0</v>
      </c>
      <c r="K79" s="58">
        <f t="shared" si="44"/>
        <v>0</v>
      </c>
      <c r="L79" s="58">
        <f t="shared" si="45"/>
        <v>0</v>
      </c>
      <c r="M79" s="58">
        <f t="shared" si="46"/>
        <v>0</v>
      </c>
      <c r="N79" s="58">
        <f t="shared" si="47"/>
        <v>0</v>
      </c>
      <c r="O79" s="58">
        <f t="shared" si="48"/>
        <v>0</v>
      </c>
      <c r="P79" s="58">
        <f t="shared" si="49"/>
        <v>0</v>
      </c>
      <c r="Q79" s="58">
        <f t="shared" si="50"/>
        <v>0</v>
      </c>
      <c r="R79" s="58">
        <f t="shared" si="51"/>
        <v>0</v>
      </c>
      <c r="S79" s="58">
        <f t="shared" si="52"/>
        <v>0</v>
      </c>
      <c r="T79" s="58">
        <f t="shared" si="53"/>
        <v>0</v>
      </c>
      <c r="U79" s="58">
        <f t="shared" si="54"/>
        <v>0</v>
      </c>
      <c r="V79" s="58">
        <f t="shared" si="55"/>
        <v>0</v>
      </c>
      <c r="W79" s="58">
        <f t="shared" si="56"/>
        <v>0</v>
      </c>
      <c r="X79" s="58">
        <f t="shared" si="57"/>
        <v>0</v>
      </c>
      <c r="Y79" s="58">
        <f t="shared" si="58"/>
        <v>0</v>
      </c>
      <c r="Z79" s="58">
        <f t="shared" si="59"/>
        <v>0</v>
      </c>
      <c r="AA79" s="59">
        <f t="shared" si="40"/>
        <v>0</v>
      </c>
      <c r="AB79" s="85">
        <v>31</v>
      </c>
      <c r="AC79" s="85">
        <v>0.81</v>
      </c>
      <c r="AD79" s="85">
        <v>0.2</v>
      </c>
      <c r="AE79" s="85">
        <v>2.7E-2</v>
      </c>
      <c r="AF79" s="85">
        <v>0.114</v>
      </c>
      <c r="AG79" s="85">
        <v>7.62</v>
      </c>
      <c r="AH79" s="85">
        <v>1</v>
      </c>
      <c r="AI79" s="85">
        <v>2.11</v>
      </c>
      <c r="AJ79" s="85">
        <v>30</v>
      </c>
      <c r="AK79" s="85">
        <v>1.1000000000000001</v>
      </c>
      <c r="AL79" s="85">
        <v>14</v>
      </c>
      <c r="AM79" s="85">
        <v>87</v>
      </c>
      <c r="AN79" s="85">
        <v>10</v>
      </c>
      <c r="AO79" s="85">
        <v>0.06</v>
      </c>
      <c r="AP79" s="85">
        <v>4.2</v>
      </c>
      <c r="AQ79" s="85">
        <v>0.113</v>
      </c>
      <c r="AR79" s="85">
        <v>0</v>
      </c>
      <c r="AS79" s="85">
        <v>0.5</v>
      </c>
      <c r="AT79" s="85">
        <v>0</v>
      </c>
      <c r="AU79" s="85">
        <v>25.4</v>
      </c>
      <c r="AV79" s="85">
        <v>0</v>
      </c>
    </row>
    <row r="80" spans="1:48" s="1" customFormat="1" x14ac:dyDescent="0.55000000000000004">
      <c r="A80" s="1" t="s">
        <v>413</v>
      </c>
      <c r="B80" s="1" t="s">
        <v>309</v>
      </c>
      <c r="C80" s="1" t="s">
        <v>534</v>
      </c>
      <c r="D80" s="59">
        <v>0</v>
      </c>
      <c r="E80" s="59">
        <v>250</v>
      </c>
      <c r="F80" s="59">
        <f t="shared" si="41"/>
        <v>0</v>
      </c>
      <c r="G80" s="58">
        <f t="shared" si="42"/>
        <v>0</v>
      </c>
      <c r="H80" s="58">
        <f t="shared" si="43"/>
        <v>0</v>
      </c>
      <c r="I80" s="58">
        <f t="shared" si="60"/>
        <v>0</v>
      </c>
      <c r="J80" s="58">
        <f t="shared" si="61"/>
        <v>0</v>
      </c>
      <c r="K80" s="58">
        <f t="shared" si="44"/>
        <v>0</v>
      </c>
      <c r="L80" s="58">
        <f t="shared" si="45"/>
        <v>0</v>
      </c>
      <c r="M80" s="58">
        <f t="shared" si="46"/>
        <v>0</v>
      </c>
      <c r="N80" s="58">
        <f t="shared" si="47"/>
        <v>0</v>
      </c>
      <c r="O80" s="58">
        <f t="shared" si="48"/>
        <v>0</v>
      </c>
      <c r="P80" s="58">
        <f t="shared" si="49"/>
        <v>0</v>
      </c>
      <c r="Q80" s="58">
        <f t="shared" si="50"/>
        <v>0</v>
      </c>
      <c r="R80" s="58">
        <f t="shared" si="51"/>
        <v>0</v>
      </c>
      <c r="S80" s="58">
        <f t="shared" si="52"/>
        <v>0</v>
      </c>
      <c r="T80" s="58">
        <f t="shared" si="53"/>
        <v>0</v>
      </c>
      <c r="U80" s="58">
        <f t="shared" si="54"/>
        <v>0</v>
      </c>
      <c r="V80" s="58">
        <f t="shared" si="55"/>
        <v>0</v>
      </c>
      <c r="W80" s="58">
        <f t="shared" si="56"/>
        <v>0</v>
      </c>
      <c r="X80" s="58">
        <f t="shared" si="57"/>
        <v>0</v>
      </c>
      <c r="Y80" s="58">
        <f t="shared" si="58"/>
        <v>0</v>
      </c>
      <c r="Z80" s="58">
        <f t="shared" si="59"/>
        <v>0</v>
      </c>
      <c r="AA80" s="59">
        <f t="shared" si="40"/>
        <v>0</v>
      </c>
      <c r="AB80" s="85">
        <v>101</v>
      </c>
      <c r="AC80" s="85">
        <v>8.8000000000000007</v>
      </c>
      <c r="AD80" s="85">
        <v>0.45</v>
      </c>
      <c r="AE80" s="85">
        <v>5.2999999999999999E-2</v>
      </c>
      <c r="AF80" s="85">
        <v>0.29600000000000004</v>
      </c>
      <c r="AG80" s="85">
        <v>21.25</v>
      </c>
      <c r="AH80" s="85">
        <v>0</v>
      </c>
      <c r="AI80" s="85">
        <v>0</v>
      </c>
      <c r="AJ80" s="85">
        <v>14</v>
      </c>
      <c r="AK80" s="85">
        <v>3.1</v>
      </c>
      <c r="AL80" s="85">
        <v>35</v>
      </c>
      <c r="AM80" s="85">
        <v>284</v>
      </c>
      <c r="AN80" s="85">
        <v>10</v>
      </c>
      <c r="AO80" s="85">
        <v>1.6</v>
      </c>
      <c r="AP80" s="85">
        <v>12.6</v>
      </c>
      <c r="AQ80" s="85">
        <v>0.16400000000000001</v>
      </c>
      <c r="AR80" s="85">
        <v>0</v>
      </c>
      <c r="AS80" s="85">
        <v>0</v>
      </c>
      <c r="AT80" s="85">
        <v>0</v>
      </c>
      <c r="AU80" s="85">
        <v>0</v>
      </c>
      <c r="AV80" s="85">
        <v>0</v>
      </c>
    </row>
    <row r="81" spans="1:48" s="1" customFormat="1" x14ac:dyDescent="0.55000000000000004">
      <c r="A81" s="1" t="s">
        <v>414</v>
      </c>
      <c r="B81" s="1" t="s">
        <v>688</v>
      </c>
      <c r="C81" s="1" t="s">
        <v>535</v>
      </c>
      <c r="D81" s="59">
        <v>0</v>
      </c>
      <c r="E81" s="59">
        <v>250</v>
      </c>
      <c r="F81" s="59">
        <f t="shared" si="41"/>
        <v>0</v>
      </c>
      <c r="G81" s="58">
        <f t="shared" si="42"/>
        <v>0</v>
      </c>
      <c r="H81" s="58">
        <f t="shared" si="43"/>
        <v>0</v>
      </c>
      <c r="I81" s="58">
        <f t="shared" si="60"/>
        <v>0</v>
      </c>
      <c r="J81" s="58">
        <f t="shared" si="61"/>
        <v>0</v>
      </c>
      <c r="K81" s="58">
        <f t="shared" si="44"/>
        <v>0</v>
      </c>
      <c r="L81" s="58">
        <f t="shared" si="45"/>
        <v>0</v>
      </c>
      <c r="M81" s="58">
        <f t="shared" si="46"/>
        <v>0</v>
      </c>
      <c r="N81" s="58">
        <f t="shared" si="47"/>
        <v>0</v>
      </c>
      <c r="O81" s="58">
        <f t="shared" si="48"/>
        <v>0</v>
      </c>
      <c r="P81" s="58">
        <f t="shared" si="49"/>
        <v>0</v>
      </c>
      <c r="Q81" s="58">
        <f t="shared" si="50"/>
        <v>0</v>
      </c>
      <c r="R81" s="58">
        <f t="shared" si="51"/>
        <v>0</v>
      </c>
      <c r="S81" s="58">
        <f t="shared" si="52"/>
        <v>0</v>
      </c>
      <c r="T81" s="58">
        <f t="shared" si="53"/>
        <v>0</v>
      </c>
      <c r="U81" s="58">
        <f t="shared" si="54"/>
        <v>0</v>
      </c>
      <c r="V81" s="58">
        <f t="shared" si="55"/>
        <v>0</v>
      </c>
      <c r="W81" s="58">
        <f t="shared" si="56"/>
        <v>0</v>
      </c>
      <c r="X81" s="58">
        <f t="shared" si="57"/>
        <v>0</v>
      </c>
      <c r="Y81" s="58">
        <f t="shared" si="58"/>
        <v>0</v>
      </c>
      <c r="Z81" s="58">
        <f t="shared" si="59"/>
        <v>0</v>
      </c>
      <c r="AA81" s="59">
        <f t="shared" si="40"/>
        <v>0</v>
      </c>
      <c r="AB81" s="85">
        <v>113</v>
      </c>
      <c r="AC81" s="85">
        <v>6.84</v>
      </c>
      <c r="AD81" s="85">
        <v>0.86</v>
      </c>
      <c r="AE81" s="85">
        <v>0.19800000000000001</v>
      </c>
      <c r="AF81" s="85">
        <v>0.46899999999999997</v>
      </c>
      <c r="AG81" s="85">
        <v>20.170000000000002</v>
      </c>
      <c r="AH81" s="85">
        <v>4.9000000000000004</v>
      </c>
      <c r="AI81" s="85">
        <v>1.48</v>
      </c>
      <c r="AJ81" s="85">
        <v>34</v>
      </c>
      <c r="AK81" s="85">
        <v>3.14</v>
      </c>
      <c r="AL81" s="85">
        <v>58</v>
      </c>
      <c r="AM81" s="85">
        <v>467</v>
      </c>
      <c r="AN81" s="85">
        <v>8</v>
      </c>
      <c r="AO81" s="85">
        <v>0.78</v>
      </c>
      <c r="AP81" s="85">
        <v>23.4</v>
      </c>
      <c r="AQ81" s="85">
        <v>0.20399999999999999</v>
      </c>
      <c r="AR81" s="85">
        <v>0</v>
      </c>
      <c r="AS81" s="85">
        <v>0.32</v>
      </c>
      <c r="AT81" s="85">
        <v>0</v>
      </c>
      <c r="AU81" s="85">
        <v>5.6</v>
      </c>
      <c r="AV81" s="85">
        <v>0</v>
      </c>
    </row>
    <row r="82" spans="1:48" s="1" customFormat="1" x14ac:dyDescent="0.55000000000000004">
      <c r="A82" s="1" t="s">
        <v>415</v>
      </c>
      <c r="B82" s="1" t="s">
        <v>689</v>
      </c>
      <c r="C82" s="1" t="s">
        <v>536</v>
      </c>
      <c r="D82" s="59">
        <v>0</v>
      </c>
      <c r="E82" s="59">
        <v>250</v>
      </c>
      <c r="F82" s="59">
        <f t="shared" si="41"/>
        <v>0</v>
      </c>
      <c r="G82" s="58">
        <f t="shared" si="42"/>
        <v>0</v>
      </c>
      <c r="H82" s="58">
        <f t="shared" si="43"/>
        <v>0</v>
      </c>
      <c r="I82" s="58">
        <f t="shared" si="60"/>
        <v>0</v>
      </c>
      <c r="J82" s="58">
        <f t="shared" si="61"/>
        <v>0</v>
      </c>
      <c r="K82" s="58">
        <f t="shared" si="44"/>
        <v>0</v>
      </c>
      <c r="L82" s="58">
        <f t="shared" si="45"/>
        <v>0</v>
      </c>
      <c r="M82" s="58">
        <f t="shared" si="46"/>
        <v>0</v>
      </c>
      <c r="N82" s="58">
        <f t="shared" si="47"/>
        <v>0</v>
      </c>
      <c r="O82" s="58">
        <f t="shared" si="48"/>
        <v>0</v>
      </c>
      <c r="P82" s="58">
        <f t="shared" si="49"/>
        <v>0</v>
      </c>
      <c r="Q82" s="58">
        <f t="shared" si="50"/>
        <v>0</v>
      </c>
      <c r="R82" s="58">
        <f t="shared" si="51"/>
        <v>0</v>
      </c>
      <c r="S82" s="58">
        <f t="shared" si="52"/>
        <v>0</v>
      </c>
      <c r="T82" s="58">
        <f t="shared" si="53"/>
        <v>0</v>
      </c>
      <c r="U82" s="58">
        <f t="shared" si="54"/>
        <v>0</v>
      </c>
      <c r="V82" s="58">
        <f t="shared" si="55"/>
        <v>0</v>
      </c>
      <c r="W82" s="58">
        <f t="shared" si="56"/>
        <v>0</v>
      </c>
      <c r="X82" s="58">
        <f t="shared" si="57"/>
        <v>0</v>
      </c>
      <c r="Y82" s="58">
        <f t="shared" si="58"/>
        <v>0</v>
      </c>
      <c r="Z82" s="58">
        <f t="shared" si="59"/>
        <v>0</v>
      </c>
      <c r="AA82" s="59">
        <f t="shared" si="40"/>
        <v>0</v>
      </c>
      <c r="AB82" s="85">
        <v>718</v>
      </c>
      <c r="AC82" s="85">
        <v>7.79</v>
      </c>
      <c r="AD82" s="85">
        <v>76.08</v>
      </c>
      <c r="AE82" s="85">
        <v>11.946999999999999</v>
      </c>
      <c r="AF82" s="85">
        <v>60.772999999999996</v>
      </c>
      <c r="AG82" s="85">
        <v>13.38</v>
      </c>
      <c r="AH82" s="85">
        <v>8</v>
      </c>
      <c r="AI82" s="85">
        <v>4.1399999999999997</v>
      </c>
      <c r="AJ82" s="85">
        <v>70</v>
      </c>
      <c r="AK82" s="85">
        <v>2.65</v>
      </c>
      <c r="AL82" s="85">
        <v>118</v>
      </c>
      <c r="AM82" s="85">
        <v>363</v>
      </c>
      <c r="AN82" s="85">
        <v>4</v>
      </c>
      <c r="AO82" s="85">
        <v>1.29</v>
      </c>
      <c r="AP82" s="85">
        <v>0.7</v>
      </c>
      <c r="AQ82" s="85">
        <v>0.35899999999999999</v>
      </c>
      <c r="AR82" s="85">
        <v>0</v>
      </c>
      <c r="AS82" s="85">
        <v>0.56999999999999995</v>
      </c>
      <c r="AT82" s="85">
        <v>0</v>
      </c>
      <c r="AU82" s="85">
        <v>0</v>
      </c>
      <c r="AV82" s="85">
        <v>0</v>
      </c>
    </row>
    <row r="83" spans="1:48" s="1" customFormat="1" x14ac:dyDescent="0.55000000000000004">
      <c r="A83" s="1" t="s">
        <v>220</v>
      </c>
      <c r="B83" s="1" t="s">
        <v>659</v>
      </c>
      <c r="C83" s="1" t="s">
        <v>537</v>
      </c>
      <c r="D83" s="59">
        <v>0</v>
      </c>
      <c r="E83" s="59">
        <v>250</v>
      </c>
      <c r="F83" s="59">
        <f t="shared" si="41"/>
        <v>0</v>
      </c>
      <c r="G83" s="58">
        <f t="shared" si="42"/>
        <v>0</v>
      </c>
      <c r="H83" s="58">
        <f t="shared" si="43"/>
        <v>0</v>
      </c>
      <c r="I83" s="58">
        <f t="shared" si="60"/>
        <v>0</v>
      </c>
      <c r="J83" s="58">
        <f t="shared" si="61"/>
        <v>0</v>
      </c>
      <c r="K83" s="58">
        <f t="shared" si="44"/>
        <v>0</v>
      </c>
      <c r="L83" s="58">
        <f t="shared" si="45"/>
        <v>0</v>
      </c>
      <c r="M83" s="58">
        <f t="shared" si="46"/>
        <v>0</v>
      </c>
      <c r="N83" s="58">
        <f t="shared" si="47"/>
        <v>0</v>
      </c>
      <c r="O83" s="58">
        <f t="shared" si="48"/>
        <v>0</v>
      </c>
      <c r="P83" s="58">
        <f t="shared" si="49"/>
        <v>0</v>
      </c>
      <c r="Q83" s="58">
        <f t="shared" si="50"/>
        <v>0</v>
      </c>
      <c r="R83" s="58">
        <f t="shared" si="51"/>
        <v>0</v>
      </c>
      <c r="S83" s="58">
        <f t="shared" si="52"/>
        <v>0</v>
      </c>
      <c r="T83" s="58">
        <f t="shared" si="53"/>
        <v>0</v>
      </c>
      <c r="U83" s="58">
        <f t="shared" si="54"/>
        <v>0</v>
      </c>
      <c r="V83" s="58">
        <f t="shared" si="55"/>
        <v>0</v>
      </c>
      <c r="W83" s="58">
        <f t="shared" si="56"/>
        <v>0</v>
      </c>
      <c r="X83" s="58">
        <f t="shared" si="57"/>
        <v>0</v>
      </c>
      <c r="Y83" s="58">
        <f t="shared" si="58"/>
        <v>0</v>
      </c>
      <c r="Z83" s="58">
        <f t="shared" si="59"/>
        <v>0</v>
      </c>
      <c r="AA83" s="59">
        <f t="shared" si="40"/>
        <v>0</v>
      </c>
      <c r="AB83" s="85">
        <v>34</v>
      </c>
      <c r="AC83" s="85">
        <v>0.84</v>
      </c>
      <c r="AD83" s="85">
        <v>0.19</v>
      </c>
      <c r="AE83" s="85">
        <v>5.0999999999999997E-2</v>
      </c>
      <c r="AF83" s="85">
        <v>8.4000000000000005E-2</v>
      </c>
      <c r="AG83" s="85">
        <v>8.16</v>
      </c>
      <c r="AH83" s="85">
        <v>0.9</v>
      </c>
      <c r="AI83" s="85">
        <v>7.86</v>
      </c>
      <c r="AJ83" s="85">
        <v>9</v>
      </c>
      <c r="AK83" s="85">
        <v>0.21</v>
      </c>
      <c r="AL83" s="85">
        <v>12</v>
      </c>
      <c r="AM83" s="85">
        <v>267</v>
      </c>
      <c r="AN83" s="85">
        <v>16</v>
      </c>
      <c r="AO83" s="85">
        <v>0.18</v>
      </c>
      <c r="AP83" s="85">
        <v>36.700000000000003</v>
      </c>
      <c r="AQ83" s="85">
        <v>7.1999999999999995E-2</v>
      </c>
      <c r="AR83" s="85">
        <v>0</v>
      </c>
      <c r="AS83" s="85">
        <v>0.05</v>
      </c>
      <c r="AT83" s="85">
        <v>0</v>
      </c>
      <c r="AU83" s="85">
        <v>2.5</v>
      </c>
      <c r="AV83" s="85">
        <v>0</v>
      </c>
    </row>
    <row r="84" spans="1:48" s="1" customFormat="1" x14ac:dyDescent="0.55000000000000004">
      <c r="A84" s="1" t="s">
        <v>416</v>
      </c>
      <c r="B84" s="1" t="s">
        <v>697</v>
      </c>
      <c r="C84" s="1" t="s">
        <v>538</v>
      </c>
      <c r="D84" s="59">
        <v>0</v>
      </c>
      <c r="E84" s="59">
        <v>250</v>
      </c>
      <c r="F84" s="59">
        <f t="shared" si="41"/>
        <v>0</v>
      </c>
      <c r="G84" s="58">
        <f t="shared" si="42"/>
        <v>0</v>
      </c>
      <c r="H84" s="58">
        <f t="shared" si="43"/>
        <v>0</v>
      </c>
      <c r="I84" s="58">
        <f t="shared" si="60"/>
        <v>0</v>
      </c>
      <c r="J84" s="58">
        <f t="shared" si="61"/>
        <v>0</v>
      </c>
      <c r="K84" s="58">
        <f t="shared" si="44"/>
        <v>0</v>
      </c>
      <c r="L84" s="58">
        <f t="shared" si="45"/>
        <v>0</v>
      </c>
      <c r="M84" s="58">
        <f t="shared" si="46"/>
        <v>0</v>
      </c>
      <c r="N84" s="58">
        <f t="shared" si="47"/>
        <v>0</v>
      </c>
      <c r="O84" s="58">
        <f t="shared" si="48"/>
        <v>0</v>
      </c>
      <c r="P84" s="58">
        <f t="shared" si="49"/>
        <v>0</v>
      </c>
      <c r="Q84" s="58">
        <f t="shared" si="50"/>
        <v>0</v>
      </c>
      <c r="R84" s="58">
        <f t="shared" si="51"/>
        <v>0</v>
      </c>
      <c r="S84" s="58">
        <f t="shared" si="52"/>
        <v>0</v>
      </c>
      <c r="T84" s="58">
        <f t="shared" si="53"/>
        <v>0</v>
      </c>
      <c r="U84" s="58">
        <f t="shared" si="54"/>
        <v>0</v>
      </c>
      <c r="V84" s="58">
        <f t="shared" si="55"/>
        <v>0</v>
      </c>
      <c r="W84" s="58">
        <f t="shared" si="56"/>
        <v>0</v>
      </c>
      <c r="X84" s="58">
        <f t="shared" si="57"/>
        <v>0</v>
      </c>
      <c r="Y84" s="58">
        <f t="shared" si="58"/>
        <v>0</v>
      </c>
      <c r="Z84" s="58">
        <f t="shared" si="59"/>
        <v>0</v>
      </c>
      <c r="AA84" s="59">
        <f t="shared" si="40"/>
        <v>0</v>
      </c>
      <c r="AB84" s="85">
        <v>42</v>
      </c>
      <c r="AC84" s="85">
        <v>3.37</v>
      </c>
      <c r="AD84" s="85">
        <v>0.97</v>
      </c>
      <c r="AE84" s="85">
        <v>0.63300000000000001</v>
      </c>
      <c r="AF84" s="85">
        <v>0.31200000000000006</v>
      </c>
      <c r="AG84" s="85">
        <v>4.99</v>
      </c>
      <c r="AH84" s="85">
        <v>0</v>
      </c>
      <c r="AI84" s="85">
        <v>5.2</v>
      </c>
      <c r="AJ84" s="85">
        <v>125</v>
      </c>
      <c r="AK84" s="85">
        <v>0.03</v>
      </c>
      <c r="AL84" s="85">
        <v>11</v>
      </c>
      <c r="AM84" s="85">
        <v>150</v>
      </c>
      <c r="AN84" s="85">
        <v>44</v>
      </c>
      <c r="AO84" s="85">
        <v>0.42</v>
      </c>
      <c r="AP84" s="85">
        <v>0</v>
      </c>
      <c r="AQ84" s="85">
        <v>3.6999999999999998E-2</v>
      </c>
      <c r="AR84" s="85">
        <v>0.47</v>
      </c>
      <c r="AS84" s="85">
        <v>0.01</v>
      </c>
      <c r="AT84" s="85">
        <v>48</v>
      </c>
      <c r="AU84" s="85">
        <v>0.1</v>
      </c>
      <c r="AV84" s="85">
        <v>5</v>
      </c>
    </row>
    <row r="85" spans="1:48" s="1" customFormat="1" x14ac:dyDescent="0.55000000000000004">
      <c r="A85" s="1" t="s">
        <v>417</v>
      </c>
      <c r="B85" s="1" t="s">
        <v>29</v>
      </c>
      <c r="C85" s="1" t="s">
        <v>539</v>
      </c>
      <c r="D85" s="59">
        <v>0</v>
      </c>
      <c r="E85" s="59">
        <v>250</v>
      </c>
      <c r="F85" s="59">
        <f t="shared" si="41"/>
        <v>0</v>
      </c>
      <c r="G85" s="58">
        <f t="shared" si="42"/>
        <v>0</v>
      </c>
      <c r="H85" s="58">
        <f t="shared" si="43"/>
        <v>0</v>
      </c>
      <c r="I85" s="58">
        <f t="shared" si="60"/>
        <v>0</v>
      </c>
      <c r="J85" s="58">
        <f t="shared" si="61"/>
        <v>0</v>
      </c>
      <c r="K85" s="58">
        <f t="shared" si="44"/>
        <v>0</v>
      </c>
      <c r="L85" s="58">
        <f t="shared" si="45"/>
        <v>0</v>
      </c>
      <c r="M85" s="58">
        <f t="shared" si="46"/>
        <v>0</v>
      </c>
      <c r="N85" s="58">
        <f t="shared" si="47"/>
        <v>0</v>
      </c>
      <c r="O85" s="58">
        <f t="shared" si="48"/>
        <v>0</v>
      </c>
      <c r="P85" s="58">
        <f t="shared" si="49"/>
        <v>0</v>
      </c>
      <c r="Q85" s="58">
        <f t="shared" si="50"/>
        <v>0</v>
      </c>
      <c r="R85" s="58">
        <f t="shared" si="51"/>
        <v>0</v>
      </c>
      <c r="S85" s="58">
        <f t="shared" si="52"/>
        <v>0</v>
      </c>
      <c r="T85" s="58">
        <f t="shared" si="53"/>
        <v>0</v>
      </c>
      <c r="U85" s="58">
        <f t="shared" si="54"/>
        <v>0</v>
      </c>
      <c r="V85" s="58">
        <f t="shared" si="55"/>
        <v>0</v>
      </c>
      <c r="W85" s="58">
        <f t="shared" si="56"/>
        <v>0</v>
      </c>
      <c r="X85" s="58">
        <f t="shared" si="57"/>
        <v>0</v>
      </c>
      <c r="Y85" s="58">
        <f t="shared" si="58"/>
        <v>0</v>
      </c>
      <c r="Z85" s="58">
        <f t="shared" si="59"/>
        <v>0</v>
      </c>
      <c r="AA85" s="59">
        <f t="shared" si="40"/>
        <v>0</v>
      </c>
      <c r="AB85" s="85">
        <v>607</v>
      </c>
      <c r="AC85" s="85">
        <v>19.5</v>
      </c>
      <c r="AD85" s="85">
        <v>53.5</v>
      </c>
      <c r="AE85" s="85">
        <v>8.01</v>
      </c>
      <c r="AF85" s="85">
        <v>44.39</v>
      </c>
      <c r="AG85" s="85">
        <v>22.42</v>
      </c>
      <c r="AH85" s="85">
        <v>6.4</v>
      </c>
      <c r="AI85" s="85">
        <v>5</v>
      </c>
      <c r="AJ85" s="85">
        <v>87</v>
      </c>
      <c r="AK85" s="85">
        <v>3.73</v>
      </c>
      <c r="AL85" s="85">
        <v>227</v>
      </c>
      <c r="AM85" s="85">
        <v>643</v>
      </c>
      <c r="AN85" s="85">
        <v>4</v>
      </c>
      <c r="AO85" s="85">
        <v>4.0599999999999996</v>
      </c>
      <c r="AP85" s="85">
        <v>0.8</v>
      </c>
      <c r="AQ85" s="85">
        <v>0.36</v>
      </c>
      <c r="AR85" s="85">
        <v>0</v>
      </c>
      <c r="AS85" s="85">
        <v>6.13</v>
      </c>
      <c r="AT85" s="85">
        <v>0</v>
      </c>
      <c r="AU85" s="85">
        <v>12</v>
      </c>
      <c r="AV85" s="85">
        <v>0</v>
      </c>
    </row>
    <row r="86" spans="1:48" s="1" customFormat="1" x14ac:dyDescent="0.55000000000000004">
      <c r="A86" s="1" t="s">
        <v>418</v>
      </c>
      <c r="B86" s="1" t="s">
        <v>312</v>
      </c>
      <c r="C86" s="1" t="s">
        <v>540</v>
      </c>
      <c r="D86" s="59">
        <v>0</v>
      </c>
      <c r="E86" s="59">
        <v>250</v>
      </c>
      <c r="F86" s="59">
        <f t="shared" si="41"/>
        <v>0</v>
      </c>
      <c r="G86" s="58">
        <f t="shared" si="42"/>
        <v>0</v>
      </c>
      <c r="H86" s="58">
        <f t="shared" si="43"/>
        <v>0</v>
      </c>
      <c r="I86" s="58">
        <f t="shared" si="60"/>
        <v>0</v>
      </c>
      <c r="J86" s="58">
        <f t="shared" si="61"/>
        <v>0</v>
      </c>
      <c r="K86" s="58">
        <f t="shared" si="44"/>
        <v>0</v>
      </c>
      <c r="L86" s="58">
        <f t="shared" si="45"/>
        <v>0</v>
      </c>
      <c r="M86" s="58">
        <f t="shared" si="46"/>
        <v>0</v>
      </c>
      <c r="N86" s="58">
        <f t="shared" si="47"/>
        <v>0</v>
      </c>
      <c r="O86" s="58">
        <f t="shared" si="48"/>
        <v>0</v>
      </c>
      <c r="P86" s="58">
        <f t="shared" si="49"/>
        <v>0</v>
      </c>
      <c r="Q86" s="58">
        <f t="shared" si="50"/>
        <v>0</v>
      </c>
      <c r="R86" s="58">
        <f t="shared" si="51"/>
        <v>0</v>
      </c>
      <c r="S86" s="58">
        <f t="shared" si="52"/>
        <v>0</v>
      </c>
      <c r="T86" s="58">
        <f t="shared" si="53"/>
        <v>0</v>
      </c>
      <c r="U86" s="58">
        <f t="shared" si="54"/>
        <v>0</v>
      </c>
      <c r="V86" s="58">
        <f t="shared" si="55"/>
        <v>0</v>
      </c>
      <c r="W86" s="58">
        <f t="shared" si="56"/>
        <v>0</v>
      </c>
      <c r="X86" s="58">
        <f t="shared" si="57"/>
        <v>0</v>
      </c>
      <c r="Y86" s="58">
        <f t="shared" si="58"/>
        <v>0</v>
      </c>
      <c r="Z86" s="58">
        <f t="shared" si="59"/>
        <v>0</v>
      </c>
      <c r="AA86" s="59">
        <f t="shared" si="40"/>
        <v>0</v>
      </c>
      <c r="AB86" s="85">
        <v>270</v>
      </c>
      <c r="AC86" s="85">
        <v>7</v>
      </c>
      <c r="AD86" s="85">
        <v>7.4</v>
      </c>
      <c r="AE86" s="85">
        <v>1.087</v>
      </c>
      <c r="AF86" s="85">
        <v>5.8239999999999998</v>
      </c>
      <c r="AG86" s="85">
        <v>48.3</v>
      </c>
      <c r="AH86" s="85">
        <v>4.5999999999999996</v>
      </c>
      <c r="AI86" s="85">
        <v>8.2200000000000006</v>
      </c>
      <c r="AJ86" s="85">
        <v>63</v>
      </c>
      <c r="AK86" s="85">
        <v>4.2</v>
      </c>
      <c r="AL86" s="85">
        <v>157</v>
      </c>
      <c r="AM86" s="85">
        <v>507</v>
      </c>
      <c r="AN86" s="85">
        <v>393</v>
      </c>
      <c r="AO86" s="85">
        <v>1.84</v>
      </c>
      <c r="AP86" s="85">
        <v>0</v>
      </c>
      <c r="AQ86" s="85">
        <v>0.161</v>
      </c>
      <c r="AR86" s="85">
        <v>0.01</v>
      </c>
      <c r="AS86" s="85">
        <v>0.66</v>
      </c>
      <c r="AT86" s="85">
        <v>0</v>
      </c>
      <c r="AU86" s="85">
        <v>13</v>
      </c>
      <c r="AV86" s="85">
        <v>0</v>
      </c>
    </row>
    <row r="87" spans="1:48" s="1" customFormat="1" x14ac:dyDescent="0.55000000000000004">
      <c r="A87" s="1" t="s">
        <v>237</v>
      </c>
      <c r="B87" s="1" t="s">
        <v>679</v>
      </c>
      <c r="C87" s="1" t="s">
        <v>238</v>
      </c>
      <c r="D87" s="59">
        <v>0</v>
      </c>
      <c r="E87" s="59">
        <v>250</v>
      </c>
      <c r="F87" s="59">
        <f t="shared" si="41"/>
        <v>0</v>
      </c>
      <c r="G87" s="58">
        <f t="shared" si="42"/>
        <v>0</v>
      </c>
      <c r="H87" s="58">
        <f t="shared" si="43"/>
        <v>0</v>
      </c>
      <c r="I87" s="58">
        <f t="shared" si="60"/>
        <v>0</v>
      </c>
      <c r="J87" s="58">
        <f t="shared" si="61"/>
        <v>0</v>
      </c>
      <c r="K87" s="58">
        <f t="shared" si="44"/>
        <v>0</v>
      </c>
      <c r="L87" s="58">
        <f t="shared" si="45"/>
        <v>0</v>
      </c>
      <c r="M87" s="58">
        <f t="shared" si="46"/>
        <v>0</v>
      </c>
      <c r="N87" s="58">
        <f t="shared" si="47"/>
        <v>0</v>
      </c>
      <c r="O87" s="58">
        <f t="shared" si="48"/>
        <v>0</v>
      </c>
      <c r="P87" s="58">
        <f t="shared" si="49"/>
        <v>0</v>
      </c>
      <c r="Q87" s="58">
        <f t="shared" si="50"/>
        <v>0</v>
      </c>
      <c r="R87" s="58">
        <f t="shared" si="51"/>
        <v>0</v>
      </c>
      <c r="S87" s="58">
        <f t="shared" si="52"/>
        <v>0</v>
      </c>
      <c r="T87" s="58">
        <f t="shared" si="53"/>
        <v>0</v>
      </c>
      <c r="U87" s="58">
        <f t="shared" si="54"/>
        <v>0</v>
      </c>
      <c r="V87" s="58">
        <f t="shared" si="55"/>
        <v>0</v>
      </c>
      <c r="W87" s="58">
        <f t="shared" si="56"/>
        <v>0</v>
      </c>
      <c r="X87" s="58">
        <f t="shared" si="57"/>
        <v>0</v>
      </c>
      <c r="Y87" s="58">
        <f t="shared" si="58"/>
        <v>0</v>
      </c>
      <c r="Z87" s="58">
        <f t="shared" si="59"/>
        <v>0</v>
      </c>
      <c r="AA87" s="59">
        <f t="shared" si="40"/>
        <v>0</v>
      </c>
      <c r="AB87" s="85">
        <v>38</v>
      </c>
      <c r="AC87" s="85">
        <v>1.49</v>
      </c>
      <c r="AD87" s="85">
        <v>0.53</v>
      </c>
      <c r="AE87" s="85">
        <v>0</v>
      </c>
      <c r="AF87" s="85">
        <v>0</v>
      </c>
      <c r="AG87" s="85">
        <v>6.86</v>
      </c>
      <c r="AH87" s="85">
        <v>3.8</v>
      </c>
      <c r="AI87" s="85">
        <v>1.1599999999999999</v>
      </c>
      <c r="AJ87" s="85">
        <v>15</v>
      </c>
      <c r="AK87" s="85">
        <v>3.47</v>
      </c>
      <c r="AL87" s="85">
        <v>13</v>
      </c>
      <c r="AM87" s="85">
        <v>506</v>
      </c>
      <c r="AN87" s="85">
        <v>9</v>
      </c>
      <c r="AO87" s="85">
        <v>0.71</v>
      </c>
      <c r="AP87" s="85">
        <v>0</v>
      </c>
      <c r="AQ87" s="85">
        <v>4.3999999999999997E-2</v>
      </c>
      <c r="AR87" s="85">
        <v>0</v>
      </c>
      <c r="AS87" s="85">
        <v>0</v>
      </c>
      <c r="AT87" s="85">
        <v>212</v>
      </c>
      <c r="AU87" s="85">
        <v>0</v>
      </c>
      <c r="AV87" s="85">
        <v>0</v>
      </c>
    </row>
    <row r="88" spans="1:48" s="1" customFormat="1" x14ac:dyDescent="0.55000000000000004">
      <c r="A88" s="1" t="s">
        <v>419</v>
      </c>
      <c r="B88" s="1" t="s">
        <v>672</v>
      </c>
      <c r="C88" s="1" t="s">
        <v>541</v>
      </c>
      <c r="D88" s="59">
        <v>0</v>
      </c>
      <c r="E88" s="59">
        <v>250</v>
      </c>
      <c r="F88" s="59">
        <f t="shared" si="41"/>
        <v>0</v>
      </c>
      <c r="G88" s="58">
        <f t="shared" si="42"/>
        <v>0</v>
      </c>
      <c r="H88" s="58">
        <f t="shared" si="43"/>
        <v>0</v>
      </c>
      <c r="I88" s="58">
        <f t="shared" si="60"/>
        <v>0</v>
      </c>
      <c r="J88" s="58">
        <f t="shared" si="61"/>
        <v>0</v>
      </c>
      <c r="K88" s="58">
        <f t="shared" si="44"/>
        <v>0</v>
      </c>
      <c r="L88" s="58">
        <f t="shared" si="45"/>
        <v>0</v>
      </c>
      <c r="M88" s="58">
        <f t="shared" si="46"/>
        <v>0</v>
      </c>
      <c r="N88" s="58">
        <f t="shared" si="47"/>
        <v>0</v>
      </c>
      <c r="O88" s="58">
        <f t="shared" si="48"/>
        <v>0</v>
      </c>
      <c r="P88" s="58">
        <f t="shared" si="49"/>
        <v>0</v>
      </c>
      <c r="Q88" s="58">
        <f t="shared" si="50"/>
        <v>0</v>
      </c>
      <c r="R88" s="58">
        <f t="shared" si="51"/>
        <v>0</v>
      </c>
      <c r="S88" s="58">
        <f t="shared" si="52"/>
        <v>0</v>
      </c>
      <c r="T88" s="58">
        <f t="shared" si="53"/>
        <v>0</v>
      </c>
      <c r="U88" s="58">
        <f t="shared" si="54"/>
        <v>0</v>
      </c>
      <c r="V88" s="58">
        <f t="shared" si="55"/>
        <v>0</v>
      </c>
      <c r="W88" s="58">
        <f t="shared" si="56"/>
        <v>0</v>
      </c>
      <c r="X88" s="58">
        <f t="shared" si="57"/>
        <v>0</v>
      </c>
      <c r="Y88" s="58">
        <f t="shared" si="58"/>
        <v>0</v>
      </c>
      <c r="Z88" s="58">
        <f t="shared" si="59"/>
        <v>0</v>
      </c>
      <c r="AA88" s="59">
        <f t="shared" si="40"/>
        <v>0</v>
      </c>
      <c r="AB88" s="85">
        <v>29</v>
      </c>
      <c r="AC88" s="85">
        <v>3.28</v>
      </c>
      <c r="AD88" s="85">
        <v>0.57999999999999996</v>
      </c>
      <c r="AE88" s="85">
        <v>6.4000000000000001E-2</v>
      </c>
      <c r="AF88" s="85">
        <v>0.24100000000000002</v>
      </c>
      <c r="AG88" s="85">
        <v>4.4400000000000004</v>
      </c>
      <c r="AH88" s="85">
        <v>2.2000000000000002</v>
      </c>
      <c r="AI88" s="85">
        <v>2.2599999999999998</v>
      </c>
      <c r="AJ88" s="85">
        <v>3</v>
      </c>
      <c r="AK88" s="85">
        <v>0.4</v>
      </c>
      <c r="AL88" s="85">
        <v>13</v>
      </c>
      <c r="AM88" s="85">
        <v>437</v>
      </c>
      <c r="AN88" s="85">
        <v>11</v>
      </c>
      <c r="AO88" s="85">
        <v>0.65</v>
      </c>
      <c r="AP88" s="85">
        <v>0</v>
      </c>
      <c r="AQ88" s="85">
        <v>0.122</v>
      </c>
      <c r="AR88" s="85">
        <v>0</v>
      </c>
      <c r="AS88" s="85">
        <v>0</v>
      </c>
      <c r="AT88" s="85">
        <v>14</v>
      </c>
      <c r="AU88" s="85">
        <v>0</v>
      </c>
      <c r="AV88" s="85">
        <v>0</v>
      </c>
    </row>
    <row r="89" spans="1:48" s="1" customFormat="1" x14ac:dyDescent="0.55000000000000004">
      <c r="A89" s="1" t="s">
        <v>420</v>
      </c>
      <c r="B89" s="1" t="s">
        <v>698</v>
      </c>
      <c r="C89" s="1" t="s">
        <v>542</v>
      </c>
      <c r="D89" s="59">
        <v>0</v>
      </c>
      <c r="E89" s="59">
        <v>250</v>
      </c>
      <c r="F89" s="59">
        <f t="shared" si="41"/>
        <v>0</v>
      </c>
      <c r="G89" s="58">
        <f t="shared" si="42"/>
        <v>0</v>
      </c>
      <c r="H89" s="58">
        <f t="shared" si="43"/>
        <v>0</v>
      </c>
      <c r="I89" s="58">
        <f t="shared" si="60"/>
        <v>0</v>
      </c>
      <c r="J89" s="58">
        <f t="shared" si="61"/>
        <v>0</v>
      </c>
      <c r="K89" s="58">
        <f t="shared" si="44"/>
        <v>0</v>
      </c>
      <c r="L89" s="58">
        <f t="shared" si="45"/>
        <v>0</v>
      </c>
      <c r="M89" s="58">
        <f t="shared" si="46"/>
        <v>0</v>
      </c>
      <c r="N89" s="58">
        <f t="shared" si="47"/>
        <v>0</v>
      </c>
      <c r="O89" s="58">
        <f t="shared" si="48"/>
        <v>0</v>
      </c>
      <c r="P89" s="58">
        <f t="shared" si="49"/>
        <v>0</v>
      </c>
      <c r="Q89" s="58">
        <f t="shared" si="50"/>
        <v>0</v>
      </c>
      <c r="R89" s="58">
        <f t="shared" si="51"/>
        <v>0</v>
      </c>
      <c r="S89" s="58">
        <f t="shared" si="52"/>
        <v>0</v>
      </c>
      <c r="T89" s="58">
        <f t="shared" si="53"/>
        <v>0</v>
      </c>
      <c r="U89" s="58">
        <f t="shared" si="54"/>
        <v>0</v>
      </c>
      <c r="V89" s="58">
        <f t="shared" si="55"/>
        <v>0</v>
      </c>
      <c r="W89" s="58">
        <f t="shared" si="56"/>
        <v>0</v>
      </c>
      <c r="X89" s="58">
        <f t="shared" si="57"/>
        <v>0</v>
      </c>
      <c r="Y89" s="58">
        <f t="shared" si="58"/>
        <v>0</v>
      </c>
      <c r="Z89" s="58">
        <f t="shared" si="59"/>
        <v>0</v>
      </c>
      <c r="AA89" s="59">
        <f t="shared" si="40"/>
        <v>0</v>
      </c>
      <c r="AB89" s="85">
        <v>172</v>
      </c>
      <c r="AC89" s="85">
        <v>23.8</v>
      </c>
      <c r="AD89" s="85">
        <v>4.4800000000000004</v>
      </c>
      <c r="AE89" s="85">
        <v>0.85</v>
      </c>
      <c r="AF89" s="85">
        <v>2.226</v>
      </c>
      <c r="AG89" s="85">
        <v>7.39</v>
      </c>
      <c r="AH89" s="85">
        <v>0</v>
      </c>
      <c r="AI89" s="85">
        <v>0</v>
      </c>
      <c r="AJ89" s="85">
        <v>33</v>
      </c>
      <c r="AK89" s="85">
        <v>6.72</v>
      </c>
      <c r="AL89" s="85">
        <v>37</v>
      </c>
      <c r="AM89" s="85">
        <v>268</v>
      </c>
      <c r="AN89" s="85">
        <v>369</v>
      </c>
      <c r="AO89" s="85">
        <v>2.67</v>
      </c>
      <c r="AP89" s="85">
        <v>13.6</v>
      </c>
      <c r="AQ89" s="85">
        <v>0.1</v>
      </c>
      <c r="AR89" s="85">
        <v>24</v>
      </c>
      <c r="AS89" s="85">
        <v>0</v>
      </c>
      <c r="AT89" s="85">
        <v>0</v>
      </c>
      <c r="AU89" s="85">
        <v>0</v>
      </c>
      <c r="AV89" s="85">
        <v>56</v>
      </c>
    </row>
    <row r="90" spans="1:48" s="1" customFormat="1" x14ac:dyDescent="0.55000000000000004">
      <c r="A90" s="1" t="s">
        <v>421</v>
      </c>
      <c r="B90" s="1" t="s">
        <v>660</v>
      </c>
      <c r="C90" s="1" t="s">
        <v>543</v>
      </c>
      <c r="D90" s="59">
        <v>0</v>
      </c>
      <c r="E90" s="59">
        <v>250</v>
      </c>
      <c r="F90" s="59">
        <f t="shared" si="41"/>
        <v>0</v>
      </c>
      <c r="G90" s="58">
        <f t="shared" si="42"/>
        <v>0</v>
      </c>
      <c r="H90" s="58">
        <f t="shared" si="43"/>
        <v>0</v>
      </c>
      <c r="I90" s="58">
        <f t="shared" si="60"/>
        <v>0</v>
      </c>
      <c r="J90" s="58">
        <f t="shared" si="61"/>
        <v>0</v>
      </c>
      <c r="K90" s="58">
        <f t="shared" si="44"/>
        <v>0</v>
      </c>
      <c r="L90" s="58">
        <f t="shared" si="45"/>
        <v>0</v>
      </c>
      <c r="M90" s="58">
        <f t="shared" si="46"/>
        <v>0</v>
      </c>
      <c r="N90" s="58">
        <f t="shared" si="47"/>
        <v>0</v>
      </c>
      <c r="O90" s="58">
        <f t="shared" si="48"/>
        <v>0</v>
      </c>
      <c r="P90" s="58">
        <f t="shared" si="49"/>
        <v>0</v>
      </c>
      <c r="Q90" s="58">
        <f t="shared" si="50"/>
        <v>0</v>
      </c>
      <c r="R90" s="58">
        <f t="shared" si="51"/>
        <v>0</v>
      </c>
      <c r="S90" s="58">
        <f t="shared" si="52"/>
        <v>0</v>
      </c>
      <c r="T90" s="58">
        <f t="shared" si="53"/>
        <v>0</v>
      </c>
      <c r="U90" s="58">
        <f t="shared" si="54"/>
        <v>0</v>
      </c>
      <c r="V90" s="58">
        <f t="shared" si="55"/>
        <v>0</v>
      </c>
      <c r="W90" s="58">
        <f t="shared" si="56"/>
        <v>0</v>
      </c>
      <c r="X90" s="58">
        <f t="shared" si="57"/>
        <v>0</v>
      </c>
      <c r="Y90" s="58">
        <f t="shared" si="58"/>
        <v>0</v>
      </c>
      <c r="Z90" s="58">
        <f t="shared" si="59"/>
        <v>0</v>
      </c>
      <c r="AA90" s="59">
        <f t="shared" si="40"/>
        <v>0</v>
      </c>
      <c r="AB90" s="85">
        <v>26</v>
      </c>
      <c r="AC90" s="85">
        <v>2.56</v>
      </c>
      <c r="AD90" s="85">
        <v>0.47</v>
      </c>
      <c r="AE90" s="85">
        <v>1.2E-2</v>
      </c>
      <c r="AF90" s="85">
        <v>0.156</v>
      </c>
      <c r="AG90" s="85">
        <v>4.51</v>
      </c>
      <c r="AH90" s="85">
        <v>2</v>
      </c>
      <c r="AI90" s="85">
        <v>1.41</v>
      </c>
      <c r="AJ90" s="85">
        <v>118</v>
      </c>
      <c r="AK90" s="85">
        <v>0.87</v>
      </c>
      <c r="AL90" s="85">
        <v>13</v>
      </c>
      <c r="AM90" s="85">
        <v>162</v>
      </c>
      <c r="AN90" s="85">
        <v>9</v>
      </c>
      <c r="AO90" s="85">
        <v>0.22</v>
      </c>
      <c r="AP90" s="85">
        <v>25.3</v>
      </c>
      <c r="AQ90" s="85">
        <v>9.8000000000000004E-2</v>
      </c>
      <c r="AR90" s="85">
        <v>0</v>
      </c>
      <c r="AS90" s="85">
        <v>1.78</v>
      </c>
      <c r="AT90" s="85">
        <v>0</v>
      </c>
      <c r="AU90" s="85">
        <v>592.70000000000005</v>
      </c>
      <c r="AV90" s="85">
        <v>0</v>
      </c>
    </row>
    <row r="91" spans="1:48" s="1" customFormat="1" x14ac:dyDescent="0.55000000000000004">
      <c r="A91" s="1" t="s">
        <v>239</v>
      </c>
      <c r="B91" s="1" t="s">
        <v>690</v>
      </c>
      <c r="C91" s="1" t="s">
        <v>240</v>
      </c>
      <c r="D91" s="59">
        <v>0</v>
      </c>
      <c r="E91" s="59">
        <v>250</v>
      </c>
      <c r="F91" s="59">
        <f t="shared" si="41"/>
        <v>0</v>
      </c>
      <c r="G91" s="58">
        <f t="shared" si="42"/>
        <v>0</v>
      </c>
      <c r="H91" s="58">
        <f t="shared" si="43"/>
        <v>0</v>
      </c>
      <c r="I91" s="58">
        <f t="shared" si="60"/>
        <v>0</v>
      </c>
      <c r="J91" s="58">
        <f t="shared" si="61"/>
        <v>0</v>
      </c>
      <c r="K91" s="58">
        <f t="shared" si="44"/>
        <v>0</v>
      </c>
      <c r="L91" s="58">
        <f t="shared" si="45"/>
        <v>0</v>
      </c>
      <c r="M91" s="58">
        <f t="shared" si="46"/>
        <v>0</v>
      </c>
      <c r="N91" s="58">
        <f t="shared" si="47"/>
        <v>0</v>
      </c>
      <c r="O91" s="58">
        <f t="shared" si="48"/>
        <v>0</v>
      </c>
      <c r="P91" s="58">
        <f t="shared" si="49"/>
        <v>0</v>
      </c>
      <c r="Q91" s="58">
        <f t="shared" si="50"/>
        <v>0</v>
      </c>
      <c r="R91" s="58">
        <f t="shared" si="51"/>
        <v>0</v>
      </c>
      <c r="S91" s="58">
        <f t="shared" si="52"/>
        <v>0</v>
      </c>
      <c r="T91" s="58">
        <f t="shared" si="53"/>
        <v>0</v>
      </c>
      <c r="U91" s="58">
        <f t="shared" si="54"/>
        <v>0</v>
      </c>
      <c r="V91" s="58">
        <f t="shared" si="55"/>
        <v>0</v>
      </c>
      <c r="W91" s="58">
        <f t="shared" si="56"/>
        <v>0</v>
      </c>
      <c r="X91" s="58">
        <f t="shared" si="57"/>
        <v>0</v>
      </c>
      <c r="Y91" s="58">
        <f t="shared" si="58"/>
        <v>0</v>
      </c>
      <c r="Z91" s="58">
        <f t="shared" si="59"/>
        <v>0</v>
      </c>
      <c r="AA91" s="59">
        <f t="shared" si="40"/>
        <v>0</v>
      </c>
      <c r="AB91" s="85">
        <v>22</v>
      </c>
      <c r="AC91" s="85">
        <v>2.2000000000000002</v>
      </c>
      <c r="AD91" s="85">
        <v>0.3</v>
      </c>
      <c r="AE91" s="85">
        <v>1.4999999999999999E-2</v>
      </c>
      <c r="AF91" s="85">
        <v>0.19500000000000001</v>
      </c>
      <c r="AG91" s="85">
        <v>3.9</v>
      </c>
      <c r="AH91" s="85">
        <v>2.8</v>
      </c>
      <c r="AI91" s="85">
        <v>0</v>
      </c>
      <c r="AJ91" s="85">
        <v>210</v>
      </c>
      <c r="AK91" s="85">
        <v>1.5</v>
      </c>
      <c r="AL91" s="85">
        <v>11</v>
      </c>
      <c r="AM91" s="85">
        <v>449</v>
      </c>
      <c r="AN91" s="85">
        <v>21</v>
      </c>
      <c r="AO91" s="85">
        <v>0.17</v>
      </c>
      <c r="AP91" s="85">
        <v>130</v>
      </c>
      <c r="AQ91" s="85">
        <v>0.153</v>
      </c>
      <c r="AR91" s="85">
        <v>0</v>
      </c>
      <c r="AS91" s="85">
        <v>0</v>
      </c>
      <c r="AT91" s="85">
        <v>0</v>
      </c>
      <c r="AU91" s="85">
        <v>0</v>
      </c>
      <c r="AV91" s="85">
        <v>0</v>
      </c>
    </row>
    <row r="92" spans="1:48" s="1" customFormat="1" x14ac:dyDescent="0.55000000000000004">
      <c r="A92" s="1" t="s">
        <v>422</v>
      </c>
      <c r="B92" s="1" t="s">
        <v>648</v>
      </c>
      <c r="C92" s="1" t="s">
        <v>544</v>
      </c>
      <c r="D92" s="59">
        <v>0</v>
      </c>
      <c r="E92" s="59">
        <v>250</v>
      </c>
      <c r="F92" s="59">
        <f t="shared" si="41"/>
        <v>0</v>
      </c>
      <c r="G92" s="58">
        <f t="shared" si="42"/>
        <v>0</v>
      </c>
      <c r="H92" s="58">
        <f t="shared" si="43"/>
        <v>0</v>
      </c>
      <c r="I92" s="58">
        <f t="shared" si="60"/>
        <v>0</v>
      </c>
      <c r="J92" s="58">
        <f t="shared" si="61"/>
        <v>0</v>
      </c>
      <c r="K92" s="58">
        <f t="shared" si="44"/>
        <v>0</v>
      </c>
      <c r="L92" s="58">
        <f t="shared" si="45"/>
        <v>0</v>
      </c>
      <c r="M92" s="58">
        <f t="shared" si="46"/>
        <v>0</v>
      </c>
      <c r="N92" s="58">
        <f t="shared" si="47"/>
        <v>0</v>
      </c>
      <c r="O92" s="58">
        <f t="shared" si="48"/>
        <v>0</v>
      </c>
      <c r="P92" s="58">
        <f t="shared" si="49"/>
        <v>0</v>
      </c>
      <c r="Q92" s="58">
        <f t="shared" si="50"/>
        <v>0</v>
      </c>
      <c r="R92" s="58">
        <f t="shared" si="51"/>
        <v>0</v>
      </c>
      <c r="S92" s="58">
        <f t="shared" si="52"/>
        <v>0</v>
      </c>
      <c r="T92" s="58">
        <f t="shared" si="53"/>
        <v>0</v>
      </c>
      <c r="U92" s="58">
        <f t="shared" si="54"/>
        <v>0</v>
      </c>
      <c r="V92" s="58">
        <f t="shared" si="55"/>
        <v>0</v>
      </c>
      <c r="W92" s="58">
        <f t="shared" si="56"/>
        <v>0</v>
      </c>
      <c r="X92" s="58">
        <f t="shared" si="57"/>
        <v>0</v>
      </c>
      <c r="Y92" s="58">
        <f t="shared" si="58"/>
        <v>0</v>
      </c>
      <c r="Z92" s="58">
        <f t="shared" si="59"/>
        <v>0</v>
      </c>
      <c r="AA92" s="59">
        <f t="shared" si="40"/>
        <v>0</v>
      </c>
      <c r="AB92" s="85">
        <v>525</v>
      </c>
      <c r="AC92" s="85">
        <v>5.84</v>
      </c>
      <c r="AD92" s="85">
        <v>36.31</v>
      </c>
      <c r="AE92" s="85">
        <v>25.94</v>
      </c>
      <c r="AF92" s="85">
        <v>3.5700000000000003</v>
      </c>
      <c r="AG92" s="85">
        <v>49.29</v>
      </c>
      <c r="AH92" s="85">
        <v>20.8</v>
      </c>
      <c r="AI92" s="85">
        <v>2.99</v>
      </c>
      <c r="AJ92" s="85">
        <v>184</v>
      </c>
      <c r="AK92" s="85">
        <v>3.04</v>
      </c>
      <c r="AL92" s="85">
        <v>183</v>
      </c>
      <c r="AM92" s="85">
        <v>350</v>
      </c>
      <c r="AN92" s="85">
        <v>16</v>
      </c>
      <c r="AO92" s="85">
        <v>2.15</v>
      </c>
      <c r="AP92" s="85">
        <v>3</v>
      </c>
      <c r="AQ92" s="85">
        <v>0.16</v>
      </c>
      <c r="AR92" s="85">
        <v>0</v>
      </c>
      <c r="AS92" s="85">
        <v>0</v>
      </c>
      <c r="AT92" s="85">
        <v>0</v>
      </c>
      <c r="AU92" s="85">
        <v>0</v>
      </c>
      <c r="AV92" s="85">
        <v>0</v>
      </c>
    </row>
    <row r="93" spans="1:48" s="1" customFormat="1" x14ac:dyDescent="0.55000000000000004">
      <c r="A93" s="1" t="s">
        <v>423</v>
      </c>
      <c r="B93" s="1" t="s">
        <v>649</v>
      </c>
      <c r="C93" s="1" t="s">
        <v>545</v>
      </c>
      <c r="D93" s="59">
        <v>0</v>
      </c>
      <c r="E93" s="59">
        <v>250</v>
      </c>
      <c r="F93" s="59">
        <f t="shared" si="41"/>
        <v>0</v>
      </c>
      <c r="G93" s="58">
        <f t="shared" si="42"/>
        <v>0</v>
      </c>
      <c r="H93" s="58">
        <f t="shared" si="43"/>
        <v>0</v>
      </c>
      <c r="I93" s="58">
        <f t="shared" si="60"/>
        <v>0</v>
      </c>
      <c r="J93" s="58">
        <f t="shared" si="61"/>
        <v>0</v>
      </c>
      <c r="K93" s="58">
        <f t="shared" si="44"/>
        <v>0</v>
      </c>
      <c r="L93" s="58">
        <f t="shared" si="45"/>
        <v>0</v>
      </c>
      <c r="M93" s="58">
        <f t="shared" si="46"/>
        <v>0</v>
      </c>
      <c r="N93" s="58">
        <f t="shared" si="47"/>
        <v>0</v>
      </c>
      <c r="O93" s="58">
        <f t="shared" si="48"/>
        <v>0</v>
      </c>
      <c r="P93" s="58">
        <f t="shared" si="49"/>
        <v>0</v>
      </c>
      <c r="Q93" s="58">
        <f t="shared" si="50"/>
        <v>0</v>
      </c>
      <c r="R93" s="58">
        <f t="shared" si="51"/>
        <v>0</v>
      </c>
      <c r="S93" s="58">
        <f t="shared" si="52"/>
        <v>0</v>
      </c>
      <c r="T93" s="58">
        <f t="shared" si="53"/>
        <v>0</v>
      </c>
      <c r="U93" s="58">
        <f t="shared" si="54"/>
        <v>0</v>
      </c>
      <c r="V93" s="58">
        <f t="shared" si="55"/>
        <v>0</v>
      </c>
      <c r="W93" s="58">
        <f t="shared" si="56"/>
        <v>0</v>
      </c>
      <c r="X93" s="58">
        <f t="shared" si="57"/>
        <v>0</v>
      </c>
      <c r="Y93" s="58">
        <f t="shared" si="58"/>
        <v>0</v>
      </c>
      <c r="Z93" s="58">
        <f t="shared" si="59"/>
        <v>0</v>
      </c>
      <c r="AA93" s="59">
        <f t="shared" si="40"/>
        <v>0</v>
      </c>
      <c r="AB93" s="85">
        <v>88</v>
      </c>
      <c r="AC93" s="85">
        <v>4.4000000000000004</v>
      </c>
      <c r="AD93" s="85">
        <v>3.08</v>
      </c>
      <c r="AE93" s="85">
        <v>0.23200000000000001</v>
      </c>
      <c r="AF93" s="85">
        <v>2.7130000000000001</v>
      </c>
      <c r="AG93" s="85">
        <v>11.88</v>
      </c>
      <c r="AH93" s="85">
        <v>2.2000000000000002</v>
      </c>
      <c r="AI93" s="85">
        <v>2.64</v>
      </c>
      <c r="AJ93" s="85">
        <v>110</v>
      </c>
      <c r="AK93" s="85">
        <v>1.98</v>
      </c>
      <c r="AL93" s="85">
        <v>44</v>
      </c>
      <c r="AM93" s="85">
        <v>176</v>
      </c>
      <c r="AN93" s="85">
        <v>92</v>
      </c>
      <c r="AO93" s="85">
        <v>1.65</v>
      </c>
      <c r="AP93" s="85">
        <v>26.4</v>
      </c>
      <c r="AQ93" s="85">
        <v>0.22</v>
      </c>
      <c r="AR93" s="85">
        <v>0.66</v>
      </c>
      <c r="AS93" s="85">
        <v>1.46</v>
      </c>
      <c r="AT93" s="85">
        <v>44</v>
      </c>
      <c r="AU93" s="85">
        <v>8.8000000000000007</v>
      </c>
      <c r="AV93" s="85">
        <v>2</v>
      </c>
    </row>
    <row r="94" spans="1:48" s="1" customFormat="1" x14ac:dyDescent="0.55000000000000004">
      <c r="A94" s="1" t="s">
        <v>424</v>
      </c>
      <c r="B94" s="1" t="s">
        <v>661</v>
      </c>
      <c r="C94" s="1" t="s">
        <v>546</v>
      </c>
      <c r="D94" s="59">
        <v>0</v>
      </c>
      <c r="E94" s="59">
        <v>250</v>
      </c>
      <c r="F94" s="59">
        <f t="shared" si="41"/>
        <v>0</v>
      </c>
      <c r="G94" s="58">
        <f t="shared" si="42"/>
        <v>0</v>
      </c>
      <c r="H94" s="58">
        <f t="shared" si="43"/>
        <v>0</v>
      </c>
      <c r="I94" s="58">
        <f t="shared" si="60"/>
        <v>0</v>
      </c>
      <c r="J94" s="58">
        <f t="shared" si="61"/>
        <v>0</v>
      </c>
      <c r="K94" s="58">
        <f t="shared" si="44"/>
        <v>0</v>
      </c>
      <c r="L94" s="58">
        <f t="shared" si="45"/>
        <v>0</v>
      </c>
      <c r="M94" s="58">
        <f t="shared" si="46"/>
        <v>0</v>
      </c>
      <c r="N94" s="58">
        <f t="shared" si="47"/>
        <v>0</v>
      </c>
      <c r="O94" s="58">
        <f t="shared" si="48"/>
        <v>0</v>
      </c>
      <c r="P94" s="58">
        <f t="shared" si="49"/>
        <v>0</v>
      </c>
      <c r="Q94" s="58">
        <f t="shared" si="50"/>
        <v>0</v>
      </c>
      <c r="R94" s="58">
        <f t="shared" si="51"/>
        <v>0</v>
      </c>
      <c r="S94" s="58">
        <f t="shared" si="52"/>
        <v>0</v>
      </c>
      <c r="T94" s="58">
        <f t="shared" si="53"/>
        <v>0</v>
      </c>
      <c r="U94" s="58">
        <f t="shared" si="54"/>
        <v>0</v>
      </c>
      <c r="V94" s="58">
        <f t="shared" si="55"/>
        <v>0</v>
      </c>
      <c r="W94" s="58">
        <f t="shared" si="56"/>
        <v>0</v>
      </c>
      <c r="X94" s="58">
        <f t="shared" si="57"/>
        <v>0</v>
      </c>
      <c r="Y94" s="58">
        <f t="shared" si="58"/>
        <v>0</v>
      </c>
      <c r="Z94" s="58">
        <f t="shared" si="59"/>
        <v>0</v>
      </c>
      <c r="AA94" s="59">
        <f t="shared" si="40"/>
        <v>0</v>
      </c>
      <c r="AB94" s="85">
        <v>607</v>
      </c>
      <c r="AC94" s="85">
        <v>20.04</v>
      </c>
      <c r="AD94" s="85">
        <v>53.95</v>
      </c>
      <c r="AE94" s="85">
        <v>8.7110000000000003</v>
      </c>
      <c r="AF94" s="85">
        <v>43.1</v>
      </c>
      <c r="AG94" s="85">
        <v>21.05</v>
      </c>
      <c r="AH94" s="85">
        <v>7</v>
      </c>
      <c r="AI94" s="85">
        <v>4.1500000000000004</v>
      </c>
      <c r="AJ94" s="85">
        <v>117</v>
      </c>
      <c r="AK94" s="85">
        <v>2.61</v>
      </c>
      <c r="AL94" s="85">
        <v>229</v>
      </c>
      <c r="AM94" s="85">
        <v>632</v>
      </c>
      <c r="AN94" s="85">
        <v>161</v>
      </c>
      <c r="AO94" s="85">
        <v>3.36</v>
      </c>
      <c r="AP94" s="85">
        <v>0.5</v>
      </c>
      <c r="AQ94" s="85">
        <v>0.35199999999999998</v>
      </c>
      <c r="AR94" s="85">
        <v>0</v>
      </c>
      <c r="AS94" s="85">
        <v>7.82</v>
      </c>
      <c r="AT94" s="85">
        <v>0</v>
      </c>
      <c r="AU94" s="85">
        <v>5.7</v>
      </c>
      <c r="AV94" s="85">
        <v>0</v>
      </c>
    </row>
    <row r="95" spans="1:48" s="1" customFormat="1" x14ac:dyDescent="0.55000000000000004">
      <c r="A95" s="1" t="s">
        <v>425</v>
      </c>
      <c r="B95" s="1" t="s">
        <v>673</v>
      </c>
      <c r="C95" s="1" t="s">
        <v>547</v>
      </c>
      <c r="D95" s="59">
        <v>0</v>
      </c>
      <c r="E95" s="59">
        <v>250</v>
      </c>
      <c r="F95" s="59">
        <f t="shared" si="41"/>
        <v>0</v>
      </c>
      <c r="G95" s="58">
        <f t="shared" si="42"/>
        <v>0</v>
      </c>
      <c r="H95" s="58">
        <f t="shared" si="43"/>
        <v>0</v>
      </c>
      <c r="I95" s="58">
        <f t="shared" si="60"/>
        <v>0</v>
      </c>
      <c r="J95" s="58">
        <f t="shared" si="61"/>
        <v>0</v>
      </c>
      <c r="K95" s="58">
        <f t="shared" si="44"/>
        <v>0</v>
      </c>
      <c r="L95" s="58">
        <f t="shared" si="45"/>
        <v>0</v>
      </c>
      <c r="M95" s="58">
        <f t="shared" si="46"/>
        <v>0</v>
      </c>
      <c r="N95" s="58">
        <f t="shared" si="47"/>
        <v>0</v>
      </c>
      <c r="O95" s="58">
        <f t="shared" si="48"/>
        <v>0</v>
      </c>
      <c r="P95" s="58">
        <f t="shared" si="49"/>
        <v>0</v>
      </c>
      <c r="Q95" s="58">
        <f t="shared" si="50"/>
        <v>0</v>
      </c>
      <c r="R95" s="58">
        <f t="shared" si="51"/>
        <v>0</v>
      </c>
      <c r="S95" s="58">
        <f t="shared" si="52"/>
        <v>0</v>
      </c>
      <c r="T95" s="58">
        <f t="shared" si="53"/>
        <v>0</v>
      </c>
      <c r="U95" s="58">
        <f t="shared" si="54"/>
        <v>0</v>
      </c>
      <c r="V95" s="58">
        <f t="shared" si="55"/>
        <v>0</v>
      </c>
      <c r="W95" s="58">
        <f t="shared" si="56"/>
        <v>0</v>
      </c>
      <c r="X95" s="58">
        <f t="shared" si="57"/>
        <v>0</v>
      </c>
      <c r="Y95" s="58">
        <f t="shared" si="58"/>
        <v>0</v>
      </c>
      <c r="Z95" s="58">
        <f t="shared" si="59"/>
        <v>0</v>
      </c>
      <c r="AA95" s="59">
        <f t="shared" si="40"/>
        <v>0</v>
      </c>
      <c r="AB95" s="85">
        <v>246</v>
      </c>
      <c r="AC95" s="85">
        <v>17.3</v>
      </c>
      <c r="AD95" s="85">
        <v>7.03</v>
      </c>
      <c r="AE95" s="85">
        <v>1.3280000000000001</v>
      </c>
      <c r="AF95" s="85">
        <v>5.1419999999999995</v>
      </c>
      <c r="AG95" s="85">
        <v>66.22</v>
      </c>
      <c r="AH95" s="85">
        <v>15.4</v>
      </c>
      <c r="AI95" s="85">
        <v>1.45</v>
      </c>
      <c r="AJ95" s="85">
        <v>58</v>
      </c>
      <c r="AK95" s="85">
        <v>5.41</v>
      </c>
      <c r="AL95" s="85">
        <v>235</v>
      </c>
      <c r="AM95" s="85">
        <v>566</v>
      </c>
      <c r="AN95" s="85">
        <v>4</v>
      </c>
      <c r="AO95" s="85">
        <v>3.11</v>
      </c>
      <c r="AP95" s="85">
        <v>0</v>
      </c>
      <c r="AQ95" s="85">
        <v>0.16500000000000001</v>
      </c>
      <c r="AR95" s="85">
        <v>0</v>
      </c>
      <c r="AS95" s="85">
        <v>1.01</v>
      </c>
      <c r="AT95" s="85">
        <v>0</v>
      </c>
      <c r="AU95" s="85">
        <v>3.2</v>
      </c>
      <c r="AV95" s="85">
        <v>0</v>
      </c>
    </row>
    <row r="96" spans="1:48" s="1" customFormat="1" x14ac:dyDescent="0.55000000000000004">
      <c r="A96" s="1" t="s">
        <v>426</v>
      </c>
      <c r="B96" s="1" t="s">
        <v>674</v>
      </c>
      <c r="C96" s="1" t="s">
        <v>548</v>
      </c>
      <c r="D96" s="59">
        <v>0</v>
      </c>
      <c r="E96" s="59">
        <v>250</v>
      </c>
      <c r="F96" s="59">
        <f t="shared" si="41"/>
        <v>0</v>
      </c>
      <c r="G96" s="58">
        <f t="shared" si="42"/>
        <v>0</v>
      </c>
      <c r="H96" s="58">
        <f t="shared" si="43"/>
        <v>0</v>
      </c>
      <c r="I96" s="58">
        <f t="shared" si="60"/>
        <v>0</v>
      </c>
      <c r="J96" s="58">
        <f t="shared" si="61"/>
        <v>0</v>
      </c>
      <c r="K96" s="58">
        <f t="shared" si="44"/>
        <v>0</v>
      </c>
      <c r="L96" s="58">
        <f t="shared" si="45"/>
        <v>0</v>
      </c>
      <c r="M96" s="58">
        <f t="shared" si="46"/>
        <v>0</v>
      </c>
      <c r="N96" s="58">
        <f t="shared" si="47"/>
        <v>0</v>
      </c>
      <c r="O96" s="58">
        <f t="shared" si="48"/>
        <v>0</v>
      </c>
      <c r="P96" s="58">
        <f t="shared" si="49"/>
        <v>0</v>
      </c>
      <c r="Q96" s="58">
        <f t="shared" si="50"/>
        <v>0</v>
      </c>
      <c r="R96" s="58">
        <f t="shared" si="51"/>
        <v>0</v>
      </c>
      <c r="S96" s="58">
        <f t="shared" si="52"/>
        <v>0</v>
      </c>
      <c r="T96" s="58">
        <f t="shared" si="53"/>
        <v>0</v>
      </c>
      <c r="U96" s="58">
        <f t="shared" si="54"/>
        <v>0</v>
      </c>
      <c r="V96" s="58">
        <f t="shared" si="55"/>
        <v>0</v>
      </c>
      <c r="W96" s="58">
        <f t="shared" si="56"/>
        <v>0</v>
      </c>
      <c r="X96" s="58">
        <f t="shared" si="57"/>
        <v>0</v>
      </c>
      <c r="Y96" s="58">
        <f t="shared" si="58"/>
        <v>0</v>
      </c>
      <c r="Z96" s="58">
        <f t="shared" si="59"/>
        <v>0</v>
      </c>
      <c r="AA96" s="59">
        <f t="shared" si="40"/>
        <v>0</v>
      </c>
      <c r="AB96" s="85">
        <v>389</v>
      </c>
      <c r="AC96" s="85">
        <v>16.89</v>
      </c>
      <c r="AD96" s="85">
        <v>6.9</v>
      </c>
      <c r="AE96" s="85">
        <v>1.2170000000000001</v>
      </c>
      <c r="AF96" s="85">
        <v>4.7130000000000001</v>
      </c>
      <c r="AG96" s="85">
        <v>66.27</v>
      </c>
      <c r="AH96" s="85">
        <v>10.6</v>
      </c>
      <c r="AI96" s="85">
        <v>0</v>
      </c>
      <c r="AJ96" s="85">
        <v>54</v>
      </c>
      <c r="AK96" s="85">
        <v>4.72</v>
      </c>
      <c r="AL96" s="85">
        <v>177</v>
      </c>
      <c r="AM96" s="85">
        <v>429</v>
      </c>
      <c r="AN96" s="85">
        <v>2</v>
      </c>
      <c r="AO96" s="85">
        <v>3.97</v>
      </c>
      <c r="AP96" s="85">
        <v>0</v>
      </c>
      <c r="AQ96" s="85">
        <v>0.11899999999999999</v>
      </c>
      <c r="AR96" s="85">
        <v>0</v>
      </c>
      <c r="AS96" s="85">
        <v>0</v>
      </c>
      <c r="AT96" s="85">
        <v>0</v>
      </c>
      <c r="AU96" s="85">
        <v>0</v>
      </c>
      <c r="AV96" s="85">
        <v>0</v>
      </c>
    </row>
    <row r="97" spans="1:48" s="1" customFormat="1" x14ac:dyDescent="0.55000000000000004">
      <c r="A97" s="1" t="s">
        <v>427</v>
      </c>
      <c r="B97" s="1" t="s">
        <v>680</v>
      </c>
      <c r="C97" s="1" t="s">
        <v>549</v>
      </c>
      <c r="D97" s="59">
        <v>19.416853026369296</v>
      </c>
      <c r="E97" s="59">
        <v>250</v>
      </c>
      <c r="F97" s="59">
        <f t="shared" ref="F97:F130" si="62">FLOOR(D97,1)</f>
        <v>19</v>
      </c>
      <c r="G97" s="58">
        <f t="shared" si="42"/>
        <v>173.1983289952141</v>
      </c>
      <c r="H97" s="58">
        <f t="shared" si="43"/>
        <v>0</v>
      </c>
      <c r="I97" s="58">
        <f t="shared" si="60"/>
        <v>19.234334607921426</v>
      </c>
      <c r="J97" s="58">
        <f t="shared" si="61"/>
        <v>16.014049533498074</v>
      </c>
      <c r="K97" s="58">
        <f t="shared" si="44"/>
        <v>0</v>
      </c>
      <c r="L97" s="58">
        <f t="shared" si="45"/>
        <v>0</v>
      </c>
      <c r="M97" s="58">
        <f t="shared" si="46"/>
        <v>0</v>
      </c>
      <c r="N97" s="58">
        <f t="shared" si="47"/>
        <v>0.19416853026369296</v>
      </c>
      <c r="O97" s="58">
        <f t="shared" si="48"/>
        <v>9.7084265131846485E-3</v>
      </c>
      <c r="P97" s="58">
        <f t="shared" si="49"/>
        <v>0</v>
      </c>
      <c r="Q97" s="58">
        <f t="shared" si="50"/>
        <v>0</v>
      </c>
      <c r="R97" s="58">
        <f t="shared" si="51"/>
        <v>0</v>
      </c>
      <c r="S97" s="58">
        <f t="shared" si="52"/>
        <v>3.8833706052738594E-3</v>
      </c>
      <c r="T97" s="58">
        <f t="shared" si="53"/>
        <v>0</v>
      </c>
      <c r="U97" s="58">
        <f t="shared" si="54"/>
        <v>0</v>
      </c>
      <c r="V97" s="58">
        <f t="shared" si="55"/>
        <v>0</v>
      </c>
      <c r="W97" s="58">
        <f t="shared" si="56"/>
        <v>2.1358538329006228E-2</v>
      </c>
      <c r="X97" s="58">
        <f t="shared" si="57"/>
        <v>0</v>
      </c>
      <c r="Y97" s="58">
        <f t="shared" si="58"/>
        <v>0.11650111815821576</v>
      </c>
      <c r="Z97" s="58">
        <f t="shared" si="59"/>
        <v>0</v>
      </c>
      <c r="AA97" s="59">
        <f t="shared" si="40"/>
        <v>19.234334607921426</v>
      </c>
      <c r="AB97" s="85">
        <v>892</v>
      </c>
      <c r="AC97" s="85">
        <v>0</v>
      </c>
      <c r="AD97" s="85">
        <v>99.06</v>
      </c>
      <c r="AE97" s="85">
        <v>82.474999999999994</v>
      </c>
      <c r="AF97" s="85">
        <v>8.0339999999999989</v>
      </c>
      <c r="AG97" s="85">
        <v>0</v>
      </c>
      <c r="AH97" s="85">
        <v>0</v>
      </c>
      <c r="AI97" s="85">
        <v>0</v>
      </c>
      <c r="AJ97" s="85">
        <v>1</v>
      </c>
      <c r="AK97" s="85">
        <v>0.05</v>
      </c>
      <c r="AL97" s="85">
        <v>0</v>
      </c>
      <c r="AM97" s="85">
        <v>0</v>
      </c>
      <c r="AN97" s="85">
        <v>0</v>
      </c>
      <c r="AO97" s="85">
        <v>0.02</v>
      </c>
      <c r="AP97" s="85">
        <v>0</v>
      </c>
      <c r="AQ97" s="85">
        <v>0</v>
      </c>
      <c r="AR97" s="85">
        <v>0</v>
      </c>
      <c r="AS97" s="85">
        <v>0.11</v>
      </c>
      <c r="AT97" s="85">
        <v>0</v>
      </c>
      <c r="AU97" s="85">
        <v>0.6</v>
      </c>
      <c r="AV97" s="85">
        <v>0</v>
      </c>
    </row>
    <row r="98" spans="1:48" s="1" customFormat="1" x14ac:dyDescent="0.55000000000000004">
      <c r="A98" s="1" t="s">
        <v>428</v>
      </c>
      <c r="B98" s="1" t="s">
        <v>685</v>
      </c>
      <c r="C98" s="1" t="s">
        <v>550</v>
      </c>
      <c r="D98" s="59">
        <v>31.04313506536468</v>
      </c>
      <c r="E98" s="59">
        <v>250</v>
      </c>
      <c r="F98" s="59">
        <f t="shared" si="62"/>
        <v>31</v>
      </c>
      <c r="G98" s="58">
        <f t="shared" si="42"/>
        <v>274.42131397782379</v>
      </c>
      <c r="H98" s="58">
        <f t="shared" si="43"/>
        <v>0</v>
      </c>
      <c r="I98" s="58">
        <f t="shared" si="60"/>
        <v>31.04313506536468</v>
      </c>
      <c r="J98" s="58">
        <f t="shared" si="61"/>
        <v>4.2864360898255551</v>
      </c>
      <c r="K98" s="58">
        <f t="shared" si="44"/>
        <v>0</v>
      </c>
      <c r="L98" s="58">
        <f t="shared" si="45"/>
        <v>0</v>
      </c>
      <c r="M98" s="58">
        <f t="shared" si="46"/>
        <v>0</v>
      </c>
      <c r="N98" s="58">
        <f t="shared" si="47"/>
        <v>0.3104313506536468</v>
      </c>
      <c r="O98" s="58">
        <f t="shared" si="48"/>
        <v>0.17384155636604223</v>
      </c>
      <c r="P98" s="58">
        <f t="shared" si="49"/>
        <v>0</v>
      </c>
      <c r="Q98" s="58">
        <f t="shared" si="50"/>
        <v>0.3104313506536468</v>
      </c>
      <c r="R98" s="58">
        <f t="shared" si="51"/>
        <v>0.6208627013072936</v>
      </c>
      <c r="S98" s="58">
        <f t="shared" si="52"/>
        <v>0</v>
      </c>
      <c r="T98" s="58">
        <f t="shared" si="53"/>
        <v>0</v>
      </c>
      <c r="U98" s="58">
        <f t="shared" si="54"/>
        <v>0</v>
      </c>
      <c r="V98" s="58">
        <f t="shared" si="55"/>
        <v>0</v>
      </c>
      <c r="W98" s="58">
        <f t="shared" si="56"/>
        <v>4.4546898818798315</v>
      </c>
      <c r="X98" s="58">
        <f t="shared" si="57"/>
        <v>0</v>
      </c>
      <c r="Y98" s="58">
        <f t="shared" si="58"/>
        <v>18.687967309349538</v>
      </c>
      <c r="Z98" s="58">
        <f t="shared" si="59"/>
        <v>0</v>
      </c>
      <c r="AA98" s="59">
        <f t="shared" si="40"/>
        <v>31.04313506536468</v>
      </c>
      <c r="AB98" s="85">
        <v>884</v>
      </c>
      <c r="AC98" s="85">
        <v>0</v>
      </c>
      <c r="AD98" s="85">
        <v>100</v>
      </c>
      <c r="AE98" s="85">
        <v>13.808</v>
      </c>
      <c r="AF98" s="85">
        <v>83.483999999999995</v>
      </c>
      <c r="AG98" s="85">
        <v>0</v>
      </c>
      <c r="AH98" s="85">
        <v>0</v>
      </c>
      <c r="AI98" s="85">
        <v>0</v>
      </c>
      <c r="AJ98" s="85">
        <v>1</v>
      </c>
      <c r="AK98" s="85">
        <v>0.56000000000000005</v>
      </c>
      <c r="AL98" s="85">
        <v>0</v>
      </c>
      <c r="AM98" s="85">
        <v>1</v>
      </c>
      <c r="AN98" s="85">
        <v>2</v>
      </c>
      <c r="AO98" s="85">
        <v>0</v>
      </c>
      <c r="AP98" s="85">
        <v>0</v>
      </c>
      <c r="AQ98" s="85">
        <v>0</v>
      </c>
      <c r="AR98" s="85">
        <v>0</v>
      </c>
      <c r="AS98" s="85">
        <v>14.35</v>
      </c>
      <c r="AT98" s="85">
        <v>0</v>
      </c>
      <c r="AU98" s="85">
        <v>60.2</v>
      </c>
      <c r="AV98" s="85">
        <v>0</v>
      </c>
    </row>
    <row r="99" spans="1:48" s="1" customFormat="1" x14ac:dyDescent="0.55000000000000004">
      <c r="A99" s="1" t="s">
        <v>429</v>
      </c>
      <c r="B99" s="1" t="s">
        <v>310</v>
      </c>
      <c r="C99" s="1" t="s">
        <v>551</v>
      </c>
      <c r="D99" s="59">
        <v>0</v>
      </c>
      <c r="E99" s="59">
        <v>250</v>
      </c>
      <c r="F99" s="59">
        <f t="shared" si="62"/>
        <v>0</v>
      </c>
      <c r="G99" s="58">
        <f t="shared" si="42"/>
        <v>0</v>
      </c>
      <c r="H99" s="58">
        <f t="shared" si="43"/>
        <v>0</v>
      </c>
      <c r="I99" s="58">
        <f t="shared" si="60"/>
        <v>0</v>
      </c>
      <c r="J99" s="58">
        <f t="shared" si="61"/>
        <v>0</v>
      </c>
      <c r="K99" s="58">
        <f t="shared" si="44"/>
        <v>0</v>
      </c>
      <c r="L99" s="58">
        <f t="shared" si="45"/>
        <v>0</v>
      </c>
      <c r="M99" s="58">
        <f t="shared" si="46"/>
        <v>0</v>
      </c>
      <c r="N99" s="58">
        <f t="shared" si="47"/>
        <v>0</v>
      </c>
      <c r="O99" s="58">
        <f t="shared" si="48"/>
        <v>0</v>
      </c>
      <c r="P99" s="58">
        <f t="shared" si="49"/>
        <v>0</v>
      </c>
      <c r="Q99" s="58">
        <f t="shared" si="50"/>
        <v>0</v>
      </c>
      <c r="R99" s="58">
        <f t="shared" si="51"/>
        <v>0</v>
      </c>
      <c r="S99" s="58">
        <f t="shared" si="52"/>
        <v>0</v>
      </c>
      <c r="T99" s="58">
        <f t="shared" si="53"/>
        <v>0</v>
      </c>
      <c r="U99" s="58">
        <f t="shared" si="54"/>
        <v>0</v>
      </c>
      <c r="V99" s="58">
        <f t="shared" si="55"/>
        <v>0</v>
      </c>
      <c r="W99" s="58">
        <f t="shared" si="56"/>
        <v>0</v>
      </c>
      <c r="X99" s="58">
        <f t="shared" si="57"/>
        <v>0</v>
      </c>
      <c r="Y99" s="58">
        <f t="shared" si="58"/>
        <v>0</v>
      </c>
      <c r="Z99" s="58">
        <f t="shared" si="59"/>
        <v>0</v>
      </c>
      <c r="AA99" s="59">
        <f t="shared" si="40"/>
        <v>0</v>
      </c>
      <c r="AB99" s="85">
        <v>44</v>
      </c>
      <c r="AC99" s="85">
        <v>1.36</v>
      </c>
      <c r="AD99" s="85">
        <v>0.19</v>
      </c>
      <c r="AE99" s="85">
        <v>3.1E-2</v>
      </c>
      <c r="AF99" s="85">
        <v>9.9999999999999992E-2</v>
      </c>
      <c r="AG99" s="85">
        <v>10.15</v>
      </c>
      <c r="AH99" s="85">
        <v>1.4</v>
      </c>
      <c r="AI99" s="85">
        <v>4.7300000000000004</v>
      </c>
      <c r="AJ99" s="85">
        <v>22</v>
      </c>
      <c r="AK99" s="85">
        <v>0.24</v>
      </c>
      <c r="AL99" s="85">
        <v>11</v>
      </c>
      <c r="AM99" s="85">
        <v>166</v>
      </c>
      <c r="AN99" s="85">
        <v>3</v>
      </c>
      <c r="AO99" s="85">
        <v>0.21</v>
      </c>
      <c r="AP99" s="85">
        <v>5.2</v>
      </c>
      <c r="AQ99" s="85">
        <v>0.129</v>
      </c>
      <c r="AR99" s="85">
        <v>0</v>
      </c>
      <c r="AS99" s="85">
        <v>0.02</v>
      </c>
      <c r="AT99" s="85">
        <v>0</v>
      </c>
      <c r="AU99" s="85">
        <v>0.5</v>
      </c>
      <c r="AV99" s="85">
        <v>0</v>
      </c>
    </row>
    <row r="100" spans="1:48" s="1" customFormat="1" x14ac:dyDescent="0.55000000000000004">
      <c r="A100" s="1" t="s">
        <v>221</v>
      </c>
      <c r="B100" s="1" t="s">
        <v>306</v>
      </c>
      <c r="C100" s="1" t="s">
        <v>222</v>
      </c>
      <c r="D100" s="59">
        <v>0</v>
      </c>
      <c r="E100" s="59">
        <v>250</v>
      </c>
      <c r="F100" s="59">
        <f t="shared" si="62"/>
        <v>0</v>
      </c>
      <c r="G100" s="58">
        <f t="shared" ref="G100:G131" si="63">AB100*$D100/100</f>
        <v>0</v>
      </c>
      <c r="H100" s="58">
        <f t="shared" ref="H100:H131" si="64">AC100*$D100/100</f>
        <v>0</v>
      </c>
      <c r="I100" s="58">
        <f t="shared" si="60"/>
        <v>0</v>
      </c>
      <c r="J100" s="58">
        <f t="shared" si="61"/>
        <v>0</v>
      </c>
      <c r="K100" s="58">
        <f t="shared" ref="K100:K131" si="65">AG100*$D100/100</f>
        <v>0</v>
      </c>
      <c r="L100" s="58">
        <f t="shared" ref="L100:L131" si="66">AH100*$D100/100</f>
        <v>0</v>
      </c>
      <c r="M100" s="58">
        <f t="shared" ref="M100:M131" si="67">AI100*$D100/100</f>
        <v>0</v>
      </c>
      <c r="N100" s="58">
        <f t="shared" ref="N100:N131" si="68">AJ100*$D100/100</f>
        <v>0</v>
      </c>
      <c r="O100" s="58">
        <f t="shared" ref="O100:O131" si="69">AK100*$D100/100</f>
        <v>0</v>
      </c>
      <c r="P100" s="58">
        <f t="shared" ref="P100:P131" si="70">AL100*$D100/100</f>
        <v>0</v>
      </c>
      <c r="Q100" s="58">
        <f t="shared" ref="Q100:Q131" si="71">AM100*$D100/100</f>
        <v>0</v>
      </c>
      <c r="R100" s="58">
        <f t="shared" ref="R100:R131" si="72">AN100*$D100/100</f>
        <v>0</v>
      </c>
      <c r="S100" s="58">
        <f t="shared" ref="S100:S131" si="73">AO100*$D100/100</f>
        <v>0</v>
      </c>
      <c r="T100" s="58">
        <f t="shared" ref="T100:T131" si="74">AP100*$D100/100</f>
        <v>0</v>
      </c>
      <c r="U100" s="58">
        <f t="shared" ref="U100:U131" si="75">AQ100*$D100/100</f>
        <v>0</v>
      </c>
      <c r="V100" s="58">
        <f t="shared" ref="V100:V131" si="76">AR100*$D100/100</f>
        <v>0</v>
      </c>
      <c r="W100" s="58">
        <f t="shared" ref="W100:W131" si="77">AS100*$D100/100</f>
        <v>0</v>
      </c>
      <c r="X100" s="58">
        <f t="shared" ref="X100:X131" si="78">AT100*$D100/100</f>
        <v>0</v>
      </c>
      <c r="Y100" s="58">
        <f t="shared" ref="Y100:Y131" si="79">AU100*$D100/100</f>
        <v>0</v>
      </c>
      <c r="Z100" s="58">
        <f t="shared" ref="Z100:Z131" si="80">AV100*$D100/100</f>
        <v>0</v>
      </c>
      <c r="AA100" s="59">
        <f t="shared" si="40"/>
        <v>0</v>
      </c>
      <c r="AB100" s="85">
        <v>45</v>
      </c>
      <c r="AC100" s="85">
        <v>0.7</v>
      </c>
      <c r="AD100" s="85">
        <v>0.2</v>
      </c>
      <c r="AE100" s="85">
        <v>2.4E-2</v>
      </c>
      <c r="AF100" s="85">
        <v>7.5999999999999998E-2</v>
      </c>
      <c r="AG100" s="85">
        <v>10.4</v>
      </c>
      <c r="AH100" s="85">
        <v>0.2</v>
      </c>
      <c r="AI100" s="85">
        <v>8.4</v>
      </c>
      <c r="AJ100" s="85">
        <v>11</v>
      </c>
      <c r="AK100" s="85">
        <v>0.2</v>
      </c>
      <c r="AL100" s="85">
        <v>11</v>
      </c>
      <c r="AM100" s="85">
        <v>200</v>
      </c>
      <c r="AN100" s="85">
        <v>1</v>
      </c>
      <c r="AO100" s="85">
        <v>0.05</v>
      </c>
      <c r="AP100" s="85">
        <v>50</v>
      </c>
      <c r="AQ100" s="85">
        <v>0.04</v>
      </c>
      <c r="AR100" s="85">
        <v>0</v>
      </c>
      <c r="AS100" s="85">
        <v>0.04</v>
      </c>
      <c r="AT100" s="85">
        <v>0</v>
      </c>
      <c r="AU100" s="85">
        <v>0.1</v>
      </c>
      <c r="AV100" s="85">
        <v>0</v>
      </c>
    </row>
    <row r="101" spans="1:48" s="1" customFormat="1" x14ac:dyDescent="0.55000000000000004">
      <c r="A101" s="1" t="s">
        <v>223</v>
      </c>
      <c r="B101" s="1" t="s">
        <v>675</v>
      </c>
      <c r="C101" s="1" t="s">
        <v>224</v>
      </c>
      <c r="D101" s="59">
        <v>0</v>
      </c>
      <c r="E101" s="59">
        <v>250</v>
      </c>
      <c r="F101" s="59">
        <f t="shared" si="62"/>
        <v>0</v>
      </c>
      <c r="G101" s="58">
        <f t="shared" si="63"/>
        <v>0</v>
      </c>
      <c r="H101" s="58">
        <f t="shared" si="64"/>
        <v>0</v>
      </c>
      <c r="I101" s="58">
        <f t="shared" si="60"/>
        <v>0</v>
      </c>
      <c r="J101" s="58">
        <f t="shared" si="61"/>
        <v>0</v>
      </c>
      <c r="K101" s="58">
        <f t="shared" si="65"/>
        <v>0</v>
      </c>
      <c r="L101" s="58">
        <f t="shared" si="66"/>
        <v>0</v>
      </c>
      <c r="M101" s="58">
        <f t="shared" si="67"/>
        <v>0</v>
      </c>
      <c r="N101" s="58">
        <f t="shared" si="68"/>
        <v>0</v>
      </c>
      <c r="O101" s="58">
        <f t="shared" si="69"/>
        <v>0</v>
      </c>
      <c r="P101" s="58">
        <f t="shared" si="70"/>
        <v>0</v>
      </c>
      <c r="Q101" s="58">
        <f t="shared" si="71"/>
        <v>0</v>
      </c>
      <c r="R101" s="58">
        <f t="shared" si="72"/>
        <v>0</v>
      </c>
      <c r="S101" s="58">
        <f t="shared" si="73"/>
        <v>0</v>
      </c>
      <c r="T101" s="58">
        <f t="shared" si="74"/>
        <v>0</v>
      </c>
      <c r="U101" s="58">
        <f t="shared" si="75"/>
        <v>0</v>
      </c>
      <c r="V101" s="58">
        <f t="shared" si="76"/>
        <v>0</v>
      </c>
      <c r="W101" s="58">
        <f t="shared" si="77"/>
        <v>0</v>
      </c>
      <c r="X101" s="58">
        <f t="shared" si="78"/>
        <v>0</v>
      </c>
      <c r="Y101" s="58">
        <f t="shared" si="79"/>
        <v>0</v>
      </c>
      <c r="Z101" s="58">
        <f t="shared" si="80"/>
        <v>0</v>
      </c>
      <c r="AA101" s="59">
        <f t="shared" si="40"/>
        <v>0</v>
      </c>
      <c r="AB101" s="85">
        <v>43</v>
      </c>
      <c r="AC101" s="85">
        <v>0.47</v>
      </c>
      <c r="AD101" s="85">
        <v>0.26</v>
      </c>
      <c r="AE101" s="85">
        <v>8.1000000000000003E-2</v>
      </c>
      <c r="AF101" s="85">
        <v>0.13</v>
      </c>
      <c r="AG101" s="85">
        <v>10.82</v>
      </c>
      <c r="AH101" s="85">
        <v>1.7</v>
      </c>
      <c r="AI101" s="85">
        <v>7.82</v>
      </c>
      <c r="AJ101" s="85">
        <v>20</v>
      </c>
      <c r="AK101" s="85">
        <v>0.25</v>
      </c>
      <c r="AL101" s="85">
        <v>21</v>
      </c>
      <c r="AM101" s="85">
        <v>182</v>
      </c>
      <c r="AN101" s="85">
        <v>8</v>
      </c>
      <c r="AO101" s="85">
        <v>0.08</v>
      </c>
      <c r="AP101" s="85">
        <v>60.9</v>
      </c>
      <c r="AQ101" s="85">
        <v>3.7999999999999999E-2</v>
      </c>
      <c r="AR101" s="85">
        <v>0</v>
      </c>
      <c r="AS101" s="85">
        <v>0.3</v>
      </c>
      <c r="AT101" s="85">
        <v>0</v>
      </c>
      <c r="AU101" s="85">
        <v>2.6</v>
      </c>
      <c r="AV101" s="85">
        <v>0</v>
      </c>
    </row>
    <row r="102" spans="1:48" s="1" customFormat="1" x14ac:dyDescent="0.55000000000000004">
      <c r="A102" s="1" t="s">
        <v>430</v>
      </c>
      <c r="B102" s="1" t="s">
        <v>662</v>
      </c>
      <c r="C102" s="1" t="s">
        <v>552</v>
      </c>
      <c r="D102" s="59">
        <v>0</v>
      </c>
      <c r="E102" s="59">
        <v>250</v>
      </c>
      <c r="F102" s="59">
        <f t="shared" si="62"/>
        <v>0</v>
      </c>
      <c r="G102" s="58">
        <f t="shared" si="63"/>
        <v>0</v>
      </c>
      <c r="H102" s="58">
        <f t="shared" si="64"/>
        <v>0</v>
      </c>
      <c r="I102" s="58">
        <f t="shared" si="60"/>
        <v>0</v>
      </c>
      <c r="J102" s="58">
        <f t="shared" si="61"/>
        <v>0</v>
      </c>
      <c r="K102" s="58">
        <f t="shared" si="65"/>
        <v>0</v>
      </c>
      <c r="L102" s="58">
        <f t="shared" si="66"/>
        <v>0</v>
      </c>
      <c r="M102" s="58">
        <f t="shared" si="67"/>
        <v>0</v>
      </c>
      <c r="N102" s="58">
        <f t="shared" si="68"/>
        <v>0</v>
      </c>
      <c r="O102" s="58">
        <f t="shared" si="69"/>
        <v>0</v>
      </c>
      <c r="P102" s="58">
        <f t="shared" si="70"/>
        <v>0</v>
      </c>
      <c r="Q102" s="58">
        <f t="shared" si="71"/>
        <v>0</v>
      </c>
      <c r="R102" s="58">
        <f t="shared" si="72"/>
        <v>0</v>
      </c>
      <c r="S102" s="58">
        <f t="shared" si="73"/>
        <v>0</v>
      </c>
      <c r="T102" s="58">
        <f t="shared" si="74"/>
        <v>0</v>
      </c>
      <c r="U102" s="58">
        <f t="shared" si="75"/>
        <v>0</v>
      </c>
      <c r="V102" s="58">
        <f t="shared" si="76"/>
        <v>0</v>
      </c>
      <c r="W102" s="58">
        <f t="shared" si="77"/>
        <v>0</v>
      </c>
      <c r="X102" s="58">
        <f t="shared" si="78"/>
        <v>0</v>
      </c>
      <c r="Y102" s="58">
        <f t="shared" si="79"/>
        <v>0</v>
      </c>
      <c r="Z102" s="58">
        <f t="shared" si="80"/>
        <v>0</v>
      </c>
      <c r="AA102" s="59">
        <f t="shared" si="40"/>
        <v>0</v>
      </c>
      <c r="AB102" s="85">
        <v>71</v>
      </c>
      <c r="AC102" s="85">
        <v>1.32</v>
      </c>
      <c r="AD102" s="85">
        <v>0.3</v>
      </c>
      <c r="AE102" s="85">
        <v>0.05</v>
      </c>
      <c r="AF102" s="85">
        <v>0.159</v>
      </c>
      <c r="AG102" s="85">
        <v>17.010000000000002</v>
      </c>
      <c r="AH102" s="85">
        <v>3.6</v>
      </c>
      <c r="AI102" s="85">
        <v>4.8</v>
      </c>
      <c r="AJ102" s="85">
        <v>37</v>
      </c>
      <c r="AK102" s="85">
        <v>0.57999999999999996</v>
      </c>
      <c r="AL102" s="85">
        <v>29</v>
      </c>
      <c r="AM102" s="85">
        <v>367</v>
      </c>
      <c r="AN102" s="85">
        <v>10</v>
      </c>
      <c r="AO102" s="85">
        <v>0.26</v>
      </c>
      <c r="AP102" s="85">
        <v>13</v>
      </c>
      <c r="AQ102" s="85">
        <v>9.2999999999999999E-2</v>
      </c>
      <c r="AR102" s="85">
        <v>0</v>
      </c>
      <c r="AS102" s="85">
        <v>1</v>
      </c>
      <c r="AT102" s="85">
        <v>0</v>
      </c>
      <c r="AU102" s="85">
        <v>1</v>
      </c>
      <c r="AV102" s="85">
        <v>0</v>
      </c>
    </row>
    <row r="103" spans="1:48" s="1" customFormat="1" x14ac:dyDescent="0.55000000000000004">
      <c r="A103" s="1" t="s">
        <v>431</v>
      </c>
      <c r="B103" s="1" t="s">
        <v>663</v>
      </c>
      <c r="C103" s="1" t="s">
        <v>553</v>
      </c>
      <c r="D103" s="59">
        <v>0</v>
      </c>
      <c r="E103" s="59">
        <v>250</v>
      </c>
      <c r="F103" s="59">
        <f t="shared" si="62"/>
        <v>0</v>
      </c>
      <c r="G103" s="58">
        <f t="shared" si="63"/>
        <v>0</v>
      </c>
      <c r="H103" s="58">
        <f t="shared" si="64"/>
        <v>0</v>
      </c>
      <c r="I103" s="58">
        <f t="shared" si="60"/>
        <v>0</v>
      </c>
      <c r="J103" s="58">
        <f t="shared" si="61"/>
        <v>0</v>
      </c>
      <c r="K103" s="58">
        <f t="shared" si="65"/>
        <v>0</v>
      </c>
      <c r="L103" s="58">
        <f t="shared" si="66"/>
        <v>0</v>
      </c>
      <c r="M103" s="58">
        <f t="shared" si="67"/>
        <v>0</v>
      </c>
      <c r="N103" s="58">
        <f t="shared" si="68"/>
        <v>0</v>
      </c>
      <c r="O103" s="58">
        <f t="shared" si="69"/>
        <v>0</v>
      </c>
      <c r="P103" s="58">
        <f t="shared" si="70"/>
        <v>0</v>
      </c>
      <c r="Q103" s="58">
        <f t="shared" si="71"/>
        <v>0</v>
      </c>
      <c r="R103" s="58">
        <f t="shared" si="72"/>
        <v>0</v>
      </c>
      <c r="S103" s="58">
        <f t="shared" si="73"/>
        <v>0</v>
      </c>
      <c r="T103" s="58">
        <f t="shared" si="74"/>
        <v>0</v>
      </c>
      <c r="U103" s="58">
        <f t="shared" si="75"/>
        <v>0</v>
      </c>
      <c r="V103" s="58">
        <f t="shared" si="76"/>
        <v>0</v>
      </c>
      <c r="W103" s="58">
        <f t="shared" si="77"/>
        <v>0</v>
      </c>
      <c r="X103" s="58">
        <f t="shared" si="78"/>
        <v>0</v>
      </c>
      <c r="Y103" s="58">
        <f t="shared" si="79"/>
        <v>0</v>
      </c>
      <c r="Z103" s="58">
        <f t="shared" si="80"/>
        <v>0</v>
      </c>
      <c r="AA103" s="59">
        <f t="shared" si="40"/>
        <v>0</v>
      </c>
      <c r="AB103" s="85">
        <v>97</v>
      </c>
      <c r="AC103" s="85">
        <v>2.2000000000000002</v>
      </c>
      <c r="AD103" s="85">
        <v>0.7</v>
      </c>
      <c r="AE103" s="85">
        <v>5.8999999999999997E-2</v>
      </c>
      <c r="AF103" s="85">
        <v>0.497</v>
      </c>
      <c r="AG103" s="85">
        <v>23.38</v>
      </c>
      <c r="AH103" s="85">
        <v>10.4</v>
      </c>
      <c r="AI103" s="85">
        <v>11.2</v>
      </c>
      <c r="AJ103" s="85">
        <v>12</v>
      </c>
      <c r="AK103" s="85">
        <v>1.6</v>
      </c>
      <c r="AL103" s="85">
        <v>29</v>
      </c>
      <c r="AM103" s="85">
        <v>348</v>
      </c>
      <c r="AN103" s="85">
        <v>28</v>
      </c>
      <c r="AO103" s="85">
        <v>0.1</v>
      </c>
      <c r="AP103" s="85">
        <v>30</v>
      </c>
      <c r="AQ103" s="85">
        <v>0.1</v>
      </c>
      <c r="AR103" s="85">
        <v>0</v>
      </c>
      <c r="AS103" s="85">
        <v>0.02</v>
      </c>
      <c r="AT103" s="85">
        <v>0</v>
      </c>
      <c r="AU103" s="85">
        <v>0.7</v>
      </c>
      <c r="AV103" s="85">
        <v>0</v>
      </c>
    </row>
    <row r="104" spans="1:48" s="1" customFormat="1" x14ac:dyDescent="0.55000000000000004">
      <c r="A104" s="1" t="s">
        <v>432</v>
      </c>
      <c r="B104" s="1" t="s">
        <v>691</v>
      </c>
      <c r="C104" s="1" t="s">
        <v>554</v>
      </c>
      <c r="D104" s="59">
        <v>0</v>
      </c>
      <c r="E104" s="59">
        <v>250</v>
      </c>
      <c r="F104" s="59">
        <f t="shared" si="62"/>
        <v>0</v>
      </c>
      <c r="G104" s="58">
        <f t="shared" si="63"/>
        <v>0</v>
      </c>
      <c r="H104" s="58">
        <f t="shared" si="64"/>
        <v>0</v>
      </c>
      <c r="I104" s="58">
        <f t="shared" si="60"/>
        <v>0</v>
      </c>
      <c r="J104" s="58">
        <f t="shared" si="61"/>
        <v>0</v>
      </c>
      <c r="K104" s="58">
        <f t="shared" si="65"/>
        <v>0</v>
      </c>
      <c r="L104" s="58">
        <f t="shared" si="66"/>
        <v>0</v>
      </c>
      <c r="M104" s="58">
        <f t="shared" si="67"/>
        <v>0</v>
      </c>
      <c r="N104" s="58">
        <f t="shared" si="68"/>
        <v>0</v>
      </c>
      <c r="O104" s="58">
        <f t="shared" si="69"/>
        <v>0</v>
      </c>
      <c r="P104" s="58">
        <f t="shared" si="70"/>
        <v>0</v>
      </c>
      <c r="Q104" s="58">
        <f t="shared" si="71"/>
        <v>0</v>
      </c>
      <c r="R104" s="58">
        <f t="shared" si="72"/>
        <v>0</v>
      </c>
      <c r="S104" s="58">
        <f t="shared" si="73"/>
        <v>0</v>
      </c>
      <c r="T104" s="58">
        <f t="shared" si="74"/>
        <v>0</v>
      </c>
      <c r="U104" s="58">
        <f t="shared" si="75"/>
        <v>0</v>
      </c>
      <c r="V104" s="58">
        <f t="shared" si="76"/>
        <v>0</v>
      </c>
      <c r="W104" s="58">
        <f t="shared" si="77"/>
        <v>0</v>
      </c>
      <c r="X104" s="58">
        <f t="shared" si="78"/>
        <v>0</v>
      </c>
      <c r="Y104" s="58">
        <f t="shared" si="79"/>
        <v>0</v>
      </c>
      <c r="Z104" s="58">
        <f t="shared" si="80"/>
        <v>0</v>
      </c>
      <c r="AA104" s="59">
        <f t="shared" si="40"/>
        <v>0</v>
      </c>
      <c r="AB104" s="85">
        <v>149</v>
      </c>
      <c r="AC104" s="85">
        <v>5.99</v>
      </c>
      <c r="AD104" s="85">
        <v>1.71</v>
      </c>
      <c r="AE104" s="85">
        <v>0.24299999999999999</v>
      </c>
      <c r="AF104" s="85">
        <v>0.75</v>
      </c>
      <c r="AG104" s="85">
        <v>30.07</v>
      </c>
      <c r="AH104" s="85">
        <v>3.9</v>
      </c>
      <c r="AI104" s="85">
        <v>0.75</v>
      </c>
      <c r="AJ104" s="85">
        <v>13</v>
      </c>
      <c r="AK104" s="85">
        <v>1.72</v>
      </c>
      <c r="AL104" s="85">
        <v>54</v>
      </c>
      <c r="AM104" s="85">
        <v>96</v>
      </c>
      <c r="AN104" s="85">
        <v>4</v>
      </c>
      <c r="AO104" s="85">
        <v>1.34</v>
      </c>
      <c r="AP104" s="85">
        <v>0</v>
      </c>
      <c r="AQ104" s="85">
        <v>9.2999999999999999E-2</v>
      </c>
      <c r="AR104" s="85">
        <v>0</v>
      </c>
      <c r="AS104" s="85">
        <v>0.23</v>
      </c>
      <c r="AT104" s="85">
        <v>0</v>
      </c>
      <c r="AU104" s="85">
        <v>0.6</v>
      </c>
      <c r="AV104" s="85">
        <v>0</v>
      </c>
    </row>
    <row r="105" spans="1:48" s="1" customFormat="1" x14ac:dyDescent="0.55000000000000004">
      <c r="A105" s="1" t="s">
        <v>433</v>
      </c>
      <c r="B105" s="1" t="s">
        <v>692</v>
      </c>
      <c r="C105" s="1" t="s">
        <v>555</v>
      </c>
      <c r="D105" s="59">
        <v>0</v>
      </c>
      <c r="E105" s="59">
        <v>250</v>
      </c>
      <c r="F105" s="59">
        <f t="shared" si="62"/>
        <v>0</v>
      </c>
      <c r="G105" s="58">
        <f t="shared" si="63"/>
        <v>0</v>
      </c>
      <c r="H105" s="58">
        <f t="shared" si="64"/>
        <v>0</v>
      </c>
      <c r="I105" s="58">
        <f t="shared" si="60"/>
        <v>0</v>
      </c>
      <c r="J105" s="58">
        <f t="shared" si="61"/>
        <v>0</v>
      </c>
      <c r="K105" s="58">
        <f t="shared" si="65"/>
        <v>0</v>
      </c>
      <c r="L105" s="58">
        <f t="shared" si="66"/>
        <v>0</v>
      </c>
      <c r="M105" s="58">
        <f t="shared" si="67"/>
        <v>0</v>
      </c>
      <c r="N105" s="58">
        <f t="shared" si="68"/>
        <v>0</v>
      </c>
      <c r="O105" s="58">
        <f t="shared" si="69"/>
        <v>0</v>
      </c>
      <c r="P105" s="58">
        <f t="shared" si="70"/>
        <v>0</v>
      </c>
      <c r="Q105" s="58">
        <f t="shared" si="71"/>
        <v>0</v>
      </c>
      <c r="R105" s="58">
        <f t="shared" si="72"/>
        <v>0</v>
      </c>
      <c r="S105" s="58">
        <f t="shared" si="73"/>
        <v>0</v>
      </c>
      <c r="T105" s="58">
        <f t="shared" si="74"/>
        <v>0</v>
      </c>
      <c r="U105" s="58">
        <f t="shared" si="75"/>
        <v>0</v>
      </c>
      <c r="V105" s="58">
        <f t="shared" si="76"/>
        <v>0</v>
      </c>
      <c r="W105" s="58">
        <f t="shared" si="77"/>
        <v>0</v>
      </c>
      <c r="X105" s="58">
        <f t="shared" si="78"/>
        <v>0</v>
      </c>
      <c r="Y105" s="58">
        <f t="shared" si="79"/>
        <v>0</v>
      </c>
      <c r="Z105" s="58">
        <f t="shared" si="80"/>
        <v>0</v>
      </c>
      <c r="AA105" s="59">
        <f t="shared" si="40"/>
        <v>0</v>
      </c>
      <c r="AB105" s="85">
        <v>589</v>
      </c>
      <c r="AC105" s="85">
        <v>24.06</v>
      </c>
      <c r="AD105" s="85">
        <v>49.94</v>
      </c>
      <c r="AE105" s="85">
        <v>7.6070000000000002</v>
      </c>
      <c r="AF105" s="85">
        <v>37.055</v>
      </c>
      <c r="AG105" s="85">
        <v>21.57</v>
      </c>
      <c r="AH105" s="85">
        <v>8</v>
      </c>
      <c r="AI105" s="85">
        <v>8.41</v>
      </c>
      <c r="AJ105" s="85">
        <v>45</v>
      </c>
      <c r="AK105" s="85">
        <v>1.9</v>
      </c>
      <c r="AL105" s="85">
        <v>160</v>
      </c>
      <c r="AM105" s="85">
        <v>745</v>
      </c>
      <c r="AN105" s="85">
        <v>486</v>
      </c>
      <c r="AO105" s="85">
        <v>2.79</v>
      </c>
      <c r="AP105" s="85">
        <v>0</v>
      </c>
      <c r="AQ105" s="85">
        <v>0.41799999999999998</v>
      </c>
      <c r="AR105" s="85">
        <v>0</v>
      </c>
      <c r="AS105" s="85">
        <v>6.3</v>
      </c>
      <c r="AT105" s="85">
        <v>0</v>
      </c>
      <c r="AU105" s="85">
        <v>0.5</v>
      </c>
      <c r="AV105" s="85">
        <v>0</v>
      </c>
    </row>
    <row r="106" spans="1:48" s="1" customFormat="1" x14ac:dyDescent="0.55000000000000004">
      <c r="A106" s="1" t="s">
        <v>434</v>
      </c>
      <c r="B106" s="1" t="s">
        <v>676</v>
      </c>
      <c r="C106" s="1" t="s">
        <v>556</v>
      </c>
      <c r="D106" s="59">
        <v>0</v>
      </c>
      <c r="E106" s="59">
        <v>250</v>
      </c>
      <c r="F106" s="59">
        <f t="shared" si="62"/>
        <v>0</v>
      </c>
      <c r="G106" s="58">
        <f t="shared" si="63"/>
        <v>0</v>
      </c>
      <c r="H106" s="58">
        <f t="shared" si="64"/>
        <v>0</v>
      </c>
      <c r="I106" s="58">
        <f t="shared" si="60"/>
        <v>0</v>
      </c>
      <c r="J106" s="58">
        <f t="shared" si="61"/>
        <v>0</v>
      </c>
      <c r="K106" s="58">
        <f t="shared" si="65"/>
        <v>0</v>
      </c>
      <c r="L106" s="58">
        <f t="shared" si="66"/>
        <v>0</v>
      </c>
      <c r="M106" s="58">
        <f t="shared" si="67"/>
        <v>0</v>
      </c>
      <c r="N106" s="58">
        <f t="shared" si="68"/>
        <v>0</v>
      </c>
      <c r="O106" s="58">
        <f t="shared" si="69"/>
        <v>0</v>
      </c>
      <c r="P106" s="58">
        <f t="shared" si="70"/>
        <v>0</v>
      </c>
      <c r="Q106" s="58">
        <f t="shared" si="71"/>
        <v>0</v>
      </c>
      <c r="R106" s="58">
        <f t="shared" si="72"/>
        <v>0</v>
      </c>
      <c r="S106" s="58">
        <f t="shared" si="73"/>
        <v>0</v>
      </c>
      <c r="T106" s="58">
        <f t="shared" si="74"/>
        <v>0</v>
      </c>
      <c r="U106" s="58">
        <f t="shared" si="75"/>
        <v>0</v>
      </c>
      <c r="V106" s="58">
        <f t="shared" si="76"/>
        <v>0</v>
      </c>
      <c r="W106" s="58">
        <f t="shared" si="77"/>
        <v>0</v>
      </c>
      <c r="X106" s="58">
        <f t="shared" si="78"/>
        <v>0</v>
      </c>
      <c r="Y106" s="58">
        <f t="shared" si="79"/>
        <v>0</v>
      </c>
      <c r="Z106" s="58">
        <f t="shared" si="80"/>
        <v>0</v>
      </c>
      <c r="AA106" s="59">
        <f t="shared" si="40"/>
        <v>0</v>
      </c>
      <c r="AB106" s="85">
        <v>587</v>
      </c>
      <c r="AC106" s="85">
        <v>24.35</v>
      </c>
      <c r="AD106" s="85">
        <v>49.66</v>
      </c>
      <c r="AE106" s="85">
        <v>7.7229999999999999</v>
      </c>
      <c r="AF106" s="85">
        <v>35.954000000000001</v>
      </c>
      <c r="AG106" s="85">
        <v>21.26</v>
      </c>
      <c r="AH106" s="85">
        <v>8.4</v>
      </c>
      <c r="AI106" s="85">
        <v>4.9000000000000004</v>
      </c>
      <c r="AJ106" s="85">
        <v>58</v>
      </c>
      <c r="AK106" s="85">
        <v>1.58</v>
      </c>
      <c r="AL106" s="85">
        <v>178</v>
      </c>
      <c r="AM106" s="85">
        <v>634</v>
      </c>
      <c r="AN106" s="85">
        <v>6</v>
      </c>
      <c r="AO106" s="85">
        <v>2.77</v>
      </c>
      <c r="AP106" s="85">
        <v>0</v>
      </c>
      <c r="AQ106" s="85">
        <v>0.46600000000000003</v>
      </c>
      <c r="AR106" s="85">
        <v>0</v>
      </c>
      <c r="AS106" s="85">
        <v>4.93</v>
      </c>
      <c r="AT106" s="85">
        <v>0</v>
      </c>
      <c r="AU106" s="85">
        <v>0</v>
      </c>
      <c r="AV106" s="85">
        <v>0</v>
      </c>
    </row>
    <row r="107" spans="1:48" s="1" customFormat="1" x14ac:dyDescent="0.55000000000000004">
      <c r="A107" s="1" t="s">
        <v>435</v>
      </c>
      <c r="B107" s="1" t="s">
        <v>664</v>
      </c>
      <c r="C107" s="1" t="s">
        <v>557</v>
      </c>
      <c r="D107" s="59">
        <v>0</v>
      </c>
      <c r="E107" s="59">
        <v>250</v>
      </c>
      <c r="F107" s="59">
        <f t="shared" si="62"/>
        <v>0</v>
      </c>
      <c r="G107" s="58">
        <f t="shared" si="63"/>
        <v>0</v>
      </c>
      <c r="H107" s="58">
        <f t="shared" si="64"/>
        <v>0</v>
      </c>
      <c r="I107" s="58">
        <f t="shared" si="60"/>
        <v>0</v>
      </c>
      <c r="J107" s="58">
        <f t="shared" si="61"/>
        <v>0</v>
      </c>
      <c r="K107" s="58">
        <f t="shared" si="65"/>
        <v>0</v>
      </c>
      <c r="L107" s="58">
        <f t="shared" si="66"/>
        <v>0</v>
      </c>
      <c r="M107" s="58">
        <f t="shared" si="67"/>
        <v>0</v>
      </c>
      <c r="N107" s="58">
        <f t="shared" si="68"/>
        <v>0</v>
      </c>
      <c r="O107" s="58">
        <f t="shared" si="69"/>
        <v>0</v>
      </c>
      <c r="P107" s="58">
        <f t="shared" si="70"/>
        <v>0</v>
      </c>
      <c r="Q107" s="58">
        <f t="shared" si="71"/>
        <v>0</v>
      </c>
      <c r="R107" s="58">
        <f t="shared" si="72"/>
        <v>0</v>
      </c>
      <c r="S107" s="58">
        <f t="shared" si="73"/>
        <v>0</v>
      </c>
      <c r="T107" s="58">
        <f t="shared" si="74"/>
        <v>0</v>
      </c>
      <c r="U107" s="58">
        <f t="shared" si="75"/>
        <v>0</v>
      </c>
      <c r="V107" s="58">
        <f t="shared" si="76"/>
        <v>0</v>
      </c>
      <c r="W107" s="58">
        <f t="shared" si="77"/>
        <v>0</v>
      </c>
      <c r="X107" s="58">
        <f t="shared" si="78"/>
        <v>0</v>
      </c>
      <c r="Y107" s="58">
        <f t="shared" si="79"/>
        <v>0</v>
      </c>
      <c r="Z107" s="58">
        <f t="shared" si="80"/>
        <v>0</v>
      </c>
      <c r="AA107" s="59">
        <f t="shared" si="40"/>
        <v>0</v>
      </c>
      <c r="AB107" s="85">
        <v>118</v>
      </c>
      <c r="AC107" s="85">
        <v>8.34</v>
      </c>
      <c r="AD107" s="85">
        <v>0.39</v>
      </c>
      <c r="AE107" s="85">
        <v>5.3999999999999999E-2</v>
      </c>
      <c r="AF107" s="85">
        <v>0.246</v>
      </c>
      <c r="AG107" s="85">
        <v>21.1</v>
      </c>
      <c r="AH107" s="85">
        <v>8.3000000000000007</v>
      </c>
      <c r="AI107" s="85">
        <v>2.9</v>
      </c>
      <c r="AJ107" s="85">
        <v>14</v>
      </c>
      <c r="AK107" s="85">
        <v>1.29</v>
      </c>
      <c r="AL107" s="85">
        <v>36</v>
      </c>
      <c r="AM107" s="85">
        <v>362</v>
      </c>
      <c r="AN107" s="85">
        <v>2</v>
      </c>
      <c r="AO107" s="85">
        <v>1</v>
      </c>
      <c r="AP107" s="85">
        <v>0.4</v>
      </c>
      <c r="AQ107" s="85">
        <v>4.8000000000000001E-2</v>
      </c>
      <c r="AR107" s="85">
        <v>0</v>
      </c>
      <c r="AS107" s="85">
        <v>0.03</v>
      </c>
      <c r="AT107" s="85">
        <v>0</v>
      </c>
      <c r="AU107" s="85">
        <v>5</v>
      </c>
      <c r="AV107" s="85">
        <v>0</v>
      </c>
    </row>
    <row r="108" spans="1:48" s="1" customFormat="1" x14ac:dyDescent="0.55000000000000004">
      <c r="A108" s="1" t="s">
        <v>436</v>
      </c>
      <c r="B108" s="1" t="s">
        <v>650</v>
      </c>
      <c r="C108" s="1" t="s">
        <v>558</v>
      </c>
      <c r="D108" s="59">
        <v>0</v>
      </c>
      <c r="E108" s="59">
        <v>250</v>
      </c>
      <c r="F108" s="59">
        <f t="shared" si="62"/>
        <v>0</v>
      </c>
      <c r="G108" s="58">
        <f t="shared" si="63"/>
        <v>0</v>
      </c>
      <c r="H108" s="58">
        <f t="shared" si="64"/>
        <v>0</v>
      </c>
      <c r="I108" s="58">
        <f t="shared" si="60"/>
        <v>0</v>
      </c>
      <c r="J108" s="58">
        <f t="shared" si="61"/>
        <v>0</v>
      </c>
      <c r="K108" s="58">
        <f t="shared" si="65"/>
        <v>0</v>
      </c>
      <c r="L108" s="58">
        <f t="shared" si="66"/>
        <v>0</v>
      </c>
      <c r="M108" s="58">
        <f t="shared" si="67"/>
        <v>0</v>
      </c>
      <c r="N108" s="58">
        <f t="shared" si="68"/>
        <v>0</v>
      </c>
      <c r="O108" s="58">
        <f t="shared" si="69"/>
        <v>0</v>
      </c>
      <c r="P108" s="58">
        <f t="shared" si="70"/>
        <v>0</v>
      </c>
      <c r="Q108" s="58">
        <f t="shared" si="71"/>
        <v>0</v>
      </c>
      <c r="R108" s="58">
        <f t="shared" si="72"/>
        <v>0</v>
      </c>
      <c r="S108" s="58">
        <f t="shared" si="73"/>
        <v>0</v>
      </c>
      <c r="T108" s="58">
        <f t="shared" si="74"/>
        <v>0</v>
      </c>
      <c r="U108" s="58">
        <f t="shared" si="75"/>
        <v>0</v>
      </c>
      <c r="V108" s="58">
        <f t="shared" si="76"/>
        <v>0</v>
      </c>
      <c r="W108" s="58">
        <f t="shared" si="77"/>
        <v>0</v>
      </c>
      <c r="X108" s="58">
        <f t="shared" si="78"/>
        <v>0</v>
      </c>
      <c r="Y108" s="58">
        <f t="shared" si="79"/>
        <v>0</v>
      </c>
      <c r="Z108" s="58">
        <f t="shared" si="80"/>
        <v>0</v>
      </c>
      <c r="AA108" s="59">
        <f t="shared" si="40"/>
        <v>0</v>
      </c>
      <c r="AB108" s="85">
        <v>251</v>
      </c>
      <c r="AC108" s="85">
        <v>10.39</v>
      </c>
      <c r="AD108" s="85">
        <v>3.26</v>
      </c>
      <c r="AE108" s="85">
        <v>1.3919999999999999</v>
      </c>
      <c r="AF108" s="85">
        <v>1.7370000000000001</v>
      </c>
      <c r="AG108" s="85">
        <v>63.95</v>
      </c>
      <c r="AH108" s="85">
        <v>25.3</v>
      </c>
      <c r="AI108" s="85">
        <v>0.64</v>
      </c>
      <c r="AJ108" s="85">
        <v>443</v>
      </c>
      <c r="AK108" s="85">
        <v>9.7100000000000009</v>
      </c>
      <c r="AL108" s="85">
        <v>171</v>
      </c>
      <c r="AM108" s="85">
        <v>1329</v>
      </c>
      <c r="AN108" s="85">
        <v>20</v>
      </c>
      <c r="AO108" s="85">
        <v>1.19</v>
      </c>
      <c r="AP108" s="85">
        <v>0</v>
      </c>
      <c r="AQ108" s="85">
        <v>0.29099999999999998</v>
      </c>
      <c r="AR108" s="85">
        <v>0</v>
      </c>
      <c r="AS108" s="85">
        <v>1.04</v>
      </c>
      <c r="AT108" s="85">
        <v>0</v>
      </c>
      <c r="AU108" s="85">
        <v>163.69999999999999</v>
      </c>
      <c r="AV108" s="85">
        <v>0</v>
      </c>
    </row>
    <row r="109" spans="1:48" s="1" customFormat="1" x14ac:dyDescent="0.55000000000000004">
      <c r="A109" s="1" t="s">
        <v>437</v>
      </c>
      <c r="B109" s="1" t="s">
        <v>699</v>
      </c>
      <c r="C109" s="1" t="s">
        <v>559</v>
      </c>
      <c r="D109" s="59">
        <v>0</v>
      </c>
      <c r="E109" s="59">
        <v>250</v>
      </c>
      <c r="F109" s="59">
        <f t="shared" si="62"/>
        <v>0</v>
      </c>
      <c r="G109" s="58">
        <f t="shared" si="63"/>
        <v>0</v>
      </c>
      <c r="H109" s="58">
        <f t="shared" si="64"/>
        <v>0</v>
      </c>
      <c r="I109" s="58">
        <f t="shared" si="60"/>
        <v>0</v>
      </c>
      <c r="J109" s="58">
        <f t="shared" si="61"/>
        <v>0</v>
      </c>
      <c r="K109" s="58">
        <f t="shared" si="65"/>
        <v>0</v>
      </c>
      <c r="L109" s="58">
        <f t="shared" si="66"/>
        <v>0</v>
      </c>
      <c r="M109" s="58">
        <f t="shared" si="67"/>
        <v>0</v>
      </c>
      <c r="N109" s="58">
        <f t="shared" si="68"/>
        <v>0</v>
      </c>
      <c r="O109" s="58">
        <f t="shared" si="69"/>
        <v>0</v>
      </c>
      <c r="P109" s="58">
        <f t="shared" si="70"/>
        <v>0</v>
      </c>
      <c r="Q109" s="58">
        <f t="shared" si="71"/>
        <v>0</v>
      </c>
      <c r="R109" s="58">
        <f t="shared" si="72"/>
        <v>0</v>
      </c>
      <c r="S109" s="58">
        <f t="shared" si="73"/>
        <v>0</v>
      </c>
      <c r="T109" s="58">
        <f t="shared" si="74"/>
        <v>0</v>
      </c>
      <c r="U109" s="58">
        <f t="shared" si="75"/>
        <v>0</v>
      </c>
      <c r="V109" s="58">
        <f t="shared" si="76"/>
        <v>0</v>
      </c>
      <c r="W109" s="58">
        <f t="shared" si="77"/>
        <v>0</v>
      </c>
      <c r="X109" s="58">
        <f t="shared" si="78"/>
        <v>0</v>
      </c>
      <c r="Y109" s="58">
        <f t="shared" si="79"/>
        <v>0</v>
      </c>
      <c r="Z109" s="58">
        <f t="shared" si="80"/>
        <v>0</v>
      </c>
      <c r="AA109" s="59">
        <f t="shared" si="40"/>
        <v>0</v>
      </c>
      <c r="AB109" s="85">
        <v>318</v>
      </c>
      <c r="AC109" s="85">
        <v>12.01</v>
      </c>
      <c r="AD109" s="85">
        <v>17.27</v>
      </c>
      <c r="AE109" s="85">
        <v>3.26</v>
      </c>
      <c r="AF109" s="85">
        <v>11.12</v>
      </c>
      <c r="AG109" s="85">
        <v>56.63</v>
      </c>
      <c r="AH109" s="85">
        <v>27.2</v>
      </c>
      <c r="AI109" s="85">
        <v>10.34</v>
      </c>
      <c r="AJ109" s="85">
        <v>148</v>
      </c>
      <c r="AK109" s="85">
        <v>7.8</v>
      </c>
      <c r="AL109" s="85">
        <v>152</v>
      </c>
      <c r="AM109" s="85">
        <v>2014</v>
      </c>
      <c r="AN109" s="85">
        <v>30</v>
      </c>
      <c r="AO109" s="85">
        <v>2.48</v>
      </c>
      <c r="AP109" s="85">
        <v>76.400000000000006</v>
      </c>
      <c r="AQ109" s="85">
        <v>2.4500000000000002</v>
      </c>
      <c r="AR109" s="85">
        <v>0</v>
      </c>
      <c r="AS109" s="85">
        <v>29.83</v>
      </c>
      <c r="AT109" s="85">
        <v>0</v>
      </c>
      <c r="AU109" s="85">
        <v>80.3</v>
      </c>
      <c r="AV109" s="85">
        <v>0</v>
      </c>
    </row>
    <row r="110" spans="1:48" s="1" customFormat="1" x14ac:dyDescent="0.55000000000000004">
      <c r="A110" s="1" t="s">
        <v>438</v>
      </c>
      <c r="B110" s="1" t="s">
        <v>651</v>
      </c>
      <c r="C110" s="1" t="s">
        <v>560</v>
      </c>
      <c r="D110" s="59">
        <v>0</v>
      </c>
      <c r="E110" s="59">
        <v>250</v>
      </c>
      <c r="F110" s="59">
        <f t="shared" si="62"/>
        <v>0</v>
      </c>
      <c r="G110" s="58">
        <f t="shared" si="63"/>
        <v>0</v>
      </c>
      <c r="H110" s="58">
        <f t="shared" si="64"/>
        <v>0</v>
      </c>
      <c r="I110" s="58">
        <f t="shared" si="60"/>
        <v>0</v>
      </c>
      <c r="J110" s="58">
        <f t="shared" si="61"/>
        <v>0</v>
      </c>
      <c r="K110" s="58">
        <f t="shared" si="65"/>
        <v>0</v>
      </c>
      <c r="L110" s="58">
        <f t="shared" si="66"/>
        <v>0</v>
      </c>
      <c r="M110" s="58">
        <f t="shared" si="67"/>
        <v>0</v>
      </c>
      <c r="N110" s="58">
        <f t="shared" si="68"/>
        <v>0</v>
      </c>
      <c r="O110" s="58">
        <f t="shared" si="69"/>
        <v>0</v>
      </c>
      <c r="P110" s="58">
        <f t="shared" si="70"/>
        <v>0</v>
      </c>
      <c r="Q110" s="58">
        <f t="shared" si="71"/>
        <v>0</v>
      </c>
      <c r="R110" s="58">
        <f t="shared" si="72"/>
        <v>0</v>
      </c>
      <c r="S110" s="58">
        <f t="shared" si="73"/>
        <v>0</v>
      </c>
      <c r="T110" s="58">
        <f t="shared" si="74"/>
        <v>0</v>
      </c>
      <c r="U110" s="58">
        <f t="shared" si="75"/>
        <v>0</v>
      </c>
      <c r="V110" s="58">
        <f t="shared" si="76"/>
        <v>0</v>
      </c>
      <c r="W110" s="58">
        <f t="shared" si="77"/>
        <v>0</v>
      </c>
      <c r="X110" s="58">
        <f t="shared" si="78"/>
        <v>0</v>
      </c>
      <c r="Y110" s="58">
        <f t="shared" si="79"/>
        <v>0</v>
      </c>
      <c r="Z110" s="58">
        <f t="shared" si="80"/>
        <v>0</v>
      </c>
      <c r="AA110" s="59">
        <f t="shared" si="40"/>
        <v>0</v>
      </c>
      <c r="AB110" s="85">
        <v>70</v>
      </c>
      <c r="AC110" s="85">
        <v>3.75</v>
      </c>
      <c r="AD110" s="85">
        <v>0.94</v>
      </c>
      <c r="AE110" s="85">
        <v>0.246</v>
      </c>
      <c r="AF110" s="85">
        <v>0.54100000000000004</v>
      </c>
      <c r="AG110" s="85">
        <v>14.89</v>
      </c>
      <c r="AH110" s="85">
        <v>8</v>
      </c>
      <c r="AI110" s="85">
        <v>0</v>
      </c>
      <c r="AJ110" s="85">
        <v>243</v>
      </c>
      <c r="AK110" s="85">
        <v>5.08</v>
      </c>
      <c r="AL110" s="85">
        <v>80</v>
      </c>
      <c r="AM110" s="85">
        <v>569</v>
      </c>
      <c r="AN110" s="85">
        <v>31</v>
      </c>
      <c r="AO110" s="85">
        <v>1.1100000000000001</v>
      </c>
      <c r="AP110" s="85">
        <v>31.8</v>
      </c>
      <c r="AQ110" s="85">
        <v>0.129</v>
      </c>
      <c r="AR110" s="85">
        <v>0</v>
      </c>
      <c r="AS110" s="85">
        <v>0</v>
      </c>
      <c r="AT110" s="85">
        <v>0</v>
      </c>
      <c r="AU110" s="85">
        <v>0</v>
      </c>
      <c r="AV110" s="85">
        <v>0</v>
      </c>
    </row>
    <row r="111" spans="1:48" s="1" customFormat="1" x14ac:dyDescent="0.55000000000000004">
      <c r="A111" s="1" t="s">
        <v>439</v>
      </c>
      <c r="B111" s="1" t="s">
        <v>683</v>
      </c>
      <c r="C111" s="1" t="s">
        <v>561</v>
      </c>
      <c r="D111" s="59">
        <v>0</v>
      </c>
      <c r="E111" s="59">
        <v>250</v>
      </c>
      <c r="F111" s="59">
        <f t="shared" si="62"/>
        <v>0</v>
      </c>
      <c r="G111" s="58">
        <f t="shared" si="63"/>
        <v>0</v>
      </c>
      <c r="H111" s="58">
        <f t="shared" si="64"/>
        <v>0</v>
      </c>
      <c r="I111" s="58">
        <f t="shared" si="60"/>
        <v>0</v>
      </c>
      <c r="J111" s="58">
        <f t="shared" si="61"/>
        <v>0</v>
      </c>
      <c r="K111" s="58">
        <f t="shared" si="65"/>
        <v>0</v>
      </c>
      <c r="L111" s="58">
        <f t="shared" si="66"/>
        <v>0</v>
      </c>
      <c r="M111" s="58">
        <f t="shared" si="67"/>
        <v>0</v>
      </c>
      <c r="N111" s="58">
        <f t="shared" si="68"/>
        <v>0</v>
      </c>
      <c r="O111" s="58">
        <f t="shared" si="69"/>
        <v>0</v>
      </c>
      <c r="P111" s="58">
        <f t="shared" si="70"/>
        <v>0</v>
      </c>
      <c r="Q111" s="58">
        <f t="shared" si="71"/>
        <v>0</v>
      </c>
      <c r="R111" s="58">
        <f t="shared" si="72"/>
        <v>0</v>
      </c>
      <c r="S111" s="58">
        <f t="shared" si="73"/>
        <v>0</v>
      </c>
      <c r="T111" s="58">
        <f t="shared" si="74"/>
        <v>0</v>
      </c>
      <c r="U111" s="58">
        <f t="shared" si="75"/>
        <v>0</v>
      </c>
      <c r="V111" s="58">
        <f t="shared" si="76"/>
        <v>0</v>
      </c>
      <c r="W111" s="58">
        <f t="shared" si="77"/>
        <v>0</v>
      </c>
      <c r="X111" s="58">
        <f t="shared" si="78"/>
        <v>0</v>
      </c>
      <c r="Y111" s="58">
        <f t="shared" si="79"/>
        <v>0</v>
      </c>
      <c r="Z111" s="58">
        <f t="shared" si="80"/>
        <v>0</v>
      </c>
      <c r="AA111" s="59">
        <f t="shared" si="40"/>
        <v>0</v>
      </c>
      <c r="AB111" s="85">
        <v>116</v>
      </c>
      <c r="AC111" s="85">
        <v>0.79</v>
      </c>
      <c r="AD111" s="85">
        <v>0.18</v>
      </c>
      <c r="AE111" s="85">
        <v>6.9000000000000006E-2</v>
      </c>
      <c r="AF111" s="85">
        <v>4.8000000000000001E-2</v>
      </c>
      <c r="AG111" s="85">
        <v>31.15</v>
      </c>
      <c r="AH111" s="85">
        <v>2.2999999999999998</v>
      </c>
      <c r="AI111" s="85">
        <v>14</v>
      </c>
      <c r="AJ111" s="85">
        <v>2</v>
      </c>
      <c r="AK111" s="85">
        <v>0.57999999999999996</v>
      </c>
      <c r="AL111" s="85">
        <v>32</v>
      </c>
      <c r="AM111" s="85">
        <v>465</v>
      </c>
      <c r="AN111" s="85">
        <v>5</v>
      </c>
      <c r="AO111" s="85">
        <v>0.13</v>
      </c>
      <c r="AP111" s="85">
        <v>10.9</v>
      </c>
      <c r="AQ111" s="85">
        <v>0.24</v>
      </c>
      <c r="AR111" s="85">
        <v>0</v>
      </c>
      <c r="AS111" s="85">
        <v>0.13</v>
      </c>
      <c r="AT111" s="85">
        <v>0</v>
      </c>
      <c r="AU111" s="85">
        <v>0.7</v>
      </c>
      <c r="AV111" s="85">
        <v>0</v>
      </c>
    </row>
    <row r="112" spans="1:48" s="1" customFormat="1" x14ac:dyDescent="0.55000000000000004">
      <c r="A112" s="1" t="s">
        <v>440</v>
      </c>
      <c r="B112" s="1" t="s">
        <v>652</v>
      </c>
      <c r="C112" s="1" t="s">
        <v>562</v>
      </c>
      <c r="D112" s="59">
        <v>0</v>
      </c>
      <c r="E112" s="59">
        <v>250</v>
      </c>
      <c r="F112" s="59">
        <f t="shared" si="62"/>
        <v>0</v>
      </c>
      <c r="G112" s="58">
        <f t="shared" si="63"/>
        <v>0</v>
      </c>
      <c r="H112" s="58">
        <f t="shared" si="64"/>
        <v>0</v>
      </c>
      <c r="I112" s="58">
        <f t="shared" si="60"/>
        <v>0</v>
      </c>
      <c r="J112" s="58">
        <f t="shared" si="61"/>
        <v>0</v>
      </c>
      <c r="K112" s="58">
        <f t="shared" si="65"/>
        <v>0</v>
      </c>
      <c r="L112" s="58">
        <f t="shared" si="66"/>
        <v>0</v>
      </c>
      <c r="M112" s="58">
        <f t="shared" si="67"/>
        <v>0</v>
      </c>
      <c r="N112" s="58">
        <f t="shared" si="68"/>
        <v>0</v>
      </c>
      <c r="O112" s="58">
        <f t="shared" si="69"/>
        <v>0</v>
      </c>
      <c r="P112" s="58">
        <f t="shared" si="70"/>
        <v>0</v>
      </c>
      <c r="Q112" s="58">
        <f t="shared" si="71"/>
        <v>0</v>
      </c>
      <c r="R112" s="58">
        <f t="shared" si="72"/>
        <v>0</v>
      </c>
      <c r="S112" s="58">
        <f t="shared" si="73"/>
        <v>0</v>
      </c>
      <c r="T112" s="58">
        <f t="shared" si="74"/>
        <v>0</v>
      </c>
      <c r="U112" s="58">
        <f t="shared" si="75"/>
        <v>0</v>
      </c>
      <c r="V112" s="58">
        <f t="shared" si="76"/>
        <v>0</v>
      </c>
      <c r="W112" s="58">
        <f t="shared" si="77"/>
        <v>0</v>
      </c>
      <c r="X112" s="58">
        <f t="shared" si="78"/>
        <v>0</v>
      </c>
      <c r="Y112" s="58">
        <f t="shared" si="79"/>
        <v>0</v>
      </c>
      <c r="Z112" s="58">
        <f t="shared" si="80"/>
        <v>0</v>
      </c>
      <c r="AA112" s="59">
        <f t="shared" si="40"/>
        <v>0</v>
      </c>
      <c r="AB112" s="85">
        <v>83</v>
      </c>
      <c r="AC112" s="85">
        <v>1.67</v>
      </c>
      <c r="AD112" s="85">
        <v>1.17</v>
      </c>
      <c r="AE112" s="85">
        <v>0.12</v>
      </c>
      <c r="AF112" s="85">
        <v>0.17199999999999999</v>
      </c>
      <c r="AG112" s="85">
        <v>18.7</v>
      </c>
      <c r="AH112" s="85">
        <v>4</v>
      </c>
      <c r="AI112" s="85">
        <v>13.67</v>
      </c>
      <c r="AJ112" s="85">
        <v>10</v>
      </c>
      <c r="AK112" s="85">
        <v>0.3</v>
      </c>
      <c r="AL112" s="85">
        <v>12</v>
      </c>
      <c r="AM112" s="85">
        <v>236</v>
      </c>
      <c r="AN112" s="85">
        <v>3</v>
      </c>
      <c r="AO112" s="85">
        <v>0.35</v>
      </c>
      <c r="AP112" s="85">
        <v>10.199999999999999</v>
      </c>
      <c r="AQ112" s="85">
        <v>7.4999999999999997E-2</v>
      </c>
      <c r="AR112" s="85">
        <v>0</v>
      </c>
      <c r="AS112" s="85">
        <v>0.6</v>
      </c>
      <c r="AT112" s="85">
        <v>0</v>
      </c>
      <c r="AU112" s="85">
        <v>16.399999999999999</v>
      </c>
      <c r="AV112" s="85">
        <v>0</v>
      </c>
    </row>
    <row r="113" spans="1:48" s="1" customFormat="1" x14ac:dyDescent="0.55000000000000004">
      <c r="A113" s="1" t="s">
        <v>441</v>
      </c>
      <c r="B113" s="1" t="s">
        <v>677</v>
      </c>
      <c r="C113" s="1" t="s">
        <v>563</v>
      </c>
      <c r="D113" s="59">
        <v>0</v>
      </c>
      <c r="E113" s="59">
        <v>250</v>
      </c>
      <c r="F113" s="59">
        <f t="shared" si="62"/>
        <v>0</v>
      </c>
      <c r="G113" s="58">
        <f t="shared" si="63"/>
        <v>0</v>
      </c>
      <c r="H113" s="58">
        <f t="shared" si="64"/>
        <v>0</v>
      </c>
      <c r="I113" s="58">
        <f t="shared" si="60"/>
        <v>0</v>
      </c>
      <c r="J113" s="58">
        <f t="shared" si="61"/>
        <v>0</v>
      </c>
      <c r="K113" s="58">
        <f t="shared" si="65"/>
        <v>0</v>
      </c>
      <c r="L113" s="58">
        <f t="shared" si="66"/>
        <v>0</v>
      </c>
      <c r="M113" s="58">
        <f t="shared" si="67"/>
        <v>0</v>
      </c>
      <c r="N113" s="58">
        <f t="shared" si="68"/>
        <v>0</v>
      </c>
      <c r="O113" s="58">
        <f t="shared" si="69"/>
        <v>0</v>
      </c>
      <c r="P113" s="58">
        <f t="shared" si="70"/>
        <v>0</v>
      </c>
      <c r="Q113" s="58">
        <f t="shared" si="71"/>
        <v>0</v>
      </c>
      <c r="R113" s="58">
        <f t="shared" si="72"/>
        <v>0</v>
      </c>
      <c r="S113" s="58">
        <f t="shared" si="73"/>
        <v>0</v>
      </c>
      <c r="T113" s="58">
        <f t="shared" si="74"/>
        <v>0</v>
      </c>
      <c r="U113" s="58">
        <f t="shared" si="75"/>
        <v>0</v>
      </c>
      <c r="V113" s="58">
        <f t="shared" si="76"/>
        <v>0</v>
      </c>
      <c r="W113" s="58">
        <f t="shared" si="77"/>
        <v>0</v>
      </c>
      <c r="X113" s="58">
        <f t="shared" si="78"/>
        <v>0</v>
      </c>
      <c r="Y113" s="58">
        <f t="shared" si="79"/>
        <v>0</v>
      </c>
      <c r="Z113" s="58">
        <f t="shared" si="80"/>
        <v>0</v>
      </c>
      <c r="AA113" s="59">
        <f t="shared" si="40"/>
        <v>0</v>
      </c>
      <c r="AB113" s="85">
        <v>387</v>
      </c>
      <c r="AC113" s="85">
        <v>12.94</v>
      </c>
      <c r="AD113" s="85">
        <v>4.54</v>
      </c>
      <c r="AE113" s="85">
        <v>0.63700000000000001</v>
      </c>
      <c r="AF113" s="85">
        <v>3.2679999999999998</v>
      </c>
      <c r="AG113" s="85">
        <v>77.78</v>
      </c>
      <c r="AH113" s="85">
        <v>14.5</v>
      </c>
      <c r="AI113" s="85">
        <v>0.87</v>
      </c>
      <c r="AJ113" s="85">
        <v>7</v>
      </c>
      <c r="AK113" s="85">
        <v>3.19</v>
      </c>
      <c r="AL113" s="85">
        <v>144</v>
      </c>
      <c r="AM113" s="85">
        <v>329</v>
      </c>
      <c r="AN113" s="85">
        <v>8</v>
      </c>
      <c r="AO113" s="85">
        <v>3.08</v>
      </c>
      <c r="AP113" s="85">
        <v>0</v>
      </c>
      <c r="AQ113" s="85">
        <v>0.157</v>
      </c>
      <c r="AR113" s="85">
        <v>0</v>
      </c>
      <c r="AS113" s="85">
        <v>0.28999999999999998</v>
      </c>
      <c r="AT113" s="85">
        <v>0</v>
      </c>
      <c r="AU113" s="85">
        <v>1.2</v>
      </c>
      <c r="AV113" s="85">
        <v>0</v>
      </c>
    </row>
    <row r="114" spans="1:48" s="1" customFormat="1" x14ac:dyDescent="0.55000000000000004">
      <c r="A114" s="1" t="s">
        <v>442</v>
      </c>
      <c r="B114" s="1" t="s">
        <v>653</v>
      </c>
      <c r="C114" s="1" t="s">
        <v>564</v>
      </c>
      <c r="D114" s="59">
        <v>0</v>
      </c>
      <c r="E114" s="59">
        <v>250</v>
      </c>
      <c r="F114" s="59">
        <f t="shared" si="62"/>
        <v>0</v>
      </c>
      <c r="G114" s="58">
        <f t="shared" si="63"/>
        <v>0</v>
      </c>
      <c r="H114" s="58">
        <f t="shared" si="64"/>
        <v>0</v>
      </c>
      <c r="I114" s="58">
        <f t="shared" si="60"/>
        <v>0</v>
      </c>
      <c r="J114" s="58">
        <f t="shared" si="61"/>
        <v>0</v>
      </c>
      <c r="K114" s="58">
        <f t="shared" si="65"/>
        <v>0</v>
      </c>
      <c r="L114" s="58">
        <f t="shared" si="66"/>
        <v>0</v>
      </c>
      <c r="M114" s="58">
        <f t="shared" si="67"/>
        <v>0</v>
      </c>
      <c r="N114" s="58">
        <f t="shared" si="68"/>
        <v>0</v>
      </c>
      <c r="O114" s="58">
        <f t="shared" si="69"/>
        <v>0</v>
      </c>
      <c r="P114" s="58">
        <f t="shared" si="70"/>
        <v>0</v>
      </c>
      <c r="Q114" s="58">
        <f t="shared" si="71"/>
        <v>0</v>
      </c>
      <c r="R114" s="58">
        <f t="shared" si="72"/>
        <v>0</v>
      </c>
      <c r="S114" s="58">
        <f t="shared" si="73"/>
        <v>0</v>
      </c>
      <c r="T114" s="58">
        <f t="shared" si="74"/>
        <v>0</v>
      </c>
      <c r="U114" s="58">
        <f t="shared" si="75"/>
        <v>0</v>
      </c>
      <c r="V114" s="58">
        <f t="shared" si="76"/>
        <v>0</v>
      </c>
      <c r="W114" s="58">
        <f t="shared" si="77"/>
        <v>0</v>
      </c>
      <c r="X114" s="58">
        <f t="shared" si="78"/>
        <v>0</v>
      </c>
      <c r="Y114" s="58">
        <f t="shared" si="79"/>
        <v>0</v>
      </c>
      <c r="Z114" s="58">
        <f t="shared" si="80"/>
        <v>0</v>
      </c>
      <c r="AA114" s="59">
        <f t="shared" si="40"/>
        <v>0</v>
      </c>
      <c r="AB114" s="85">
        <v>525</v>
      </c>
      <c r="AC114" s="85">
        <v>17.989999999999998</v>
      </c>
      <c r="AD114" s="85">
        <v>41.56</v>
      </c>
      <c r="AE114" s="85">
        <v>4.5170000000000003</v>
      </c>
      <c r="AF114" s="85">
        <v>34.551000000000002</v>
      </c>
      <c r="AG114" s="85">
        <v>28.13</v>
      </c>
      <c r="AH114" s="85">
        <v>19.5</v>
      </c>
      <c r="AI114" s="85">
        <v>2.99</v>
      </c>
      <c r="AJ114" s="85">
        <v>1438</v>
      </c>
      <c r="AK114" s="85">
        <v>9.76</v>
      </c>
      <c r="AL114" s="85">
        <v>347</v>
      </c>
      <c r="AM114" s="85">
        <v>719</v>
      </c>
      <c r="AN114" s="85">
        <v>26</v>
      </c>
      <c r="AO114" s="85">
        <v>7.9</v>
      </c>
      <c r="AP114" s="85">
        <v>1</v>
      </c>
      <c r="AQ114" s="85">
        <v>0.247</v>
      </c>
      <c r="AR114" s="85">
        <v>0</v>
      </c>
      <c r="AS114" s="85">
        <v>1.77</v>
      </c>
      <c r="AT114" s="85">
        <v>0</v>
      </c>
      <c r="AU114" s="85">
        <v>0</v>
      </c>
      <c r="AV114" s="85">
        <v>0</v>
      </c>
    </row>
    <row r="115" spans="1:48" s="1" customFormat="1" x14ac:dyDescent="0.55000000000000004">
      <c r="A115" s="1" t="s">
        <v>241</v>
      </c>
      <c r="B115" s="1" t="s">
        <v>665</v>
      </c>
      <c r="C115" s="1" t="s">
        <v>242</v>
      </c>
      <c r="D115" s="59">
        <v>0</v>
      </c>
      <c r="E115" s="59">
        <v>250</v>
      </c>
      <c r="F115" s="59">
        <f t="shared" si="62"/>
        <v>0</v>
      </c>
      <c r="G115" s="58">
        <f t="shared" si="63"/>
        <v>0</v>
      </c>
      <c r="H115" s="58">
        <f t="shared" si="64"/>
        <v>0</v>
      </c>
      <c r="I115" s="58">
        <f t="shared" si="60"/>
        <v>0</v>
      </c>
      <c r="J115" s="58">
        <f t="shared" si="61"/>
        <v>0</v>
      </c>
      <c r="K115" s="58">
        <f t="shared" si="65"/>
        <v>0</v>
      </c>
      <c r="L115" s="58">
        <f t="shared" si="66"/>
        <v>0</v>
      </c>
      <c r="M115" s="58">
        <f t="shared" si="67"/>
        <v>0</v>
      </c>
      <c r="N115" s="58">
        <f t="shared" si="68"/>
        <v>0</v>
      </c>
      <c r="O115" s="58">
        <f t="shared" si="69"/>
        <v>0</v>
      </c>
      <c r="P115" s="58">
        <f t="shared" si="70"/>
        <v>0</v>
      </c>
      <c r="Q115" s="58">
        <f t="shared" si="71"/>
        <v>0</v>
      </c>
      <c r="R115" s="58">
        <f t="shared" si="72"/>
        <v>0</v>
      </c>
      <c r="S115" s="58">
        <f t="shared" si="73"/>
        <v>0</v>
      </c>
      <c r="T115" s="58">
        <f t="shared" si="74"/>
        <v>0</v>
      </c>
      <c r="U115" s="58">
        <f t="shared" si="75"/>
        <v>0</v>
      </c>
      <c r="V115" s="58">
        <f t="shared" si="76"/>
        <v>0</v>
      </c>
      <c r="W115" s="58">
        <f t="shared" si="77"/>
        <v>0</v>
      </c>
      <c r="X115" s="58">
        <f t="shared" si="78"/>
        <v>0</v>
      </c>
      <c r="Y115" s="58">
        <f t="shared" si="79"/>
        <v>0</v>
      </c>
      <c r="Z115" s="58">
        <f t="shared" si="80"/>
        <v>0</v>
      </c>
      <c r="AA115" s="59">
        <f t="shared" si="40"/>
        <v>0</v>
      </c>
      <c r="AB115" s="85">
        <v>97</v>
      </c>
      <c r="AC115" s="85">
        <v>2.63</v>
      </c>
      <c r="AD115" s="85">
        <v>0.13</v>
      </c>
      <c r="AE115" s="85">
        <v>3.2000000000000001E-2</v>
      </c>
      <c r="AF115" s="85">
        <v>5.7000000000000002E-2</v>
      </c>
      <c r="AG115" s="85">
        <v>21.44</v>
      </c>
      <c r="AH115" s="85">
        <v>2.2999999999999998</v>
      </c>
      <c r="AI115" s="85">
        <v>1.08</v>
      </c>
      <c r="AJ115" s="85">
        <v>18</v>
      </c>
      <c r="AK115" s="85">
        <v>1.07</v>
      </c>
      <c r="AL115" s="85">
        <v>30</v>
      </c>
      <c r="AM115" s="85">
        <v>550</v>
      </c>
      <c r="AN115" s="85">
        <v>14</v>
      </c>
      <c r="AO115" s="85">
        <v>0.35</v>
      </c>
      <c r="AP115" s="85">
        <v>8.3000000000000007</v>
      </c>
      <c r="AQ115" s="85">
        <v>0.35399999999999998</v>
      </c>
      <c r="AR115" s="85">
        <v>0</v>
      </c>
      <c r="AS115" s="85">
        <v>7.0000000000000007E-2</v>
      </c>
      <c r="AT115" s="85">
        <v>0</v>
      </c>
      <c r="AU115" s="85">
        <v>2</v>
      </c>
      <c r="AV115" s="85">
        <v>0</v>
      </c>
    </row>
    <row r="116" spans="1:48" s="1" customFormat="1" x14ac:dyDescent="0.55000000000000004">
      <c r="A116" s="1" t="s">
        <v>443</v>
      </c>
      <c r="B116" s="1" t="s">
        <v>700</v>
      </c>
      <c r="C116" s="1" t="s">
        <v>565</v>
      </c>
      <c r="D116" s="59">
        <v>0</v>
      </c>
      <c r="E116" s="59">
        <v>250</v>
      </c>
      <c r="F116" s="59">
        <f t="shared" si="62"/>
        <v>0</v>
      </c>
      <c r="G116" s="58">
        <f t="shared" si="63"/>
        <v>0</v>
      </c>
      <c r="H116" s="58">
        <f t="shared" si="64"/>
        <v>0</v>
      </c>
      <c r="I116" s="58">
        <f t="shared" si="60"/>
        <v>0</v>
      </c>
      <c r="J116" s="58">
        <f t="shared" si="61"/>
        <v>0</v>
      </c>
      <c r="K116" s="58">
        <f t="shared" si="65"/>
        <v>0</v>
      </c>
      <c r="L116" s="58">
        <f t="shared" si="66"/>
        <v>0</v>
      </c>
      <c r="M116" s="58">
        <f t="shared" si="67"/>
        <v>0</v>
      </c>
      <c r="N116" s="58">
        <f t="shared" si="68"/>
        <v>0</v>
      </c>
      <c r="O116" s="58">
        <f t="shared" si="69"/>
        <v>0</v>
      </c>
      <c r="P116" s="58">
        <f t="shared" si="70"/>
        <v>0</v>
      </c>
      <c r="Q116" s="58">
        <f t="shared" si="71"/>
        <v>0</v>
      </c>
      <c r="R116" s="58">
        <f t="shared" si="72"/>
        <v>0</v>
      </c>
      <c r="S116" s="58">
        <f t="shared" si="73"/>
        <v>0</v>
      </c>
      <c r="T116" s="58">
        <f t="shared" si="74"/>
        <v>0</v>
      </c>
      <c r="U116" s="58">
        <f t="shared" si="75"/>
        <v>0</v>
      </c>
      <c r="V116" s="58">
        <f t="shared" si="76"/>
        <v>0</v>
      </c>
      <c r="W116" s="58">
        <f t="shared" si="77"/>
        <v>0</v>
      </c>
      <c r="X116" s="58">
        <f t="shared" si="78"/>
        <v>0</v>
      </c>
      <c r="Y116" s="58">
        <f t="shared" si="79"/>
        <v>0</v>
      </c>
      <c r="Z116" s="58">
        <f t="shared" si="80"/>
        <v>0</v>
      </c>
      <c r="AA116" s="59">
        <f t="shared" si="40"/>
        <v>0</v>
      </c>
      <c r="AB116" s="85">
        <v>396</v>
      </c>
      <c r="AC116" s="85">
        <v>50</v>
      </c>
      <c r="AD116" s="85">
        <v>12</v>
      </c>
      <c r="AE116" s="85">
        <v>1.087</v>
      </c>
      <c r="AF116" s="85">
        <v>9.713000000000001</v>
      </c>
      <c r="AG116" s="85">
        <v>22</v>
      </c>
      <c r="AH116" s="85">
        <v>2</v>
      </c>
      <c r="AI116" s="85">
        <v>4</v>
      </c>
      <c r="AJ116" s="85">
        <v>1200</v>
      </c>
      <c r="AK116" s="85">
        <v>12</v>
      </c>
      <c r="AL116" s="85">
        <v>280</v>
      </c>
      <c r="AM116" s="85">
        <v>840</v>
      </c>
      <c r="AN116" s="85">
        <v>250</v>
      </c>
      <c r="AO116" s="85">
        <v>10</v>
      </c>
      <c r="AP116" s="85">
        <v>42</v>
      </c>
      <c r="AQ116" s="85">
        <v>1.4</v>
      </c>
      <c r="AR116" s="85">
        <v>4.2</v>
      </c>
      <c r="AS116" s="85">
        <v>9.4499999999999993</v>
      </c>
      <c r="AT116" s="85">
        <v>280</v>
      </c>
      <c r="AU116" s="85">
        <v>0.5</v>
      </c>
      <c r="AV116" s="85">
        <v>10</v>
      </c>
    </row>
    <row r="117" spans="1:48" s="1" customFormat="1" x14ac:dyDescent="0.55000000000000004">
      <c r="A117" s="1" t="s">
        <v>444</v>
      </c>
      <c r="B117" s="1" t="s">
        <v>701</v>
      </c>
      <c r="C117" s="1" t="s">
        <v>566</v>
      </c>
      <c r="D117" s="59">
        <v>0</v>
      </c>
      <c r="E117" s="59">
        <v>250</v>
      </c>
      <c r="F117" s="59">
        <f t="shared" si="62"/>
        <v>0</v>
      </c>
      <c r="G117" s="58">
        <f t="shared" si="63"/>
        <v>0</v>
      </c>
      <c r="H117" s="58">
        <f t="shared" si="64"/>
        <v>0</v>
      </c>
      <c r="I117" s="58">
        <f t="shared" si="60"/>
        <v>0</v>
      </c>
      <c r="J117" s="58">
        <f t="shared" si="61"/>
        <v>0</v>
      </c>
      <c r="K117" s="58">
        <f t="shared" si="65"/>
        <v>0</v>
      </c>
      <c r="L117" s="58">
        <f t="shared" si="66"/>
        <v>0</v>
      </c>
      <c r="M117" s="58">
        <f t="shared" si="67"/>
        <v>0</v>
      </c>
      <c r="N117" s="58">
        <f t="shared" si="68"/>
        <v>0</v>
      </c>
      <c r="O117" s="58">
        <f t="shared" si="69"/>
        <v>0</v>
      </c>
      <c r="P117" s="58">
        <f t="shared" si="70"/>
        <v>0</v>
      </c>
      <c r="Q117" s="58">
        <f t="shared" si="71"/>
        <v>0</v>
      </c>
      <c r="R117" s="58">
        <f t="shared" si="72"/>
        <v>0</v>
      </c>
      <c r="S117" s="58">
        <f t="shared" si="73"/>
        <v>0</v>
      </c>
      <c r="T117" s="58">
        <f t="shared" si="74"/>
        <v>0</v>
      </c>
      <c r="U117" s="58">
        <f t="shared" si="75"/>
        <v>0</v>
      </c>
      <c r="V117" s="58">
        <f t="shared" si="76"/>
        <v>0</v>
      </c>
      <c r="W117" s="58">
        <f t="shared" si="77"/>
        <v>0</v>
      </c>
      <c r="X117" s="58">
        <f t="shared" si="78"/>
        <v>0</v>
      </c>
      <c r="Y117" s="58">
        <f t="shared" si="79"/>
        <v>0</v>
      </c>
      <c r="Z117" s="58">
        <f t="shared" si="80"/>
        <v>0</v>
      </c>
      <c r="AA117" s="59">
        <f t="shared" si="40"/>
        <v>0</v>
      </c>
      <c r="AB117" s="85">
        <v>339</v>
      </c>
      <c r="AC117" s="85">
        <v>3.7</v>
      </c>
      <c r="AD117" s="85">
        <v>0.73</v>
      </c>
      <c r="AE117" s="85">
        <v>5.8999999999999997E-2</v>
      </c>
      <c r="AF117" s="85">
        <v>0.64200000000000002</v>
      </c>
      <c r="AG117" s="85">
        <v>89.07</v>
      </c>
      <c r="AH117" s="85">
        <v>0</v>
      </c>
      <c r="AI117" s="85">
        <v>0</v>
      </c>
      <c r="AJ117" s="85">
        <v>72</v>
      </c>
      <c r="AK117" s="85">
        <v>3.52</v>
      </c>
      <c r="AL117" s="85">
        <v>64</v>
      </c>
      <c r="AM117" s="85">
        <v>1058</v>
      </c>
      <c r="AN117" s="85">
        <v>5</v>
      </c>
      <c r="AO117" s="85">
        <v>0.75</v>
      </c>
      <c r="AP117" s="85">
        <v>0</v>
      </c>
      <c r="AQ117" s="85">
        <v>0.745</v>
      </c>
      <c r="AR117" s="85">
        <v>0</v>
      </c>
      <c r="AS117" s="85">
        <v>0</v>
      </c>
      <c r="AT117" s="85">
        <v>0</v>
      </c>
      <c r="AU117" s="85">
        <v>0</v>
      </c>
      <c r="AV117" s="85">
        <v>0</v>
      </c>
    </row>
    <row r="118" spans="1:48" s="1" customFormat="1" x14ac:dyDescent="0.55000000000000004">
      <c r="A118" s="1" t="s">
        <v>445</v>
      </c>
      <c r="B118" s="1" t="s">
        <v>693</v>
      </c>
      <c r="C118" s="1" t="s">
        <v>567</v>
      </c>
      <c r="D118" s="59">
        <v>0</v>
      </c>
      <c r="E118" s="59">
        <v>250</v>
      </c>
      <c r="F118" s="59">
        <f t="shared" si="62"/>
        <v>0</v>
      </c>
      <c r="G118" s="58">
        <f t="shared" si="63"/>
        <v>0</v>
      </c>
      <c r="H118" s="58">
        <f t="shared" si="64"/>
        <v>0</v>
      </c>
      <c r="I118" s="58">
        <f t="shared" si="60"/>
        <v>0</v>
      </c>
      <c r="J118" s="58">
        <f t="shared" si="61"/>
        <v>0</v>
      </c>
      <c r="K118" s="58">
        <f t="shared" si="65"/>
        <v>0</v>
      </c>
      <c r="L118" s="58">
        <f t="shared" si="66"/>
        <v>0</v>
      </c>
      <c r="M118" s="58">
        <f t="shared" si="67"/>
        <v>0</v>
      </c>
      <c r="N118" s="58">
        <f t="shared" si="68"/>
        <v>0</v>
      </c>
      <c r="O118" s="58">
        <f t="shared" si="69"/>
        <v>0</v>
      </c>
      <c r="P118" s="58">
        <f t="shared" si="70"/>
        <v>0</v>
      </c>
      <c r="Q118" s="58">
        <f t="shared" si="71"/>
        <v>0</v>
      </c>
      <c r="R118" s="58">
        <f t="shared" si="72"/>
        <v>0</v>
      </c>
      <c r="S118" s="58">
        <f t="shared" si="73"/>
        <v>0</v>
      </c>
      <c r="T118" s="58">
        <f t="shared" si="74"/>
        <v>0</v>
      </c>
      <c r="U118" s="58">
        <f t="shared" si="75"/>
        <v>0</v>
      </c>
      <c r="V118" s="58">
        <f t="shared" si="76"/>
        <v>0</v>
      </c>
      <c r="W118" s="58">
        <f t="shared" si="77"/>
        <v>0</v>
      </c>
      <c r="X118" s="58">
        <f t="shared" si="78"/>
        <v>0</v>
      </c>
      <c r="Y118" s="58">
        <f t="shared" si="79"/>
        <v>0</v>
      </c>
      <c r="Z118" s="58">
        <f t="shared" si="80"/>
        <v>0</v>
      </c>
      <c r="AA118" s="59">
        <f t="shared" si="40"/>
        <v>0</v>
      </c>
      <c r="AB118" s="85">
        <v>574</v>
      </c>
      <c r="AC118" s="85">
        <v>29.84</v>
      </c>
      <c r="AD118" s="85">
        <v>49.05</v>
      </c>
      <c r="AE118" s="85">
        <v>8.5440000000000005</v>
      </c>
      <c r="AF118" s="85">
        <v>35.590000000000003</v>
      </c>
      <c r="AG118" s="85">
        <v>14.71</v>
      </c>
      <c r="AH118" s="85">
        <v>6.5</v>
      </c>
      <c r="AI118" s="85">
        <v>1.29</v>
      </c>
      <c r="AJ118" s="85">
        <v>52</v>
      </c>
      <c r="AK118" s="85">
        <v>8.07</v>
      </c>
      <c r="AL118" s="85">
        <v>550</v>
      </c>
      <c r="AM118" s="85">
        <v>788</v>
      </c>
      <c r="AN118" s="85">
        <v>18</v>
      </c>
      <c r="AO118" s="85">
        <v>7.64</v>
      </c>
      <c r="AP118" s="85">
        <v>1.8</v>
      </c>
      <c r="AQ118" s="85">
        <v>0.1</v>
      </c>
      <c r="AR118" s="85">
        <v>0</v>
      </c>
      <c r="AS118" s="85">
        <v>0.56000000000000005</v>
      </c>
      <c r="AT118" s="85">
        <v>0</v>
      </c>
      <c r="AU118" s="85">
        <v>4.5</v>
      </c>
      <c r="AV118" s="85">
        <v>0</v>
      </c>
    </row>
    <row r="119" spans="1:48" s="1" customFormat="1" x14ac:dyDescent="0.55000000000000004">
      <c r="A119" s="1" t="s">
        <v>225</v>
      </c>
      <c r="B119" s="1" t="s">
        <v>307</v>
      </c>
      <c r="C119" s="1" t="s">
        <v>226</v>
      </c>
      <c r="D119" s="59">
        <v>0</v>
      </c>
      <c r="E119" s="59">
        <v>250</v>
      </c>
      <c r="F119" s="59">
        <f t="shared" si="62"/>
        <v>0</v>
      </c>
      <c r="G119" s="58">
        <f t="shared" si="63"/>
        <v>0</v>
      </c>
      <c r="H119" s="58">
        <f t="shared" si="64"/>
        <v>0</v>
      </c>
      <c r="I119" s="58">
        <f t="shared" si="60"/>
        <v>0</v>
      </c>
      <c r="J119" s="58">
        <f t="shared" si="61"/>
        <v>0</v>
      </c>
      <c r="K119" s="58">
        <f t="shared" si="65"/>
        <v>0</v>
      </c>
      <c r="L119" s="58">
        <f t="shared" si="66"/>
        <v>0</v>
      </c>
      <c r="M119" s="58">
        <f t="shared" si="67"/>
        <v>0</v>
      </c>
      <c r="N119" s="58">
        <f t="shared" si="68"/>
        <v>0</v>
      </c>
      <c r="O119" s="58">
        <f t="shared" si="69"/>
        <v>0</v>
      </c>
      <c r="P119" s="58">
        <f t="shared" si="70"/>
        <v>0</v>
      </c>
      <c r="Q119" s="58">
        <f t="shared" si="71"/>
        <v>0</v>
      </c>
      <c r="R119" s="58">
        <f t="shared" si="72"/>
        <v>0</v>
      </c>
      <c r="S119" s="58">
        <f t="shared" si="73"/>
        <v>0</v>
      </c>
      <c r="T119" s="58">
        <f t="shared" si="74"/>
        <v>0</v>
      </c>
      <c r="U119" s="58">
        <f t="shared" si="75"/>
        <v>0</v>
      </c>
      <c r="V119" s="58">
        <f t="shared" si="76"/>
        <v>0</v>
      </c>
      <c r="W119" s="58">
        <f t="shared" si="77"/>
        <v>0</v>
      </c>
      <c r="X119" s="58">
        <f t="shared" si="78"/>
        <v>0</v>
      </c>
      <c r="Y119" s="58">
        <f t="shared" si="79"/>
        <v>0</v>
      </c>
      <c r="Z119" s="58">
        <f t="shared" si="80"/>
        <v>0</v>
      </c>
      <c r="AA119" s="59">
        <f t="shared" si="40"/>
        <v>0</v>
      </c>
      <c r="AB119" s="85">
        <v>299</v>
      </c>
      <c r="AC119" s="85">
        <v>3.07</v>
      </c>
      <c r="AD119" s="85">
        <v>0.46</v>
      </c>
      <c r="AE119" s="85">
        <v>5.8000000000000003E-2</v>
      </c>
      <c r="AF119" s="85">
        <v>8.7999999999999995E-2</v>
      </c>
      <c r="AG119" s="85">
        <v>79.180000000000007</v>
      </c>
      <c r="AH119" s="85">
        <v>3.7</v>
      </c>
      <c r="AI119" s="85">
        <v>59.19</v>
      </c>
      <c r="AJ119" s="85">
        <v>50</v>
      </c>
      <c r="AK119" s="85">
        <v>1.88</v>
      </c>
      <c r="AL119" s="85">
        <v>32</v>
      </c>
      <c r="AM119" s="85">
        <v>749</v>
      </c>
      <c r="AN119" s="85">
        <v>11</v>
      </c>
      <c r="AO119" s="85">
        <v>0.22</v>
      </c>
      <c r="AP119" s="85">
        <v>2.2999999999999998</v>
      </c>
      <c r="AQ119" s="85">
        <v>0.17399999999999999</v>
      </c>
      <c r="AR119" s="85">
        <v>0</v>
      </c>
      <c r="AS119" s="85">
        <v>0.12</v>
      </c>
      <c r="AT119" s="85">
        <v>0</v>
      </c>
      <c r="AU119" s="85">
        <v>3.5</v>
      </c>
      <c r="AV119" s="85">
        <v>0</v>
      </c>
    </row>
    <row r="120" spans="1:48" s="1" customFormat="1" x14ac:dyDescent="0.55000000000000004">
      <c r="A120" s="1" t="s">
        <v>446</v>
      </c>
      <c r="B120" s="1" t="s">
        <v>654</v>
      </c>
      <c r="C120" s="1" t="s">
        <v>568</v>
      </c>
      <c r="D120" s="59">
        <v>0</v>
      </c>
      <c r="E120" s="59">
        <v>250</v>
      </c>
      <c r="F120" s="59">
        <f t="shared" si="62"/>
        <v>0</v>
      </c>
      <c r="G120" s="58">
        <f t="shared" si="63"/>
        <v>0</v>
      </c>
      <c r="H120" s="58">
        <f t="shared" si="64"/>
        <v>0</v>
      </c>
      <c r="I120" s="58">
        <f t="shared" si="60"/>
        <v>0</v>
      </c>
      <c r="J120" s="58">
        <f t="shared" si="61"/>
        <v>0</v>
      </c>
      <c r="K120" s="58">
        <f t="shared" si="65"/>
        <v>0</v>
      </c>
      <c r="L120" s="58">
        <f t="shared" si="66"/>
        <v>0</v>
      </c>
      <c r="M120" s="58">
        <f t="shared" si="67"/>
        <v>0</v>
      </c>
      <c r="N120" s="58">
        <f t="shared" si="68"/>
        <v>0</v>
      </c>
      <c r="O120" s="58">
        <f t="shared" si="69"/>
        <v>0</v>
      </c>
      <c r="P120" s="58">
        <f t="shared" si="70"/>
        <v>0</v>
      </c>
      <c r="Q120" s="58">
        <f t="shared" si="71"/>
        <v>0</v>
      </c>
      <c r="R120" s="58">
        <f t="shared" si="72"/>
        <v>0</v>
      </c>
      <c r="S120" s="58">
        <f t="shared" si="73"/>
        <v>0</v>
      </c>
      <c r="T120" s="58">
        <f t="shared" si="74"/>
        <v>0</v>
      </c>
      <c r="U120" s="58">
        <f t="shared" si="75"/>
        <v>0</v>
      </c>
      <c r="V120" s="58">
        <f t="shared" si="76"/>
        <v>0</v>
      </c>
      <c r="W120" s="58">
        <f t="shared" si="77"/>
        <v>0</v>
      </c>
      <c r="X120" s="58">
        <f t="shared" si="78"/>
        <v>0</v>
      </c>
      <c r="Y120" s="58">
        <f t="shared" si="79"/>
        <v>0</v>
      </c>
      <c r="Z120" s="58">
        <f t="shared" si="80"/>
        <v>0</v>
      </c>
      <c r="AA120" s="59">
        <f t="shared" si="40"/>
        <v>0</v>
      </c>
      <c r="AB120" s="85">
        <v>52</v>
      </c>
      <c r="AC120" s="85">
        <v>1.2</v>
      </c>
      <c r="AD120" s="85">
        <v>0.65</v>
      </c>
      <c r="AE120" s="85">
        <v>1.9E-2</v>
      </c>
      <c r="AF120" s="85">
        <v>0.439</v>
      </c>
      <c r="AG120" s="85">
        <v>11.94</v>
      </c>
      <c r="AH120" s="85">
        <v>6.5</v>
      </c>
      <c r="AI120" s="85">
        <v>4.42</v>
      </c>
      <c r="AJ120" s="85">
        <v>25</v>
      </c>
      <c r="AK120" s="85">
        <v>0.69</v>
      </c>
      <c r="AL120" s="85">
        <v>22</v>
      </c>
      <c r="AM120" s="85">
        <v>151</v>
      </c>
      <c r="AN120" s="85">
        <v>1</v>
      </c>
      <c r="AO120" s="85">
        <v>0.42</v>
      </c>
      <c r="AP120" s="85">
        <v>26.2</v>
      </c>
      <c r="AQ120" s="85">
        <v>5.5E-2</v>
      </c>
      <c r="AR120" s="85">
        <v>0</v>
      </c>
      <c r="AS120" s="85">
        <v>0.87</v>
      </c>
      <c r="AT120" s="85">
        <v>0</v>
      </c>
      <c r="AU120" s="85">
        <v>7.8</v>
      </c>
      <c r="AV120" s="85">
        <v>0</v>
      </c>
    </row>
    <row r="121" spans="1:48" s="1" customFormat="1" x14ac:dyDescent="0.55000000000000004">
      <c r="A121" s="1" t="s">
        <v>447</v>
      </c>
      <c r="B121" s="1" t="s">
        <v>702</v>
      </c>
      <c r="C121" s="1" t="s">
        <v>569</v>
      </c>
      <c r="D121" s="59">
        <v>42.900604638098436</v>
      </c>
      <c r="E121" s="59">
        <v>250</v>
      </c>
      <c r="F121" s="59">
        <f t="shared" si="62"/>
        <v>42</v>
      </c>
      <c r="G121" s="58">
        <f t="shared" si="63"/>
        <v>52.767743704861076</v>
      </c>
      <c r="H121" s="58">
        <f t="shared" si="64"/>
        <v>1.1754765670838971</v>
      </c>
      <c r="I121" s="58">
        <f t="shared" si="60"/>
        <v>0.41613586498955485</v>
      </c>
      <c r="J121" s="58">
        <f t="shared" si="61"/>
        <v>0.11154157205905595</v>
      </c>
      <c r="K121" s="58">
        <f t="shared" si="65"/>
        <v>10.97397466642558</v>
      </c>
      <c r="L121" s="58">
        <f t="shared" si="66"/>
        <v>0.68640967420957499</v>
      </c>
      <c r="M121" s="58">
        <f t="shared" si="67"/>
        <v>0.10296145113143623</v>
      </c>
      <c r="N121" s="58">
        <f t="shared" si="68"/>
        <v>1.2870181391429532</v>
      </c>
      <c r="O121" s="58">
        <f t="shared" si="69"/>
        <v>0.24024338597335126</v>
      </c>
      <c r="P121" s="58">
        <f t="shared" si="70"/>
        <v>16.73123580885839</v>
      </c>
      <c r="Q121" s="58">
        <f t="shared" si="71"/>
        <v>36.894519988764657</v>
      </c>
      <c r="R121" s="58">
        <f t="shared" si="72"/>
        <v>1.7160241855239375</v>
      </c>
      <c r="S121" s="58">
        <f t="shared" si="73"/>
        <v>0.30459429293049889</v>
      </c>
      <c r="T121" s="58">
        <f t="shared" si="74"/>
        <v>0</v>
      </c>
      <c r="U121" s="58">
        <f t="shared" si="75"/>
        <v>5.2767743704861071E-2</v>
      </c>
      <c r="V121" s="58">
        <f t="shared" si="76"/>
        <v>0</v>
      </c>
      <c r="W121" s="58">
        <f t="shared" si="77"/>
        <v>7.2931027884767352E-2</v>
      </c>
      <c r="X121" s="58">
        <f t="shared" si="78"/>
        <v>0</v>
      </c>
      <c r="Y121" s="58">
        <f t="shared" si="79"/>
        <v>8.5801209276196874E-2</v>
      </c>
      <c r="Z121" s="58">
        <f t="shared" si="80"/>
        <v>0</v>
      </c>
      <c r="AA121" s="59">
        <f t="shared" si="40"/>
        <v>0.41613586498955485</v>
      </c>
      <c r="AB121" s="85">
        <v>123</v>
      </c>
      <c r="AC121" s="85">
        <v>2.74</v>
      </c>
      <c r="AD121" s="85">
        <v>0.97</v>
      </c>
      <c r="AE121" s="85">
        <v>0.26</v>
      </c>
      <c r="AF121" s="85">
        <v>0.73499999999999999</v>
      </c>
      <c r="AG121" s="85">
        <v>25.58</v>
      </c>
      <c r="AH121" s="85">
        <v>1.6</v>
      </c>
      <c r="AI121" s="85">
        <v>0.24</v>
      </c>
      <c r="AJ121" s="85">
        <v>3</v>
      </c>
      <c r="AK121" s="85">
        <v>0.56000000000000005</v>
      </c>
      <c r="AL121" s="85">
        <v>39</v>
      </c>
      <c r="AM121" s="85">
        <v>86</v>
      </c>
      <c r="AN121" s="85">
        <v>4</v>
      </c>
      <c r="AO121" s="85">
        <v>0.71</v>
      </c>
      <c r="AP121" s="85">
        <v>0</v>
      </c>
      <c r="AQ121" s="85">
        <v>0.123</v>
      </c>
      <c r="AR121" s="85">
        <v>0</v>
      </c>
      <c r="AS121" s="85">
        <v>0.17</v>
      </c>
      <c r="AT121" s="85">
        <v>0</v>
      </c>
      <c r="AU121" s="85">
        <v>0.2</v>
      </c>
      <c r="AV121" s="85">
        <v>0</v>
      </c>
    </row>
    <row r="122" spans="1:48" s="1" customFormat="1" x14ac:dyDescent="0.55000000000000004">
      <c r="A122" s="1" t="s">
        <v>448</v>
      </c>
      <c r="B122" s="1" t="s">
        <v>655</v>
      </c>
      <c r="C122" s="1" t="s">
        <v>570</v>
      </c>
      <c r="D122" s="59">
        <v>0</v>
      </c>
      <c r="E122" s="59">
        <v>250</v>
      </c>
      <c r="F122" s="59">
        <f t="shared" si="62"/>
        <v>0</v>
      </c>
      <c r="G122" s="58">
        <f t="shared" si="63"/>
        <v>0</v>
      </c>
      <c r="H122" s="58">
        <f t="shared" si="64"/>
        <v>0</v>
      </c>
      <c r="I122" s="58">
        <f t="shared" si="60"/>
        <v>0</v>
      </c>
      <c r="J122" s="58">
        <f t="shared" si="61"/>
        <v>0</v>
      </c>
      <c r="K122" s="58">
        <f t="shared" si="65"/>
        <v>0</v>
      </c>
      <c r="L122" s="58">
        <f t="shared" si="66"/>
        <v>0</v>
      </c>
      <c r="M122" s="58">
        <f t="shared" si="67"/>
        <v>0</v>
      </c>
      <c r="N122" s="58">
        <f t="shared" si="68"/>
        <v>0</v>
      </c>
      <c r="O122" s="58">
        <f t="shared" si="69"/>
        <v>0</v>
      </c>
      <c r="P122" s="58">
        <f t="shared" si="70"/>
        <v>0</v>
      </c>
      <c r="Q122" s="58">
        <f t="shared" si="71"/>
        <v>0</v>
      </c>
      <c r="R122" s="58">
        <f t="shared" si="72"/>
        <v>0</v>
      </c>
      <c r="S122" s="58">
        <f t="shared" si="73"/>
        <v>0</v>
      </c>
      <c r="T122" s="58">
        <f t="shared" si="74"/>
        <v>0</v>
      </c>
      <c r="U122" s="58">
        <f t="shared" si="75"/>
        <v>0</v>
      </c>
      <c r="V122" s="58">
        <f t="shared" si="76"/>
        <v>0</v>
      </c>
      <c r="W122" s="58">
        <f t="shared" si="77"/>
        <v>0</v>
      </c>
      <c r="X122" s="58">
        <f t="shared" si="78"/>
        <v>0</v>
      </c>
      <c r="Y122" s="58">
        <f t="shared" si="79"/>
        <v>0</v>
      </c>
      <c r="Z122" s="58">
        <f t="shared" si="80"/>
        <v>0</v>
      </c>
      <c r="AA122" s="59">
        <f t="shared" si="40"/>
        <v>0</v>
      </c>
      <c r="AB122" s="85">
        <v>131</v>
      </c>
      <c r="AC122" s="85">
        <v>3.31</v>
      </c>
      <c r="AD122" s="85">
        <v>5.86</v>
      </c>
      <c r="AE122" s="85">
        <v>2.8380000000000001</v>
      </c>
      <c r="AF122" s="85">
        <v>2.0609999999999999</v>
      </c>
      <c r="AG122" s="85">
        <v>20.7</v>
      </c>
      <c r="AH122" s="85">
        <v>14.1</v>
      </c>
      <c r="AI122" s="85">
        <v>0</v>
      </c>
      <c r="AJ122" s="85">
        <v>317</v>
      </c>
      <c r="AK122" s="85">
        <v>6.65</v>
      </c>
      <c r="AL122" s="85">
        <v>91</v>
      </c>
      <c r="AM122" s="85">
        <v>668</v>
      </c>
      <c r="AN122" s="85">
        <v>26</v>
      </c>
      <c r="AO122" s="85">
        <v>0.93</v>
      </c>
      <c r="AP122" s="85">
        <v>21.8</v>
      </c>
      <c r="AQ122" s="85">
        <v>0.33600000000000002</v>
      </c>
      <c r="AR122" s="85">
        <v>0</v>
      </c>
      <c r="AS122" s="85">
        <v>0</v>
      </c>
      <c r="AT122" s="85">
        <v>0</v>
      </c>
      <c r="AU122" s="85">
        <v>0</v>
      </c>
      <c r="AV122" s="85">
        <v>0</v>
      </c>
    </row>
    <row r="123" spans="1:48" s="1" customFormat="1" x14ac:dyDescent="0.55000000000000004">
      <c r="A123" s="1" t="s">
        <v>449</v>
      </c>
      <c r="B123" s="1" t="s">
        <v>656</v>
      </c>
      <c r="C123" s="1" t="s">
        <v>571</v>
      </c>
      <c r="D123" s="59">
        <v>0</v>
      </c>
      <c r="E123" s="59">
        <v>250</v>
      </c>
      <c r="F123" s="59">
        <f t="shared" si="62"/>
        <v>0</v>
      </c>
      <c r="G123" s="58">
        <f t="shared" si="63"/>
        <v>0</v>
      </c>
      <c r="H123" s="58">
        <f t="shared" si="64"/>
        <v>0</v>
      </c>
      <c r="I123" s="58">
        <f t="shared" si="60"/>
        <v>0</v>
      </c>
      <c r="J123" s="58">
        <f t="shared" si="61"/>
        <v>0</v>
      </c>
      <c r="K123" s="58">
        <f t="shared" si="65"/>
        <v>0</v>
      </c>
      <c r="L123" s="58">
        <f t="shared" si="66"/>
        <v>0</v>
      </c>
      <c r="M123" s="58">
        <f t="shared" si="67"/>
        <v>0</v>
      </c>
      <c r="N123" s="58">
        <f t="shared" si="68"/>
        <v>0</v>
      </c>
      <c r="O123" s="58">
        <f t="shared" si="69"/>
        <v>0</v>
      </c>
      <c r="P123" s="58">
        <f t="shared" si="70"/>
        <v>0</v>
      </c>
      <c r="Q123" s="58">
        <f t="shared" si="71"/>
        <v>0</v>
      </c>
      <c r="R123" s="58">
        <f t="shared" si="72"/>
        <v>0</v>
      </c>
      <c r="S123" s="58">
        <f t="shared" si="73"/>
        <v>0</v>
      </c>
      <c r="T123" s="58">
        <f t="shared" si="74"/>
        <v>0</v>
      </c>
      <c r="U123" s="58">
        <f t="shared" si="75"/>
        <v>0</v>
      </c>
      <c r="V123" s="58">
        <f t="shared" si="76"/>
        <v>0</v>
      </c>
      <c r="W123" s="58">
        <f t="shared" si="77"/>
        <v>0</v>
      </c>
      <c r="X123" s="58">
        <f t="shared" si="78"/>
        <v>0</v>
      </c>
      <c r="Y123" s="58">
        <f t="shared" si="79"/>
        <v>0</v>
      </c>
      <c r="Z123" s="58">
        <f t="shared" si="80"/>
        <v>0</v>
      </c>
      <c r="AA123" s="59">
        <f t="shared" si="40"/>
        <v>0</v>
      </c>
      <c r="AB123" s="85">
        <v>310</v>
      </c>
      <c r="AC123" s="85">
        <v>11.43</v>
      </c>
      <c r="AD123" s="85">
        <v>5.85</v>
      </c>
      <c r="AE123" s="85">
        <v>1.5860000000000001</v>
      </c>
      <c r="AF123" s="85">
        <v>2.496</v>
      </c>
      <c r="AG123" s="85">
        <v>65.37</v>
      </c>
      <c r="AH123" s="85">
        <v>3.9</v>
      </c>
      <c r="AI123" s="85">
        <v>0</v>
      </c>
      <c r="AJ123" s="85">
        <v>111</v>
      </c>
      <c r="AK123" s="85">
        <v>11.1</v>
      </c>
      <c r="AL123" s="85">
        <v>264</v>
      </c>
      <c r="AM123" s="85">
        <v>1724</v>
      </c>
      <c r="AN123" s="85">
        <v>148</v>
      </c>
      <c r="AO123" s="85">
        <v>1.0900000000000001</v>
      </c>
      <c r="AP123" s="85">
        <v>80.8</v>
      </c>
      <c r="AQ123" s="85">
        <v>1.01</v>
      </c>
      <c r="AR123" s="85">
        <v>0</v>
      </c>
      <c r="AS123" s="85">
        <v>0</v>
      </c>
      <c r="AT123" s="85">
        <v>0</v>
      </c>
      <c r="AU123" s="85">
        <v>0</v>
      </c>
      <c r="AV123" s="85">
        <v>0</v>
      </c>
    </row>
    <row r="124" spans="1:48" s="1" customFormat="1" x14ac:dyDescent="0.55000000000000004">
      <c r="A124" s="1" t="s">
        <v>450</v>
      </c>
      <c r="B124" s="1" t="s">
        <v>684</v>
      </c>
      <c r="C124" s="1" t="s">
        <v>572</v>
      </c>
      <c r="D124" s="59">
        <v>0</v>
      </c>
      <c r="E124" s="59">
        <v>250</v>
      </c>
      <c r="F124" s="59">
        <f t="shared" si="62"/>
        <v>0</v>
      </c>
      <c r="G124" s="58">
        <f t="shared" si="63"/>
        <v>0</v>
      </c>
      <c r="H124" s="58">
        <f t="shared" si="64"/>
        <v>0</v>
      </c>
      <c r="I124" s="58">
        <f t="shared" si="60"/>
        <v>0</v>
      </c>
      <c r="J124" s="58">
        <f t="shared" si="61"/>
        <v>0</v>
      </c>
      <c r="K124" s="58">
        <f t="shared" si="65"/>
        <v>0</v>
      </c>
      <c r="L124" s="58">
        <f t="shared" si="66"/>
        <v>0</v>
      </c>
      <c r="M124" s="58">
        <f t="shared" si="67"/>
        <v>0</v>
      </c>
      <c r="N124" s="58">
        <f t="shared" si="68"/>
        <v>0</v>
      </c>
      <c r="O124" s="58">
        <f t="shared" si="69"/>
        <v>0</v>
      </c>
      <c r="P124" s="58">
        <f t="shared" si="70"/>
        <v>0</v>
      </c>
      <c r="Q124" s="58">
        <f t="shared" si="71"/>
        <v>0</v>
      </c>
      <c r="R124" s="58">
        <f t="shared" si="72"/>
        <v>0</v>
      </c>
      <c r="S124" s="58">
        <f t="shared" si="73"/>
        <v>0</v>
      </c>
      <c r="T124" s="58">
        <f t="shared" si="74"/>
        <v>0</v>
      </c>
      <c r="U124" s="58">
        <f t="shared" si="75"/>
        <v>0</v>
      </c>
      <c r="V124" s="58">
        <f t="shared" si="76"/>
        <v>0</v>
      </c>
      <c r="W124" s="58">
        <f t="shared" si="77"/>
        <v>0</v>
      </c>
      <c r="X124" s="58">
        <f t="shared" si="78"/>
        <v>0</v>
      </c>
      <c r="Y124" s="58">
        <f t="shared" si="79"/>
        <v>0</v>
      </c>
      <c r="Z124" s="58">
        <f t="shared" si="80"/>
        <v>0</v>
      </c>
      <c r="AA124" s="59">
        <f t="shared" ref="AA124:AA148" si="81">AD124*$D124/100</f>
        <v>0</v>
      </c>
      <c r="AB124" s="85">
        <v>315</v>
      </c>
      <c r="AC124" s="85">
        <v>10.63</v>
      </c>
      <c r="AD124" s="85">
        <v>12.75</v>
      </c>
      <c r="AE124" s="85">
        <v>7.03</v>
      </c>
      <c r="AF124" s="85">
        <v>3.63</v>
      </c>
      <c r="AG124" s="85">
        <v>60.73</v>
      </c>
      <c r="AH124" s="85">
        <v>40.299999999999997</v>
      </c>
      <c r="AI124" s="85">
        <v>1.71</v>
      </c>
      <c r="AJ124" s="85">
        <v>1652</v>
      </c>
      <c r="AK124" s="85">
        <v>28.12</v>
      </c>
      <c r="AL124" s="85">
        <v>428</v>
      </c>
      <c r="AM124" s="85">
        <v>1070</v>
      </c>
      <c r="AN124" s="85">
        <v>11</v>
      </c>
      <c r="AO124" s="85">
        <v>4.7</v>
      </c>
      <c r="AP124" s="85">
        <v>32.4</v>
      </c>
      <c r="AQ124" s="85">
        <v>2.69</v>
      </c>
      <c r="AR124" s="85">
        <v>0</v>
      </c>
      <c r="AS124" s="85">
        <v>7.48</v>
      </c>
      <c r="AT124" s="85">
        <v>0</v>
      </c>
      <c r="AU124" s="85">
        <v>1714.5</v>
      </c>
      <c r="AV124" s="85">
        <v>0</v>
      </c>
    </row>
    <row r="125" spans="1:48" s="1" customFormat="1" x14ac:dyDescent="0.55000000000000004">
      <c r="A125" s="1" t="s">
        <v>451</v>
      </c>
      <c r="B125" s="1" t="s">
        <v>703</v>
      </c>
      <c r="C125" s="1" t="s">
        <v>573</v>
      </c>
      <c r="D125" s="59">
        <v>0</v>
      </c>
      <c r="E125" s="59">
        <v>250</v>
      </c>
      <c r="F125" s="59">
        <f t="shared" si="62"/>
        <v>0</v>
      </c>
      <c r="G125" s="58">
        <f t="shared" si="63"/>
        <v>0</v>
      </c>
      <c r="H125" s="58">
        <f t="shared" si="64"/>
        <v>0</v>
      </c>
      <c r="I125" s="58">
        <f t="shared" si="60"/>
        <v>0</v>
      </c>
      <c r="J125" s="58">
        <f t="shared" si="61"/>
        <v>0</v>
      </c>
      <c r="K125" s="58">
        <f t="shared" si="65"/>
        <v>0</v>
      </c>
      <c r="L125" s="58">
        <f t="shared" si="66"/>
        <v>0</v>
      </c>
      <c r="M125" s="58">
        <f t="shared" si="67"/>
        <v>0</v>
      </c>
      <c r="N125" s="58">
        <f t="shared" si="68"/>
        <v>0</v>
      </c>
      <c r="O125" s="58">
        <f t="shared" si="69"/>
        <v>0</v>
      </c>
      <c r="P125" s="58">
        <f t="shared" si="70"/>
        <v>0</v>
      </c>
      <c r="Q125" s="58">
        <f t="shared" si="71"/>
        <v>0</v>
      </c>
      <c r="R125" s="58">
        <f t="shared" si="72"/>
        <v>0</v>
      </c>
      <c r="S125" s="58">
        <f t="shared" si="73"/>
        <v>0</v>
      </c>
      <c r="T125" s="58">
        <f t="shared" si="74"/>
        <v>0</v>
      </c>
      <c r="U125" s="58">
        <f t="shared" si="75"/>
        <v>0</v>
      </c>
      <c r="V125" s="58">
        <f t="shared" si="76"/>
        <v>0</v>
      </c>
      <c r="W125" s="58">
        <f t="shared" si="77"/>
        <v>0</v>
      </c>
      <c r="X125" s="58">
        <f t="shared" si="78"/>
        <v>0</v>
      </c>
      <c r="Y125" s="58">
        <f t="shared" si="79"/>
        <v>0</v>
      </c>
      <c r="Z125" s="58">
        <f t="shared" si="80"/>
        <v>0</v>
      </c>
      <c r="AA125" s="59">
        <f t="shared" si="81"/>
        <v>0</v>
      </c>
      <c r="AB125" s="85">
        <v>182</v>
      </c>
      <c r="AC125" s="85">
        <v>25.44</v>
      </c>
      <c r="AD125" s="85">
        <v>8.1300000000000008</v>
      </c>
      <c r="AE125" s="85">
        <v>1.2569999999999999</v>
      </c>
      <c r="AF125" s="85">
        <v>5.9529999999999994</v>
      </c>
      <c r="AG125" s="85">
        <v>0</v>
      </c>
      <c r="AH125" s="85">
        <v>0</v>
      </c>
      <c r="AI125" s="85">
        <v>0</v>
      </c>
      <c r="AJ125" s="85">
        <v>15</v>
      </c>
      <c r="AK125" s="85">
        <v>1.03</v>
      </c>
      <c r="AL125" s="85">
        <v>37</v>
      </c>
      <c r="AM125" s="85">
        <v>628</v>
      </c>
      <c r="AN125" s="85">
        <v>56</v>
      </c>
      <c r="AO125" s="85">
        <v>0.82</v>
      </c>
      <c r="AP125" s="85">
        <v>0</v>
      </c>
      <c r="AQ125" s="85">
        <v>0.94399999999999995</v>
      </c>
      <c r="AR125" s="85">
        <v>3.05</v>
      </c>
      <c r="AS125" s="85">
        <v>0</v>
      </c>
      <c r="AT125" s="85">
        <v>0</v>
      </c>
      <c r="AU125" s="85">
        <v>0</v>
      </c>
      <c r="AV125" s="85">
        <v>71</v>
      </c>
    </row>
    <row r="126" spans="1:48" s="1" customFormat="1" x14ac:dyDescent="0.55000000000000004">
      <c r="A126" s="1" t="s">
        <v>452</v>
      </c>
      <c r="B126" s="1" t="s">
        <v>694</v>
      </c>
      <c r="C126" s="1" t="s">
        <v>574</v>
      </c>
      <c r="D126" s="59">
        <v>77.999937024560225</v>
      </c>
      <c r="E126" s="59">
        <v>250</v>
      </c>
      <c r="F126" s="59">
        <f t="shared" si="62"/>
        <v>77</v>
      </c>
      <c r="G126" s="58">
        <f t="shared" si="63"/>
        <v>431.33965174581806</v>
      </c>
      <c r="H126" s="58">
        <f t="shared" si="64"/>
        <v>24.616780124951205</v>
      </c>
      <c r="I126" s="58">
        <f t="shared" si="60"/>
        <v>38.024969299473106</v>
      </c>
      <c r="J126" s="58">
        <f t="shared" si="61"/>
        <v>3.5879971031297702</v>
      </c>
      <c r="K126" s="58">
        <f t="shared" si="65"/>
        <v>6.7625945400293714</v>
      </c>
      <c r="L126" s="58">
        <f t="shared" si="66"/>
        <v>3.1199974809824091</v>
      </c>
      <c r="M126" s="58">
        <f t="shared" si="67"/>
        <v>1.1699990553684034</v>
      </c>
      <c r="N126" s="58">
        <f t="shared" si="68"/>
        <v>54.599955917192155</v>
      </c>
      <c r="O126" s="58">
        <f t="shared" si="69"/>
        <v>6.2009949934525377</v>
      </c>
      <c r="P126" s="58">
        <f t="shared" si="70"/>
        <v>545.99955917192153</v>
      </c>
      <c r="Q126" s="58">
        <f t="shared" si="71"/>
        <v>935.99924429472276</v>
      </c>
      <c r="R126" s="58">
        <f t="shared" si="72"/>
        <v>3.899996851228011</v>
      </c>
      <c r="S126" s="58">
        <f t="shared" si="73"/>
        <v>7.7219937654314625</v>
      </c>
      <c r="T126" s="58">
        <f t="shared" si="74"/>
        <v>0.38999968512280114</v>
      </c>
      <c r="U126" s="58">
        <f t="shared" si="75"/>
        <v>0.46799962214736135</v>
      </c>
      <c r="V126" s="58">
        <f t="shared" si="76"/>
        <v>0</v>
      </c>
      <c r="W126" s="58">
        <f t="shared" si="77"/>
        <v>0.62399949619648187</v>
      </c>
      <c r="X126" s="58">
        <f t="shared" si="78"/>
        <v>0</v>
      </c>
      <c r="Y126" s="58">
        <f t="shared" si="79"/>
        <v>0</v>
      </c>
      <c r="Z126" s="58">
        <f t="shared" si="80"/>
        <v>0</v>
      </c>
      <c r="AA126" s="59">
        <f t="shared" si="81"/>
        <v>38.024969299473106</v>
      </c>
      <c r="AB126" s="85">
        <v>553</v>
      </c>
      <c r="AC126" s="85">
        <v>31.56</v>
      </c>
      <c r="AD126" s="85">
        <v>48.75</v>
      </c>
      <c r="AE126" s="85">
        <v>4.5999999999999996</v>
      </c>
      <c r="AF126" s="85">
        <v>43.5</v>
      </c>
      <c r="AG126" s="85">
        <v>8.67</v>
      </c>
      <c r="AH126" s="85">
        <v>4</v>
      </c>
      <c r="AI126" s="85">
        <v>1.5</v>
      </c>
      <c r="AJ126" s="85">
        <v>70</v>
      </c>
      <c r="AK126" s="85">
        <v>7.95</v>
      </c>
      <c r="AL126" s="85">
        <v>700</v>
      </c>
      <c r="AM126" s="85">
        <v>1200</v>
      </c>
      <c r="AN126" s="85">
        <v>5</v>
      </c>
      <c r="AO126" s="85">
        <v>9.9</v>
      </c>
      <c r="AP126" s="85">
        <v>0.5</v>
      </c>
      <c r="AQ126" s="85">
        <v>0.6</v>
      </c>
      <c r="AR126" s="85">
        <v>0</v>
      </c>
      <c r="AS126" s="85">
        <v>0.8</v>
      </c>
      <c r="AT126" s="85">
        <v>0</v>
      </c>
      <c r="AU126" s="85">
        <v>0</v>
      </c>
      <c r="AV126" s="85">
        <v>0</v>
      </c>
    </row>
    <row r="127" spans="1:48" s="1" customFormat="1" x14ac:dyDescent="0.55000000000000004">
      <c r="A127" s="1" t="s">
        <v>453</v>
      </c>
      <c r="B127" s="1" t="s">
        <v>704</v>
      </c>
      <c r="C127" s="1" t="s">
        <v>575</v>
      </c>
      <c r="D127" s="59">
        <v>60</v>
      </c>
      <c r="E127" s="59">
        <v>60</v>
      </c>
      <c r="F127" s="59">
        <f t="shared" si="62"/>
        <v>60</v>
      </c>
      <c r="G127" s="58">
        <f t="shared" si="63"/>
        <v>342</v>
      </c>
      <c r="H127" s="58">
        <f t="shared" si="64"/>
        <v>10.686</v>
      </c>
      <c r="I127" s="58">
        <f t="shared" si="60"/>
        <v>28.8</v>
      </c>
      <c r="J127" s="58">
        <f t="shared" si="61"/>
        <v>4.0332000000000008</v>
      </c>
      <c r="K127" s="58">
        <f t="shared" si="65"/>
        <v>15.714</v>
      </c>
      <c r="L127" s="58">
        <f t="shared" si="66"/>
        <v>5.58</v>
      </c>
      <c r="M127" s="58">
        <f t="shared" si="67"/>
        <v>0</v>
      </c>
      <c r="N127" s="58">
        <f t="shared" si="68"/>
        <v>252</v>
      </c>
      <c r="O127" s="58">
        <f t="shared" si="69"/>
        <v>1.506</v>
      </c>
      <c r="P127" s="58">
        <f t="shared" si="70"/>
        <v>57.6</v>
      </c>
      <c r="Q127" s="58">
        <f t="shared" si="71"/>
        <v>248.4</v>
      </c>
      <c r="R127" s="58">
        <f t="shared" si="72"/>
        <v>44.4</v>
      </c>
      <c r="S127" s="58">
        <f t="shared" si="73"/>
        <v>2.7839999999999998</v>
      </c>
      <c r="T127" s="58">
        <f t="shared" si="74"/>
        <v>0</v>
      </c>
      <c r="U127" s="58">
        <f t="shared" si="75"/>
        <v>8.9399999999999993E-2</v>
      </c>
      <c r="V127" s="58">
        <f t="shared" si="76"/>
        <v>0</v>
      </c>
      <c r="W127" s="58">
        <f t="shared" si="77"/>
        <v>0</v>
      </c>
      <c r="X127" s="58">
        <f t="shared" si="78"/>
        <v>0</v>
      </c>
      <c r="Y127" s="58">
        <f t="shared" si="79"/>
        <v>0</v>
      </c>
      <c r="Z127" s="58">
        <f t="shared" si="80"/>
        <v>0</v>
      </c>
      <c r="AA127" s="59">
        <f t="shared" si="81"/>
        <v>28.8</v>
      </c>
      <c r="AB127" s="85">
        <v>570</v>
      </c>
      <c r="AC127" s="85">
        <v>17.809999999999999</v>
      </c>
      <c r="AD127" s="85">
        <v>48</v>
      </c>
      <c r="AE127" s="85">
        <v>6.7220000000000004</v>
      </c>
      <c r="AF127" s="85">
        <v>39.165999999999997</v>
      </c>
      <c r="AG127" s="85">
        <v>26.19</v>
      </c>
      <c r="AH127" s="85">
        <v>9.3000000000000007</v>
      </c>
      <c r="AI127" s="85">
        <v>0</v>
      </c>
      <c r="AJ127" s="85">
        <v>420</v>
      </c>
      <c r="AK127" s="85">
        <v>2.5099999999999998</v>
      </c>
      <c r="AL127" s="85">
        <v>96</v>
      </c>
      <c r="AM127" s="85">
        <v>414</v>
      </c>
      <c r="AN127" s="85">
        <v>74</v>
      </c>
      <c r="AO127" s="85">
        <v>4.6399999999999997</v>
      </c>
      <c r="AP127" s="85">
        <v>0</v>
      </c>
      <c r="AQ127" s="85">
        <v>0.14899999999999999</v>
      </c>
      <c r="AR127" s="85">
        <v>0</v>
      </c>
      <c r="AS127" s="85">
        <v>0</v>
      </c>
      <c r="AT127" s="85">
        <v>0</v>
      </c>
      <c r="AU127" s="85">
        <v>0</v>
      </c>
      <c r="AV127" s="85">
        <v>0</v>
      </c>
    </row>
    <row r="128" spans="1:48" s="1" customFormat="1" x14ac:dyDescent="0.55000000000000004">
      <c r="A128" s="1" t="s">
        <v>454</v>
      </c>
      <c r="B128" s="1" t="s">
        <v>666</v>
      </c>
      <c r="C128" s="1" t="s">
        <v>576</v>
      </c>
      <c r="D128" s="59">
        <v>0</v>
      </c>
      <c r="E128" s="59">
        <v>0</v>
      </c>
      <c r="F128" s="59">
        <f t="shared" si="62"/>
        <v>0</v>
      </c>
      <c r="G128" s="58">
        <f t="shared" si="63"/>
        <v>0</v>
      </c>
      <c r="H128" s="58">
        <f t="shared" si="64"/>
        <v>0</v>
      </c>
      <c r="I128" s="58">
        <f t="shared" si="60"/>
        <v>0</v>
      </c>
      <c r="J128" s="58">
        <f t="shared" si="61"/>
        <v>0</v>
      </c>
      <c r="K128" s="58">
        <f t="shared" si="65"/>
        <v>0</v>
      </c>
      <c r="L128" s="58">
        <f t="shared" si="66"/>
        <v>0</v>
      </c>
      <c r="M128" s="58">
        <f t="shared" si="67"/>
        <v>0</v>
      </c>
      <c r="N128" s="58">
        <f t="shared" si="68"/>
        <v>0</v>
      </c>
      <c r="O128" s="58">
        <f t="shared" si="69"/>
        <v>0</v>
      </c>
      <c r="P128" s="58">
        <f t="shared" si="70"/>
        <v>0</v>
      </c>
      <c r="Q128" s="58">
        <f t="shared" si="71"/>
        <v>0</v>
      </c>
      <c r="R128" s="58">
        <f t="shared" si="72"/>
        <v>0</v>
      </c>
      <c r="S128" s="58">
        <f t="shared" si="73"/>
        <v>0</v>
      </c>
      <c r="T128" s="58">
        <f t="shared" si="74"/>
        <v>0</v>
      </c>
      <c r="U128" s="58">
        <f t="shared" si="75"/>
        <v>0</v>
      </c>
      <c r="V128" s="58">
        <f t="shared" si="76"/>
        <v>0</v>
      </c>
      <c r="W128" s="58">
        <f t="shared" si="77"/>
        <v>0</v>
      </c>
      <c r="X128" s="58">
        <f t="shared" si="78"/>
        <v>0</v>
      </c>
      <c r="Y128" s="58">
        <f t="shared" si="79"/>
        <v>0</v>
      </c>
      <c r="Z128" s="58">
        <f t="shared" si="80"/>
        <v>0</v>
      </c>
      <c r="AA128" s="59">
        <f t="shared" si="81"/>
        <v>0</v>
      </c>
      <c r="AB128" s="85">
        <v>141</v>
      </c>
      <c r="AC128" s="85">
        <v>12.35</v>
      </c>
      <c r="AD128" s="85">
        <v>6.4</v>
      </c>
      <c r="AE128" s="85">
        <v>0.74</v>
      </c>
      <c r="AF128" s="85">
        <v>4.2200000000000006</v>
      </c>
      <c r="AG128" s="85">
        <v>11.05</v>
      </c>
      <c r="AH128" s="85">
        <v>4.2</v>
      </c>
      <c r="AI128" s="85">
        <v>0</v>
      </c>
      <c r="AJ128" s="85">
        <v>145</v>
      </c>
      <c r="AK128" s="85">
        <v>2.5</v>
      </c>
      <c r="AL128" s="85">
        <v>60</v>
      </c>
      <c r="AM128" s="85">
        <v>539</v>
      </c>
      <c r="AN128" s="85">
        <v>14</v>
      </c>
      <c r="AO128" s="85">
        <v>0.91</v>
      </c>
      <c r="AP128" s="85">
        <v>17</v>
      </c>
      <c r="AQ128" s="85">
        <v>0.06</v>
      </c>
      <c r="AR128" s="85">
        <v>0</v>
      </c>
      <c r="AS128" s="85">
        <v>0</v>
      </c>
      <c r="AT128" s="85">
        <v>0</v>
      </c>
      <c r="AU128" s="85">
        <v>0</v>
      </c>
      <c r="AV128" s="85">
        <v>0</v>
      </c>
    </row>
    <row r="129" spans="1:48" s="1" customFormat="1" x14ac:dyDescent="0.55000000000000004">
      <c r="A129" s="1" t="s">
        <v>455</v>
      </c>
      <c r="B129" s="1" t="s">
        <v>678</v>
      </c>
      <c r="C129" s="1" t="s">
        <v>577</v>
      </c>
      <c r="D129" s="59">
        <v>0</v>
      </c>
      <c r="E129" s="59">
        <v>0</v>
      </c>
      <c r="F129" s="59">
        <f t="shared" si="62"/>
        <v>0</v>
      </c>
      <c r="G129" s="58">
        <f t="shared" si="63"/>
        <v>0</v>
      </c>
      <c r="H129" s="58">
        <f t="shared" si="64"/>
        <v>0</v>
      </c>
      <c r="I129" s="58">
        <f t="shared" si="60"/>
        <v>0</v>
      </c>
      <c r="J129" s="58">
        <f t="shared" si="61"/>
        <v>0</v>
      </c>
      <c r="K129" s="58">
        <f t="shared" si="65"/>
        <v>0</v>
      </c>
      <c r="L129" s="58">
        <f t="shared" si="66"/>
        <v>0</v>
      </c>
      <c r="M129" s="58">
        <f t="shared" si="67"/>
        <v>0</v>
      </c>
      <c r="N129" s="58">
        <f t="shared" si="68"/>
        <v>0</v>
      </c>
      <c r="O129" s="58">
        <f t="shared" si="69"/>
        <v>0</v>
      </c>
      <c r="P129" s="58">
        <f t="shared" si="70"/>
        <v>0</v>
      </c>
      <c r="Q129" s="58">
        <f t="shared" si="71"/>
        <v>0</v>
      </c>
      <c r="R129" s="58">
        <f t="shared" si="72"/>
        <v>0</v>
      </c>
      <c r="S129" s="58">
        <f t="shared" si="73"/>
        <v>0</v>
      </c>
      <c r="T129" s="58">
        <f t="shared" si="74"/>
        <v>0</v>
      </c>
      <c r="U129" s="58">
        <f t="shared" si="75"/>
        <v>0</v>
      </c>
      <c r="V129" s="58">
        <f t="shared" si="76"/>
        <v>0</v>
      </c>
      <c r="W129" s="58">
        <f t="shared" si="77"/>
        <v>0</v>
      </c>
      <c r="X129" s="58">
        <f t="shared" si="78"/>
        <v>0</v>
      </c>
      <c r="Y129" s="58">
        <f t="shared" si="79"/>
        <v>0</v>
      </c>
      <c r="Z129" s="58">
        <f t="shared" si="80"/>
        <v>0</v>
      </c>
      <c r="AA129" s="59">
        <f t="shared" si="81"/>
        <v>0</v>
      </c>
      <c r="AB129" s="85">
        <v>33</v>
      </c>
      <c r="AC129" s="85">
        <v>2.86</v>
      </c>
      <c r="AD129" s="85">
        <v>1.61</v>
      </c>
      <c r="AE129" s="85">
        <v>0.20599999999999999</v>
      </c>
      <c r="AF129" s="85">
        <v>1.4009999999999998</v>
      </c>
      <c r="AG129" s="85">
        <v>1.74</v>
      </c>
      <c r="AH129" s="85">
        <v>0.5</v>
      </c>
      <c r="AI129" s="85">
        <v>0.41</v>
      </c>
      <c r="AJ129" s="85">
        <v>124</v>
      </c>
      <c r="AK129" s="85">
        <v>0.46</v>
      </c>
      <c r="AL129" s="85">
        <v>16</v>
      </c>
      <c r="AM129" s="85">
        <v>120</v>
      </c>
      <c r="AN129" s="85">
        <v>37</v>
      </c>
      <c r="AO129" s="85">
        <v>0</v>
      </c>
      <c r="AP129" s="85">
        <v>0</v>
      </c>
      <c r="AQ129" s="85">
        <v>4.9000000000000002E-2</v>
      </c>
      <c r="AR129" s="85">
        <v>1.1100000000000001</v>
      </c>
      <c r="AS129" s="85">
        <v>0</v>
      </c>
      <c r="AT129" s="85">
        <v>49</v>
      </c>
      <c r="AU129" s="85">
        <v>0</v>
      </c>
      <c r="AV129" s="85">
        <v>0</v>
      </c>
    </row>
    <row r="130" spans="1:48" s="1" customFormat="1" x14ac:dyDescent="0.55000000000000004">
      <c r="A130" s="1" t="s">
        <v>456</v>
      </c>
      <c r="B130" s="1" t="s">
        <v>695</v>
      </c>
      <c r="C130" s="1" t="s">
        <v>578</v>
      </c>
      <c r="D130" s="59">
        <v>250</v>
      </c>
      <c r="E130" s="59">
        <v>250</v>
      </c>
      <c r="F130" s="59">
        <f t="shared" si="62"/>
        <v>250</v>
      </c>
      <c r="G130" s="58">
        <f t="shared" si="63"/>
        <v>325</v>
      </c>
      <c r="H130" s="58">
        <f t="shared" si="64"/>
        <v>11.45</v>
      </c>
      <c r="I130" s="58">
        <f t="shared" si="60"/>
        <v>1.575</v>
      </c>
      <c r="J130" s="58">
        <f t="shared" si="61"/>
        <v>0.22750000000000001</v>
      </c>
      <c r="K130" s="58">
        <f t="shared" si="65"/>
        <v>65.375</v>
      </c>
      <c r="L130" s="58">
        <f t="shared" si="66"/>
        <v>0</v>
      </c>
      <c r="M130" s="58">
        <f t="shared" si="67"/>
        <v>0</v>
      </c>
      <c r="N130" s="58">
        <f t="shared" si="68"/>
        <v>75</v>
      </c>
      <c r="O130" s="58">
        <f t="shared" si="69"/>
        <v>2.6</v>
      </c>
      <c r="P130" s="58">
        <f t="shared" si="70"/>
        <v>155</v>
      </c>
      <c r="Q130" s="58">
        <f t="shared" si="71"/>
        <v>145</v>
      </c>
      <c r="R130" s="58">
        <f t="shared" si="72"/>
        <v>35</v>
      </c>
      <c r="S130" s="58">
        <f t="shared" si="73"/>
        <v>2.7</v>
      </c>
      <c r="T130" s="58">
        <f t="shared" si="74"/>
        <v>0</v>
      </c>
      <c r="U130" s="58">
        <f t="shared" si="75"/>
        <v>0.24</v>
      </c>
      <c r="V130" s="58">
        <f t="shared" si="76"/>
        <v>0</v>
      </c>
      <c r="W130" s="58">
        <f t="shared" si="77"/>
        <v>0</v>
      </c>
      <c r="X130" s="58">
        <f t="shared" si="78"/>
        <v>0</v>
      </c>
      <c r="Y130" s="58">
        <f t="shared" si="79"/>
        <v>0</v>
      </c>
      <c r="Z130" s="58">
        <f t="shared" si="80"/>
        <v>0</v>
      </c>
      <c r="AA130" s="59">
        <f t="shared" si="81"/>
        <v>1.575</v>
      </c>
      <c r="AB130" s="85">
        <v>130</v>
      </c>
      <c r="AC130" s="85">
        <v>4.58</v>
      </c>
      <c r="AD130" s="85">
        <v>0.63</v>
      </c>
      <c r="AE130" s="85">
        <v>9.0999999999999998E-2</v>
      </c>
      <c r="AF130" s="85">
        <v>0.32900000000000001</v>
      </c>
      <c r="AG130" s="85">
        <v>26.15</v>
      </c>
      <c r="AH130" s="85">
        <v>0</v>
      </c>
      <c r="AI130" s="85">
        <v>0</v>
      </c>
      <c r="AJ130" s="85">
        <v>30</v>
      </c>
      <c r="AK130" s="85">
        <v>1.04</v>
      </c>
      <c r="AL130" s="85">
        <v>62</v>
      </c>
      <c r="AM130" s="85">
        <v>58</v>
      </c>
      <c r="AN130" s="85">
        <v>14</v>
      </c>
      <c r="AO130" s="85">
        <v>1.08</v>
      </c>
      <c r="AP130" s="85">
        <v>0</v>
      </c>
      <c r="AQ130" s="85">
        <v>9.6000000000000002E-2</v>
      </c>
      <c r="AR130" s="85">
        <v>0</v>
      </c>
      <c r="AS130" s="85">
        <v>0</v>
      </c>
      <c r="AT130" s="85">
        <v>0</v>
      </c>
      <c r="AU130" s="85">
        <v>0</v>
      </c>
      <c r="AV130" s="85">
        <v>0</v>
      </c>
    </row>
    <row r="131" spans="1:48" s="1" customFormat="1" x14ac:dyDescent="0.55000000000000004">
      <c r="A131" s="1" t="s">
        <v>457</v>
      </c>
      <c r="B131" s="1" t="s">
        <v>657</v>
      </c>
      <c r="C131" s="1" t="s">
        <v>579</v>
      </c>
      <c r="D131" s="59">
        <v>0</v>
      </c>
      <c r="E131" s="59">
        <v>250</v>
      </c>
      <c r="F131" s="59">
        <f t="shared" ref="F131:F150" si="82">FLOOR(D131,1)</f>
        <v>0</v>
      </c>
      <c r="G131" s="58">
        <f t="shared" si="63"/>
        <v>0</v>
      </c>
      <c r="H131" s="58">
        <f t="shared" si="64"/>
        <v>0</v>
      </c>
      <c r="I131" s="58">
        <f t="shared" si="60"/>
        <v>0</v>
      </c>
      <c r="J131" s="58">
        <f t="shared" si="61"/>
        <v>0</v>
      </c>
      <c r="K131" s="58">
        <f t="shared" si="65"/>
        <v>0</v>
      </c>
      <c r="L131" s="58">
        <f t="shared" si="66"/>
        <v>0</v>
      </c>
      <c r="M131" s="58">
        <f t="shared" si="67"/>
        <v>0</v>
      </c>
      <c r="N131" s="58">
        <f t="shared" si="68"/>
        <v>0</v>
      </c>
      <c r="O131" s="58">
        <f t="shared" si="69"/>
        <v>0</v>
      </c>
      <c r="P131" s="58">
        <f t="shared" si="70"/>
        <v>0</v>
      </c>
      <c r="Q131" s="58">
        <f t="shared" si="71"/>
        <v>0</v>
      </c>
      <c r="R131" s="58">
        <f t="shared" si="72"/>
        <v>0</v>
      </c>
      <c r="S131" s="58">
        <f t="shared" si="73"/>
        <v>0</v>
      </c>
      <c r="T131" s="58">
        <f t="shared" si="74"/>
        <v>0</v>
      </c>
      <c r="U131" s="58">
        <f t="shared" si="75"/>
        <v>0</v>
      </c>
      <c r="V131" s="58">
        <f t="shared" si="76"/>
        <v>0</v>
      </c>
      <c r="W131" s="58">
        <f t="shared" si="77"/>
        <v>0</v>
      </c>
      <c r="X131" s="58">
        <f t="shared" si="78"/>
        <v>0</v>
      </c>
      <c r="Y131" s="58">
        <f t="shared" si="79"/>
        <v>0</v>
      </c>
      <c r="Z131" s="58">
        <f t="shared" si="80"/>
        <v>0</v>
      </c>
      <c r="AA131" s="59">
        <f t="shared" si="81"/>
        <v>0</v>
      </c>
      <c r="AB131" s="85">
        <v>44</v>
      </c>
      <c r="AC131" s="85">
        <v>3.29</v>
      </c>
      <c r="AD131" s="85">
        <v>0.73</v>
      </c>
      <c r="AE131" s="85">
        <v>0.191</v>
      </c>
      <c r="AF131" s="85">
        <v>0.41900000000000004</v>
      </c>
      <c r="AG131" s="85">
        <v>8.41</v>
      </c>
      <c r="AH131" s="85">
        <v>6.8</v>
      </c>
      <c r="AI131" s="85">
        <v>0</v>
      </c>
      <c r="AJ131" s="85">
        <v>199</v>
      </c>
      <c r="AK131" s="85">
        <v>11.87</v>
      </c>
      <c r="AL131" s="85">
        <v>63</v>
      </c>
      <c r="AM131" s="85">
        <v>458</v>
      </c>
      <c r="AN131" s="85">
        <v>30</v>
      </c>
      <c r="AO131" s="85">
        <v>1.0900000000000001</v>
      </c>
      <c r="AP131" s="85">
        <v>13.3</v>
      </c>
      <c r="AQ131" s="85">
        <v>0.158</v>
      </c>
      <c r="AR131" s="85">
        <v>0</v>
      </c>
      <c r="AS131" s="85">
        <v>0</v>
      </c>
      <c r="AT131" s="85">
        <v>0</v>
      </c>
      <c r="AU131" s="85">
        <v>0</v>
      </c>
      <c r="AV131" s="85">
        <v>0</v>
      </c>
    </row>
    <row r="132" spans="1:48" s="1" customFormat="1" x14ac:dyDescent="0.55000000000000004">
      <c r="A132" s="1" t="s">
        <v>243</v>
      </c>
      <c r="B132" s="1" t="s">
        <v>41</v>
      </c>
      <c r="C132" s="1" t="s">
        <v>244</v>
      </c>
      <c r="D132" s="59">
        <v>0</v>
      </c>
      <c r="E132" s="59">
        <v>250</v>
      </c>
      <c r="F132" s="59">
        <f t="shared" si="82"/>
        <v>0</v>
      </c>
      <c r="G132" s="58">
        <f t="shared" ref="G132:G154" si="83">AB132*$D132/100</f>
        <v>0</v>
      </c>
      <c r="H132" s="58">
        <f t="shared" ref="H132:H154" si="84">AC132*$D132/100</f>
        <v>0</v>
      </c>
      <c r="I132" s="58">
        <f t="shared" si="60"/>
        <v>0</v>
      </c>
      <c r="J132" s="58">
        <f t="shared" si="61"/>
        <v>0</v>
      </c>
      <c r="K132" s="58">
        <f t="shared" ref="K132:K154" si="85">AG132*$D132/100</f>
        <v>0</v>
      </c>
      <c r="L132" s="58">
        <f t="shared" ref="L132:L154" si="86">AH132*$D132/100</f>
        <v>0</v>
      </c>
      <c r="M132" s="58">
        <f t="shared" ref="M132:M154" si="87">AI132*$D132/100</f>
        <v>0</v>
      </c>
      <c r="N132" s="58">
        <f t="shared" ref="N132:N154" si="88">AJ132*$D132/100</f>
        <v>0</v>
      </c>
      <c r="O132" s="58">
        <f t="shared" ref="O132:O154" si="89">AK132*$D132/100</f>
        <v>0</v>
      </c>
      <c r="P132" s="58">
        <f t="shared" ref="P132:P154" si="90">AL132*$D132/100</f>
        <v>0</v>
      </c>
      <c r="Q132" s="58">
        <f t="shared" ref="Q132:Q154" si="91">AM132*$D132/100</f>
        <v>0</v>
      </c>
      <c r="R132" s="58">
        <f t="shared" ref="R132:R154" si="92">AN132*$D132/100</f>
        <v>0</v>
      </c>
      <c r="S132" s="58">
        <f t="shared" ref="S132:S154" si="93">AO132*$D132/100</f>
        <v>0</v>
      </c>
      <c r="T132" s="58">
        <f t="shared" ref="T132:T154" si="94">AP132*$D132/100</f>
        <v>0</v>
      </c>
      <c r="U132" s="58">
        <f t="shared" ref="U132:U154" si="95">AQ132*$D132/100</f>
        <v>0</v>
      </c>
      <c r="V132" s="58">
        <f t="shared" ref="V132:V154" si="96">AR132*$D132/100</f>
        <v>0</v>
      </c>
      <c r="W132" s="58">
        <f t="shared" ref="W132:W154" si="97">AS132*$D132/100</f>
        <v>0</v>
      </c>
      <c r="X132" s="58">
        <f t="shared" ref="X132:X154" si="98">AT132*$D132/100</f>
        <v>0</v>
      </c>
      <c r="Y132" s="58">
        <f t="shared" ref="Y132:Y154" si="99">AU132*$D132/100</f>
        <v>0</v>
      </c>
      <c r="Z132" s="58">
        <f t="shared" ref="Z132:Z154" si="100">AV132*$D132/100</f>
        <v>0</v>
      </c>
      <c r="AA132" s="59">
        <f t="shared" si="81"/>
        <v>0</v>
      </c>
      <c r="AB132" s="85">
        <v>23</v>
      </c>
      <c r="AC132" s="85">
        <v>2.86</v>
      </c>
      <c r="AD132" s="85">
        <v>0.39</v>
      </c>
      <c r="AE132" s="85">
        <v>6.3E-2</v>
      </c>
      <c r="AF132" s="85">
        <v>0.17500000000000002</v>
      </c>
      <c r="AG132" s="85">
        <v>3.63</v>
      </c>
      <c r="AH132" s="85">
        <v>2.2000000000000002</v>
      </c>
      <c r="AI132" s="85">
        <v>0.42</v>
      </c>
      <c r="AJ132" s="85">
        <v>99</v>
      </c>
      <c r="AK132" s="85">
        <v>2.71</v>
      </c>
      <c r="AL132" s="85">
        <v>79</v>
      </c>
      <c r="AM132" s="85">
        <v>558</v>
      </c>
      <c r="AN132" s="85">
        <v>79</v>
      </c>
      <c r="AO132" s="85">
        <v>0.53</v>
      </c>
      <c r="AP132" s="85">
        <v>28.1</v>
      </c>
      <c r="AQ132" s="85">
        <v>0.19500000000000001</v>
      </c>
      <c r="AR132" s="85">
        <v>0</v>
      </c>
      <c r="AS132" s="85">
        <v>2.0299999999999998</v>
      </c>
      <c r="AT132" s="85">
        <v>0</v>
      </c>
      <c r="AU132" s="85">
        <v>482.9</v>
      </c>
      <c r="AV132" s="85">
        <v>0</v>
      </c>
    </row>
    <row r="133" spans="1:48" s="1" customFormat="1" x14ac:dyDescent="0.55000000000000004">
      <c r="A133" s="1" t="s">
        <v>458</v>
      </c>
      <c r="B133" s="1" t="s">
        <v>667</v>
      </c>
      <c r="C133" s="1" t="s">
        <v>580</v>
      </c>
      <c r="D133" s="59">
        <v>0</v>
      </c>
      <c r="E133" s="59">
        <v>250</v>
      </c>
      <c r="F133" s="59">
        <f t="shared" si="82"/>
        <v>0</v>
      </c>
      <c r="G133" s="58">
        <f t="shared" si="83"/>
        <v>0</v>
      </c>
      <c r="H133" s="58">
        <f t="shared" si="84"/>
        <v>0</v>
      </c>
      <c r="I133" s="58">
        <f t="shared" ref="I133:I154" si="101">AD133*$D133/100</f>
        <v>0</v>
      </c>
      <c r="J133" s="58">
        <f t="shared" ref="J133:J154" si="102">AE133*$D133/100</f>
        <v>0</v>
      </c>
      <c r="K133" s="58">
        <f t="shared" si="85"/>
        <v>0</v>
      </c>
      <c r="L133" s="58">
        <f t="shared" si="86"/>
        <v>0</v>
      </c>
      <c r="M133" s="58">
        <f t="shared" si="87"/>
        <v>0</v>
      </c>
      <c r="N133" s="58">
        <f t="shared" si="88"/>
        <v>0</v>
      </c>
      <c r="O133" s="58">
        <f t="shared" si="89"/>
        <v>0</v>
      </c>
      <c r="P133" s="58">
        <f t="shared" si="90"/>
        <v>0</v>
      </c>
      <c r="Q133" s="58">
        <f t="shared" si="91"/>
        <v>0</v>
      </c>
      <c r="R133" s="58">
        <f t="shared" si="92"/>
        <v>0</v>
      </c>
      <c r="S133" s="58">
        <f t="shared" si="93"/>
        <v>0</v>
      </c>
      <c r="T133" s="58">
        <f t="shared" si="94"/>
        <v>0</v>
      </c>
      <c r="U133" s="58">
        <f t="shared" si="95"/>
        <v>0</v>
      </c>
      <c r="V133" s="58">
        <f t="shared" si="96"/>
        <v>0</v>
      </c>
      <c r="W133" s="58">
        <f t="shared" si="97"/>
        <v>0</v>
      </c>
      <c r="X133" s="58">
        <f t="shared" si="98"/>
        <v>0</v>
      </c>
      <c r="Y133" s="58">
        <f t="shared" si="99"/>
        <v>0</v>
      </c>
      <c r="Z133" s="58">
        <f t="shared" si="100"/>
        <v>0</v>
      </c>
      <c r="AA133" s="59">
        <f t="shared" si="81"/>
        <v>0</v>
      </c>
      <c r="AB133" s="85">
        <v>23</v>
      </c>
      <c r="AC133" s="85">
        <v>1.04</v>
      </c>
      <c r="AD133" s="85">
        <v>0.39</v>
      </c>
      <c r="AE133" s="85">
        <v>6.4000000000000001E-2</v>
      </c>
      <c r="AF133" s="85">
        <v>0.154</v>
      </c>
      <c r="AG133" s="85">
        <v>3.79</v>
      </c>
      <c r="AH133" s="85">
        <v>1.1000000000000001</v>
      </c>
      <c r="AI133" s="85">
        <v>2.48</v>
      </c>
      <c r="AJ133" s="85">
        <v>22</v>
      </c>
      <c r="AK133" s="85">
        <v>0.37</v>
      </c>
      <c r="AL133" s="85">
        <v>16</v>
      </c>
      <c r="AM133" s="85">
        <v>177</v>
      </c>
      <c r="AN133" s="85">
        <v>1</v>
      </c>
      <c r="AO133" s="85">
        <v>0.22</v>
      </c>
      <c r="AP133" s="85">
        <v>11.6</v>
      </c>
      <c r="AQ133" s="85">
        <v>7.8E-2</v>
      </c>
      <c r="AR133" s="85">
        <v>0</v>
      </c>
      <c r="AS133" s="85">
        <v>0.12</v>
      </c>
      <c r="AT133" s="85">
        <v>0</v>
      </c>
      <c r="AU133" s="85">
        <v>4.4000000000000004</v>
      </c>
      <c r="AV133" s="85">
        <v>0</v>
      </c>
    </row>
    <row r="134" spans="1:48" s="1" customFormat="1" x14ac:dyDescent="0.55000000000000004">
      <c r="A134" s="1" t="s">
        <v>459</v>
      </c>
      <c r="B134" s="1" t="s">
        <v>31</v>
      </c>
      <c r="C134" s="1" t="s">
        <v>581</v>
      </c>
      <c r="D134" s="59">
        <v>0</v>
      </c>
      <c r="E134" s="59">
        <v>250</v>
      </c>
      <c r="F134" s="59">
        <f t="shared" si="82"/>
        <v>0</v>
      </c>
      <c r="G134" s="58">
        <f t="shared" si="83"/>
        <v>0</v>
      </c>
      <c r="H134" s="58">
        <f t="shared" si="84"/>
        <v>0</v>
      </c>
      <c r="I134" s="58">
        <f t="shared" si="101"/>
        <v>0</v>
      </c>
      <c r="J134" s="58">
        <f t="shared" si="102"/>
        <v>0</v>
      </c>
      <c r="K134" s="58">
        <f t="shared" si="85"/>
        <v>0</v>
      </c>
      <c r="L134" s="58">
        <f t="shared" si="86"/>
        <v>0</v>
      </c>
      <c r="M134" s="58">
        <f t="shared" si="87"/>
        <v>0</v>
      </c>
      <c r="N134" s="58">
        <f t="shared" si="88"/>
        <v>0</v>
      </c>
      <c r="O134" s="58">
        <f t="shared" si="89"/>
        <v>0</v>
      </c>
      <c r="P134" s="58">
        <f t="shared" si="90"/>
        <v>0</v>
      </c>
      <c r="Q134" s="58">
        <f t="shared" si="91"/>
        <v>0</v>
      </c>
      <c r="R134" s="58">
        <f t="shared" si="92"/>
        <v>0</v>
      </c>
      <c r="S134" s="58">
        <f t="shared" si="93"/>
        <v>0</v>
      </c>
      <c r="T134" s="58">
        <f t="shared" si="94"/>
        <v>0</v>
      </c>
      <c r="U134" s="58">
        <f t="shared" si="95"/>
        <v>0</v>
      </c>
      <c r="V134" s="58">
        <f t="shared" si="96"/>
        <v>0</v>
      </c>
      <c r="W134" s="58">
        <f t="shared" si="97"/>
        <v>0</v>
      </c>
      <c r="X134" s="58">
        <f t="shared" si="98"/>
        <v>0</v>
      </c>
      <c r="Y134" s="58">
        <f t="shared" si="99"/>
        <v>0</v>
      </c>
      <c r="Z134" s="58">
        <f t="shared" si="100"/>
        <v>0</v>
      </c>
      <c r="AA134" s="59">
        <f t="shared" si="81"/>
        <v>0</v>
      </c>
      <c r="AB134" s="85">
        <v>32</v>
      </c>
      <c r="AC134" s="85">
        <v>0.67</v>
      </c>
      <c r="AD134" s="85">
        <v>0.3</v>
      </c>
      <c r="AE134" s="85">
        <v>1.4999999999999999E-2</v>
      </c>
      <c r="AF134" s="85">
        <v>0.19800000000000001</v>
      </c>
      <c r="AG134" s="85">
        <v>7.68</v>
      </c>
      <c r="AH134" s="85">
        <v>2</v>
      </c>
      <c r="AI134" s="85">
        <v>4.8899999999999997</v>
      </c>
      <c r="AJ134" s="85">
        <v>16</v>
      </c>
      <c r="AK134" s="85">
        <v>0.41</v>
      </c>
      <c r="AL134" s="85">
        <v>13</v>
      </c>
      <c r="AM134" s="85">
        <v>153</v>
      </c>
      <c r="AN134" s="85">
        <v>1</v>
      </c>
      <c r="AO134" s="85">
        <v>0.14000000000000001</v>
      </c>
      <c r="AP134" s="85">
        <v>58.8</v>
      </c>
      <c r="AQ134" s="85">
        <v>4.7E-2</v>
      </c>
      <c r="AR134" s="85">
        <v>0</v>
      </c>
      <c r="AS134" s="85">
        <v>0.28999999999999998</v>
      </c>
      <c r="AT134" s="85">
        <v>0</v>
      </c>
      <c r="AU134" s="85">
        <v>2.2000000000000002</v>
      </c>
      <c r="AV134" s="85">
        <v>0</v>
      </c>
    </row>
    <row r="135" spans="1:48" s="1" customFormat="1" x14ac:dyDescent="0.55000000000000004">
      <c r="A135" s="1" t="s">
        <v>460</v>
      </c>
      <c r="B135" s="1" t="s">
        <v>658</v>
      </c>
      <c r="C135" s="1" t="s">
        <v>582</v>
      </c>
      <c r="D135" s="59">
        <v>0</v>
      </c>
      <c r="E135" s="59">
        <v>250</v>
      </c>
      <c r="F135" s="59">
        <f t="shared" si="82"/>
        <v>0</v>
      </c>
      <c r="G135" s="58">
        <f t="shared" si="83"/>
        <v>0</v>
      </c>
      <c r="H135" s="58">
        <f t="shared" si="84"/>
        <v>0</v>
      </c>
      <c r="I135" s="58">
        <f t="shared" si="101"/>
        <v>0</v>
      </c>
      <c r="J135" s="58">
        <f t="shared" si="102"/>
        <v>0</v>
      </c>
      <c r="K135" s="58">
        <f t="shared" si="85"/>
        <v>0</v>
      </c>
      <c r="L135" s="58">
        <f t="shared" si="86"/>
        <v>0</v>
      </c>
      <c r="M135" s="58">
        <f t="shared" si="87"/>
        <v>0</v>
      </c>
      <c r="N135" s="58">
        <f t="shared" si="88"/>
        <v>0</v>
      </c>
      <c r="O135" s="58">
        <f t="shared" si="89"/>
        <v>0</v>
      </c>
      <c r="P135" s="58">
        <f t="shared" si="90"/>
        <v>0</v>
      </c>
      <c r="Q135" s="58">
        <f t="shared" si="91"/>
        <v>0</v>
      </c>
      <c r="R135" s="58">
        <f t="shared" si="92"/>
        <v>0</v>
      </c>
      <c r="S135" s="58">
        <f t="shared" si="93"/>
        <v>0</v>
      </c>
      <c r="T135" s="58">
        <f t="shared" si="94"/>
        <v>0</v>
      </c>
      <c r="U135" s="58">
        <f t="shared" si="95"/>
        <v>0</v>
      </c>
      <c r="V135" s="58">
        <f t="shared" si="96"/>
        <v>0</v>
      </c>
      <c r="W135" s="58">
        <f t="shared" si="97"/>
        <v>0</v>
      </c>
      <c r="X135" s="58">
        <f t="shared" si="98"/>
        <v>0</v>
      </c>
      <c r="Y135" s="58">
        <f t="shared" si="99"/>
        <v>0</v>
      </c>
      <c r="Z135" s="58">
        <f t="shared" si="100"/>
        <v>0</v>
      </c>
      <c r="AA135" s="59">
        <f t="shared" si="81"/>
        <v>0</v>
      </c>
      <c r="AB135" s="85">
        <v>584</v>
      </c>
      <c r="AC135" s="85">
        <v>20.78</v>
      </c>
      <c r="AD135" s="85">
        <v>51.46</v>
      </c>
      <c r="AE135" s="85">
        <v>4.4550000000000001</v>
      </c>
      <c r="AF135" s="85">
        <v>41.664999999999999</v>
      </c>
      <c r="AG135" s="85">
        <v>20</v>
      </c>
      <c r="AH135" s="85">
        <v>8.6</v>
      </c>
      <c r="AI135" s="85">
        <v>2.62</v>
      </c>
      <c r="AJ135" s="85">
        <v>78</v>
      </c>
      <c r="AK135" s="85">
        <v>5.25</v>
      </c>
      <c r="AL135" s="85">
        <v>325</v>
      </c>
      <c r="AM135" s="85">
        <v>645</v>
      </c>
      <c r="AN135" s="85">
        <v>9</v>
      </c>
      <c r="AO135" s="85">
        <v>5</v>
      </c>
      <c r="AP135" s="85">
        <v>1.4</v>
      </c>
      <c r="AQ135" s="85">
        <v>1.345</v>
      </c>
      <c r="AR135" s="85">
        <v>0</v>
      </c>
      <c r="AS135" s="85">
        <v>35.17</v>
      </c>
      <c r="AT135" s="85">
        <v>0</v>
      </c>
      <c r="AU135" s="85">
        <v>0</v>
      </c>
      <c r="AV135" s="85">
        <v>0</v>
      </c>
    </row>
    <row r="136" spans="1:48" s="1" customFormat="1" x14ac:dyDescent="0.55000000000000004">
      <c r="A136" s="1" t="s">
        <v>461</v>
      </c>
      <c r="B136" s="1" t="s">
        <v>668</v>
      </c>
      <c r="C136" s="1" t="s">
        <v>583</v>
      </c>
      <c r="D136" s="59">
        <v>0</v>
      </c>
      <c r="E136" s="59">
        <v>250</v>
      </c>
      <c r="F136" s="59">
        <f t="shared" si="82"/>
        <v>0</v>
      </c>
      <c r="G136" s="58">
        <f t="shared" si="83"/>
        <v>0</v>
      </c>
      <c r="H136" s="58">
        <f t="shared" si="84"/>
        <v>0</v>
      </c>
      <c r="I136" s="58">
        <f t="shared" si="101"/>
        <v>0</v>
      </c>
      <c r="J136" s="58">
        <f t="shared" si="102"/>
        <v>0</v>
      </c>
      <c r="K136" s="58">
        <f t="shared" si="85"/>
        <v>0</v>
      </c>
      <c r="L136" s="58">
        <f t="shared" si="86"/>
        <v>0</v>
      </c>
      <c r="M136" s="58">
        <f t="shared" si="87"/>
        <v>0</v>
      </c>
      <c r="N136" s="58">
        <f t="shared" si="88"/>
        <v>0</v>
      </c>
      <c r="O136" s="58">
        <f t="shared" si="89"/>
        <v>0</v>
      </c>
      <c r="P136" s="58">
        <f t="shared" si="90"/>
        <v>0</v>
      </c>
      <c r="Q136" s="58">
        <f t="shared" si="91"/>
        <v>0</v>
      </c>
      <c r="R136" s="58">
        <f t="shared" si="92"/>
        <v>0</v>
      </c>
      <c r="S136" s="58">
        <f t="shared" si="93"/>
        <v>0</v>
      </c>
      <c r="T136" s="58">
        <f t="shared" si="94"/>
        <v>0</v>
      </c>
      <c r="U136" s="58">
        <f t="shared" si="95"/>
        <v>0</v>
      </c>
      <c r="V136" s="58">
        <f t="shared" si="96"/>
        <v>0</v>
      </c>
      <c r="W136" s="58">
        <f t="shared" si="97"/>
        <v>0</v>
      </c>
      <c r="X136" s="58">
        <f t="shared" si="98"/>
        <v>0</v>
      </c>
      <c r="Y136" s="58">
        <f t="shared" si="99"/>
        <v>0</v>
      </c>
      <c r="Z136" s="58">
        <f t="shared" si="100"/>
        <v>0</v>
      </c>
      <c r="AA136" s="59">
        <f t="shared" si="81"/>
        <v>0</v>
      </c>
      <c r="AB136" s="85">
        <v>90</v>
      </c>
      <c r="AC136" s="85">
        <v>2.0099999999999998</v>
      </c>
      <c r="AD136" s="85">
        <v>0.15</v>
      </c>
      <c r="AE136" s="85">
        <v>5.1999999999999998E-2</v>
      </c>
      <c r="AF136" s="85">
        <v>9.4E-2</v>
      </c>
      <c r="AG136" s="85">
        <v>20.71</v>
      </c>
      <c r="AH136" s="85">
        <v>3.3</v>
      </c>
      <c r="AI136" s="85">
        <v>6.48</v>
      </c>
      <c r="AJ136" s="85">
        <v>38</v>
      </c>
      <c r="AK136" s="85">
        <v>0.69</v>
      </c>
      <c r="AL136" s="85">
        <v>27</v>
      </c>
      <c r="AM136" s="85">
        <v>475</v>
      </c>
      <c r="AN136" s="85">
        <v>36</v>
      </c>
      <c r="AO136" s="85">
        <v>0.32</v>
      </c>
      <c r="AP136" s="85">
        <v>19.600000000000001</v>
      </c>
      <c r="AQ136" s="85">
        <v>0.28599999999999998</v>
      </c>
      <c r="AR136" s="85">
        <v>0</v>
      </c>
      <c r="AS136" s="85">
        <v>0.71</v>
      </c>
      <c r="AT136" s="85">
        <v>0</v>
      </c>
      <c r="AU136" s="85">
        <v>2.2999999999999998</v>
      </c>
      <c r="AV136" s="85">
        <v>0</v>
      </c>
    </row>
    <row r="137" spans="1:48" s="1" customFormat="1" x14ac:dyDescent="0.55000000000000004">
      <c r="A137" s="1" t="s">
        <v>462</v>
      </c>
      <c r="B137" s="1" t="s">
        <v>705</v>
      </c>
      <c r="C137" s="1" t="s">
        <v>584</v>
      </c>
      <c r="D137" s="59">
        <v>0</v>
      </c>
      <c r="E137" s="59">
        <v>250</v>
      </c>
      <c r="F137" s="59">
        <f t="shared" si="82"/>
        <v>0</v>
      </c>
      <c r="G137" s="58">
        <f t="shared" si="83"/>
        <v>0</v>
      </c>
      <c r="H137" s="58">
        <f t="shared" si="84"/>
        <v>0</v>
      </c>
      <c r="I137" s="58">
        <f t="shared" si="101"/>
        <v>0</v>
      </c>
      <c r="J137" s="58">
        <f t="shared" si="102"/>
        <v>0</v>
      </c>
      <c r="K137" s="58">
        <f t="shared" si="85"/>
        <v>0</v>
      </c>
      <c r="L137" s="58">
        <f t="shared" si="86"/>
        <v>0</v>
      </c>
      <c r="M137" s="58">
        <f t="shared" si="87"/>
        <v>0</v>
      </c>
      <c r="N137" s="58">
        <f t="shared" si="88"/>
        <v>0</v>
      </c>
      <c r="O137" s="58">
        <f t="shared" si="89"/>
        <v>0</v>
      </c>
      <c r="P137" s="58">
        <f t="shared" si="90"/>
        <v>0</v>
      </c>
      <c r="Q137" s="58">
        <f t="shared" si="91"/>
        <v>0</v>
      </c>
      <c r="R137" s="58">
        <f t="shared" si="92"/>
        <v>0</v>
      </c>
      <c r="S137" s="58">
        <f t="shared" si="93"/>
        <v>0</v>
      </c>
      <c r="T137" s="58">
        <f t="shared" si="94"/>
        <v>0</v>
      </c>
      <c r="U137" s="58">
        <f t="shared" si="95"/>
        <v>0</v>
      </c>
      <c r="V137" s="58">
        <f t="shared" si="96"/>
        <v>0</v>
      </c>
      <c r="W137" s="58">
        <f t="shared" si="97"/>
        <v>0</v>
      </c>
      <c r="X137" s="58">
        <f t="shared" si="98"/>
        <v>0</v>
      </c>
      <c r="Y137" s="58">
        <f t="shared" si="99"/>
        <v>0</v>
      </c>
      <c r="Z137" s="58">
        <f t="shared" si="100"/>
        <v>0</v>
      </c>
      <c r="AA137" s="59">
        <f t="shared" si="81"/>
        <v>0</v>
      </c>
      <c r="AB137" s="85">
        <v>270</v>
      </c>
      <c r="AC137" s="85">
        <v>18.82</v>
      </c>
      <c r="AD137" s="85">
        <v>20.18</v>
      </c>
      <c r="AE137" s="85">
        <v>2.9180000000000001</v>
      </c>
      <c r="AF137" s="85">
        <v>15.846</v>
      </c>
      <c r="AG137" s="85">
        <v>8.86</v>
      </c>
      <c r="AH137" s="85">
        <v>3.9</v>
      </c>
      <c r="AI137" s="85">
        <v>2.72</v>
      </c>
      <c r="AJ137" s="85">
        <v>372</v>
      </c>
      <c r="AK137" s="85">
        <v>4.87</v>
      </c>
      <c r="AL137" s="85">
        <v>60</v>
      </c>
      <c r="AM137" s="85">
        <v>146</v>
      </c>
      <c r="AN137" s="85">
        <v>16</v>
      </c>
      <c r="AO137" s="85">
        <v>1.99</v>
      </c>
      <c r="AP137" s="85">
        <v>0</v>
      </c>
      <c r="AQ137" s="85">
        <v>9.9000000000000005E-2</v>
      </c>
      <c r="AR137" s="85">
        <v>0</v>
      </c>
      <c r="AS137" s="85">
        <v>0.04</v>
      </c>
      <c r="AT137" s="85">
        <v>0</v>
      </c>
      <c r="AU137" s="85">
        <v>7.8</v>
      </c>
      <c r="AV137" s="85">
        <v>0</v>
      </c>
    </row>
    <row r="138" spans="1:48" s="1" customFormat="1" x14ac:dyDescent="0.55000000000000004">
      <c r="A138" s="1" t="s">
        <v>463</v>
      </c>
      <c r="B138" s="1" t="s">
        <v>669</v>
      </c>
      <c r="C138" s="1" t="s">
        <v>585</v>
      </c>
      <c r="D138" s="59">
        <v>0</v>
      </c>
      <c r="E138" s="59">
        <v>250</v>
      </c>
      <c r="F138" s="59">
        <f t="shared" si="82"/>
        <v>0</v>
      </c>
      <c r="G138" s="58">
        <f t="shared" si="83"/>
        <v>0</v>
      </c>
      <c r="H138" s="58">
        <f t="shared" si="84"/>
        <v>0</v>
      </c>
      <c r="I138" s="58">
        <f t="shared" si="101"/>
        <v>0</v>
      </c>
      <c r="J138" s="58">
        <f t="shared" si="102"/>
        <v>0</v>
      </c>
      <c r="K138" s="58">
        <f t="shared" si="85"/>
        <v>0</v>
      </c>
      <c r="L138" s="58">
        <f t="shared" si="86"/>
        <v>0</v>
      </c>
      <c r="M138" s="58">
        <f t="shared" si="87"/>
        <v>0</v>
      </c>
      <c r="N138" s="58">
        <f t="shared" si="88"/>
        <v>0</v>
      </c>
      <c r="O138" s="58">
        <f t="shared" si="89"/>
        <v>0</v>
      </c>
      <c r="P138" s="58">
        <f t="shared" si="90"/>
        <v>0</v>
      </c>
      <c r="Q138" s="58">
        <f t="shared" si="91"/>
        <v>0</v>
      </c>
      <c r="R138" s="58">
        <f t="shared" si="92"/>
        <v>0</v>
      </c>
      <c r="S138" s="58">
        <f t="shared" si="93"/>
        <v>0</v>
      </c>
      <c r="T138" s="58">
        <f t="shared" si="94"/>
        <v>0</v>
      </c>
      <c r="U138" s="58">
        <f t="shared" si="95"/>
        <v>0</v>
      </c>
      <c r="V138" s="58">
        <f t="shared" si="96"/>
        <v>0</v>
      </c>
      <c r="W138" s="58">
        <f t="shared" si="97"/>
        <v>0</v>
      </c>
      <c r="X138" s="58">
        <f t="shared" si="98"/>
        <v>0</v>
      </c>
      <c r="Y138" s="58">
        <f t="shared" si="99"/>
        <v>0</v>
      </c>
      <c r="Z138" s="58">
        <f t="shared" si="100"/>
        <v>0</v>
      </c>
      <c r="AA138" s="59">
        <f t="shared" si="81"/>
        <v>0</v>
      </c>
      <c r="AB138" s="85">
        <v>18</v>
      </c>
      <c r="AC138" s="85">
        <v>0.95</v>
      </c>
      <c r="AD138" s="85">
        <v>0.11</v>
      </c>
      <c r="AE138" s="85">
        <v>1.4999999999999999E-2</v>
      </c>
      <c r="AF138" s="85">
        <v>0.06</v>
      </c>
      <c r="AG138" s="85">
        <v>4.01</v>
      </c>
      <c r="AH138" s="85">
        <v>0.7</v>
      </c>
      <c r="AI138" s="85">
        <v>2.4900000000000002</v>
      </c>
      <c r="AJ138" s="85">
        <v>11</v>
      </c>
      <c r="AK138" s="85">
        <v>0.68</v>
      </c>
      <c r="AL138" s="85">
        <v>9</v>
      </c>
      <c r="AM138" s="85">
        <v>218</v>
      </c>
      <c r="AN138" s="85">
        <v>11</v>
      </c>
      <c r="AO138" s="85">
        <v>0.14000000000000001</v>
      </c>
      <c r="AP138" s="85">
        <v>22.8</v>
      </c>
      <c r="AQ138" s="85">
        <v>7.9000000000000001E-2</v>
      </c>
      <c r="AR138" s="85">
        <v>0</v>
      </c>
      <c r="AS138" s="85">
        <v>0.56000000000000005</v>
      </c>
      <c r="AT138" s="85">
        <v>0</v>
      </c>
      <c r="AU138" s="85">
        <v>2.8</v>
      </c>
      <c r="AV138" s="85">
        <v>0</v>
      </c>
    </row>
    <row r="139" spans="1:48" s="1" customFormat="1" x14ac:dyDescent="0.55000000000000004">
      <c r="A139" s="1" t="s">
        <v>464</v>
      </c>
      <c r="B139" s="1" t="s">
        <v>706</v>
      </c>
      <c r="C139" s="1" t="s">
        <v>586</v>
      </c>
      <c r="D139" s="59">
        <v>0</v>
      </c>
      <c r="E139" s="59">
        <v>250</v>
      </c>
      <c r="F139" s="59">
        <f t="shared" si="82"/>
        <v>0</v>
      </c>
      <c r="G139" s="58">
        <f t="shared" si="83"/>
        <v>0</v>
      </c>
      <c r="H139" s="58">
        <f t="shared" si="84"/>
        <v>0</v>
      </c>
      <c r="I139" s="58">
        <f t="shared" si="101"/>
        <v>0</v>
      </c>
      <c r="J139" s="58">
        <f t="shared" si="102"/>
        <v>0</v>
      </c>
      <c r="K139" s="58">
        <f t="shared" si="85"/>
        <v>0</v>
      </c>
      <c r="L139" s="58">
        <f t="shared" si="86"/>
        <v>0</v>
      </c>
      <c r="M139" s="58">
        <f t="shared" si="87"/>
        <v>0</v>
      </c>
      <c r="N139" s="58">
        <f t="shared" si="88"/>
        <v>0</v>
      </c>
      <c r="O139" s="58">
        <f t="shared" si="89"/>
        <v>0</v>
      </c>
      <c r="P139" s="58">
        <f t="shared" si="90"/>
        <v>0</v>
      </c>
      <c r="Q139" s="58">
        <f t="shared" si="91"/>
        <v>0</v>
      </c>
      <c r="R139" s="58">
        <f t="shared" si="92"/>
        <v>0</v>
      </c>
      <c r="S139" s="58">
        <f t="shared" si="93"/>
        <v>0</v>
      </c>
      <c r="T139" s="58">
        <f t="shared" si="94"/>
        <v>0</v>
      </c>
      <c r="U139" s="58">
        <f t="shared" si="95"/>
        <v>0</v>
      </c>
      <c r="V139" s="58">
        <f t="shared" si="96"/>
        <v>0</v>
      </c>
      <c r="W139" s="58">
        <f t="shared" si="97"/>
        <v>0</v>
      </c>
      <c r="X139" s="58">
        <f t="shared" si="98"/>
        <v>0</v>
      </c>
      <c r="Y139" s="58">
        <f t="shared" si="99"/>
        <v>0</v>
      </c>
      <c r="Z139" s="58">
        <f t="shared" si="100"/>
        <v>0</v>
      </c>
      <c r="AA139" s="59">
        <f t="shared" si="81"/>
        <v>0</v>
      </c>
      <c r="AB139" s="85">
        <v>150</v>
      </c>
      <c r="AC139" s="85">
        <v>22.92</v>
      </c>
      <c r="AD139" s="85">
        <v>5.82</v>
      </c>
      <c r="AE139" s="85">
        <v>1.619</v>
      </c>
      <c r="AF139" s="85">
        <v>3.577</v>
      </c>
      <c r="AG139" s="85">
        <v>0</v>
      </c>
      <c r="AH139" s="85">
        <v>0</v>
      </c>
      <c r="AI139" s="85">
        <v>0</v>
      </c>
      <c r="AJ139" s="85">
        <v>86</v>
      </c>
      <c r="AK139" s="85">
        <v>0.38</v>
      </c>
      <c r="AL139" s="85">
        <v>31</v>
      </c>
      <c r="AM139" s="85">
        <v>448</v>
      </c>
      <c r="AN139" s="85">
        <v>56</v>
      </c>
      <c r="AO139" s="85">
        <v>0.51</v>
      </c>
      <c r="AP139" s="85">
        <v>2</v>
      </c>
      <c r="AQ139" s="85">
        <v>0.34599999999999997</v>
      </c>
      <c r="AR139" s="85">
        <v>6.3</v>
      </c>
      <c r="AS139" s="85">
        <v>0</v>
      </c>
      <c r="AT139" s="85">
        <v>0</v>
      </c>
      <c r="AU139" s="85">
        <v>0</v>
      </c>
      <c r="AV139" s="85">
        <v>69</v>
      </c>
    </row>
    <row r="140" spans="1:48" s="1" customFormat="1" x14ac:dyDescent="0.55000000000000004">
      <c r="A140" s="1" t="s">
        <v>465</v>
      </c>
      <c r="B140" s="1" t="s">
        <v>707</v>
      </c>
      <c r="C140" s="1" t="s">
        <v>587</v>
      </c>
      <c r="D140" s="59">
        <v>0</v>
      </c>
      <c r="E140" s="59">
        <v>250</v>
      </c>
      <c r="F140" s="59">
        <f t="shared" si="82"/>
        <v>0</v>
      </c>
      <c r="G140" s="58">
        <f t="shared" si="83"/>
        <v>0</v>
      </c>
      <c r="H140" s="58">
        <f t="shared" si="84"/>
        <v>0</v>
      </c>
      <c r="I140" s="58">
        <f t="shared" si="101"/>
        <v>0</v>
      </c>
      <c r="J140" s="58">
        <f t="shared" si="102"/>
        <v>0</v>
      </c>
      <c r="K140" s="58">
        <f t="shared" si="85"/>
        <v>0</v>
      </c>
      <c r="L140" s="58">
        <f t="shared" si="86"/>
        <v>0</v>
      </c>
      <c r="M140" s="58">
        <f t="shared" si="87"/>
        <v>0</v>
      </c>
      <c r="N140" s="58">
        <f t="shared" si="88"/>
        <v>0</v>
      </c>
      <c r="O140" s="58">
        <f t="shared" si="89"/>
        <v>0</v>
      </c>
      <c r="P140" s="58">
        <f t="shared" si="90"/>
        <v>0</v>
      </c>
      <c r="Q140" s="58">
        <f t="shared" si="91"/>
        <v>0</v>
      </c>
      <c r="R140" s="58">
        <f t="shared" si="92"/>
        <v>0</v>
      </c>
      <c r="S140" s="58">
        <f t="shared" si="93"/>
        <v>0</v>
      </c>
      <c r="T140" s="58">
        <f t="shared" si="94"/>
        <v>0</v>
      </c>
      <c r="U140" s="58">
        <f t="shared" si="95"/>
        <v>0</v>
      </c>
      <c r="V140" s="58">
        <f t="shared" si="96"/>
        <v>0</v>
      </c>
      <c r="W140" s="58">
        <f t="shared" si="97"/>
        <v>0</v>
      </c>
      <c r="X140" s="58">
        <f t="shared" si="98"/>
        <v>0</v>
      </c>
      <c r="Y140" s="58">
        <f t="shared" si="99"/>
        <v>0</v>
      </c>
      <c r="Z140" s="58">
        <f t="shared" si="100"/>
        <v>0</v>
      </c>
      <c r="AA140" s="59">
        <f t="shared" si="81"/>
        <v>0</v>
      </c>
      <c r="AB140" s="85">
        <v>184</v>
      </c>
      <c r="AC140" s="85">
        <v>29.91</v>
      </c>
      <c r="AD140" s="85">
        <v>6.28</v>
      </c>
      <c r="AE140" s="85">
        <v>1.6120000000000001</v>
      </c>
      <c r="AF140" s="85">
        <v>3.8970000000000002</v>
      </c>
      <c r="AG140" s="85">
        <v>0</v>
      </c>
      <c r="AH140" s="85">
        <v>0</v>
      </c>
      <c r="AI140" s="85">
        <v>0</v>
      </c>
      <c r="AJ140" s="85">
        <v>10</v>
      </c>
      <c r="AK140" s="85">
        <v>1.31</v>
      </c>
      <c r="AL140" s="85">
        <v>64</v>
      </c>
      <c r="AM140" s="85">
        <v>323</v>
      </c>
      <c r="AN140" s="85">
        <v>50</v>
      </c>
      <c r="AO140" s="85">
        <v>0.77</v>
      </c>
      <c r="AP140" s="85">
        <v>0</v>
      </c>
      <c r="AQ140" s="85">
        <v>0.52500000000000002</v>
      </c>
      <c r="AR140" s="85">
        <v>10.88</v>
      </c>
      <c r="AS140" s="85">
        <v>0</v>
      </c>
      <c r="AT140" s="85">
        <v>0</v>
      </c>
      <c r="AU140" s="85">
        <v>0</v>
      </c>
      <c r="AV140" s="85">
        <v>49</v>
      </c>
    </row>
    <row r="141" spans="1:48" s="1" customFormat="1" x14ac:dyDescent="0.55000000000000004">
      <c r="A141" s="1" t="s">
        <v>247</v>
      </c>
      <c r="B141" s="1" t="s">
        <v>708</v>
      </c>
      <c r="C141" s="1" t="s">
        <v>248</v>
      </c>
      <c r="D141" s="59">
        <v>180.12199781750269</v>
      </c>
      <c r="E141" s="59">
        <v>250</v>
      </c>
      <c r="F141" s="59">
        <f t="shared" si="82"/>
        <v>180</v>
      </c>
      <c r="G141" s="58">
        <f t="shared" si="83"/>
        <v>208.94151746830315</v>
      </c>
      <c r="H141" s="58">
        <f t="shared" si="84"/>
        <v>45.949121643244936</v>
      </c>
      <c r="I141" s="58">
        <f t="shared" si="101"/>
        <v>1.477000382103522</v>
      </c>
      <c r="J141" s="58">
        <f t="shared" si="102"/>
        <v>0.42148547489295629</v>
      </c>
      <c r="K141" s="58">
        <f t="shared" si="85"/>
        <v>0</v>
      </c>
      <c r="L141" s="58">
        <f t="shared" si="86"/>
        <v>0</v>
      </c>
      <c r="M141" s="58">
        <f t="shared" si="87"/>
        <v>0</v>
      </c>
      <c r="N141" s="58">
        <f t="shared" si="88"/>
        <v>19.813419759925296</v>
      </c>
      <c r="O141" s="58">
        <f t="shared" si="89"/>
        <v>2.7558665666077911</v>
      </c>
      <c r="P141" s="58">
        <f t="shared" si="90"/>
        <v>48.632939410725719</v>
      </c>
      <c r="Q141" s="58">
        <f t="shared" si="91"/>
        <v>426.88913482748137</v>
      </c>
      <c r="R141" s="58">
        <f t="shared" si="92"/>
        <v>90.060998908751358</v>
      </c>
      <c r="S141" s="58">
        <f t="shared" si="93"/>
        <v>1.3869393831947707</v>
      </c>
      <c r="T141" s="58">
        <f t="shared" si="94"/>
        <v>0</v>
      </c>
      <c r="U141" s="58">
        <f t="shared" si="95"/>
        <v>0.63042699236125932</v>
      </c>
      <c r="V141" s="58">
        <f t="shared" si="96"/>
        <v>5.3856477347433307</v>
      </c>
      <c r="W141" s="58">
        <f t="shared" si="97"/>
        <v>0</v>
      </c>
      <c r="X141" s="58">
        <f t="shared" si="98"/>
        <v>0</v>
      </c>
      <c r="Y141" s="58">
        <f t="shared" si="99"/>
        <v>0</v>
      </c>
      <c r="Z141" s="58">
        <f t="shared" si="100"/>
        <v>54.036599345250806</v>
      </c>
      <c r="AA141" s="59">
        <f t="shared" si="81"/>
        <v>1.477000382103522</v>
      </c>
      <c r="AB141" s="85">
        <v>116</v>
      </c>
      <c r="AC141" s="85">
        <v>25.51</v>
      </c>
      <c r="AD141" s="85">
        <v>0.82</v>
      </c>
      <c r="AE141" s="85">
        <v>0.23400000000000001</v>
      </c>
      <c r="AF141" s="85">
        <v>0.496</v>
      </c>
      <c r="AG141" s="85">
        <v>0</v>
      </c>
      <c r="AH141" s="85">
        <v>0</v>
      </c>
      <c r="AI141" s="85">
        <v>0</v>
      </c>
      <c r="AJ141" s="85">
        <v>11</v>
      </c>
      <c r="AK141" s="85">
        <v>1.53</v>
      </c>
      <c r="AL141" s="85">
        <v>27</v>
      </c>
      <c r="AM141" s="85">
        <v>237</v>
      </c>
      <c r="AN141" s="85">
        <v>50</v>
      </c>
      <c r="AO141" s="85">
        <v>0.77</v>
      </c>
      <c r="AP141" s="85">
        <v>0</v>
      </c>
      <c r="AQ141" s="85">
        <v>0.35</v>
      </c>
      <c r="AR141" s="85">
        <v>2.99</v>
      </c>
      <c r="AS141" s="85">
        <v>0</v>
      </c>
      <c r="AT141" s="85">
        <v>0</v>
      </c>
      <c r="AU141" s="85">
        <v>0</v>
      </c>
      <c r="AV141" s="85">
        <v>30</v>
      </c>
    </row>
    <row r="142" spans="1:48" s="1" customFormat="1" x14ac:dyDescent="0.55000000000000004">
      <c r="A142" s="1" t="s">
        <v>466</v>
      </c>
      <c r="B142" s="1" t="s">
        <v>709</v>
      </c>
      <c r="C142" s="1" t="s">
        <v>588</v>
      </c>
      <c r="D142" s="59">
        <v>0</v>
      </c>
      <c r="E142" s="59">
        <v>250</v>
      </c>
      <c r="F142" s="59">
        <f t="shared" si="82"/>
        <v>0</v>
      </c>
      <c r="G142" s="58">
        <f t="shared" si="83"/>
        <v>0</v>
      </c>
      <c r="H142" s="58">
        <f t="shared" si="84"/>
        <v>0</v>
      </c>
      <c r="I142" s="58">
        <f t="shared" si="101"/>
        <v>0</v>
      </c>
      <c r="J142" s="58">
        <f t="shared" si="102"/>
        <v>0</v>
      </c>
      <c r="K142" s="58">
        <f t="shared" si="85"/>
        <v>0</v>
      </c>
      <c r="L142" s="58">
        <f t="shared" si="86"/>
        <v>0</v>
      </c>
      <c r="M142" s="58">
        <f t="shared" si="87"/>
        <v>0</v>
      </c>
      <c r="N142" s="58">
        <f t="shared" si="88"/>
        <v>0</v>
      </c>
      <c r="O142" s="58">
        <f t="shared" si="89"/>
        <v>0</v>
      </c>
      <c r="P142" s="58">
        <f t="shared" si="90"/>
        <v>0</v>
      </c>
      <c r="Q142" s="58">
        <f t="shared" si="91"/>
        <v>0</v>
      </c>
      <c r="R142" s="58">
        <f t="shared" si="92"/>
        <v>0</v>
      </c>
      <c r="S142" s="58">
        <f t="shared" si="93"/>
        <v>0</v>
      </c>
      <c r="T142" s="58">
        <f t="shared" si="94"/>
        <v>0</v>
      </c>
      <c r="U142" s="58">
        <f t="shared" si="95"/>
        <v>0</v>
      </c>
      <c r="V142" s="58">
        <f t="shared" si="96"/>
        <v>0</v>
      </c>
      <c r="W142" s="58">
        <f t="shared" si="97"/>
        <v>0</v>
      </c>
      <c r="X142" s="58">
        <f t="shared" si="98"/>
        <v>0</v>
      </c>
      <c r="Y142" s="58">
        <f t="shared" si="99"/>
        <v>0</v>
      </c>
      <c r="Z142" s="58">
        <f t="shared" si="100"/>
        <v>0</v>
      </c>
      <c r="AA142" s="59">
        <f t="shared" si="81"/>
        <v>0</v>
      </c>
      <c r="AB142" s="85">
        <v>112</v>
      </c>
      <c r="AC142" s="85">
        <v>13.5</v>
      </c>
      <c r="AD142" s="85">
        <v>3</v>
      </c>
      <c r="AE142" s="85">
        <v>0.11799999999999999</v>
      </c>
      <c r="AF142" s="85">
        <v>0.96099999999999997</v>
      </c>
      <c r="AG142" s="85">
        <v>7.7</v>
      </c>
      <c r="AH142" s="85">
        <v>0.4</v>
      </c>
      <c r="AI142" s="85">
        <v>4</v>
      </c>
      <c r="AJ142" s="85">
        <v>16</v>
      </c>
      <c r="AK142" s="85">
        <v>2.2000000000000002</v>
      </c>
      <c r="AL142" s="85">
        <v>20</v>
      </c>
      <c r="AM142" s="85">
        <v>349</v>
      </c>
      <c r="AN142" s="85">
        <v>1200</v>
      </c>
      <c r="AO142" s="85">
        <v>2.1</v>
      </c>
      <c r="AP142" s="85">
        <v>10</v>
      </c>
      <c r="AQ142" s="85">
        <v>0.29399999999999998</v>
      </c>
      <c r="AR142" s="85">
        <v>0.22</v>
      </c>
      <c r="AS142" s="85">
        <v>0</v>
      </c>
      <c r="AT142" s="85">
        <v>0</v>
      </c>
      <c r="AU142" s="85">
        <v>0</v>
      </c>
      <c r="AV142" s="85">
        <v>55</v>
      </c>
    </row>
    <row r="143" spans="1:48" s="1" customFormat="1" x14ac:dyDescent="0.55000000000000004">
      <c r="A143" s="1" t="s">
        <v>467</v>
      </c>
      <c r="B143" s="1" t="s">
        <v>710</v>
      </c>
      <c r="C143" s="1" t="s">
        <v>589</v>
      </c>
      <c r="D143" s="59">
        <v>0</v>
      </c>
      <c r="E143" s="59">
        <v>250</v>
      </c>
      <c r="F143" s="59">
        <f t="shared" si="82"/>
        <v>0</v>
      </c>
      <c r="G143" s="58">
        <f t="shared" si="83"/>
        <v>0</v>
      </c>
      <c r="H143" s="58">
        <f t="shared" si="84"/>
        <v>0</v>
      </c>
      <c r="I143" s="58">
        <f t="shared" si="101"/>
        <v>0</v>
      </c>
      <c r="J143" s="58">
        <f t="shared" si="102"/>
        <v>0</v>
      </c>
      <c r="K143" s="58">
        <f t="shared" si="85"/>
        <v>0</v>
      </c>
      <c r="L143" s="58">
        <f t="shared" si="86"/>
        <v>0</v>
      </c>
      <c r="M143" s="58">
        <f t="shared" si="87"/>
        <v>0</v>
      </c>
      <c r="N143" s="58">
        <f t="shared" si="88"/>
        <v>0</v>
      </c>
      <c r="O143" s="58">
        <f t="shared" si="89"/>
        <v>0</v>
      </c>
      <c r="P143" s="58">
        <f t="shared" si="90"/>
        <v>0</v>
      </c>
      <c r="Q143" s="58">
        <f t="shared" si="91"/>
        <v>0</v>
      </c>
      <c r="R143" s="58">
        <f t="shared" si="92"/>
        <v>0</v>
      </c>
      <c r="S143" s="58">
        <f t="shared" si="93"/>
        <v>0</v>
      </c>
      <c r="T143" s="58">
        <f t="shared" si="94"/>
        <v>0</v>
      </c>
      <c r="U143" s="58">
        <f t="shared" si="95"/>
        <v>0</v>
      </c>
      <c r="V143" s="58">
        <f t="shared" si="96"/>
        <v>0</v>
      </c>
      <c r="W143" s="58">
        <f t="shared" si="97"/>
        <v>0</v>
      </c>
      <c r="X143" s="58">
        <f t="shared" si="98"/>
        <v>0</v>
      </c>
      <c r="Y143" s="58">
        <f t="shared" si="99"/>
        <v>0</v>
      </c>
      <c r="Z143" s="58">
        <f t="shared" si="100"/>
        <v>0</v>
      </c>
      <c r="AA143" s="59">
        <f t="shared" si="81"/>
        <v>0</v>
      </c>
      <c r="AB143" s="85">
        <v>109</v>
      </c>
      <c r="AC143" s="85">
        <v>21.81</v>
      </c>
      <c r="AD143" s="85">
        <v>0.83</v>
      </c>
      <c r="AE143" s="85">
        <v>0.19700000000000001</v>
      </c>
      <c r="AF143" s="85">
        <v>0.44500000000000001</v>
      </c>
      <c r="AG143" s="85">
        <v>3.51</v>
      </c>
      <c r="AH143" s="85">
        <v>0.5</v>
      </c>
      <c r="AI143" s="85">
        <v>3.51</v>
      </c>
      <c r="AJ143" s="85">
        <v>8</v>
      </c>
      <c r="AK143" s="85">
        <v>0.63</v>
      </c>
      <c r="AL143" s="85">
        <v>21</v>
      </c>
      <c r="AM143" s="85">
        <v>211</v>
      </c>
      <c r="AN143" s="85">
        <v>772</v>
      </c>
      <c r="AO143" s="85">
        <v>1.33</v>
      </c>
      <c r="AP143" s="85">
        <v>5.7</v>
      </c>
      <c r="AQ143" s="85">
        <v>0.128</v>
      </c>
      <c r="AR143" s="85">
        <v>0.09</v>
      </c>
      <c r="AS143" s="85">
        <v>0.09</v>
      </c>
      <c r="AT143" s="85">
        <v>2</v>
      </c>
      <c r="AU143" s="85">
        <v>0</v>
      </c>
      <c r="AV143" s="85">
        <v>44</v>
      </c>
    </row>
    <row r="144" spans="1:48" s="1" customFormat="1" x14ac:dyDescent="0.55000000000000004">
      <c r="A144" s="1" t="s">
        <v>468</v>
      </c>
      <c r="B144" s="1" t="s">
        <v>711</v>
      </c>
      <c r="C144" s="1" t="s">
        <v>590</v>
      </c>
      <c r="D144" s="59">
        <v>0</v>
      </c>
      <c r="E144" s="59">
        <v>0</v>
      </c>
      <c r="F144" s="59">
        <f t="shared" si="82"/>
        <v>0</v>
      </c>
      <c r="G144" s="58">
        <f t="shared" si="83"/>
        <v>0</v>
      </c>
      <c r="H144" s="58">
        <f t="shared" si="84"/>
        <v>0</v>
      </c>
      <c r="I144" s="58">
        <f t="shared" si="101"/>
        <v>0</v>
      </c>
      <c r="J144" s="58">
        <f t="shared" si="102"/>
        <v>0</v>
      </c>
      <c r="K144" s="58">
        <f t="shared" si="85"/>
        <v>0</v>
      </c>
      <c r="L144" s="58">
        <f t="shared" si="86"/>
        <v>0</v>
      </c>
      <c r="M144" s="58">
        <f t="shared" si="87"/>
        <v>0</v>
      </c>
      <c r="N144" s="58">
        <f t="shared" si="88"/>
        <v>0</v>
      </c>
      <c r="O144" s="58">
        <f t="shared" si="89"/>
        <v>0</v>
      </c>
      <c r="P144" s="58">
        <f t="shared" si="90"/>
        <v>0</v>
      </c>
      <c r="Q144" s="58">
        <f t="shared" si="91"/>
        <v>0</v>
      </c>
      <c r="R144" s="58">
        <f t="shared" si="92"/>
        <v>0</v>
      </c>
      <c r="S144" s="58">
        <f t="shared" si="93"/>
        <v>0</v>
      </c>
      <c r="T144" s="58">
        <f t="shared" si="94"/>
        <v>0</v>
      </c>
      <c r="U144" s="58">
        <f t="shared" si="95"/>
        <v>0</v>
      </c>
      <c r="V144" s="58">
        <f t="shared" si="96"/>
        <v>0</v>
      </c>
      <c r="W144" s="58">
        <f t="shared" si="97"/>
        <v>0</v>
      </c>
      <c r="X144" s="58">
        <f t="shared" si="98"/>
        <v>0</v>
      </c>
      <c r="Y144" s="58">
        <f t="shared" si="99"/>
        <v>0</v>
      </c>
      <c r="Z144" s="58">
        <f t="shared" si="100"/>
        <v>0</v>
      </c>
      <c r="AA144" s="59">
        <f t="shared" si="81"/>
        <v>0</v>
      </c>
      <c r="AB144" s="85">
        <v>147</v>
      </c>
      <c r="AC144" s="85">
        <v>30.13</v>
      </c>
      <c r="AD144" s="85">
        <v>2.08</v>
      </c>
      <c r="AE144" s="85">
        <v>0.59299999999999997</v>
      </c>
      <c r="AF144" s="85">
        <v>1.1539999999999999</v>
      </c>
      <c r="AG144" s="85">
        <v>0</v>
      </c>
      <c r="AH144" s="85">
        <v>0</v>
      </c>
      <c r="AI144" s="85">
        <v>0</v>
      </c>
      <c r="AJ144" s="85">
        <v>9</v>
      </c>
      <c r="AK144" s="85">
        <v>0.71</v>
      </c>
      <c r="AL144" s="85">
        <v>32</v>
      </c>
      <c r="AM144" s="85">
        <v>249</v>
      </c>
      <c r="AN144" s="85">
        <v>99</v>
      </c>
      <c r="AO144" s="85">
        <v>1.72</v>
      </c>
      <c r="AP144" s="85">
        <v>0</v>
      </c>
      <c r="AQ144" s="85">
        <v>0.80700000000000005</v>
      </c>
      <c r="AR144" s="85">
        <v>0.37</v>
      </c>
      <c r="AS144" s="85">
        <v>0.06</v>
      </c>
      <c r="AT144" s="85">
        <v>10</v>
      </c>
      <c r="AU144" s="85">
        <v>0</v>
      </c>
      <c r="AV144" s="85">
        <v>80</v>
      </c>
    </row>
    <row r="145" spans="1:48" s="1" customFormat="1" x14ac:dyDescent="0.55000000000000004">
      <c r="A145" s="1" t="s">
        <v>469</v>
      </c>
      <c r="B145" s="1" t="s">
        <v>670</v>
      </c>
      <c r="C145" s="1" t="s">
        <v>591</v>
      </c>
      <c r="D145" s="59">
        <v>0</v>
      </c>
      <c r="E145" s="59">
        <v>250</v>
      </c>
      <c r="F145" s="59">
        <f t="shared" si="82"/>
        <v>0</v>
      </c>
      <c r="G145" s="58">
        <f t="shared" si="83"/>
        <v>0</v>
      </c>
      <c r="H145" s="58">
        <f t="shared" si="84"/>
        <v>0</v>
      </c>
      <c r="I145" s="58">
        <f t="shared" si="101"/>
        <v>0</v>
      </c>
      <c r="J145" s="58">
        <f t="shared" si="102"/>
        <v>0</v>
      </c>
      <c r="K145" s="58">
        <f t="shared" si="85"/>
        <v>0</v>
      </c>
      <c r="L145" s="58">
        <f t="shared" si="86"/>
        <v>0</v>
      </c>
      <c r="M145" s="58">
        <f t="shared" si="87"/>
        <v>0</v>
      </c>
      <c r="N145" s="58">
        <f t="shared" si="88"/>
        <v>0</v>
      </c>
      <c r="O145" s="58">
        <f t="shared" si="89"/>
        <v>0</v>
      </c>
      <c r="P145" s="58">
        <f t="shared" si="90"/>
        <v>0</v>
      </c>
      <c r="Q145" s="58">
        <f t="shared" si="91"/>
        <v>0</v>
      </c>
      <c r="R145" s="58">
        <f t="shared" si="92"/>
        <v>0</v>
      </c>
      <c r="S145" s="58">
        <f t="shared" si="93"/>
        <v>0</v>
      </c>
      <c r="T145" s="58">
        <f t="shared" si="94"/>
        <v>0</v>
      </c>
      <c r="U145" s="58">
        <f t="shared" si="95"/>
        <v>0</v>
      </c>
      <c r="V145" s="58">
        <f t="shared" si="96"/>
        <v>0</v>
      </c>
      <c r="W145" s="58">
        <f t="shared" si="97"/>
        <v>0</v>
      </c>
      <c r="X145" s="58">
        <f t="shared" si="98"/>
        <v>0</v>
      </c>
      <c r="Y145" s="58">
        <f t="shared" si="99"/>
        <v>0</v>
      </c>
      <c r="Z145" s="58">
        <f t="shared" si="100"/>
        <v>0</v>
      </c>
      <c r="AA145" s="59">
        <f t="shared" si="81"/>
        <v>0</v>
      </c>
      <c r="AB145" s="85">
        <v>22</v>
      </c>
      <c r="AC145" s="85">
        <v>0.71</v>
      </c>
      <c r="AD145" s="85">
        <v>0.08</v>
      </c>
      <c r="AE145" s="85">
        <v>8.0000000000000002E-3</v>
      </c>
      <c r="AF145" s="85">
        <v>4.7E-2</v>
      </c>
      <c r="AG145" s="85">
        <v>5.0599999999999996</v>
      </c>
      <c r="AH145" s="85">
        <v>2</v>
      </c>
      <c r="AI145" s="85">
        <v>2.99</v>
      </c>
      <c r="AJ145" s="85">
        <v>33</v>
      </c>
      <c r="AK145" s="85">
        <v>0.18</v>
      </c>
      <c r="AL145" s="85">
        <v>9</v>
      </c>
      <c r="AM145" s="85">
        <v>177</v>
      </c>
      <c r="AN145" s="85">
        <v>16</v>
      </c>
      <c r="AO145" s="85">
        <v>0.12</v>
      </c>
      <c r="AP145" s="85">
        <v>11.6</v>
      </c>
      <c r="AQ145" s="85">
        <v>6.7000000000000004E-2</v>
      </c>
      <c r="AR145" s="85">
        <v>0</v>
      </c>
      <c r="AS145" s="85">
        <v>0.02</v>
      </c>
      <c r="AT145" s="85">
        <v>0</v>
      </c>
      <c r="AU145" s="85">
        <v>0.1</v>
      </c>
      <c r="AV145" s="85">
        <v>0</v>
      </c>
    </row>
    <row r="146" spans="1:48" s="1" customFormat="1" x14ac:dyDescent="0.55000000000000004">
      <c r="A146" s="1" t="s">
        <v>470</v>
      </c>
      <c r="B146" s="1" t="s">
        <v>712</v>
      </c>
      <c r="C146" s="1" t="s">
        <v>592</v>
      </c>
      <c r="D146" s="59">
        <v>0</v>
      </c>
      <c r="E146" s="59">
        <v>250</v>
      </c>
      <c r="F146" s="59">
        <f t="shared" si="82"/>
        <v>0</v>
      </c>
      <c r="G146" s="58">
        <f t="shared" si="83"/>
        <v>0</v>
      </c>
      <c r="H146" s="58">
        <f t="shared" si="84"/>
        <v>0</v>
      </c>
      <c r="I146" s="58">
        <f t="shared" si="101"/>
        <v>0</v>
      </c>
      <c r="J146" s="58">
        <f t="shared" si="102"/>
        <v>0</v>
      </c>
      <c r="K146" s="58">
        <f t="shared" si="85"/>
        <v>0</v>
      </c>
      <c r="L146" s="58">
        <f t="shared" si="86"/>
        <v>0</v>
      </c>
      <c r="M146" s="58">
        <f t="shared" si="87"/>
        <v>0</v>
      </c>
      <c r="N146" s="58">
        <f t="shared" si="88"/>
        <v>0</v>
      </c>
      <c r="O146" s="58">
        <f t="shared" si="89"/>
        <v>0</v>
      </c>
      <c r="P146" s="58">
        <f t="shared" si="90"/>
        <v>0</v>
      </c>
      <c r="Q146" s="58">
        <f t="shared" si="91"/>
        <v>0</v>
      </c>
      <c r="R146" s="58">
        <f t="shared" si="92"/>
        <v>0</v>
      </c>
      <c r="S146" s="58">
        <f t="shared" si="93"/>
        <v>0</v>
      </c>
      <c r="T146" s="58">
        <f t="shared" si="94"/>
        <v>0</v>
      </c>
      <c r="U146" s="58">
        <f t="shared" si="95"/>
        <v>0</v>
      </c>
      <c r="V146" s="58">
        <f t="shared" si="96"/>
        <v>0</v>
      </c>
      <c r="W146" s="58">
        <f t="shared" si="97"/>
        <v>0</v>
      </c>
      <c r="X146" s="58">
        <f t="shared" si="98"/>
        <v>0</v>
      </c>
      <c r="Y146" s="58">
        <f t="shared" si="99"/>
        <v>0</v>
      </c>
      <c r="Z146" s="58">
        <f t="shared" si="100"/>
        <v>0</v>
      </c>
      <c r="AA146" s="59">
        <f t="shared" si="81"/>
        <v>0</v>
      </c>
      <c r="AB146" s="85">
        <v>88</v>
      </c>
      <c r="AC146" s="85">
        <v>0.49</v>
      </c>
      <c r="AD146" s="85">
        <v>0</v>
      </c>
      <c r="AE146" s="85">
        <v>0</v>
      </c>
      <c r="AF146" s="85">
        <v>0</v>
      </c>
      <c r="AG146" s="85">
        <v>17.03</v>
      </c>
      <c r="AH146" s="85">
        <v>0</v>
      </c>
      <c r="AI146" s="85">
        <v>14.95</v>
      </c>
      <c r="AJ146" s="85">
        <v>27</v>
      </c>
      <c r="AK146" s="85">
        <v>0.72</v>
      </c>
      <c r="AL146" s="85">
        <v>12</v>
      </c>
      <c r="AM146" s="85">
        <v>112</v>
      </c>
      <c r="AN146" s="85">
        <v>23</v>
      </c>
      <c r="AO146" s="85">
        <v>0.08</v>
      </c>
      <c r="AP146" s="85">
        <v>0</v>
      </c>
      <c r="AQ146" s="85">
        <v>0</v>
      </c>
      <c r="AR146" s="85">
        <v>0</v>
      </c>
      <c r="AS146" s="85">
        <v>0</v>
      </c>
      <c r="AT146" s="85">
        <v>0</v>
      </c>
      <c r="AU146" s="85">
        <v>0</v>
      </c>
      <c r="AV146" s="85">
        <v>0</v>
      </c>
    </row>
    <row r="147" spans="1:48" s="1" customFormat="1" x14ac:dyDescent="0.55000000000000004">
      <c r="A147" s="1" t="s">
        <v>471</v>
      </c>
      <c r="B147" s="1" t="s">
        <v>713</v>
      </c>
      <c r="C147" s="1" t="s">
        <v>593</v>
      </c>
      <c r="D147" s="59">
        <v>0</v>
      </c>
      <c r="E147" s="59">
        <v>250</v>
      </c>
      <c r="F147" s="59">
        <f t="shared" si="82"/>
        <v>0</v>
      </c>
      <c r="G147" s="58">
        <f t="shared" si="83"/>
        <v>0</v>
      </c>
      <c r="H147" s="58">
        <f t="shared" si="84"/>
        <v>0</v>
      </c>
      <c r="I147" s="58">
        <f t="shared" si="101"/>
        <v>0</v>
      </c>
      <c r="J147" s="58">
        <f t="shared" si="102"/>
        <v>0</v>
      </c>
      <c r="K147" s="58">
        <f t="shared" si="85"/>
        <v>0</v>
      </c>
      <c r="L147" s="58">
        <f t="shared" si="86"/>
        <v>0</v>
      </c>
      <c r="M147" s="58">
        <f t="shared" si="87"/>
        <v>0</v>
      </c>
      <c r="N147" s="58">
        <f t="shared" si="88"/>
        <v>0</v>
      </c>
      <c r="O147" s="58">
        <f t="shared" si="89"/>
        <v>0</v>
      </c>
      <c r="P147" s="58">
        <f t="shared" si="90"/>
        <v>0</v>
      </c>
      <c r="Q147" s="58">
        <f t="shared" si="91"/>
        <v>0</v>
      </c>
      <c r="R147" s="58">
        <f t="shared" si="92"/>
        <v>0</v>
      </c>
      <c r="S147" s="58">
        <f t="shared" si="93"/>
        <v>0</v>
      </c>
      <c r="T147" s="58">
        <f t="shared" si="94"/>
        <v>0</v>
      </c>
      <c r="U147" s="58">
        <f t="shared" si="95"/>
        <v>0</v>
      </c>
      <c r="V147" s="58">
        <f t="shared" si="96"/>
        <v>0</v>
      </c>
      <c r="W147" s="58">
        <f t="shared" si="97"/>
        <v>0</v>
      </c>
      <c r="X147" s="58">
        <f t="shared" si="98"/>
        <v>0</v>
      </c>
      <c r="Y147" s="58">
        <f t="shared" si="99"/>
        <v>0</v>
      </c>
      <c r="Z147" s="58">
        <f t="shared" si="100"/>
        <v>0</v>
      </c>
      <c r="AA147" s="59">
        <f t="shared" si="81"/>
        <v>0</v>
      </c>
      <c r="AB147" s="85">
        <v>21</v>
      </c>
      <c r="AC147" s="85">
        <v>0</v>
      </c>
      <c r="AD147" s="85">
        <v>0</v>
      </c>
      <c r="AE147" s="85">
        <v>0</v>
      </c>
      <c r="AF147" s="85">
        <v>0</v>
      </c>
      <c r="AG147" s="85">
        <v>0.93</v>
      </c>
      <c r="AH147" s="85">
        <v>0</v>
      </c>
      <c r="AI147" s="85">
        <v>0.4</v>
      </c>
      <c r="AJ147" s="85">
        <v>7</v>
      </c>
      <c r="AK147" s="85">
        <v>0.2</v>
      </c>
      <c r="AL147" s="85">
        <v>5</v>
      </c>
      <c r="AM147" s="85">
        <v>73</v>
      </c>
      <c r="AN147" s="85">
        <v>5</v>
      </c>
      <c r="AO147" s="85">
        <v>0.04</v>
      </c>
      <c r="AP147" s="85">
        <v>0</v>
      </c>
      <c r="AQ147" s="85">
        <v>0</v>
      </c>
      <c r="AR147" s="85">
        <v>0</v>
      </c>
      <c r="AS147" s="85">
        <v>0</v>
      </c>
      <c r="AT147" s="85">
        <v>0</v>
      </c>
      <c r="AU147" s="85">
        <v>0</v>
      </c>
      <c r="AV147" s="85">
        <v>0</v>
      </c>
    </row>
    <row r="148" spans="1:48" s="1" customFormat="1" x14ac:dyDescent="0.55000000000000004">
      <c r="A148" s="1" t="s">
        <v>472</v>
      </c>
      <c r="B148" s="1" t="s">
        <v>671</v>
      </c>
      <c r="C148" s="1" t="s">
        <v>594</v>
      </c>
      <c r="D148" s="59">
        <v>0</v>
      </c>
      <c r="E148" s="59">
        <v>250</v>
      </c>
      <c r="F148" s="59">
        <f t="shared" si="82"/>
        <v>0</v>
      </c>
      <c r="G148" s="58">
        <f t="shared" si="83"/>
        <v>0</v>
      </c>
      <c r="H148" s="58">
        <f t="shared" si="84"/>
        <v>0</v>
      </c>
      <c r="I148" s="58">
        <f t="shared" si="101"/>
        <v>0</v>
      </c>
      <c r="J148" s="58">
        <f t="shared" si="102"/>
        <v>0</v>
      </c>
      <c r="K148" s="58">
        <f>AG148*$D148/100</f>
        <v>0</v>
      </c>
      <c r="L148" s="58">
        <f>AH148*$D148/100</f>
        <v>0</v>
      </c>
      <c r="M148" s="58">
        <f>AI148*$D148/100</f>
        <v>0</v>
      </c>
      <c r="N148" s="58">
        <f>AJ148*$D148/100</f>
        <v>0</v>
      </c>
      <c r="O148" s="58">
        <f>AK148*$D148/100</f>
        <v>0</v>
      </c>
      <c r="P148" s="58">
        <f>AL148*$D148/100</f>
        <v>0</v>
      </c>
      <c r="Q148" s="58">
        <f>AM148*$D148/100</f>
        <v>0</v>
      </c>
      <c r="R148" s="58">
        <f>AN148*$D148/100</f>
        <v>0</v>
      </c>
      <c r="S148" s="58">
        <f>AO148*$D148/100</f>
        <v>0</v>
      </c>
      <c r="T148" s="58">
        <f>AP148*$D148/100</f>
        <v>0</v>
      </c>
      <c r="U148" s="58">
        <f>AQ148*$D148/100</f>
        <v>0</v>
      </c>
      <c r="V148" s="58">
        <f>AR148*$D148/100</f>
        <v>0</v>
      </c>
      <c r="W148" s="58">
        <f>AS148*$D148/100</f>
        <v>0</v>
      </c>
      <c r="X148" s="58">
        <f t="shared" si="98"/>
        <v>0</v>
      </c>
      <c r="Y148" s="58">
        <f t="shared" si="99"/>
        <v>0</v>
      </c>
      <c r="Z148" s="58">
        <f t="shared" si="100"/>
        <v>0</v>
      </c>
      <c r="AA148" s="59">
        <f t="shared" si="81"/>
        <v>0</v>
      </c>
      <c r="AB148" s="85">
        <v>116</v>
      </c>
      <c r="AC148" s="85">
        <v>1.49</v>
      </c>
      <c r="AD148" s="85">
        <v>0.14000000000000001</v>
      </c>
      <c r="AE148" s="85">
        <v>2.9000000000000001E-2</v>
      </c>
      <c r="AF148" s="85">
        <v>6.5000000000000002E-2</v>
      </c>
      <c r="AG148" s="85">
        <v>27.48</v>
      </c>
      <c r="AH148" s="85">
        <v>3.9</v>
      </c>
      <c r="AI148" s="85">
        <v>0.49</v>
      </c>
      <c r="AJ148" s="85">
        <v>14</v>
      </c>
      <c r="AK148" s="85">
        <v>0.52</v>
      </c>
      <c r="AL148" s="85">
        <v>18</v>
      </c>
      <c r="AM148" s="85">
        <v>670</v>
      </c>
      <c r="AN148" s="85">
        <v>8</v>
      </c>
      <c r="AO148" s="85">
        <v>0.2</v>
      </c>
      <c r="AP148" s="85">
        <v>12.1</v>
      </c>
      <c r="AQ148" s="85">
        <v>0.22800000000000001</v>
      </c>
      <c r="AR148" s="85">
        <v>0</v>
      </c>
      <c r="AS148" s="85">
        <v>0.34</v>
      </c>
      <c r="AT148" s="85">
        <v>0</v>
      </c>
      <c r="AU148" s="85">
        <v>2.2999999999999998</v>
      </c>
      <c r="AV148" s="85">
        <v>0</v>
      </c>
    </row>
    <row r="149" spans="1:48" s="1" customFormat="1" x14ac:dyDescent="0.55000000000000004">
      <c r="A149" s="1" t="s">
        <v>204</v>
      </c>
      <c r="B149" s="1" t="s">
        <v>714</v>
      </c>
      <c r="C149" s="1" t="s">
        <v>205</v>
      </c>
      <c r="D149" s="59">
        <v>0</v>
      </c>
      <c r="E149" s="59">
        <v>250</v>
      </c>
      <c r="F149" s="59">
        <f t="shared" ref="F149" si="103">FLOOR(D149,1)</f>
        <v>0</v>
      </c>
      <c r="G149" s="58">
        <f t="shared" si="83"/>
        <v>0</v>
      </c>
      <c r="H149" s="58">
        <f t="shared" si="84"/>
        <v>0</v>
      </c>
      <c r="I149" s="58">
        <f t="shared" si="101"/>
        <v>0</v>
      </c>
      <c r="J149" s="58">
        <f t="shared" si="102"/>
        <v>0</v>
      </c>
      <c r="K149" s="58">
        <f t="shared" si="85"/>
        <v>0</v>
      </c>
      <c r="L149" s="58">
        <f t="shared" si="86"/>
        <v>0</v>
      </c>
      <c r="M149" s="58">
        <f t="shared" si="87"/>
        <v>0</v>
      </c>
      <c r="N149" s="58">
        <f t="shared" si="88"/>
        <v>0</v>
      </c>
      <c r="O149" s="58">
        <f t="shared" si="89"/>
        <v>0</v>
      </c>
      <c r="P149" s="58">
        <f t="shared" si="90"/>
        <v>0</v>
      </c>
      <c r="Q149" s="58">
        <f t="shared" si="91"/>
        <v>0</v>
      </c>
      <c r="R149" s="58">
        <f t="shared" si="92"/>
        <v>0</v>
      </c>
      <c r="S149" s="58">
        <f t="shared" si="93"/>
        <v>0</v>
      </c>
      <c r="T149" s="58">
        <f t="shared" si="94"/>
        <v>0</v>
      </c>
      <c r="U149" s="58">
        <f t="shared" si="95"/>
        <v>0</v>
      </c>
      <c r="V149" s="58">
        <f t="shared" si="96"/>
        <v>0</v>
      </c>
      <c r="W149" s="58">
        <f t="shared" si="97"/>
        <v>0</v>
      </c>
      <c r="X149" s="58">
        <f t="shared" si="98"/>
        <v>0</v>
      </c>
      <c r="Y149" s="58">
        <f t="shared" si="99"/>
        <v>0</v>
      </c>
      <c r="Z149" s="58">
        <f t="shared" si="100"/>
        <v>0</v>
      </c>
      <c r="AA149" s="59">
        <f t="shared" ref="AA149" si="104">AD149*$D149/100</f>
        <v>0</v>
      </c>
      <c r="AB149" s="85">
        <v>59</v>
      </c>
      <c r="AC149" s="85">
        <v>10.19</v>
      </c>
      <c r="AD149" s="85">
        <v>0.39</v>
      </c>
      <c r="AE149" s="85">
        <v>0.11700000000000001</v>
      </c>
      <c r="AF149" s="85">
        <v>6.5000000000000002E-2</v>
      </c>
      <c r="AG149" s="85">
        <v>3.6</v>
      </c>
      <c r="AH149" s="85">
        <v>0</v>
      </c>
      <c r="AI149" s="85">
        <v>3.24</v>
      </c>
      <c r="AJ149" s="85">
        <v>110</v>
      </c>
      <c r="AK149" s="85">
        <v>7.0000000000000007E-2</v>
      </c>
      <c r="AL149" s="85">
        <v>11</v>
      </c>
      <c r="AM149" s="85">
        <v>141</v>
      </c>
      <c r="AN149" s="85">
        <v>36</v>
      </c>
      <c r="AO149" s="85">
        <v>0.52</v>
      </c>
      <c r="AP149" s="85">
        <v>0</v>
      </c>
      <c r="AQ149" s="85">
        <v>6.3E-2</v>
      </c>
      <c r="AR149" s="85">
        <v>0.75</v>
      </c>
      <c r="AS149" s="85">
        <v>0.01</v>
      </c>
      <c r="AT149" s="85">
        <v>0</v>
      </c>
      <c r="AU149" s="85">
        <v>0</v>
      </c>
      <c r="AV149" s="85">
        <v>5</v>
      </c>
    </row>
    <row r="150" spans="1:48" s="1" customFormat="1" x14ac:dyDescent="0.55000000000000004">
      <c r="A150" s="1" t="s">
        <v>473</v>
      </c>
      <c r="B150" s="1" t="s">
        <v>715</v>
      </c>
      <c r="C150" s="1" t="s">
        <v>595</v>
      </c>
      <c r="D150" s="59">
        <v>0</v>
      </c>
      <c r="E150" s="59">
        <v>250</v>
      </c>
      <c r="F150" s="59">
        <f t="shared" si="82"/>
        <v>0</v>
      </c>
      <c r="G150" s="58">
        <f t="shared" si="83"/>
        <v>0</v>
      </c>
      <c r="H150" s="58">
        <f t="shared" si="84"/>
        <v>0</v>
      </c>
      <c r="I150" s="58">
        <f t="shared" si="101"/>
        <v>0</v>
      </c>
      <c r="J150" s="58">
        <f t="shared" si="102"/>
        <v>0</v>
      </c>
      <c r="K150" s="58">
        <f t="shared" si="85"/>
        <v>0</v>
      </c>
      <c r="L150" s="58">
        <f t="shared" si="86"/>
        <v>0</v>
      </c>
      <c r="M150" s="58">
        <f t="shared" si="87"/>
        <v>0</v>
      </c>
      <c r="N150" s="58">
        <f t="shared" si="88"/>
        <v>0</v>
      </c>
      <c r="O150" s="58">
        <f t="shared" si="89"/>
        <v>0</v>
      </c>
      <c r="P150" s="58">
        <f t="shared" si="90"/>
        <v>0</v>
      </c>
      <c r="Q150" s="58">
        <f t="shared" si="91"/>
        <v>0</v>
      </c>
      <c r="R150" s="58">
        <f t="shared" si="92"/>
        <v>0</v>
      </c>
      <c r="S150" s="58">
        <f t="shared" si="93"/>
        <v>0</v>
      </c>
      <c r="T150" s="58">
        <f t="shared" si="94"/>
        <v>0</v>
      </c>
      <c r="U150" s="58">
        <f t="shared" si="95"/>
        <v>0</v>
      </c>
      <c r="V150" s="58">
        <f t="shared" si="96"/>
        <v>0</v>
      </c>
      <c r="W150" s="58">
        <f t="shared" si="97"/>
        <v>0</v>
      </c>
      <c r="X150" s="58">
        <f t="shared" si="98"/>
        <v>0</v>
      </c>
      <c r="Y150" s="58">
        <f t="shared" si="99"/>
        <v>0</v>
      </c>
      <c r="Z150" s="58">
        <f t="shared" si="100"/>
        <v>0</v>
      </c>
      <c r="AA150" s="59">
        <f>AD150*$D150/100</f>
        <v>0</v>
      </c>
      <c r="AB150" s="85">
        <v>63</v>
      </c>
      <c r="AC150" s="85">
        <v>5.25</v>
      </c>
      <c r="AD150" s="85">
        <v>1.55</v>
      </c>
      <c r="AE150" s="85">
        <v>1</v>
      </c>
      <c r="AF150" s="85">
        <v>0.47</v>
      </c>
      <c r="AG150" s="85">
        <v>7.04</v>
      </c>
      <c r="AH150" s="85">
        <v>0</v>
      </c>
      <c r="AI150" s="85">
        <v>7.04</v>
      </c>
      <c r="AJ150" s="85">
        <v>183</v>
      </c>
      <c r="AK150" s="85">
        <v>0.08</v>
      </c>
      <c r="AL150" s="85">
        <v>17</v>
      </c>
      <c r="AM150" s="85">
        <v>234</v>
      </c>
      <c r="AN150" s="85">
        <v>70</v>
      </c>
      <c r="AO150" s="85">
        <v>0.89</v>
      </c>
      <c r="AP150" s="85">
        <v>0.8</v>
      </c>
      <c r="AQ150" s="85">
        <v>4.9000000000000002E-2</v>
      </c>
      <c r="AR150" s="85">
        <v>0.56000000000000005</v>
      </c>
      <c r="AS150" s="85">
        <v>0.03</v>
      </c>
      <c r="AT150" s="85">
        <v>1</v>
      </c>
      <c r="AU150" s="85">
        <v>0.2</v>
      </c>
      <c r="AV150" s="85">
        <v>6</v>
      </c>
    </row>
    <row r="151" spans="1:48" s="1" customFormat="1" x14ac:dyDescent="0.55000000000000004">
      <c r="A151" s="128" t="s">
        <v>251</v>
      </c>
      <c r="B151" s="1" t="s">
        <v>313</v>
      </c>
      <c r="C151" s="1" t="s">
        <v>252</v>
      </c>
      <c r="D151" s="59">
        <v>0</v>
      </c>
      <c r="E151" s="59">
        <v>250</v>
      </c>
      <c r="F151" s="59">
        <f t="shared" ref="F151" si="105">FLOOR(D151,1)</f>
        <v>0</v>
      </c>
      <c r="G151" s="58">
        <f t="shared" si="83"/>
        <v>0</v>
      </c>
      <c r="H151" s="58">
        <f t="shared" si="84"/>
        <v>0</v>
      </c>
      <c r="I151" s="58">
        <f t="shared" si="101"/>
        <v>0</v>
      </c>
      <c r="J151" s="58">
        <f t="shared" si="102"/>
        <v>0</v>
      </c>
      <c r="K151" s="58">
        <f t="shared" si="85"/>
        <v>0</v>
      </c>
      <c r="L151" s="58">
        <f t="shared" si="86"/>
        <v>0</v>
      </c>
      <c r="M151" s="58">
        <f t="shared" si="87"/>
        <v>0</v>
      </c>
      <c r="N151" s="58">
        <f t="shared" si="88"/>
        <v>0</v>
      </c>
      <c r="O151" s="58">
        <f t="shared" si="89"/>
        <v>0</v>
      </c>
      <c r="P151" s="58">
        <f t="shared" si="90"/>
        <v>0</v>
      </c>
      <c r="Q151" s="58">
        <f t="shared" si="91"/>
        <v>0</v>
      </c>
      <c r="R151" s="58">
        <f t="shared" si="92"/>
        <v>0</v>
      </c>
      <c r="S151" s="58">
        <f t="shared" si="93"/>
        <v>0</v>
      </c>
      <c r="T151" s="58">
        <f t="shared" si="94"/>
        <v>0</v>
      </c>
      <c r="U151" s="58">
        <f t="shared" si="95"/>
        <v>0</v>
      </c>
      <c r="V151" s="58">
        <f t="shared" si="96"/>
        <v>0</v>
      </c>
      <c r="W151" s="58">
        <f t="shared" si="97"/>
        <v>0</v>
      </c>
      <c r="X151" s="58">
        <f t="shared" si="98"/>
        <v>0</v>
      </c>
      <c r="Y151" s="58">
        <f t="shared" si="99"/>
        <v>0</v>
      </c>
      <c r="Z151" s="58">
        <f t="shared" si="100"/>
        <v>0</v>
      </c>
      <c r="AA151" s="59">
        <f t="shared" ref="AA151" si="106">AD151*$D151/100</f>
        <v>0</v>
      </c>
      <c r="AB151" s="85">
        <v>371</v>
      </c>
      <c r="AC151" s="85">
        <v>62.44</v>
      </c>
      <c r="AD151" s="85">
        <v>13.44</v>
      </c>
      <c r="AE151" s="85">
        <v>2.85</v>
      </c>
      <c r="AF151" s="85">
        <v>6.54</v>
      </c>
      <c r="AG151" s="85">
        <v>0</v>
      </c>
      <c r="AH151" s="85">
        <v>0</v>
      </c>
      <c r="AI151" s="85">
        <v>0</v>
      </c>
      <c r="AJ151" s="85">
        <v>810</v>
      </c>
      <c r="AK151" s="85">
        <v>4.0999999999999996</v>
      </c>
      <c r="AL151" s="85">
        <v>85</v>
      </c>
      <c r="AM151" s="85">
        <v>1080</v>
      </c>
      <c r="AN151" s="85">
        <v>0</v>
      </c>
      <c r="AO151" s="85">
        <v>5</v>
      </c>
      <c r="AP151" s="85">
        <v>0</v>
      </c>
      <c r="AQ151" s="85">
        <v>0.36499999999999999</v>
      </c>
      <c r="AR151" s="85">
        <v>18.399999999999999</v>
      </c>
      <c r="AS151" s="85">
        <v>0.66</v>
      </c>
      <c r="AT151" s="85"/>
      <c r="AU151" s="85">
        <v>1.3</v>
      </c>
      <c r="AV151" s="85">
        <v>266</v>
      </c>
    </row>
    <row r="152" spans="1:48" s="1" customFormat="1" x14ac:dyDescent="0.55000000000000004">
      <c r="A152" s="128">
        <v>99999</v>
      </c>
      <c r="B152" s="1" t="s">
        <v>341</v>
      </c>
      <c r="C152" s="1" t="s">
        <v>340</v>
      </c>
      <c r="D152" s="59">
        <v>0</v>
      </c>
      <c r="E152" s="59">
        <v>250</v>
      </c>
      <c r="F152" s="59">
        <f>FLOOR(D152+0.9,1)</f>
        <v>0</v>
      </c>
      <c r="G152" s="58">
        <f t="shared" si="83"/>
        <v>0</v>
      </c>
      <c r="H152" s="58">
        <f t="shared" si="84"/>
        <v>0</v>
      </c>
      <c r="I152" s="58">
        <f t="shared" si="101"/>
        <v>0</v>
      </c>
      <c r="J152" s="58">
        <f t="shared" si="102"/>
        <v>0</v>
      </c>
      <c r="K152" s="58">
        <f t="shared" si="85"/>
        <v>0</v>
      </c>
      <c r="L152" s="58">
        <f t="shared" si="86"/>
        <v>0</v>
      </c>
      <c r="M152" s="58">
        <f t="shared" si="87"/>
        <v>0</v>
      </c>
      <c r="N152" s="58">
        <f t="shared" si="88"/>
        <v>0</v>
      </c>
      <c r="O152" s="58">
        <f t="shared" si="89"/>
        <v>0</v>
      </c>
      <c r="P152" s="58">
        <f t="shared" si="90"/>
        <v>0</v>
      </c>
      <c r="Q152" s="58">
        <f t="shared" si="91"/>
        <v>0</v>
      </c>
      <c r="R152" s="58">
        <f t="shared" si="92"/>
        <v>0</v>
      </c>
      <c r="S152" s="58">
        <f t="shared" si="93"/>
        <v>0</v>
      </c>
      <c r="T152" s="58">
        <f t="shared" si="94"/>
        <v>0</v>
      </c>
      <c r="U152" s="58">
        <f t="shared" si="95"/>
        <v>0</v>
      </c>
      <c r="V152" s="58">
        <f t="shared" si="96"/>
        <v>0</v>
      </c>
      <c r="W152" s="58">
        <f t="shared" si="97"/>
        <v>0</v>
      </c>
      <c r="X152" s="58">
        <f t="shared" si="98"/>
        <v>0</v>
      </c>
      <c r="Y152" s="58">
        <f t="shared" si="99"/>
        <v>0</v>
      </c>
      <c r="Z152" s="58">
        <f t="shared" si="100"/>
        <v>0</v>
      </c>
      <c r="AA152" s="59">
        <f>AD152*$D152/100</f>
        <v>0</v>
      </c>
      <c r="AB152" s="85">
        <v>0</v>
      </c>
      <c r="AC152" s="85">
        <v>0</v>
      </c>
      <c r="AD152" s="85">
        <v>0</v>
      </c>
      <c r="AE152" s="85">
        <v>0</v>
      </c>
      <c r="AF152" s="85">
        <v>0</v>
      </c>
      <c r="AG152" s="85">
        <v>0</v>
      </c>
      <c r="AH152" s="85">
        <v>0</v>
      </c>
      <c r="AI152" s="85">
        <v>0</v>
      </c>
      <c r="AJ152" s="85">
        <v>17500</v>
      </c>
      <c r="AK152" s="85">
        <v>1000</v>
      </c>
      <c r="AL152" s="85">
        <v>5000</v>
      </c>
      <c r="AM152" s="85">
        <v>0</v>
      </c>
      <c r="AN152" s="85">
        <v>0</v>
      </c>
      <c r="AO152" s="85">
        <v>0</v>
      </c>
      <c r="AP152" s="85">
        <v>9000</v>
      </c>
      <c r="AQ152" s="85">
        <v>300</v>
      </c>
      <c r="AR152" s="85">
        <v>1400</v>
      </c>
      <c r="AS152" s="85">
        <v>1675</v>
      </c>
      <c r="AT152" s="85">
        <v>1000</v>
      </c>
      <c r="AU152" s="85">
        <v>0</v>
      </c>
      <c r="AV152" s="85">
        <v>0</v>
      </c>
    </row>
    <row r="153" spans="1:48" s="1" customFormat="1" x14ac:dyDescent="0.55000000000000004">
      <c r="A153" s="128">
        <v>99998</v>
      </c>
      <c r="B153" s="1" t="s">
        <v>342</v>
      </c>
      <c r="C153" s="1" t="s">
        <v>343</v>
      </c>
      <c r="D153" s="59">
        <v>0</v>
      </c>
      <c r="E153" s="59">
        <v>250</v>
      </c>
      <c r="F153" s="59">
        <f>FLOOR(D153+0.9,1)</f>
        <v>0</v>
      </c>
      <c r="G153" s="58">
        <f t="shared" si="83"/>
        <v>0</v>
      </c>
      <c r="H153" s="58">
        <f t="shared" si="84"/>
        <v>0</v>
      </c>
      <c r="I153" s="58">
        <f t="shared" si="101"/>
        <v>0</v>
      </c>
      <c r="J153" s="58">
        <f t="shared" si="102"/>
        <v>0</v>
      </c>
      <c r="K153" s="58">
        <f t="shared" si="85"/>
        <v>0</v>
      </c>
      <c r="L153" s="58">
        <f t="shared" si="86"/>
        <v>0</v>
      </c>
      <c r="M153" s="58">
        <f t="shared" si="87"/>
        <v>0</v>
      </c>
      <c r="N153" s="58">
        <f t="shared" si="88"/>
        <v>0</v>
      </c>
      <c r="O153" s="58">
        <f t="shared" si="89"/>
        <v>0</v>
      </c>
      <c r="P153" s="58">
        <f t="shared" si="90"/>
        <v>0</v>
      </c>
      <c r="Q153" s="58">
        <f t="shared" si="91"/>
        <v>0</v>
      </c>
      <c r="R153" s="58">
        <f t="shared" si="92"/>
        <v>0</v>
      </c>
      <c r="S153" s="58">
        <f t="shared" si="93"/>
        <v>0</v>
      </c>
      <c r="T153" s="58">
        <f t="shared" si="94"/>
        <v>0</v>
      </c>
      <c r="U153" s="58">
        <f t="shared" si="95"/>
        <v>0</v>
      </c>
      <c r="V153" s="58">
        <f t="shared" si="96"/>
        <v>0</v>
      </c>
      <c r="W153" s="58">
        <f t="shared" si="97"/>
        <v>0</v>
      </c>
      <c r="X153" s="58">
        <f t="shared" si="98"/>
        <v>0</v>
      </c>
      <c r="Y153" s="58">
        <f t="shared" si="99"/>
        <v>0</v>
      </c>
      <c r="Z153" s="58">
        <f t="shared" si="100"/>
        <v>0</v>
      </c>
      <c r="AA153" s="59">
        <f>AD153*$D153/100</f>
        <v>0</v>
      </c>
      <c r="AB153" s="85">
        <v>0</v>
      </c>
      <c r="AC153" s="85">
        <v>0</v>
      </c>
      <c r="AD153" s="85">
        <v>0</v>
      </c>
      <c r="AE153" s="85">
        <v>0</v>
      </c>
      <c r="AF153" s="85">
        <v>0</v>
      </c>
      <c r="AG153" s="85">
        <v>0</v>
      </c>
      <c r="AH153" s="85">
        <v>0</v>
      </c>
      <c r="AI153" s="85">
        <v>0</v>
      </c>
      <c r="AJ153" s="85">
        <v>40000</v>
      </c>
      <c r="AK153" s="85">
        <v>750</v>
      </c>
      <c r="AL153" s="85">
        <v>6400</v>
      </c>
      <c r="AM153" s="85">
        <v>0</v>
      </c>
      <c r="AN153" s="85">
        <v>0</v>
      </c>
      <c r="AO153" s="85">
        <v>800</v>
      </c>
      <c r="AP153" s="85">
        <v>15000</v>
      </c>
      <c r="AQ153" s="85">
        <v>500</v>
      </c>
      <c r="AR153" s="85">
        <v>2160</v>
      </c>
      <c r="AS153" s="85">
        <v>1876.0000000000002</v>
      </c>
      <c r="AT153" s="85">
        <v>2000</v>
      </c>
      <c r="AU153" s="85">
        <v>2000</v>
      </c>
      <c r="AV153" s="85">
        <v>0</v>
      </c>
    </row>
    <row r="154" spans="1:48" s="1" customFormat="1" x14ac:dyDescent="0.55000000000000004">
      <c r="A154" s="128">
        <v>99997</v>
      </c>
      <c r="B154" s="1" t="s">
        <v>344</v>
      </c>
      <c r="C154" s="1" t="s">
        <v>345</v>
      </c>
      <c r="D154" s="59">
        <v>0.90455928894197724</v>
      </c>
      <c r="E154" s="59">
        <v>250</v>
      </c>
      <c r="F154" s="59">
        <f>FLOOR(D154+0.9,1)</f>
        <v>1</v>
      </c>
      <c r="G154" s="58">
        <f t="shared" si="83"/>
        <v>0</v>
      </c>
      <c r="H154" s="58">
        <f t="shared" si="84"/>
        <v>0</v>
      </c>
      <c r="I154" s="58">
        <f t="shared" si="101"/>
        <v>0</v>
      </c>
      <c r="J154" s="58">
        <f t="shared" si="102"/>
        <v>0</v>
      </c>
      <c r="K154" s="58">
        <f t="shared" si="85"/>
        <v>0</v>
      </c>
      <c r="L154" s="58">
        <f t="shared" si="86"/>
        <v>0</v>
      </c>
      <c r="M154" s="58">
        <f t="shared" si="87"/>
        <v>0</v>
      </c>
      <c r="N154" s="58">
        <f t="shared" si="88"/>
        <v>271.36778668259319</v>
      </c>
      <c r="O154" s="58">
        <f t="shared" si="89"/>
        <v>5.4273557336518641</v>
      </c>
      <c r="P154" s="58">
        <f t="shared" si="90"/>
        <v>75.982980271126095</v>
      </c>
      <c r="Q154" s="58">
        <f t="shared" si="91"/>
        <v>0</v>
      </c>
      <c r="R154" s="58">
        <f t="shared" si="92"/>
        <v>0</v>
      </c>
      <c r="S154" s="58">
        <f t="shared" si="93"/>
        <v>9.9501521783617495</v>
      </c>
      <c r="T154" s="58">
        <f t="shared" si="94"/>
        <v>162.82067200955592</v>
      </c>
      <c r="U154" s="58">
        <f t="shared" si="95"/>
        <v>4.9750760891808747</v>
      </c>
      <c r="V154" s="58">
        <f t="shared" si="96"/>
        <v>4.1609727291330953</v>
      </c>
      <c r="W154" s="58">
        <f t="shared" si="97"/>
        <v>24.24218894364499</v>
      </c>
      <c r="X154" s="58">
        <f t="shared" si="98"/>
        <v>18.091185778839545</v>
      </c>
      <c r="Y154" s="58">
        <f t="shared" si="99"/>
        <v>22.613982223549431</v>
      </c>
      <c r="Z154" s="58">
        <f t="shared" si="100"/>
        <v>0</v>
      </c>
      <c r="AA154" s="59">
        <f>AD154*$D154/100</f>
        <v>0</v>
      </c>
      <c r="AB154" s="85">
        <v>0</v>
      </c>
      <c r="AC154" s="85">
        <v>0</v>
      </c>
      <c r="AD154" s="85">
        <v>0</v>
      </c>
      <c r="AE154" s="85">
        <v>0</v>
      </c>
      <c r="AF154" s="85">
        <v>0</v>
      </c>
      <c r="AG154" s="85">
        <v>0</v>
      </c>
      <c r="AH154" s="85">
        <v>0</v>
      </c>
      <c r="AI154" s="85">
        <v>0</v>
      </c>
      <c r="AJ154" s="85">
        <v>30000</v>
      </c>
      <c r="AK154" s="85">
        <v>600</v>
      </c>
      <c r="AL154" s="85">
        <v>8400</v>
      </c>
      <c r="AM154" s="85">
        <v>0</v>
      </c>
      <c r="AN154" s="85">
        <v>0</v>
      </c>
      <c r="AO154" s="85">
        <v>1100</v>
      </c>
      <c r="AP154" s="85">
        <v>18000</v>
      </c>
      <c r="AQ154" s="85">
        <v>550</v>
      </c>
      <c r="AR154" s="85">
        <v>459.99999999999994</v>
      </c>
      <c r="AS154" s="85">
        <v>2680</v>
      </c>
      <c r="AT154" s="85">
        <v>2000</v>
      </c>
      <c r="AU154" s="85">
        <v>2500</v>
      </c>
      <c r="AV154" s="85">
        <v>0</v>
      </c>
    </row>
    <row r="155" spans="1:48" s="1" customFormat="1" ht="14.7" hidden="1" thickBot="1" x14ac:dyDescent="0.6">
      <c r="A155" s="137"/>
      <c r="B155" s="138" t="s">
        <v>350</v>
      </c>
      <c r="C155" s="138"/>
      <c r="D155" s="139" t="s">
        <v>349</v>
      </c>
      <c r="E155" s="115"/>
      <c r="F155" s="115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9"/>
      <c r="AB155" s="85"/>
      <c r="AC155" s="85"/>
      <c r="AD155" s="85"/>
      <c r="AE155" s="85"/>
      <c r="AF155" s="85"/>
      <c r="AG155" s="85"/>
      <c r="AH155" s="85"/>
      <c r="AI155" s="85"/>
      <c r="AJ155" s="85"/>
      <c r="AK155" s="85"/>
      <c r="AL155" s="85"/>
      <c r="AM155" s="85"/>
      <c r="AN155" s="85"/>
      <c r="AO155" s="85"/>
      <c r="AP155" s="85"/>
      <c r="AQ155" s="85"/>
      <c r="AR155" s="85"/>
      <c r="AS155" s="85"/>
      <c r="AT155" s="85"/>
      <c r="AU155" s="85"/>
      <c r="AV155" s="85"/>
    </row>
    <row r="156" spans="1:48" s="1" customFormat="1" hidden="1" x14ac:dyDescent="0.55000000000000004">
      <c r="A156" s="133"/>
      <c r="B156" s="141"/>
      <c r="C156" s="99"/>
      <c r="D156" s="143"/>
      <c r="E156" s="116"/>
      <c r="F156" s="116"/>
      <c r="G156" s="58">
        <f t="shared" ref="G156:G164" si="107">IF(ISNA(AB156*$D156/100),0,AB156*$D156/100)</f>
        <v>0</v>
      </c>
      <c r="H156" s="58">
        <f t="shared" ref="H156:H164" si="108">IF(ISNA(AC156*$D156/100),0,AC156*$D156/100)</f>
        <v>0</v>
      </c>
      <c r="I156" s="58">
        <f t="shared" ref="I156:I164" si="109">IF(ISNA(AD156*$D156/100),0,AD156*$D156/100)</f>
        <v>0</v>
      </c>
      <c r="J156" s="58">
        <f t="shared" ref="J156:J164" si="110">IF(ISNA(AE156*$D156/100),0,AE156*$D156/100)</f>
        <v>0</v>
      </c>
      <c r="K156" s="58">
        <f>IF(ISNA(AG156*$D156/100),0,AG156*$D156/100)</f>
        <v>0</v>
      </c>
      <c r="L156" s="58">
        <f>IF(ISNA(AH156*$D156/100),0,AH156*$D156/100)</f>
        <v>0</v>
      </c>
      <c r="M156" s="58">
        <f>IF(ISNA(AI156*$D156/100),0,AI156*$D156/100)</f>
        <v>0</v>
      </c>
      <c r="N156" s="58">
        <f>IF(ISNA(AJ156*$D156/100),0,AJ156*$D156/100)</f>
        <v>0</v>
      </c>
      <c r="O156" s="58">
        <f>IF(ISNA(AK156*$D156/100),0,AK156*$D156/100)</f>
        <v>0</v>
      </c>
      <c r="P156" s="58">
        <f>IF(ISNA(AL156*$D156/100),0,AL156*$D156/100)</f>
        <v>0</v>
      </c>
      <c r="Q156" s="58">
        <f>IF(ISNA(AM156*$D156/100),0,AM156*$D156/100)</f>
        <v>0</v>
      </c>
      <c r="R156" s="58">
        <f t="shared" ref="R156:Z156" si="111">IF(ISNA(AN156*$D156/100),0,AN156*$D156/100)</f>
        <v>0</v>
      </c>
      <c r="S156" s="58">
        <f t="shared" si="111"/>
        <v>0</v>
      </c>
      <c r="T156" s="58">
        <f t="shared" si="111"/>
        <v>0</v>
      </c>
      <c r="U156" s="58">
        <f t="shared" si="111"/>
        <v>0</v>
      </c>
      <c r="V156" s="58">
        <f t="shared" si="111"/>
        <v>0</v>
      </c>
      <c r="W156" s="58">
        <f t="shared" si="111"/>
        <v>0</v>
      </c>
      <c r="X156" s="58">
        <f t="shared" si="111"/>
        <v>0</v>
      </c>
      <c r="Y156" s="58">
        <f t="shared" si="111"/>
        <v>0</v>
      </c>
      <c r="Z156" s="58">
        <f>IF(ISNA(AV156*$D156/100),0,AV156*$D156/100)</f>
        <v>0</v>
      </c>
      <c r="AA156" s="59">
        <f>AD156*$D156/100</f>
        <v>0</v>
      </c>
      <c r="AB156" s="85">
        <f>IF(ISNA(VLOOKUP($B156,$B$2:$AV$154,28,FALSE)),0,VLOOKUP($B156,$B$2:$AV$154,27,FALSE))</f>
        <v>0</v>
      </c>
      <c r="AC156" s="85">
        <f t="shared" ref="AB156:AK164" si="112">IF(ISNA(VLOOKUP($B156,$B$2:$AV$154,28,FALSE)),0,VLOOKUP($B156,$B$2:$AV$154,28,FALSE))</f>
        <v>0</v>
      </c>
      <c r="AD156" s="85">
        <f>IF(ISNA(VLOOKUP($B156,$B$2:$AV$154,28,FALSE)),0,VLOOKUP($B156,$B$2:$AV$154,29,FALSE))</f>
        <v>0</v>
      </c>
      <c r="AE156" s="85">
        <f>IF(ISNA(VLOOKUP($B156,$B$2:$AV$154,28,FALSE)),0,VLOOKUP($B156,$B$2:$AV$154,30,FALSE))</f>
        <v>0</v>
      </c>
      <c r="AF156" s="85">
        <f>IF(ISNA(VLOOKUP($B156,$B$2:$AV$154,28,FALSE)),0,VLOOKUP($B156,$B$2:$AV$154,31,FALSE))</f>
        <v>0</v>
      </c>
      <c r="AG156" s="85">
        <f>IF(ISNA(VLOOKUP($B156,$B$2:$AV$154,28,FALSE)),0,VLOOKUP($B156,$B$2:$AV$154,32,FALSE))</f>
        <v>0</v>
      </c>
      <c r="AH156" s="85">
        <f>IF(ISNA(VLOOKUP($B156,$B$2:$AV$154,28,FALSE)),0,VLOOKUP($B156,$B$2:$AV$154,33,FALSE))</f>
        <v>0</v>
      </c>
      <c r="AI156" s="85">
        <f>IF(ISNA(VLOOKUP($B156,$B$2:$AV$154,28,FALSE)),0,VLOOKUP($B156,$B$2:$AV$154,34,FALSE))</f>
        <v>0</v>
      </c>
      <c r="AJ156" s="85">
        <f>IF(ISNA(VLOOKUP($B156,$B$2:$AV$154,28,FALSE)),0,VLOOKUP($B156,$B$2:$AV$154,35,FALSE))</f>
        <v>0</v>
      </c>
      <c r="AK156" s="85">
        <f>IF(ISNA(VLOOKUP($B156,$B$2:$AV$154,28,FALSE)),0,VLOOKUP($B156,$B$2:$AV$154,36,FALSE))</f>
        <v>0</v>
      </c>
      <c r="AL156" s="85">
        <f>IF(ISNA(VLOOKUP($B156,$B$2:$AV$154,28,FALSE)),0,VLOOKUP($B156,$B$2:$AV$154,37,FALSE))</f>
        <v>0</v>
      </c>
      <c r="AM156" s="85">
        <f>IF(ISNA(VLOOKUP($B156,$B$2:$AV$154,28,FALSE)),0,VLOOKUP($B156,$B$2:$AV$154,38,FALSE))</f>
        <v>0</v>
      </c>
      <c r="AN156" s="85">
        <f>IF(ISNA(VLOOKUP($B156,$B$2:$AV$154,28,FALSE)),0,VLOOKUP($B156,$B$2:$AV$154,39,FALSE))</f>
        <v>0</v>
      </c>
      <c r="AO156" s="85">
        <f>IF(ISNA(VLOOKUP($B156,$B$2:$AV$154,28,FALSE)),0,VLOOKUP($B156,$B$2:$AV$154,40,FALSE))</f>
        <v>0</v>
      </c>
      <c r="AP156" s="85">
        <f>IF(ISNA(VLOOKUP($B156,$B$2:$AV$154,28,FALSE)),0,VLOOKUP($B156,$B$2:$AV$154,41,FALSE))</f>
        <v>0</v>
      </c>
      <c r="AQ156" s="85">
        <f>IF(ISNA(VLOOKUP($B156,$B$2:$AV$154,28,FALSE)),0,VLOOKUP($B156,$B$2:$AV$154,42,FALSE))</f>
        <v>0</v>
      </c>
      <c r="AR156" s="85">
        <f>IF(ISNA(VLOOKUP($B156,$B$2:$AV$154,28,FALSE)),0,VLOOKUP($B156,$B$2:$AV$154,43,FALSE))</f>
        <v>0</v>
      </c>
      <c r="AS156" s="85">
        <f>IF(ISNA(VLOOKUP($B156,$B$2:$AV$154,28,FALSE)),0,VLOOKUP($B156,$B$2:$AV$154,44,FALSE))</f>
        <v>0</v>
      </c>
      <c r="AT156" s="85">
        <f>IF(ISNA(VLOOKUP($B156,$B$2:$AV$154,28,FALSE)),0,VLOOKUP($B156,$B$2:$AV$154,45,FALSE))</f>
        <v>0</v>
      </c>
      <c r="AU156" s="85">
        <f>IF(ISNA(VLOOKUP($B156,$B$2:$AV$154,28,FALSE)),0,VLOOKUP($B156,$B$2:$AV$154,46,FALSE))</f>
        <v>0</v>
      </c>
      <c r="AV156" s="85">
        <f>IF(ISNA(VLOOKUP($B156,$B$2:$AV$154,28,FALSE)),0,VLOOKUP($B156,$B$2:$AV$154,47,FALSE))</f>
        <v>0</v>
      </c>
    </row>
    <row r="157" spans="1:48" s="1" customFormat="1" hidden="1" x14ac:dyDescent="0.55000000000000004">
      <c r="A157" s="134"/>
      <c r="B157" s="140"/>
      <c r="C157" s="88"/>
      <c r="D157" s="144"/>
      <c r="E157" s="116"/>
      <c r="F157" s="116"/>
      <c r="G157" s="58">
        <f t="shared" si="107"/>
        <v>0</v>
      </c>
      <c r="H157" s="58">
        <f t="shared" si="108"/>
        <v>0</v>
      </c>
      <c r="I157" s="58">
        <f t="shared" si="109"/>
        <v>0</v>
      </c>
      <c r="J157" s="58">
        <f t="shared" si="110"/>
        <v>0</v>
      </c>
      <c r="K157" s="58">
        <f t="shared" ref="K157:K164" si="113">IF(ISNA(AG157*$D157/100),0,AG157*$D157/100)</f>
        <v>0</v>
      </c>
      <c r="L157" s="58">
        <f t="shared" ref="L157:L164" si="114">IF(ISNA(AH157*$D157/100),0,AH157*$D157/100)</f>
        <v>0</v>
      </c>
      <c r="M157" s="58">
        <f t="shared" ref="M157:M164" si="115">IF(ISNA(AI157*$D157/100),0,AI157*$D157/100)</f>
        <v>0</v>
      </c>
      <c r="N157" s="58">
        <f t="shared" ref="N157:N164" si="116">IF(ISNA(AJ157*$D157/100),0,AJ157*$D157/100)</f>
        <v>0</v>
      </c>
      <c r="O157" s="58">
        <f t="shared" ref="O157:O164" si="117">IF(ISNA(AK157*$D157/100),0,AK157*$D157/100)</f>
        <v>0</v>
      </c>
      <c r="P157" s="58">
        <f t="shared" ref="P157:P164" si="118">IF(ISNA(AL157*$D157/100),0,AL157*$D157/100)</f>
        <v>0</v>
      </c>
      <c r="Q157" s="58">
        <f t="shared" ref="Q157:Q164" si="119">IF(ISNA(AM157*$D157/100),0,AM157*$D157/100)</f>
        <v>0</v>
      </c>
      <c r="R157" s="58">
        <f t="shared" ref="R157:R164" si="120">IF(ISNA(AN157*$D157/100),0,AN157*$D157/100)</f>
        <v>0</v>
      </c>
      <c r="S157" s="58">
        <f t="shared" ref="S157:S164" si="121">IF(ISNA(AO157*$D157/100),0,AO157*$D157/100)</f>
        <v>0</v>
      </c>
      <c r="T157" s="58">
        <f t="shared" ref="T157:T164" si="122">IF(ISNA(AP157*$D157/100),0,AP157*$D157/100)</f>
        <v>0</v>
      </c>
      <c r="U157" s="58">
        <f t="shared" ref="U157:U164" si="123">IF(ISNA(AQ157*$D157/100),0,AQ157*$D157/100)</f>
        <v>0</v>
      </c>
      <c r="V157" s="58">
        <f t="shared" ref="V157:V164" si="124">IF(ISNA(AR157*$D157/100),0,AR157*$D157/100)</f>
        <v>0</v>
      </c>
      <c r="W157" s="58">
        <f t="shared" ref="W157:W164" si="125">IF(ISNA(AS157*$D157/100),0,AS157*$D157/100)</f>
        <v>0</v>
      </c>
      <c r="X157" s="58">
        <f t="shared" ref="X157:X164" si="126">IF(ISNA(AT157*$D157/100),0,AT157*$D157/100)</f>
        <v>0</v>
      </c>
      <c r="Y157" s="58">
        <f t="shared" ref="Y157:Y164" si="127">IF(ISNA(AU157*$D157/100),0,AU157*$D157/100)</f>
        <v>0</v>
      </c>
      <c r="Z157" s="58">
        <f t="shared" ref="Z157:Z164" si="128">IF(ISNA(AV157*$D157/100),0,AV157*$D157/100)</f>
        <v>0</v>
      </c>
      <c r="AA157" s="59">
        <f t="shared" ref="AA157:AA164" si="129">AD157*$D157/100</f>
        <v>0</v>
      </c>
      <c r="AB157" s="85">
        <f t="shared" si="112"/>
        <v>0</v>
      </c>
      <c r="AC157" s="85">
        <f t="shared" si="112"/>
        <v>0</v>
      </c>
      <c r="AD157" s="85">
        <f t="shared" si="112"/>
        <v>0</v>
      </c>
      <c r="AE157" s="85">
        <f t="shared" si="112"/>
        <v>0</v>
      </c>
      <c r="AF157" s="85">
        <f t="shared" si="112"/>
        <v>0</v>
      </c>
      <c r="AG157" s="85">
        <f t="shared" si="112"/>
        <v>0</v>
      </c>
      <c r="AH157" s="85">
        <f t="shared" si="112"/>
        <v>0</v>
      </c>
      <c r="AI157" s="85">
        <f t="shared" si="112"/>
        <v>0</v>
      </c>
      <c r="AJ157" s="85">
        <f t="shared" si="112"/>
        <v>0</v>
      </c>
      <c r="AK157" s="85">
        <f t="shared" si="112"/>
        <v>0</v>
      </c>
      <c r="AL157" s="85">
        <f t="shared" ref="AL157:AV164" si="130">IF(ISNA(VLOOKUP($B157,$B$2:$AV$154,28,FALSE)),0,VLOOKUP($B157,$B$2:$AV$154,28,FALSE))</f>
        <v>0</v>
      </c>
      <c r="AM157" s="85">
        <f t="shared" si="130"/>
        <v>0</v>
      </c>
      <c r="AN157" s="85">
        <f t="shared" si="130"/>
        <v>0</v>
      </c>
      <c r="AO157" s="85">
        <f t="shared" si="130"/>
        <v>0</v>
      </c>
      <c r="AP157" s="85">
        <f t="shared" si="130"/>
        <v>0</v>
      </c>
      <c r="AQ157" s="85">
        <f t="shared" si="130"/>
        <v>0</v>
      </c>
      <c r="AR157" s="85">
        <f t="shared" si="130"/>
        <v>0</v>
      </c>
      <c r="AS157" s="85">
        <f t="shared" si="130"/>
        <v>0</v>
      </c>
      <c r="AT157" s="85">
        <f t="shared" si="130"/>
        <v>0</v>
      </c>
      <c r="AU157" s="85">
        <f t="shared" si="130"/>
        <v>0</v>
      </c>
      <c r="AV157" s="85">
        <f t="shared" si="130"/>
        <v>0</v>
      </c>
    </row>
    <row r="158" spans="1:48" s="1" customFormat="1" hidden="1" x14ac:dyDescent="0.55000000000000004">
      <c r="A158" s="135"/>
      <c r="B158" s="140"/>
      <c r="C158" s="88"/>
      <c r="D158" s="144"/>
      <c r="E158" s="116"/>
      <c r="F158" s="116"/>
      <c r="G158" s="58">
        <f t="shared" si="107"/>
        <v>0</v>
      </c>
      <c r="H158" s="58">
        <f t="shared" si="108"/>
        <v>0</v>
      </c>
      <c r="I158" s="58">
        <f t="shared" si="109"/>
        <v>0</v>
      </c>
      <c r="J158" s="58">
        <f t="shared" si="110"/>
        <v>0</v>
      </c>
      <c r="K158" s="58">
        <f t="shared" si="113"/>
        <v>0</v>
      </c>
      <c r="L158" s="58">
        <f t="shared" si="114"/>
        <v>0</v>
      </c>
      <c r="M158" s="58">
        <f t="shared" si="115"/>
        <v>0</v>
      </c>
      <c r="N158" s="58">
        <f t="shared" si="116"/>
        <v>0</v>
      </c>
      <c r="O158" s="58">
        <f t="shared" si="117"/>
        <v>0</v>
      </c>
      <c r="P158" s="58">
        <f t="shared" si="118"/>
        <v>0</v>
      </c>
      <c r="Q158" s="58">
        <f t="shared" si="119"/>
        <v>0</v>
      </c>
      <c r="R158" s="58">
        <f t="shared" si="120"/>
        <v>0</v>
      </c>
      <c r="S158" s="58">
        <f t="shared" si="121"/>
        <v>0</v>
      </c>
      <c r="T158" s="58">
        <f t="shared" si="122"/>
        <v>0</v>
      </c>
      <c r="U158" s="58">
        <f t="shared" si="123"/>
        <v>0</v>
      </c>
      <c r="V158" s="58">
        <f t="shared" si="124"/>
        <v>0</v>
      </c>
      <c r="W158" s="58">
        <f t="shared" si="125"/>
        <v>0</v>
      </c>
      <c r="X158" s="58">
        <f t="shared" si="126"/>
        <v>0</v>
      </c>
      <c r="Y158" s="58">
        <f t="shared" si="127"/>
        <v>0</v>
      </c>
      <c r="Z158" s="58">
        <f t="shared" si="128"/>
        <v>0</v>
      </c>
      <c r="AA158" s="59">
        <f t="shared" si="129"/>
        <v>0</v>
      </c>
      <c r="AB158" s="85">
        <f t="shared" si="112"/>
        <v>0</v>
      </c>
      <c r="AC158" s="85">
        <f t="shared" si="112"/>
        <v>0</v>
      </c>
      <c r="AD158" s="85">
        <f t="shared" si="112"/>
        <v>0</v>
      </c>
      <c r="AE158" s="85">
        <f t="shared" si="112"/>
        <v>0</v>
      </c>
      <c r="AF158" s="85">
        <f t="shared" si="112"/>
        <v>0</v>
      </c>
      <c r="AG158" s="85">
        <f t="shared" si="112"/>
        <v>0</v>
      </c>
      <c r="AH158" s="85">
        <f t="shared" si="112"/>
        <v>0</v>
      </c>
      <c r="AI158" s="85">
        <f t="shared" si="112"/>
        <v>0</v>
      </c>
      <c r="AJ158" s="85">
        <f t="shared" si="112"/>
        <v>0</v>
      </c>
      <c r="AK158" s="85">
        <f t="shared" si="112"/>
        <v>0</v>
      </c>
      <c r="AL158" s="85">
        <f t="shared" si="130"/>
        <v>0</v>
      </c>
      <c r="AM158" s="85">
        <f t="shared" si="130"/>
        <v>0</v>
      </c>
      <c r="AN158" s="85">
        <f t="shared" si="130"/>
        <v>0</v>
      </c>
      <c r="AO158" s="85">
        <f t="shared" si="130"/>
        <v>0</v>
      </c>
      <c r="AP158" s="85">
        <f t="shared" si="130"/>
        <v>0</v>
      </c>
      <c r="AQ158" s="85">
        <f t="shared" si="130"/>
        <v>0</v>
      </c>
      <c r="AR158" s="85">
        <f t="shared" si="130"/>
        <v>0</v>
      </c>
      <c r="AS158" s="85">
        <f t="shared" si="130"/>
        <v>0</v>
      </c>
      <c r="AT158" s="85">
        <f t="shared" si="130"/>
        <v>0</v>
      </c>
      <c r="AU158" s="85">
        <f t="shared" si="130"/>
        <v>0</v>
      </c>
      <c r="AV158" s="85">
        <f t="shared" si="130"/>
        <v>0</v>
      </c>
    </row>
    <row r="159" spans="1:48" s="1" customFormat="1" hidden="1" x14ac:dyDescent="0.55000000000000004">
      <c r="A159" s="135"/>
      <c r="B159" s="140"/>
      <c r="C159" s="88"/>
      <c r="D159" s="144"/>
      <c r="E159" s="116"/>
      <c r="F159" s="116"/>
      <c r="G159" s="58">
        <f t="shared" si="107"/>
        <v>0</v>
      </c>
      <c r="H159" s="58">
        <f t="shared" si="108"/>
        <v>0</v>
      </c>
      <c r="I159" s="58">
        <f t="shared" si="109"/>
        <v>0</v>
      </c>
      <c r="J159" s="58">
        <f t="shared" si="110"/>
        <v>0</v>
      </c>
      <c r="K159" s="58">
        <f t="shared" si="113"/>
        <v>0</v>
      </c>
      <c r="L159" s="58">
        <f t="shared" si="114"/>
        <v>0</v>
      </c>
      <c r="M159" s="58">
        <f t="shared" si="115"/>
        <v>0</v>
      </c>
      <c r="N159" s="58">
        <f t="shared" si="116"/>
        <v>0</v>
      </c>
      <c r="O159" s="58">
        <f t="shared" si="117"/>
        <v>0</v>
      </c>
      <c r="P159" s="58">
        <f t="shared" si="118"/>
        <v>0</v>
      </c>
      <c r="Q159" s="58">
        <f t="shared" si="119"/>
        <v>0</v>
      </c>
      <c r="R159" s="58">
        <f t="shared" si="120"/>
        <v>0</v>
      </c>
      <c r="S159" s="58">
        <f t="shared" si="121"/>
        <v>0</v>
      </c>
      <c r="T159" s="58">
        <f t="shared" si="122"/>
        <v>0</v>
      </c>
      <c r="U159" s="58">
        <f t="shared" si="123"/>
        <v>0</v>
      </c>
      <c r="V159" s="58">
        <f t="shared" si="124"/>
        <v>0</v>
      </c>
      <c r="W159" s="58">
        <f t="shared" si="125"/>
        <v>0</v>
      </c>
      <c r="X159" s="58">
        <f t="shared" si="126"/>
        <v>0</v>
      </c>
      <c r="Y159" s="58">
        <f t="shared" si="127"/>
        <v>0</v>
      </c>
      <c r="Z159" s="58">
        <f t="shared" si="128"/>
        <v>0</v>
      </c>
      <c r="AA159" s="59">
        <f t="shared" si="129"/>
        <v>0</v>
      </c>
      <c r="AB159" s="85">
        <f t="shared" si="112"/>
        <v>0</v>
      </c>
      <c r="AC159" s="85">
        <f t="shared" si="112"/>
        <v>0</v>
      </c>
      <c r="AD159" s="85">
        <f t="shared" si="112"/>
        <v>0</v>
      </c>
      <c r="AE159" s="85">
        <f t="shared" si="112"/>
        <v>0</v>
      </c>
      <c r="AF159" s="85">
        <f t="shared" si="112"/>
        <v>0</v>
      </c>
      <c r="AG159" s="85">
        <f t="shared" si="112"/>
        <v>0</v>
      </c>
      <c r="AH159" s="85">
        <f t="shared" si="112"/>
        <v>0</v>
      </c>
      <c r="AI159" s="85">
        <f t="shared" si="112"/>
        <v>0</v>
      </c>
      <c r="AJ159" s="85">
        <f t="shared" si="112"/>
        <v>0</v>
      </c>
      <c r="AK159" s="85">
        <f t="shared" si="112"/>
        <v>0</v>
      </c>
      <c r="AL159" s="85">
        <f t="shared" si="130"/>
        <v>0</v>
      </c>
      <c r="AM159" s="85">
        <f t="shared" si="130"/>
        <v>0</v>
      </c>
      <c r="AN159" s="85">
        <f t="shared" si="130"/>
        <v>0</v>
      </c>
      <c r="AO159" s="85">
        <f t="shared" si="130"/>
        <v>0</v>
      </c>
      <c r="AP159" s="85">
        <f t="shared" si="130"/>
        <v>0</v>
      </c>
      <c r="AQ159" s="85">
        <f t="shared" si="130"/>
        <v>0</v>
      </c>
      <c r="AR159" s="85">
        <f t="shared" si="130"/>
        <v>0</v>
      </c>
      <c r="AS159" s="85">
        <f t="shared" si="130"/>
        <v>0</v>
      </c>
      <c r="AT159" s="85">
        <f t="shared" si="130"/>
        <v>0</v>
      </c>
      <c r="AU159" s="85">
        <f t="shared" si="130"/>
        <v>0</v>
      </c>
      <c r="AV159" s="85">
        <f t="shared" si="130"/>
        <v>0</v>
      </c>
    </row>
    <row r="160" spans="1:48" s="1" customFormat="1" hidden="1" x14ac:dyDescent="0.55000000000000004">
      <c r="A160" s="135"/>
      <c r="B160" s="140"/>
      <c r="C160" s="88"/>
      <c r="D160" s="144"/>
      <c r="E160" s="116"/>
      <c r="F160" s="116"/>
      <c r="G160" s="58">
        <f t="shared" si="107"/>
        <v>0</v>
      </c>
      <c r="H160" s="58">
        <f t="shared" si="108"/>
        <v>0</v>
      </c>
      <c r="I160" s="58">
        <f t="shared" si="109"/>
        <v>0</v>
      </c>
      <c r="J160" s="58">
        <f t="shared" si="110"/>
        <v>0</v>
      </c>
      <c r="K160" s="58">
        <f t="shared" si="113"/>
        <v>0</v>
      </c>
      <c r="L160" s="58">
        <f t="shared" si="114"/>
        <v>0</v>
      </c>
      <c r="M160" s="58">
        <f t="shared" si="115"/>
        <v>0</v>
      </c>
      <c r="N160" s="58">
        <f>IF(ISNA(AJ160*$D160/100),0,AJ160*$D160/100)</f>
        <v>0</v>
      </c>
      <c r="O160" s="58">
        <f>IF(ISNA(AK160*$D160/100),0,AK160*$D160/100)</f>
        <v>0</v>
      </c>
      <c r="P160" s="58">
        <f>IF(ISNA(AL160*$D160/100),0,AL160*$D160/100)</f>
        <v>0</v>
      </c>
      <c r="Q160" s="58">
        <f>IF(ISNA(AM160*$D160/100),0,AM160*$D160/100)</f>
        <v>0</v>
      </c>
      <c r="R160" s="58">
        <f>IF(ISNA(AN160*$D160/100),0,AN160*$D160/100)</f>
        <v>0</v>
      </c>
      <c r="S160" s="58">
        <f>IF(ISNA(AO160*$D160/100),0,AO160*$D160/100)</f>
        <v>0</v>
      </c>
      <c r="T160" s="58">
        <f>IF(ISNA(AP160*$D160/100),0,AP160*$D160/100)</f>
        <v>0</v>
      </c>
      <c r="U160" s="58">
        <f>IF(ISNA(AQ160*$D160/100),0,AQ160*$D160/100)</f>
        <v>0</v>
      </c>
      <c r="V160" s="58">
        <f>IF(ISNA(AR160*$D160/100),0,AR160*$D160/100)</f>
        <v>0</v>
      </c>
      <c r="W160" s="58">
        <f>IF(ISNA(AS160*$D160/100),0,AS160*$D160/100)</f>
        <v>0</v>
      </c>
      <c r="X160" s="58">
        <f>IF(ISNA(AT160*$D160/100),0,AT160*$D160/100)</f>
        <v>0</v>
      </c>
      <c r="Y160" s="58">
        <f t="shared" si="127"/>
        <v>0</v>
      </c>
      <c r="Z160" s="58">
        <f t="shared" si="128"/>
        <v>0</v>
      </c>
      <c r="AA160" s="59">
        <f t="shared" si="129"/>
        <v>0</v>
      </c>
      <c r="AB160" s="85">
        <f t="shared" si="112"/>
        <v>0</v>
      </c>
      <c r="AC160" s="85">
        <f t="shared" si="112"/>
        <v>0</v>
      </c>
      <c r="AD160" s="85">
        <f t="shared" si="112"/>
        <v>0</v>
      </c>
      <c r="AE160" s="85">
        <f t="shared" si="112"/>
        <v>0</v>
      </c>
      <c r="AF160" s="85">
        <f t="shared" si="112"/>
        <v>0</v>
      </c>
      <c r="AG160" s="85">
        <f t="shared" si="112"/>
        <v>0</v>
      </c>
      <c r="AH160" s="85">
        <f t="shared" si="112"/>
        <v>0</v>
      </c>
      <c r="AI160" s="85">
        <f t="shared" si="112"/>
        <v>0</v>
      </c>
      <c r="AJ160" s="85">
        <f t="shared" si="112"/>
        <v>0</v>
      </c>
      <c r="AK160" s="85">
        <f t="shared" si="112"/>
        <v>0</v>
      </c>
      <c r="AL160" s="85">
        <f t="shared" si="130"/>
        <v>0</v>
      </c>
      <c r="AM160" s="85">
        <f t="shared" si="130"/>
        <v>0</v>
      </c>
      <c r="AN160" s="85">
        <f t="shared" si="130"/>
        <v>0</v>
      </c>
      <c r="AO160" s="85">
        <f t="shared" si="130"/>
        <v>0</v>
      </c>
      <c r="AP160" s="85">
        <f t="shared" si="130"/>
        <v>0</v>
      </c>
      <c r="AQ160" s="85">
        <f t="shared" si="130"/>
        <v>0</v>
      </c>
      <c r="AR160" s="85">
        <f t="shared" si="130"/>
        <v>0</v>
      </c>
      <c r="AS160" s="85">
        <f t="shared" si="130"/>
        <v>0</v>
      </c>
      <c r="AT160" s="85">
        <f t="shared" si="130"/>
        <v>0</v>
      </c>
      <c r="AU160" s="85">
        <f t="shared" si="130"/>
        <v>0</v>
      </c>
      <c r="AV160" s="85">
        <f t="shared" si="130"/>
        <v>0</v>
      </c>
    </row>
    <row r="161" spans="1:48" s="1" customFormat="1" hidden="1" x14ac:dyDescent="0.55000000000000004">
      <c r="A161" s="135"/>
      <c r="B161" s="140"/>
      <c r="C161" s="88"/>
      <c r="D161" s="144"/>
      <c r="E161" s="116"/>
      <c r="F161" s="116"/>
      <c r="G161" s="58">
        <f t="shared" si="107"/>
        <v>0</v>
      </c>
      <c r="H161" s="58">
        <f t="shared" si="108"/>
        <v>0</v>
      </c>
      <c r="I161" s="58">
        <f t="shared" si="109"/>
        <v>0</v>
      </c>
      <c r="J161" s="58">
        <f t="shared" si="110"/>
        <v>0</v>
      </c>
      <c r="K161" s="58">
        <f t="shared" si="113"/>
        <v>0</v>
      </c>
      <c r="L161" s="58">
        <f t="shared" si="114"/>
        <v>0</v>
      </c>
      <c r="M161" s="58">
        <f t="shared" si="115"/>
        <v>0</v>
      </c>
      <c r="N161" s="58">
        <f t="shared" si="116"/>
        <v>0</v>
      </c>
      <c r="O161" s="58">
        <f t="shared" si="117"/>
        <v>0</v>
      </c>
      <c r="P161" s="58">
        <f t="shared" si="118"/>
        <v>0</v>
      </c>
      <c r="Q161" s="58">
        <f t="shared" si="119"/>
        <v>0</v>
      </c>
      <c r="R161" s="58">
        <f t="shared" si="120"/>
        <v>0</v>
      </c>
      <c r="S161" s="58">
        <f t="shared" si="121"/>
        <v>0</v>
      </c>
      <c r="T161" s="58">
        <f t="shared" si="122"/>
        <v>0</v>
      </c>
      <c r="U161" s="58">
        <f t="shared" si="123"/>
        <v>0</v>
      </c>
      <c r="V161" s="58">
        <f t="shared" si="124"/>
        <v>0</v>
      </c>
      <c r="W161" s="58">
        <f t="shared" si="125"/>
        <v>0</v>
      </c>
      <c r="X161" s="58">
        <f t="shared" si="126"/>
        <v>0</v>
      </c>
      <c r="Y161" s="58">
        <f t="shared" si="127"/>
        <v>0</v>
      </c>
      <c r="Z161" s="58">
        <f t="shared" si="128"/>
        <v>0</v>
      </c>
      <c r="AA161" s="59">
        <f t="shared" si="129"/>
        <v>0</v>
      </c>
      <c r="AB161" s="85">
        <f t="shared" si="112"/>
        <v>0</v>
      </c>
      <c r="AC161" s="85">
        <f t="shared" si="112"/>
        <v>0</v>
      </c>
      <c r="AD161" s="85">
        <f t="shared" si="112"/>
        <v>0</v>
      </c>
      <c r="AE161" s="85">
        <f t="shared" si="112"/>
        <v>0</v>
      </c>
      <c r="AF161" s="85">
        <f t="shared" si="112"/>
        <v>0</v>
      </c>
      <c r="AG161" s="85">
        <f t="shared" si="112"/>
        <v>0</v>
      </c>
      <c r="AH161" s="85">
        <f t="shared" si="112"/>
        <v>0</v>
      </c>
      <c r="AI161" s="85">
        <f t="shared" si="112"/>
        <v>0</v>
      </c>
      <c r="AJ161" s="85">
        <f t="shared" si="112"/>
        <v>0</v>
      </c>
      <c r="AK161" s="85">
        <f t="shared" si="112"/>
        <v>0</v>
      </c>
      <c r="AL161" s="85">
        <f t="shared" si="130"/>
        <v>0</v>
      </c>
      <c r="AM161" s="85">
        <f t="shared" si="130"/>
        <v>0</v>
      </c>
      <c r="AN161" s="85">
        <f t="shared" si="130"/>
        <v>0</v>
      </c>
      <c r="AO161" s="85">
        <f t="shared" si="130"/>
        <v>0</v>
      </c>
      <c r="AP161" s="85">
        <f t="shared" si="130"/>
        <v>0</v>
      </c>
      <c r="AQ161" s="85">
        <f t="shared" si="130"/>
        <v>0</v>
      </c>
      <c r="AR161" s="85">
        <f t="shared" si="130"/>
        <v>0</v>
      </c>
      <c r="AS161" s="85">
        <f t="shared" si="130"/>
        <v>0</v>
      </c>
      <c r="AT161" s="85">
        <f t="shared" si="130"/>
        <v>0</v>
      </c>
      <c r="AU161" s="85">
        <f t="shared" si="130"/>
        <v>0</v>
      </c>
      <c r="AV161" s="85">
        <f t="shared" si="130"/>
        <v>0</v>
      </c>
    </row>
    <row r="162" spans="1:48" s="1" customFormat="1" hidden="1" x14ac:dyDescent="0.55000000000000004">
      <c r="A162" s="135"/>
      <c r="B162" s="140"/>
      <c r="C162" s="88"/>
      <c r="D162" s="144"/>
      <c r="E162" s="116"/>
      <c r="F162" s="116"/>
      <c r="G162" s="58">
        <f t="shared" si="107"/>
        <v>0</v>
      </c>
      <c r="H162" s="58">
        <f t="shared" si="108"/>
        <v>0</v>
      </c>
      <c r="I162" s="58">
        <f t="shared" si="109"/>
        <v>0</v>
      </c>
      <c r="J162" s="58">
        <f t="shared" si="110"/>
        <v>0</v>
      </c>
      <c r="K162" s="58">
        <f t="shared" si="113"/>
        <v>0</v>
      </c>
      <c r="L162" s="58">
        <f t="shared" si="114"/>
        <v>0</v>
      </c>
      <c r="M162" s="58">
        <f t="shared" si="115"/>
        <v>0</v>
      </c>
      <c r="N162" s="58">
        <f t="shared" si="116"/>
        <v>0</v>
      </c>
      <c r="O162" s="58">
        <f t="shared" si="117"/>
        <v>0</v>
      </c>
      <c r="P162" s="58">
        <f t="shared" si="118"/>
        <v>0</v>
      </c>
      <c r="Q162" s="58">
        <f t="shared" si="119"/>
        <v>0</v>
      </c>
      <c r="R162" s="58">
        <f t="shared" si="120"/>
        <v>0</v>
      </c>
      <c r="S162" s="58">
        <f t="shared" si="121"/>
        <v>0</v>
      </c>
      <c r="T162" s="58">
        <f t="shared" si="122"/>
        <v>0</v>
      </c>
      <c r="U162" s="58">
        <f t="shared" si="123"/>
        <v>0</v>
      </c>
      <c r="V162" s="58">
        <f t="shared" si="124"/>
        <v>0</v>
      </c>
      <c r="W162" s="58">
        <f t="shared" si="125"/>
        <v>0</v>
      </c>
      <c r="X162" s="58">
        <f t="shared" si="126"/>
        <v>0</v>
      </c>
      <c r="Y162" s="58">
        <f t="shared" si="127"/>
        <v>0</v>
      </c>
      <c r="Z162" s="58">
        <f t="shared" si="128"/>
        <v>0</v>
      </c>
      <c r="AA162" s="59">
        <f t="shared" si="129"/>
        <v>0</v>
      </c>
      <c r="AB162" s="85">
        <f t="shared" si="112"/>
        <v>0</v>
      </c>
      <c r="AC162" s="85">
        <f t="shared" si="112"/>
        <v>0</v>
      </c>
      <c r="AD162" s="85">
        <f t="shared" si="112"/>
        <v>0</v>
      </c>
      <c r="AE162" s="85">
        <f t="shared" si="112"/>
        <v>0</v>
      </c>
      <c r="AF162" s="85">
        <f t="shared" si="112"/>
        <v>0</v>
      </c>
      <c r="AG162" s="85">
        <f t="shared" si="112"/>
        <v>0</v>
      </c>
      <c r="AH162" s="85">
        <f t="shared" si="112"/>
        <v>0</v>
      </c>
      <c r="AI162" s="85">
        <f t="shared" si="112"/>
        <v>0</v>
      </c>
      <c r="AJ162" s="85">
        <f t="shared" si="112"/>
        <v>0</v>
      </c>
      <c r="AK162" s="85">
        <f t="shared" si="112"/>
        <v>0</v>
      </c>
      <c r="AL162" s="85">
        <f t="shared" si="130"/>
        <v>0</v>
      </c>
      <c r="AM162" s="85">
        <f t="shared" si="130"/>
        <v>0</v>
      </c>
      <c r="AN162" s="85">
        <f t="shared" si="130"/>
        <v>0</v>
      </c>
      <c r="AO162" s="85">
        <f t="shared" si="130"/>
        <v>0</v>
      </c>
      <c r="AP162" s="85">
        <f t="shared" si="130"/>
        <v>0</v>
      </c>
      <c r="AQ162" s="85">
        <f t="shared" si="130"/>
        <v>0</v>
      </c>
      <c r="AR162" s="85">
        <f t="shared" si="130"/>
        <v>0</v>
      </c>
      <c r="AS162" s="85">
        <f t="shared" si="130"/>
        <v>0</v>
      </c>
      <c r="AT162" s="85">
        <f t="shared" si="130"/>
        <v>0</v>
      </c>
      <c r="AU162" s="85">
        <f t="shared" si="130"/>
        <v>0</v>
      </c>
      <c r="AV162" s="85">
        <f t="shared" si="130"/>
        <v>0</v>
      </c>
    </row>
    <row r="163" spans="1:48" s="1" customFormat="1" hidden="1" x14ac:dyDescent="0.55000000000000004">
      <c r="A163" s="135"/>
      <c r="B163" s="140"/>
      <c r="C163" s="88"/>
      <c r="D163" s="144"/>
      <c r="E163" s="116"/>
      <c r="F163" s="116"/>
      <c r="G163" s="58">
        <f t="shared" si="107"/>
        <v>0</v>
      </c>
      <c r="H163" s="58">
        <f t="shared" si="108"/>
        <v>0</v>
      </c>
      <c r="I163" s="58">
        <f t="shared" si="109"/>
        <v>0</v>
      </c>
      <c r="J163" s="58">
        <f t="shared" si="110"/>
        <v>0</v>
      </c>
      <c r="K163" s="58">
        <f t="shared" si="113"/>
        <v>0</v>
      </c>
      <c r="L163" s="58">
        <f t="shared" si="114"/>
        <v>0</v>
      </c>
      <c r="M163" s="58">
        <f t="shared" si="115"/>
        <v>0</v>
      </c>
      <c r="N163" s="58">
        <f t="shared" si="116"/>
        <v>0</v>
      </c>
      <c r="O163" s="58">
        <f t="shared" si="117"/>
        <v>0</v>
      </c>
      <c r="P163" s="58">
        <f t="shared" si="118"/>
        <v>0</v>
      </c>
      <c r="Q163" s="58">
        <f t="shared" si="119"/>
        <v>0</v>
      </c>
      <c r="R163" s="58">
        <f t="shared" si="120"/>
        <v>0</v>
      </c>
      <c r="S163" s="58">
        <f t="shared" si="121"/>
        <v>0</v>
      </c>
      <c r="T163" s="58">
        <f t="shared" si="122"/>
        <v>0</v>
      </c>
      <c r="U163" s="58">
        <f t="shared" si="123"/>
        <v>0</v>
      </c>
      <c r="V163" s="58">
        <f t="shared" si="124"/>
        <v>0</v>
      </c>
      <c r="W163" s="58">
        <f t="shared" si="125"/>
        <v>0</v>
      </c>
      <c r="X163" s="58">
        <f t="shared" si="126"/>
        <v>0</v>
      </c>
      <c r="Y163" s="58">
        <f t="shared" si="127"/>
        <v>0</v>
      </c>
      <c r="Z163" s="58">
        <f t="shared" si="128"/>
        <v>0</v>
      </c>
      <c r="AA163" s="59">
        <f t="shared" si="129"/>
        <v>0</v>
      </c>
      <c r="AB163" s="85">
        <f t="shared" si="112"/>
        <v>0</v>
      </c>
      <c r="AC163" s="85">
        <f t="shared" si="112"/>
        <v>0</v>
      </c>
      <c r="AD163" s="85">
        <f t="shared" si="112"/>
        <v>0</v>
      </c>
      <c r="AE163" s="85">
        <f t="shared" si="112"/>
        <v>0</v>
      </c>
      <c r="AF163" s="85">
        <f t="shared" si="112"/>
        <v>0</v>
      </c>
      <c r="AG163" s="85">
        <f t="shared" si="112"/>
        <v>0</v>
      </c>
      <c r="AH163" s="85">
        <f t="shared" si="112"/>
        <v>0</v>
      </c>
      <c r="AI163" s="85">
        <f t="shared" si="112"/>
        <v>0</v>
      </c>
      <c r="AJ163" s="85">
        <f t="shared" si="112"/>
        <v>0</v>
      </c>
      <c r="AK163" s="85">
        <f t="shared" si="112"/>
        <v>0</v>
      </c>
      <c r="AL163" s="85">
        <f t="shared" si="130"/>
        <v>0</v>
      </c>
      <c r="AM163" s="85">
        <f t="shared" si="130"/>
        <v>0</v>
      </c>
      <c r="AN163" s="85">
        <f t="shared" si="130"/>
        <v>0</v>
      </c>
      <c r="AO163" s="85">
        <f t="shared" si="130"/>
        <v>0</v>
      </c>
      <c r="AP163" s="85">
        <f t="shared" si="130"/>
        <v>0</v>
      </c>
      <c r="AQ163" s="85">
        <f t="shared" si="130"/>
        <v>0</v>
      </c>
      <c r="AR163" s="85">
        <f t="shared" si="130"/>
        <v>0</v>
      </c>
      <c r="AS163" s="85">
        <f t="shared" si="130"/>
        <v>0</v>
      </c>
      <c r="AT163" s="85">
        <f t="shared" si="130"/>
        <v>0</v>
      </c>
      <c r="AU163" s="85">
        <f t="shared" si="130"/>
        <v>0</v>
      </c>
      <c r="AV163" s="85">
        <f t="shared" si="130"/>
        <v>0</v>
      </c>
    </row>
    <row r="164" spans="1:48" s="1" customFormat="1" ht="14.7" hidden="1" thickBot="1" x14ac:dyDescent="0.6">
      <c r="A164" s="136"/>
      <c r="B164" s="142"/>
      <c r="C164" s="89"/>
      <c r="D164" s="145"/>
      <c r="E164" s="117"/>
      <c r="F164" s="117"/>
      <c r="G164" s="58">
        <f t="shared" si="107"/>
        <v>0</v>
      </c>
      <c r="H164" s="58">
        <f t="shared" si="108"/>
        <v>0</v>
      </c>
      <c r="I164" s="58">
        <f t="shared" si="109"/>
        <v>0</v>
      </c>
      <c r="J164" s="58">
        <f t="shared" si="110"/>
        <v>0</v>
      </c>
      <c r="K164" s="58">
        <f t="shared" si="113"/>
        <v>0</v>
      </c>
      <c r="L164" s="58">
        <f t="shared" si="114"/>
        <v>0</v>
      </c>
      <c r="M164" s="58">
        <f t="shared" si="115"/>
        <v>0</v>
      </c>
      <c r="N164" s="58">
        <f t="shared" si="116"/>
        <v>0</v>
      </c>
      <c r="O164" s="58">
        <f t="shared" si="117"/>
        <v>0</v>
      </c>
      <c r="P164" s="58">
        <f t="shared" si="118"/>
        <v>0</v>
      </c>
      <c r="Q164" s="58">
        <f t="shared" si="119"/>
        <v>0</v>
      </c>
      <c r="R164" s="58">
        <f t="shared" si="120"/>
        <v>0</v>
      </c>
      <c r="S164" s="58">
        <f t="shared" si="121"/>
        <v>0</v>
      </c>
      <c r="T164" s="58">
        <f t="shared" si="122"/>
        <v>0</v>
      </c>
      <c r="U164" s="58">
        <f t="shared" si="123"/>
        <v>0</v>
      </c>
      <c r="V164" s="58">
        <f t="shared" si="124"/>
        <v>0</v>
      </c>
      <c r="W164" s="58">
        <f t="shared" si="125"/>
        <v>0</v>
      </c>
      <c r="X164" s="58">
        <f t="shared" si="126"/>
        <v>0</v>
      </c>
      <c r="Y164" s="58">
        <f t="shared" si="127"/>
        <v>0</v>
      </c>
      <c r="Z164" s="58">
        <f t="shared" si="128"/>
        <v>0</v>
      </c>
      <c r="AA164" s="59">
        <f t="shared" si="129"/>
        <v>0</v>
      </c>
      <c r="AB164" s="85">
        <f t="shared" si="112"/>
        <v>0</v>
      </c>
      <c r="AC164" s="85">
        <f t="shared" si="112"/>
        <v>0</v>
      </c>
      <c r="AD164" s="85">
        <f t="shared" si="112"/>
        <v>0</v>
      </c>
      <c r="AE164" s="85">
        <f t="shared" si="112"/>
        <v>0</v>
      </c>
      <c r="AF164" s="85">
        <f t="shared" si="112"/>
        <v>0</v>
      </c>
      <c r="AG164" s="85">
        <f t="shared" si="112"/>
        <v>0</v>
      </c>
      <c r="AH164" s="85">
        <f t="shared" si="112"/>
        <v>0</v>
      </c>
      <c r="AI164" s="85">
        <f t="shared" si="112"/>
        <v>0</v>
      </c>
      <c r="AJ164" s="85">
        <f t="shared" si="112"/>
        <v>0</v>
      </c>
      <c r="AK164" s="85">
        <f t="shared" si="112"/>
        <v>0</v>
      </c>
      <c r="AL164" s="85">
        <f t="shared" si="130"/>
        <v>0</v>
      </c>
      <c r="AM164" s="85">
        <f t="shared" si="130"/>
        <v>0</v>
      </c>
      <c r="AN164" s="85">
        <f t="shared" si="130"/>
        <v>0</v>
      </c>
      <c r="AO164" s="85">
        <f t="shared" si="130"/>
        <v>0</v>
      </c>
      <c r="AP164" s="85">
        <f t="shared" si="130"/>
        <v>0</v>
      </c>
      <c r="AQ164" s="85">
        <f t="shared" si="130"/>
        <v>0</v>
      </c>
      <c r="AR164" s="85">
        <f t="shared" si="130"/>
        <v>0</v>
      </c>
      <c r="AS164" s="85">
        <f t="shared" si="130"/>
        <v>0</v>
      </c>
      <c r="AT164" s="85">
        <f t="shared" si="130"/>
        <v>0</v>
      </c>
      <c r="AU164" s="85">
        <f t="shared" si="130"/>
        <v>0</v>
      </c>
      <c r="AV164" s="85">
        <f t="shared" si="130"/>
        <v>0</v>
      </c>
    </row>
    <row r="165" spans="1:48" x14ac:dyDescent="0.55000000000000004">
      <c r="C165" s="97" t="s">
        <v>289</v>
      </c>
      <c r="D165" s="98"/>
      <c r="E165" s="98"/>
      <c r="F165" s="98"/>
      <c r="G165" s="90">
        <f>SUM(G4:G164)+1</f>
        <v>2893.6373893193604</v>
      </c>
      <c r="H165" s="90">
        <f>SUM(H4:H164)+1</f>
        <v>245.12499999995254</v>
      </c>
      <c r="I165" s="90">
        <f>SUM(I4:I164)</f>
        <v>138.75000000000568</v>
      </c>
      <c r="J165" s="90">
        <f>SUM(J4:J164)+1</f>
        <v>34.687499999999169</v>
      </c>
      <c r="K165" s="90">
        <f>SUM(K4:K164)+1</f>
        <v>184.99999999999579</v>
      </c>
      <c r="L165" s="90">
        <f>SUM(L6:L164)+1</f>
        <v>25.000000000004484</v>
      </c>
      <c r="M165" s="90">
        <f>SUM(M4:M164)</f>
        <v>3.618607666875616</v>
      </c>
      <c r="N165" s="90">
        <f t="shared" ref="N165:Y165" si="131">SUM(N4:N164)+1</f>
        <v>999.99999999999045</v>
      </c>
      <c r="O165" s="90">
        <f t="shared" si="131"/>
        <v>23.791480910347886</v>
      </c>
      <c r="P165" s="90">
        <f t="shared" si="131"/>
        <v>1124.3837006934982</v>
      </c>
      <c r="Q165" s="90">
        <f t="shared" si="131"/>
        <v>4699.9999999998636</v>
      </c>
      <c r="R165" s="90">
        <f t="shared" si="131"/>
        <v>1700.0000000000609</v>
      </c>
      <c r="S165" s="90">
        <f t="shared" si="131"/>
        <v>30.000000000000249</v>
      </c>
      <c r="T165" s="90">
        <f t="shared" si="131"/>
        <v>170.96388331068806</v>
      </c>
      <c r="U165" s="90">
        <f t="shared" si="131"/>
        <v>10.533448235341005</v>
      </c>
      <c r="V165" s="90">
        <f t="shared" si="131"/>
        <v>20.964917895901127</v>
      </c>
      <c r="W165" s="90">
        <f t="shared" si="131"/>
        <v>34.384044717328173</v>
      </c>
      <c r="X165" s="90">
        <f t="shared" si="131"/>
        <v>1621.9041767827321</v>
      </c>
      <c r="Y165" s="90">
        <f t="shared" si="131"/>
        <v>89.999999999999403</v>
      </c>
      <c r="Z165" s="90">
        <f>SUM(Z4:Z164)</f>
        <v>312.4999999999996</v>
      </c>
      <c r="AA165" s="81">
        <f>SUM(AA4:AA151)+1</f>
        <v>139.75000000000568</v>
      </c>
      <c r="AB165" s="86"/>
      <c r="AC165" s="86"/>
      <c r="AD165" s="86"/>
      <c r="AE165" s="86"/>
      <c r="AF165" s="86"/>
      <c r="AG165" s="86"/>
      <c r="AH165" s="86"/>
      <c r="AI165" s="86"/>
      <c r="AJ165" s="86"/>
      <c r="AK165" s="86"/>
      <c r="AL165" s="86"/>
      <c r="AM165" s="86"/>
      <c r="AN165" s="86"/>
      <c r="AO165" s="86"/>
      <c r="AP165" s="86"/>
      <c r="AQ165" s="86"/>
      <c r="AR165" s="86"/>
      <c r="AS165" s="86"/>
      <c r="AT165" s="86"/>
      <c r="AU165" s="86"/>
      <c r="AV165" s="86"/>
    </row>
    <row r="166" spans="1:48" s="1" customFormat="1" x14ac:dyDescent="0.55000000000000004">
      <c r="A166" s="127"/>
      <c r="C166" s="91" t="s">
        <v>259</v>
      </c>
      <c r="D166" s="92"/>
      <c r="E166" s="92"/>
      <c r="F166" s="92"/>
      <c r="G166" s="93">
        <f>Inputs!D20</f>
        <v>2969.25</v>
      </c>
      <c r="H166" s="93">
        <f>Inputs!D10*Inputs!D3</f>
        <v>245.125</v>
      </c>
      <c r="I166" s="94">
        <f>(Inputs!D13*Inputs!D3)</f>
        <v>138.75</v>
      </c>
      <c r="J166" s="93">
        <f>I166*0.25</f>
        <v>34.6875</v>
      </c>
      <c r="K166" s="94">
        <f>Inputs!D16*Inputs!D3</f>
        <v>185</v>
      </c>
      <c r="L166" s="94">
        <v>25</v>
      </c>
      <c r="M166" s="94">
        <v>0</v>
      </c>
      <c r="N166" s="94">
        <f>IF(Inputs!D6="Y", VLOOKUP(Inputs!D5,DailyIntakeChart!A206:M255,12,FALSE), IF(Inputs!D6="N",VLOOKUP(Inputs!D5,DailyIntakeChart!A105:L204,12,FALSE),IF(Inputs!D7="male", VLOOKUP(Inputs!D5,DailyIntakeChart!A4:M103,12,FALSE), 1)))</f>
        <v>1000</v>
      </c>
      <c r="O166" s="94">
        <f>IF(Inputs!D6="Y", VLOOKUP(Inputs!D5,DailyIntakeChart!A206:M255,11,FALSE), IF(Inputs!D6="N",VLOOKUP(Inputs!D5,DailyIntakeChart!A105:L204,11,FALSE),IF(Inputs!D7="male", VLOOKUP(Inputs!D5,DailyIntakeChart!A4:M103,11,FALSE), 1)))</f>
        <v>18</v>
      </c>
      <c r="P166" s="94">
        <f>IF(Inputs!D6="Y", VLOOKUP(Inputs!D5,DailyIntakeChart!A206:M255,10,FALSE), IF(Inputs!D6="N",VLOOKUP(Inputs!D5,DailyIntakeChart!A105:L204,10,FALSE),IF(Inputs!D7="male", VLOOKUP(Inputs!D5,DailyIntakeChart!A4:M103,10,FALSE), 1)))</f>
        <v>350</v>
      </c>
      <c r="Q166" s="94">
        <f>IF(Inputs!D6="Y", VLOOKUP(Inputs!D5,DailyIntakeChart!A206:M255,9,FALSE), IF(Inputs!D6="N",VLOOKUP(Inputs!D5,DailyIntakeChart!A105:L204,9,FALSE),IF(Inputs!D7="male", VLOOKUP(Inputs!D5,DailyIntakeChart!A4:M103,9,FALSE), 1)))</f>
        <v>4700</v>
      </c>
      <c r="R166" s="94">
        <v>1700</v>
      </c>
      <c r="S166" s="94">
        <f>IF(Inputs!D6="Y", VLOOKUP(Inputs!D5,DailyIntakeChart!A206:M255,8,FALSE), IF(Inputs!D6="N",VLOOKUP(Inputs!D5,DailyIntakeChart!A105:L204,8,FALSE),IF(Inputs!D7="male", VLOOKUP(Inputs!D5,DailyIntakeChart!A4:M103,8,FALSE), 1)))</f>
        <v>40</v>
      </c>
      <c r="T166" s="94">
        <f>IF(Inputs!D6="Y", VLOOKUP(Inputs!D5,DailyIntakeChart!A206:M255,2,FALSE), IF(Inputs!D6="N",VLOOKUP(Inputs!D5,DailyIntakeChart!A105:L204,2,FALSE),IF(Inputs!D7="male", VLOOKUP(Inputs!D5,DailyIntakeChart!A4:M103,2,FALSE), 1)))</f>
        <v>75</v>
      </c>
      <c r="U166" s="94">
        <f>IF(Inputs!D6="Y", VLOOKUP(Inputs!D5,DailyIntakeChart!A206:M255,3,FALSE), IF(Inputs!D6="N",VLOOKUP(Inputs!D5,DailyIntakeChart!A105:L204,3,FALSE),IF(Inputs!D7="male", VLOOKUP(Inputs!D5,DailyIntakeChart!A4:M103,3,FALSE), 1)))</f>
        <v>1.5</v>
      </c>
      <c r="V166" s="94">
        <f>IF(Inputs!D6="Y", VLOOKUP(Inputs!D5,DailyIntakeChart!A206:M255,4,FALSE), IF(Inputs!D6="N",VLOOKUP(Inputs!D5,DailyIntakeChart!A105:L204,4,FALSE),IF(Inputs!D7="male", VLOOKUP(Inputs!D5,DailyIntakeChart!A4:M103,4,FALSE), 1)))</f>
        <v>2.4</v>
      </c>
      <c r="W166" s="94">
        <f>IF(Inputs!D6="Y", VLOOKUP(Inputs!D5,DailyIntakeChart!A206:M255,5,FALSE), IF(Inputs!D6="N",VLOOKUP(Inputs!D5,DailyIntakeChart!A105:L204,5,FALSE),IF(Inputs!D7="male", VLOOKUP(Inputs!D5,DailyIntakeChart!A4:M103,,FALSE), 1)))</f>
        <v>15</v>
      </c>
      <c r="X166" s="94">
        <f>IF(Inputs!D6="Y", VLOOKUP(Inputs!D5,DailyIntakeChart!A206:M255,6,FALSE), IF(Inputs!D6="N",VLOOKUP(Inputs!D5,DailyIntakeChart!A105:L204,6,FALSE),IF(Inputs!D7="male", VLOOKUP(Inputs!D5,DailyIntakeChart!A4:M103,6,FALSE), 1)))</f>
        <v>20</v>
      </c>
      <c r="Y166" s="94">
        <f>IF(Inputs!$D$6="Y", VLOOKUP(Inputs!$D$5,DailyIntakeChart!$A$206:$N$255,7,FALSE), IF(Inputs!$D$6="N",VLOOKUP(Inputs!$D$5,DailyIntakeChart!$A$105:$N$204,7,FALSE),IF(Inputs!$D$7="male", VLOOKUP(Inputs!$D$5,DailyIntakeChart!$A$4:$N$103,7,FALSE), 1)))</f>
        <v>90</v>
      </c>
      <c r="Z166" s="94">
        <f>IF(Inputs!$D$6="Y", VLOOKUP(Inputs!$D$5,DailyIntakeChart!$A$206:$N$255,14,FALSE), IF(Inputs!$D$6="N",VLOOKUP(Inputs!$D$5,DailyIntakeChart!$A$105:$N$204,14,FALSE),IF(Inputs!$D$7="male", VLOOKUP(Inputs!$D$5,DailyIntakeChart!$A$4:$N$103,14,FALSE), 1)))</f>
        <v>250</v>
      </c>
      <c r="AA166" s="81"/>
      <c r="AB166" s="86"/>
      <c r="AC166" s="86"/>
      <c r="AD166" s="86"/>
      <c r="AE166" s="86"/>
      <c r="AF166" s="86"/>
      <c r="AG166" s="86"/>
      <c r="AH166" s="86"/>
      <c r="AI166" s="86"/>
      <c r="AJ166" s="86"/>
      <c r="AK166" s="86"/>
      <c r="AL166" s="86"/>
      <c r="AM166" s="86"/>
      <c r="AN166" s="86"/>
      <c r="AO166" s="86"/>
      <c r="AP166" s="86"/>
      <c r="AQ166" s="86"/>
      <c r="AR166" s="86"/>
      <c r="AS166" s="86"/>
      <c r="AT166" s="86"/>
      <c r="AU166" s="86"/>
      <c r="AV166" s="86"/>
    </row>
    <row r="167" spans="1:48" s="1" customFormat="1" x14ac:dyDescent="0.55000000000000004">
      <c r="A167" s="127"/>
      <c r="C167" s="91" t="s">
        <v>290</v>
      </c>
      <c r="D167" s="92"/>
      <c r="E167" s="92"/>
      <c r="F167" s="92"/>
      <c r="G167" s="93">
        <f>Inputs!D19</f>
        <v>2682.5</v>
      </c>
      <c r="H167" s="93">
        <f>Inputs!D9*Inputs!D3</f>
        <v>212.74999999999997</v>
      </c>
      <c r="I167" s="94">
        <f>Inputs!D12*Inputs!D3</f>
        <v>129.5</v>
      </c>
      <c r="J167" s="93">
        <v>0</v>
      </c>
      <c r="K167" s="93">
        <f>Inputs!D15*Inputs!D3</f>
        <v>166.5</v>
      </c>
      <c r="L167" s="94">
        <v>20</v>
      </c>
      <c r="M167" s="94">
        <v>0</v>
      </c>
      <c r="N167" s="94">
        <f t="shared" ref="N167:Y167" si="132">0.75*N166</f>
        <v>750</v>
      </c>
      <c r="O167" s="94">
        <f t="shared" si="132"/>
        <v>13.5</v>
      </c>
      <c r="P167" s="94">
        <f t="shared" si="132"/>
        <v>262.5</v>
      </c>
      <c r="Q167" s="94">
        <f t="shared" si="132"/>
        <v>3525</v>
      </c>
      <c r="R167" s="94">
        <v>1500</v>
      </c>
      <c r="S167" s="94">
        <f t="shared" si="132"/>
        <v>30</v>
      </c>
      <c r="T167" s="94">
        <f t="shared" si="132"/>
        <v>56.25</v>
      </c>
      <c r="U167" s="94">
        <f t="shared" si="132"/>
        <v>1.125</v>
      </c>
      <c r="V167" s="94">
        <f t="shared" si="132"/>
        <v>1.7999999999999998</v>
      </c>
      <c r="W167" s="94">
        <f>0.75*W166</f>
        <v>11.25</v>
      </c>
      <c r="X167" s="94">
        <f t="shared" si="132"/>
        <v>15</v>
      </c>
      <c r="Y167" s="94">
        <f t="shared" si="132"/>
        <v>67.5</v>
      </c>
      <c r="Z167" s="94">
        <f>0*Z166</f>
        <v>0</v>
      </c>
      <c r="AA167" s="81"/>
      <c r="AB167" s="86"/>
      <c r="AC167" s="86"/>
      <c r="AD167" s="86"/>
      <c r="AE167" s="86"/>
      <c r="AF167" s="86"/>
      <c r="AG167" s="86"/>
      <c r="AH167" s="86"/>
      <c r="AI167" s="86"/>
      <c r="AJ167" s="86"/>
      <c r="AK167" s="86"/>
      <c r="AL167" s="86"/>
      <c r="AM167" s="86"/>
      <c r="AN167" s="86"/>
      <c r="AO167" s="86"/>
      <c r="AP167" s="86"/>
      <c r="AQ167" s="86"/>
      <c r="AR167" s="86"/>
      <c r="AS167" s="86"/>
      <c r="AT167" s="86"/>
      <c r="AU167" s="86"/>
      <c r="AV167" s="86"/>
    </row>
    <row r="168" spans="1:48" s="1" customFormat="1" x14ac:dyDescent="0.55000000000000004">
      <c r="A168" s="127"/>
      <c r="C168" s="91" t="s">
        <v>265</v>
      </c>
      <c r="D168" s="92"/>
      <c r="E168" s="92"/>
      <c r="F168" s="92"/>
      <c r="G168" s="93">
        <f>Inputs!D21</f>
        <v>3256.0000000000005</v>
      </c>
      <c r="H168" s="93">
        <f>Inputs!D11*Inputs!D3</f>
        <v>277.5</v>
      </c>
      <c r="I168" s="94">
        <f>Inputs!D14*Inputs!D3</f>
        <v>148</v>
      </c>
      <c r="J168" s="93">
        <v>9999</v>
      </c>
      <c r="K168" s="93">
        <f>Inputs!D17*Inputs!D3</f>
        <v>203.50000000000003</v>
      </c>
      <c r="L168" s="94">
        <v>9999</v>
      </c>
      <c r="M168" s="94">
        <v>150</v>
      </c>
      <c r="N168" s="94">
        <v>99999</v>
      </c>
      <c r="O168" s="94">
        <v>9999</v>
      </c>
      <c r="P168" s="94">
        <v>9999</v>
      </c>
      <c r="Q168" s="94">
        <v>9999</v>
      </c>
      <c r="R168" s="94">
        <v>2300</v>
      </c>
      <c r="S168" s="94">
        <v>9999</v>
      </c>
      <c r="T168" s="94">
        <v>9999</v>
      </c>
      <c r="U168" s="94">
        <v>9999</v>
      </c>
      <c r="V168" s="94">
        <v>9999</v>
      </c>
      <c r="W168" s="94">
        <v>9999</v>
      </c>
      <c r="X168" s="94">
        <v>9999</v>
      </c>
      <c r="Y168" s="94">
        <v>9999</v>
      </c>
      <c r="Z168" s="94">
        <f>Z166*1.25</f>
        <v>312.5</v>
      </c>
      <c r="AA168" s="81"/>
      <c r="AB168" s="86"/>
      <c r="AC168" s="86"/>
      <c r="AD168" s="86"/>
      <c r="AE168" s="86"/>
      <c r="AF168" s="86"/>
      <c r="AG168" s="86"/>
      <c r="AH168" s="86"/>
      <c r="AI168" s="86"/>
      <c r="AJ168" s="86"/>
      <c r="AK168" s="86"/>
      <c r="AL168" s="86"/>
      <c r="AM168" s="86"/>
      <c r="AN168" s="86"/>
      <c r="AO168" s="86"/>
      <c r="AP168" s="86"/>
      <c r="AQ168" s="86"/>
      <c r="AR168" s="86"/>
      <c r="AS168" s="86"/>
      <c r="AT168" s="86"/>
      <c r="AU168" s="86"/>
      <c r="AV168" s="86"/>
    </row>
    <row r="169" spans="1:48" s="1" customFormat="1" x14ac:dyDescent="0.55000000000000004">
      <c r="A169" s="127"/>
      <c r="C169" s="91" t="s">
        <v>335</v>
      </c>
      <c r="D169" s="92"/>
      <c r="E169" s="92"/>
      <c r="F169" s="92"/>
      <c r="G169" s="93">
        <f t="shared" ref="G169:L169" si="133">((G165-G166)/G166)</f>
        <v>-2.5465222086600854E-2</v>
      </c>
      <c r="H169" s="93">
        <f t="shared" si="133"/>
        <v>-1.936328597604271E-13</v>
      </c>
      <c r="I169" s="93">
        <f t="shared" si="133"/>
        <v>4.096822980959136E-14</v>
      </c>
      <c r="J169" s="93">
        <f t="shared" si="133"/>
        <v>-2.3966414438610948E-14</v>
      </c>
      <c r="K169" s="93">
        <f t="shared" si="133"/>
        <v>-2.2737367544323207E-14</v>
      </c>
      <c r="L169" s="93">
        <f t="shared" si="133"/>
        <v>1.7934098650584928E-13</v>
      </c>
      <c r="M169" s="94">
        <f>M165/100</f>
        <v>3.6186076668756159E-2</v>
      </c>
      <c r="N169" s="93">
        <f t="shared" ref="N169:Z169" si="134">((N165-N166)/N166)</f>
        <v>-9.5496943686157471E-15</v>
      </c>
      <c r="O169" s="93">
        <f t="shared" si="134"/>
        <v>0.32174893946377142</v>
      </c>
      <c r="P169" s="93">
        <f t="shared" si="134"/>
        <v>2.2125248591242808</v>
      </c>
      <c r="Q169" s="93">
        <f t="shared" si="134"/>
        <v>-2.9026426652327495E-14</v>
      </c>
      <c r="R169" s="93">
        <f t="shared" si="134"/>
        <v>3.5844791187521291E-14</v>
      </c>
      <c r="S169" s="93">
        <f t="shared" si="134"/>
        <v>-0.24999999999999378</v>
      </c>
      <c r="T169" s="93">
        <f t="shared" si="134"/>
        <v>1.2795184441425074</v>
      </c>
      <c r="U169" s="93">
        <f t="shared" si="134"/>
        <v>6.0222988235606705</v>
      </c>
      <c r="V169" s="93">
        <f t="shared" si="134"/>
        <v>7.7353824566254703</v>
      </c>
      <c r="W169" s="93">
        <f t="shared" si="134"/>
        <v>1.2922696478218783</v>
      </c>
      <c r="X169" s="93">
        <f t="shared" si="134"/>
        <v>80.095208839136603</v>
      </c>
      <c r="Y169" s="93">
        <f t="shared" si="134"/>
        <v>-6.6317322004276018E-15</v>
      </c>
      <c r="Z169" s="93">
        <f t="shared" si="134"/>
        <v>0.24999999999999842</v>
      </c>
      <c r="AA169" s="81"/>
      <c r="AB169" s="86"/>
      <c r="AC169" s="86"/>
      <c r="AD169" s="86"/>
      <c r="AE169" s="86"/>
      <c r="AF169" s="86"/>
      <c r="AG169" s="86"/>
      <c r="AH169" s="86"/>
      <c r="AI169" s="86"/>
      <c r="AJ169" s="86"/>
      <c r="AK169" s="86"/>
      <c r="AL169" s="86"/>
      <c r="AM169" s="86"/>
      <c r="AN169" s="86"/>
      <c r="AO169" s="86"/>
      <c r="AP169" s="86"/>
      <c r="AQ169" s="86"/>
      <c r="AR169" s="86"/>
      <c r="AS169" s="86"/>
      <c r="AT169" s="86"/>
      <c r="AU169" s="86"/>
      <c r="AV169" s="86"/>
    </row>
    <row r="170" spans="1:48" s="1" customFormat="1" x14ac:dyDescent="0.55000000000000004">
      <c r="A170" s="127"/>
      <c r="C170" s="91" t="s">
        <v>336</v>
      </c>
      <c r="D170" s="92"/>
      <c r="E170" s="92"/>
      <c r="F170" s="92"/>
      <c r="G170" s="93">
        <v>1</v>
      </c>
      <c r="H170" s="93">
        <v>10</v>
      </c>
      <c r="I170" s="93">
        <v>50</v>
      </c>
      <c r="J170" s="93">
        <v>30</v>
      </c>
      <c r="K170" s="93">
        <v>10</v>
      </c>
      <c r="L170" s="94">
        <v>0</v>
      </c>
      <c r="M170" s="94">
        <v>20</v>
      </c>
      <c r="N170" s="93">
        <v>0.1</v>
      </c>
      <c r="O170" s="93">
        <v>5</v>
      </c>
      <c r="P170" s="93">
        <v>0</v>
      </c>
      <c r="Q170" s="93">
        <v>0</v>
      </c>
      <c r="R170" s="93">
        <v>10</v>
      </c>
      <c r="S170" s="93">
        <v>0</v>
      </c>
      <c r="T170" s="93">
        <v>0</v>
      </c>
      <c r="U170" s="93">
        <v>0</v>
      </c>
      <c r="V170" s="93">
        <v>0</v>
      </c>
      <c r="W170" s="93">
        <v>0</v>
      </c>
      <c r="X170" s="93">
        <v>0</v>
      </c>
      <c r="Y170" s="93">
        <v>0</v>
      </c>
      <c r="Z170" s="94">
        <v>0.1</v>
      </c>
      <c r="AA170" s="81"/>
      <c r="AB170" s="86"/>
      <c r="AC170" s="86"/>
      <c r="AD170" s="86"/>
      <c r="AE170" s="86"/>
      <c r="AF170" s="86"/>
      <c r="AG170" s="86"/>
      <c r="AH170" s="86"/>
      <c r="AI170" s="86"/>
      <c r="AJ170" s="86"/>
      <c r="AK170" s="86"/>
      <c r="AL170" s="86"/>
      <c r="AM170" s="86"/>
      <c r="AN170" s="86"/>
      <c r="AO170" s="86"/>
      <c r="AP170" s="86"/>
      <c r="AQ170" s="86"/>
      <c r="AR170" s="86"/>
      <c r="AS170" s="86"/>
      <c r="AT170" s="86"/>
      <c r="AU170" s="86"/>
      <c r="AV170" s="86"/>
    </row>
    <row r="171" spans="1:48" s="1" customFormat="1" x14ac:dyDescent="0.55000000000000004">
      <c r="A171" s="127"/>
      <c r="C171" s="91" t="s">
        <v>337</v>
      </c>
      <c r="D171" s="92"/>
      <c r="E171" s="92"/>
      <c r="F171" s="92"/>
      <c r="G171" s="93">
        <v>1</v>
      </c>
      <c r="H171" s="93">
        <v>20</v>
      </c>
      <c r="I171" s="93">
        <v>5</v>
      </c>
      <c r="J171" s="93">
        <v>10</v>
      </c>
      <c r="K171" s="93">
        <v>10</v>
      </c>
      <c r="L171" s="94">
        <v>1</v>
      </c>
      <c r="M171" s="94">
        <v>0</v>
      </c>
      <c r="N171" s="93">
        <v>1</v>
      </c>
      <c r="O171" s="93">
        <v>5</v>
      </c>
      <c r="P171" s="93">
        <v>5</v>
      </c>
      <c r="Q171" s="93">
        <v>5</v>
      </c>
      <c r="R171" s="93">
        <v>5</v>
      </c>
      <c r="S171" s="93">
        <v>5</v>
      </c>
      <c r="T171" s="93">
        <v>5</v>
      </c>
      <c r="U171" s="93">
        <v>5</v>
      </c>
      <c r="V171" s="93">
        <v>5</v>
      </c>
      <c r="W171" s="93">
        <v>5</v>
      </c>
      <c r="X171" s="93">
        <v>5</v>
      </c>
      <c r="Y171" s="93">
        <v>5</v>
      </c>
      <c r="Z171" s="94">
        <v>0</v>
      </c>
      <c r="AA171" s="81"/>
      <c r="AB171" s="86"/>
      <c r="AC171" s="86"/>
      <c r="AD171" s="86"/>
      <c r="AE171" s="86"/>
      <c r="AF171" s="86"/>
      <c r="AG171" s="86"/>
      <c r="AH171" s="86"/>
      <c r="AI171" s="86"/>
      <c r="AJ171" s="86"/>
      <c r="AK171" s="86"/>
      <c r="AL171" s="86"/>
      <c r="AM171" s="86"/>
      <c r="AN171" s="86"/>
      <c r="AO171" s="86"/>
      <c r="AP171" s="86"/>
      <c r="AQ171" s="86"/>
      <c r="AR171" s="86"/>
      <c r="AS171" s="86"/>
      <c r="AT171" s="86"/>
      <c r="AU171" s="86"/>
      <c r="AV171" s="86"/>
    </row>
    <row r="172" spans="1:48" x14ac:dyDescent="0.55000000000000004">
      <c r="C172" s="95" t="s">
        <v>299</v>
      </c>
      <c r="D172" s="96"/>
      <c r="E172" s="96"/>
      <c r="F172" s="96"/>
      <c r="G172" s="103">
        <f>G169*G170</f>
        <v>-2.5465222086600854E-2</v>
      </c>
      <c r="H172" s="103">
        <f>H169*H170</f>
        <v>-1.936328597604271E-12</v>
      </c>
      <c r="I172" s="103">
        <f t="shared" ref="I172:Y172" si="135">I169*I170</f>
        <v>2.0484114904795682E-12</v>
      </c>
      <c r="J172" s="103">
        <f t="shared" si="135"/>
        <v>-7.1899243315832843E-13</v>
      </c>
      <c r="K172" s="103">
        <f t="shared" si="135"/>
        <v>-2.2737367544323206E-13</v>
      </c>
      <c r="L172" s="103">
        <f t="shared" si="135"/>
        <v>0</v>
      </c>
      <c r="M172" s="103">
        <f t="shared" si="135"/>
        <v>0.72372153337512324</v>
      </c>
      <c r="N172" s="103">
        <f t="shared" si="135"/>
        <v>-9.5496943686157479E-16</v>
      </c>
      <c r="O172" s="103">
        <f t="shared" si="135"/>
        <v>1.6087446973188571</v>
      </c>
      <c r="P172" s="103">
        <f t="shared" si="135"/>
        <v>0</v>
      </c>
      <c r="Q172" s="103">
        <f t="shared" si="135"/>
        <v>0</v>
      </c>
      <c r="R172" s="103">
        <f t="shared" si="135"/>
        <v>3.5844791187521293E-13</v>
      </c>
      <c r="S172" s="103">
        <f t="shared" si="135"/>
        <v>0</v>
      </c>
      <c r="T172" s="103">
        <f t="shared" si="135"/>
        <v>0</v>
      </c>
      <c r="U172" s="103">
        <f t="shared" si="135"/>
        <v>0</v>
      </c>
      <c r="V172" s="103">
        <f t="shared" si="135"/>
        <v>0</v>
      </c>
      <c r="W172" s="103">
        <f t="shared" si="135"/>
        <v>0</v>
      </c>
      <c r="X172" s="103">
        <f t="shared" si="135"/>
        <v>0</v>
      </c>
      <c r="Y172" s="103">
        <f t="shared" si="135"/>
        <v>0</v>
      </c>
      <c r="Z172" s="103">
        <f t="shared" ref="Z172" si="136">Z169*Z170</f>
        <v>2.4999999999999842E-2</v>
      </c>
      <c r="AA172" s="81"/>
      <c r="AB172" s="86"/>
      <c r="AC172" s="86"/>
      <c r="AD172" s="86"/>
      <c r="AE172" s="86"/>
      <c r="AF172" s="86"/>
      <c r="AG172" s="86"/>
      <c r="AH172" s="86"/>
      <c r="AI172" s="86"/>
      <c r="AJ172" s="86"/>
      <c r="AK172" s="86"/>
      <c r="AL172" s="86"/>
      <c r="AM172" s="86"/>
      <c r="AN172" s="86"/>
      <c r="AO172" s="86"/>
      <c r="AP172" s="86"/>
      <c r="AQ172" s="86"/>
      <c r="AR172" s="86"/>
      <c r="AS172" s="86"/>
      <c r="AT172" s="86"/>
      <c r="AU172" s="86"/>
      <c r="AV172" s="86"/>
    </row>
    <row r="173" spans="1:48" s="1" customFormat="1" x14ac:dyDescent="0.55000000000000004">
      <c r="A173" s="127"/>
      <c r="C173" s="95" t="s">
        <v>300</v>
      </c>
      <c r="D173" s="96"/>
      <c r="E173" s="96"/>
      <c r="F173" s="96"/>
      <c r="G173" s="103">
        <f>-G169*G171</f>
        <v>2.5465222086600854E-2</v>
      </c>
      <c r="H173" s="103">
        <f t="shared" ref="H173:Y173" si="137">-H169*H171</f>
        <v>3.8726571952085419E-12</v>
      </c>
      <c r="I173" s="103">
        <f t="shared" si="137"/>
        <v>-2.0484114904795679E-13</v>
      </c>
      <c r="J173" s="103">
        <f t="shared" si="137"/>
        <v>2.3966414438610949E-13</v>
      </c>
      <c r="K173" s="103">
        <f t="shared" si="137"/>
        <v>2.2737367544323206E-13</v>
      </c>
      <c r="L173" s="103">
        <f t="shared" si="137"/>
        <v>-1.7934098650584928E-13</v>
      </c>
      <c r="M173" s="103">
        <f t="shared" si="137"/>
        <v>0</v>
      </c>
      <c r="N173" s="103">
        <f t="shared" si="137"/>
        <v>9.5496943686157471E-15</v>
      </c>
      <c r="O173" s="103">
        <f t="shared" si="137"/>
        <v>-1.6087446973188571</v>
      </c>
      <c r="P173" s="103">
        <f t="shared" si="137"/>
        <v>-11.062624295621404</v>
      </c>
      <c r="Q173" s="103">
        <f t="shared" si="137"/>
        <v>1.4513213326163747E-13</v>
      </c>
      <c r="R173" s="103">
        <f t="shared" si="137"/>
        <v>-1.7922395593760647E-13</v>
      </c>
      <c r="S173" s="103">
        <f t="shared" si="137"/>
        <v>1.2499999999999689</v>
      </c>
      <c r="T173" s="103">
        <f t="shared" si="137"/>
        <v>-6.3975922207125366</v>
      </c>
      <c r="U173" s="103">
        <f t="shared" si="137"/>
        <v>-30.111494117803353</v>
      </c>
      <c r="V173" s="103">
        <f t="shared" si="137"/>
        <v>-38.676912283127351</v>
      </c>
      <c r="W173" s="103">
        <f t="shared" si="137"/>
        <v>-6.461348239109391</v>
      </c>
      <c r="X173" s="103">
        <f t="shared" si="137"/>
        <v>-400.47604419568302</v>
      </c>
      <c r="Y173" s="103">
        <f t="shared" si="137"/>
        <v>3.3158661002138011E-14</v>
      </c>
      <c r="Z173" s="103">
        <f t="shared" ref="Z173" si="138">-Z169*Z171</f>
        <v>0</v>
      </c>
      <c r="AA173" s="81"/>
      <c r="AB173" s="86"/>
      <c r="AC173" s="86"/>
      <c r="AD173" s="86"/>
      <c r="AE173" s="86"/>
      <c r="AF173" s="86"/>
      <c r="AG173" s="86"/>
      <c r="AH173" s="86"/>
      <c r="AI173" s="86"/>
      <c r="AJ173" s="86"/>
      <c r="AK173" s="86"/>
      <c r="AL173" s="86"/>
      <c r="AM173" s="86"/>
      <c r="AN173" s="86"/>
      <c r="AO173" s="86"/>
      <c r="AP173" s="86"/>
      <c r="AQ173" s="86"/>
      <c r="AR173" s="86"/>
      <c r="AS173" s="86"/>
      <c r="AT173" s="86"/>
      <c r="AU173" s="86"/>
      <c r="AV173" s="86"/>
    </row>
    <row r="174" spans="1:48" s="1" customFormat="1" ht="14.7" thickBot="1" x14ac:dyDescent="0.6">
      <c r="A174" s="127"/>
      <c r="C174" s="95" t="s">
        <v>301</v>
      </c>
      <c r="D174" s="96"/>
      <c r="E174" s="96"/>
      <c r="F174" s="96"/>
      <c r="G174" s="104">
        <v>2.5465222086590605E-2</v>
      </c>
      <c r="H174" s="104">
        <v>0</v>
      </c>
      <c r="I174" s="104">
        <v>0</v>
      </c>
      <c r="J174" s="104">
        <v>-8.4024129639156938E-13</v>
      </c>
      <c r="K174" s="104">
        <v>8.0516562886801548E-13</v>
      </c>
      <c r="L174" s="104">
        <v>0</v>
      </c>
      <c r="M174" s="104">
        <v>0.7237215333750967</v>
      </c>
      <c r="N174" s="104">
        <v>0</v>
      </c>
      <c r="O174" s="104">
        <v>1.6087446973187975</v>
      </c>
      <c r="P174" s="104">
        <v>0</v>
      </c>
      <c r="Q174" s="104">
        <v>-4.3534460757747769E-13</v>
      </c>
      <c r="R174" s="104">
        <v>0</v>
      </c>
      <c r="S174" s="104">
        <v>1.2499999999999345</v>
      </c>
      <c r="T174" s="104">
        <v>0</v>
      </c>
      <c r="U174" s="104">
        <v>0</v>
      </c>
      <c r="V174" s="104">
        <v>0</v>
      </c>
      <c r="W174" s="104">
        <v>-1.8936773929643335E-14</v>
      </c>
      <c r="X174" s="104">
        <v>0</v>
      </c>
      <c r="Y174" s="104">
        <v>0</v>
      </c>
      <c r="Z174" s="104"/>
      <c r="AA174" s="81"/>
      <c r="AB174" s="86"/>
      <c r="AC174" s="86"/>
      <c r="AD174" s="86"/>
      <c r="AE174" s="86"/>
      <c r="AF174" s="86"/>
      <c r="AG174" s="86"/>
      <c r="AH174" s="86"/>
      <c r="AI174" s="86"/>
      <c r="AJ174" s="86"/>
      <c r="AK174" s="86"/>
      <c r="AL174" s="86"/>
      <c r="AM174" s="86"/>
      <c r="AN174" s="86"/>
      <c r="AO174" s="86"/>
      <c r="AP174" s="86"/>
      <c r="AQ174" s="86"/>
      <c r="AR174" s="86"/>
      <c r="AS174" s="86"/>
      <c r="AT174" s="86"/>
      <c r="AU174" s="86"/>
      <c r="AV174" s="86"/>
    </row>
    <row r="175" spans="1:48" ht="14.7" thickBot="1" x14ac:dyDescent="0.6">
      <c r="C175" s="100" t="s">
        <v>352</v>
      </c>
      <c r="D175" s="101">
        <f>SUM(G174:Z174)</f>
        <v>3.6079314527799302</v>
      </c>
      <c r="E175" s="102"/>
      <c r="F175" s="146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81"/>
      <c r="AB175" s="86"/>
      <c r="AC175" s="86"/>
      <c r="AD175" s="86"/>
      <c r="AE175" s="86"/>
      <c r="AF175" s="86"/>
      <c r="AG175" s="86"/>
      <c r="AH175" s="86"/>
      <c r="AI175" s="86"/>
      <c r="AJ175" s="86"/>
      <c r="AK175" s="86"/>
      <c r="AL175" s="86"/>
      <c r="AM175" s="86"/>
      <c r="AN175" s="86"/>
      <c r="AO175" s="86"/>
      <c r="AP175" s="86"/>
      <c r="AQ175" s="86"/>
      <c r="AR175" s="86"/>
      <c r="AS175" s="86"/>
      <c r="AT175" s="86"/>
      <c r="AU175" s="86"/>
      <c r="AV175" s="86"/>
    </row>
    <row r="176" spans="1:48" x14ac:dyDescent="0.55000000000000004">
      <c r="D176" s="1"/>
      <c r="G176" s="105">
        <f>IF(G169&lt;0,ABS(G173),ABS(G172))</f>
        <v>2.5465222086600854E-2</v>
      </c>
      <c r="H176" s="105">
        <f t="shared" ref="H176:Z176" si="139">IF(H169&lt;0,ABS(H173),ABS(H172))</f>
        <v>3.8726571952085419E-12</v>
      </c>
      <c r="I176" s="105">
        <f t="shared" si="139"/>
        <v>2.0484114904795682E-12</v>
      </c>
      <c r="J176" s="105">
        <f t="shared" si="139"/>
        <v>2.3966414438610949E-13</v>
      </c>
      <c r="K176" s="105">
        <f t="shared" si="139"/>
        <v>2.2737367544323206E-13</v>
      </c>
      <c r="L176" s="105">
        <f t="shared" si="139"/>
        <v>0</v>
      </c>
      <c r="M176" s="105">
        <f t="shared" si="139"/>
        <v>0.72372153337512324</v>
      </c>
      <c r="N176" s="105">
        <f t="shared" si="139"/>
        <v>9.5496943686157471E-15</v>
      </c>
      <c r="O176" s="105">
        <f t="shared" si="139"/>
        <v>1.6087446973188571</v>
      </c>
      <c r="P176" s="105">
        <f t="shared" si="139"/>
        <v>0</v>
      </c>
      <c r="Q176" s="105">
        <f t="shared" si="139"/>
        <v>1.4513213326163747E-13</v>
      </c>
      <c r="R176" s="105">
        <f t="shared" si="139"/>
        <v>3.5844791187521293E-13</v>
      </c>
      <c r="S176" s="105">
        <f t="shared" si="139"/>
        <v>1.2499999999999689</v>
      </c>
      <c r="T176" s="105">
        <f t="shared" si="139"/>
        <v>0</v>
      </c>
      <c r="U176" s="105">
        <f t="shared" si="139"/>
        <v>0</v>
      </c>
      <c r="V176" s="105">
        <f t="shared" si="139"/>
        <v>0</v>
      </c>
      <c r="W176" s="105">
        <f t="shared" si="139"/>
        <v>0</v>
      </c>
      <c r="X176" s="105">
        <f t="shared" si="139"/>
        <v>0</v>
      </c>
      <c r="Y176" s="105">
        <f t="shared" si="139"/>
        <v>3.3158661002138011E-14</v>
      </c>
      <c r="Z176" s="105">
        <f t="shared" si="139"/>
        <v>2.4999999999999842E-2</v>
      </c>
    </row>
    <row r="177" spans="4:19" x14ac:dyDescent="0.55000000000000004">
      <c r="D177" s="1"/>
      <c r="H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4:19" x14ac:dyDescent="0.55000000000000004">
      <c r="D178" s="1"/>
      <c r="H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4:19" x14ac:dyDescent="0.55000000000000004">
      <c r="D179" s="1"/>
      <c r="H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4:19" x14ac:dyDescent="0.55000000000000004">
      <c r="D180" s="1"/>
      <c r="H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4:19" x14ac:dyDescent="0.55000000000000004">
      <c r="D181" s="1"/>
      <c r="H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4:19" x14ac:dyDescent="0.55000000000000004">
      <c r="D182" s="1"/>
      <c r="H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4:19" x14ac:dyDescent="0.55000000000000004">
      <c r="D183" s="1"/>
      <c r="H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4:19" x14ac:dyDescent="0.55000000000000004">
      <c r="D184" s="1"/>
      <c r="H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4:19" x14ac:dyDescent="0.55000000000000004">
      <c r="D185" s="1"/>
      <c r="H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4:19" x14ac:dyDescent="0.55000000000000004">
      <c r="D186" s="1"/>
      <c r="H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4:19" x14ac:dyDescent="0.55000000000000004">
      <c r="D187" s="1"/>
      <c r="H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4:19" x14ac:dyDescent="0.55000000000000004">
      <c r="D188" s="1"/>
      <c r="H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4:19" x14ac:dyDescent="0.55000000000000004">
      <c r="D189" s="1"/>
      <c r="H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4:19" x14ac:dyDescent="0.55000000000000004">
      <c r="D190" s="1"/>
      <c r="H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4:19" x14ac:dyDescent="0.55000000000000004">
      <c r="D191" s="1"/>
      <c r="H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4:19" x14ac:dyDescent="0.55000000000000004">
      <c r="D192" s="1"/>
      <c r="H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4:19" x14ac:dyDescent="0.55000000000000004">
      <c r="D193" s="1"/>
      <c r="H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4:19" x14ac:dyDescent="0.55000000000000004">
      <c r="D194" s="1"/>
      <c r="H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4:19" x14ac:dyDescent="0.55000000000000004">
      <c r="D195" s="1"/>
      <c r="H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4:19" x14ac:dyDescent="0.55000000000000004">
      <c r="D196" s="1"/>
      <c r="H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4:19" x14ac:dyDescent="0.55000000000000004">
      <c r="D197" s="1"/>
      <c r="H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4:19" x14ac:dyDescent="0.55000000000000004">
      <c r="D198" s="1"/>
      <c r="H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4:19" x14ac:dyDescent="0.55000000000000004">
      <c r="D199" s="1"/>
      <c r="H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4:19" x14ac:dyDescent="0.55000000000000004">
      <c r="D200" s="1"/>
      <c r="H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4:19" x14ac:dyDescent="0.55000000000000004">
      <c r="D201" s="1"/>
      <c r="H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4:19" x14ac:dyDescent="0.55000000000000004">
      <c r="D202" s="1"/>
      <c r="H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4:19" x14ac:dyDescent="0.55000000000000004">
      <c r="D203" s="1"/>
      <c r="H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4:19" x14ac:dyDescent="0.55000000000000004">
      <c r="D204" s="1"/>
      <c r="H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4:19" x14ac:dyDescent="0.55000000000000004">
      <c r="D205" s="1"/>
      <c r="H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4:19" x14ac:dyDescent="0.55000000000000004">
      <c r="D206" s="1"/>
      <c r="H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4:19" x14ac:dyDescent="0.55000000000000004">
      <c r="D207" s="1"/>
      <c r="H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4:19" x14ac:dyDescent="0.55000000000000004">
      <c r="D208" s="1"/>
      <c r="H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4:19" x14ac:dyDescent="0.55000000000000004">
      <c r="D209" s="1"/>
      <c r="H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4:19" x14ac:dyDescent="0.55000000000000004">
      <c r="D210" s="1"/>
      <c r="H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4:19" x14ac:dyDescent="0.55000000000000004">
      <c r="D211" s="1"/>
      <c r="H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4:19" x14ac:dyDescent="0.55000000000000004">
      <c r="D212" s="1"/>
      <c r="H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4:19" x14ac:dyDescent="0.55000000000000004">
      <c r="D213" s="1"/>
      <c r="H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4:19" x14ac:dyDescent="0.55000000000000004">
      <c r="D214" s="1"/>
      <c r="H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4:19" x14ac:dyDescent="0.55000000000000004">
      <c r="D215" s="1"/>
      <c r="H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4:19" x14ac:dyDescent="0.55000000000000004">
      <c r="D216" s="1"/>
      <c r="H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4:19" x14ac:dyDescent="0.55000000000000004">
      <c r="D217" s="1"/>
      <c r="H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4:19" x14ac:dyDescent="0.55000000000000004">
      <c r="D218" s="1"/>
      <c r="H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4:19" x14ac:dyDescent="0.55000000000000004">
      <c r="D219" s="1"/>
      <c r="H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4:19" x14ac:dyDescent="0.55000000000000004">
      <c r="D220" s="1"/>
      <c r="H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4:19" x14ac:dyDescent="0.55000000000000004">
      <c r="D221" s="1"/>
      <c r="H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4:19" x14ac:dyDescent="0.55000000000000004">
      <c r="D222" s="1"/>
      <c r="H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4:19" x14ac:dyDescent="0.55000000000000004">
      <c r="D223" s="1"/>
      <c r="H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4:19" x14ac:dyDescent="0.55000000000000004">
      <c r="D224" s="1"/>
      <c r="H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4:19" x14ac:dyDescent="0.55000000000000004">
      <c r="D225" s="1"/>
      <c r="H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4:19" x14ac:dyDescent="0.55000000000000004">
      <c r="D226" s="1"/>
      <c r="H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4:19" x14ac:dyDescent="0.55000000000000004">
      <c r="D227" s="1"/>
      <c r="H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4:19" x14ac:dyDescent="0.55000000000000004">
      <c r="D228" s="1"/>
      <c r="H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4:19" x14ac:dyDescent="0.55000000000000004">
      <c r="D229" s="1"/>
      <c r="H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4:19" x14ac:dyDescent="0.55000000000000004">
      <c r="D230" s="1"/>
      <c r="H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4:19" x14ac:dyDescent="0.55000000000000004">
      <c r="D231" s="1"/>
      <c r="H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4:19" x14ac:dyDescent="0.55000000000000004">
      <c r="D232" s="1"/>
      <c r="H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4:19" x14ac:dyDescent="0.55000000000000004">
      <c r="D233" s="1"/>
      <c r="H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4:19" x14ac:dyDescent="0.55000000000000004">
      <c r="D234" s="1"/>
      <c r="H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4:19" x14ac:dyDescent="0.55000000000000004">
      <c r="D235" s="1"/>
      <c r="H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4:19" x14ac:dyDescent="0.55000000000000004">
      <c r="D236" s="1"/>
      <c r="H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4:19" x14ac:dyDescent="0.55000000000000004">
      <c r="D237" s="1"/>
      <c r="H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4:19" x14ac:dyDescent="0.55000000000000004">
      <c r="D238" s="1"/>
      <c r="H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4:19" x14ac:dyDescent="0.55000000000000004">
      <c r="D239" s="1"/>
      <c r="H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4:19" x14ac:dyDescent="0.55000000000000004">
      <c r="D240" s="1"/>
      <c r="H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4:19" x14ac:dyDescent="0.55000000000000004">
      <c r="D241" s="1"/>
      <c r="H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4:19" x14ac:dyDescent="0.55000000000000004">
      <c r="D242" s="1"/>
      <c r="H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4:19" x14ac:dyDescent="0.55000000000000004">
      <c r="D243" s="1"/>
      <c r="H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4:19" x14ac:dyDescent="0.55000000000000004">
      <c r="D244" s="1"/>
      <c r="H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4:19" x14ac:dyDescent="0.55000000000000004">
      <c r="D245" s="1"/>
      <c r="H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4:19" x14ac:dyDescent="0.55000000000000004">
      <c r="D246" s="1"/>
      <c r="H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4:19" x14ac:dyDescent="0.55000000000000004">
      <c r="D247" s="1"/>
      <c r="H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4:19" x14ac:dyDescent="0.55000000000000004">
      <c r="D248" s="1"/>
      <c r="H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4:19" x14ac:dyDescent="0.55000000000000004">
      <c r="D249" s="1"/>
      <c r="H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4:19" x14ac:dyDescent="0.55000000000000004">
      <c r="D250" s="1"/>
      <c r="H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4:19" x14ac:dyDescent="0.55000000000000004">
      <c r="D251" s="1"/>
      <c r="H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4:19" x14ac:dyDescent="0.55000000000000004">
      <c r="D252" s="1"/>
      <c r="H252" s="1"/>
      <c r="K252" s="1"/>
      <c r="L252" s="1"/>
      <c r="M252" s="1"/>
      <c r="N252" s="1"/>
      <c r="O252" s="1"/>
      <c r="P252" s="1"/>
      <c r="Q252" s="1"/>
      <c r="R252" s="1"/>
      <c r="S252" s="1"/>
    </row>
  </sheetData>
  <conditionalFormatting sqref="AC165:AC1048576 AC1:AC148 AC152:AC154 AC1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AD165:AD1048576 AD1:AD148 AD152:AD154 AD150">
    <cfRule type="colorScale" priority="70">
      <colorScale>
        <cfvo type="min"/>
        <cfvo type="max"/>
        <color rgb="FFFCFCFF"/>
        <color rgb="FF63BE7B"/>
      </colorScale>
    </cfRule>
  </conditionalFormatting>
  <conditionalFormatting sqref="AE165:AE1048576 AE1:AE148 AE152:AE154 AE150">
    <cfRule type="colorScale" priority="69">
      <colorScale>
        <cfvo type="min"/>
        <cfvo type="max"/>
        <color rgb="FFFCFCFF"/>
        <color rgb="FF63BE7B"/>
      </colorScale>
    </cfRule>
  </conditionalFormatting>
  <conditionalFormatting sqref="AF165:AF1048576 AF1:AF148 AF152:AF154 AF150">
    <cfRule type="colorScale" priority="68">
      <colorScale>
        <cfvo type="min"/>
        <cfvo type="max"/>
        <color rgb="FFFCFCFF"/>
        <color rgb="FF63BE7B"/>
      </colorScale>
    </cfRule>
  </conditionalFormatting>
  <conditionalFormatting sqref="AG165:AG1048576 AG1:AG148 AG152:AG154 AG150">
    <cfRule type="colorScale" priority="67">
      <colorScale>
        <cfvo type="min"/>
        <cfvo type="max"/>
        <color rgb="FFFCFCFF"/>
        <color rgb="FF63BE7B"/>
      </colorScale>
    </cfRule>
  </conditionalFormatting>
  <conditionalFormatting sqref="AH165:AH1048576 AH1:AH148 AH152:AH154 AH150">
    <cfRule type="colorScale" priority="66">
      <colorScale>
        <cfvo type="min"/>
        <cfvo type="max"/>
        <color rgb="FFFCFCFF"/>
        <color rgb="FF63BE7B"/>
      </colorScale>
    </cfRule>
  </conditionalFormatting>
  <conditionalFormatting sqref="AI165:AI1048576 AI1:AI148 AI152:AI154 AI1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J165:AJ1048576 AJ1:AJ148 AJ152:AJ154 AJ150">
    <cfRule type="colorScale" priority="64">
      <colorScale>
        <cfvo type="min"/>
        <cfvo type="max"/>
        <color rgb="FFFCFCFF"/>
        <color rgb="FF63BE7B"/>
      </colorScale>
    </cfRule>
  </conditionalFormatting>
  <conditionalFormatting sqref="AK165:AK1048576 AK1:AK148 AK152:AK154 AK1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AL165:AL1048576 AL1:AL148 AL152:AL154 AL1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AM165:AM1048576 AM1:AM148 AM152:AM154 AM1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AO165:AO1048576 AO1:AO148 AO152:AO154 AO150">
    <cfRule type="colorScale" priority="58">
      <colorScale>
        <cfvo type="min"/>
        <cfvo type="max"/>
        <color rgb="FFFCFCFF"/>
        <color rgb="FF63BE7B"/>
      </colorScale>
    </cfRule>
  </conditionalFormatting>
  <conditionalFormatting sqref="AP165:AP1048576 AP1:AP148 AP152:AP154 AP1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Q165:AQ1048576 AQ1:AQ148 AQ152:AQ154 AQ150">
    <cfRule type="colorScale" priority="56">
      <colorScale>
        <cfvo type="min"/>
        <cfvo type="max"/>
        <color rgb="FFFCFCFF"/>
        <color rgb="FF63BE7B"/>
      </colorScale>
    </cfRule>
  </conditionalFormatting>
  <conditionalFormatting sqref="AR165:AR1048576 AR1:AR148 AR152:AR154 AR150">
    <cfRule type="colorScale" priority="55">
      <colorScale>
        <cfvo type="min"/>
        <cfvo type="max"/>
        <color rgb="FFFCFCFF"/>
        <color rgb="FF63BE7B"/>
      </colorScale>
    </cfRule>
  </conditionalFormatting>
  <conditionalFormatting sqref="AS165:AS1048576 AS1:AS148 AS152:AS154 AS150">
    <cfRule type="colorScale" priority="54">
      <colorScale>
        <cfvo type="min"/>
        <cfvo type="max"/>
        <color rgb="FFFCFCFF"/>
        <color rgb="FF63BE7B"/>
      </colorScale>
    </cfRule>
  </conditionalFormatting>
  <conditionalFormatting sqref="AT165:AT1048576 AT1:AT148 AT152:AT154 AT150">
    <cfRule type="colorScale" priority="53">
      <colorScale>
        <cfvo type="min"/>
        <cfvo type="max"/>
        <color rgb="FFFCFCFF"/>
        <color rgb="FF63BE7B"/>
      </colorScale>
    </cfRule>
  </conditionalFormatting>
  <conditionalFormatting sqref="AU165:AU1048576 AU1:AU148 AU152:AU154 AU150">
    <cfRule type="colorScale" priority="52">
      <colorScale>
        <cfvo type="min"/>
        <cfvo type="max"/>
        <color rgb="FFFCFCFF"/>
        <color rgb="FF63BE7B"/>
      </colorScale>
    </cfRule>
  </conditionalFormatting>
  <conditionalFormatting sqref="AV1:AV148 AV152:AV155 AV150 AV165:AV1048576">
    <cfRule type="colorScale" priority="51">
      <colorScale>
        <cfvo type="min"/>
        <cfvo type="max"/>
        <color rgb="FFFCFCFF"/>
        <color rgb="FFF8696B"/>
      </colorScale>
    </cfRule>
  </conditionalFormatting>
  <conditionalFormatting sqref="G169:K169">
    <cfRule type="colorScale" priority="46">
      <colorScale>
        <cfvo type="num" val="-0.15"/>
        <cfvo type="num" val="0"/>
        <cfvo type="num" val="0.15"/>
        <color theme="3" tint="-0.499984740745262"/>
        <color rgb="FF00B050"/>
        <color rgb="FF7030A0"/>
      </colorScale>
    </cfRule>
  </conditionalFormatting>
  <conditionalFormatting sqref="L169">
    <cfRule type="colorScale" priority="45">
      <colorScale>
        <cfvo type="num" val="-0.05"/>
        <cfvo type="num" val="0"/>
        <cfvo type="num" val="2"/>
        <color rgb="FFFF0000"/>
        <color rgb="FF00B050"/>
        <color rgb="FFFF0000"/>
      </colorScale>
    </cfRule>
  </conditionalFormatting>
  <conditionalFormatting sqref="M169">
    <cfRule type="colorScale" priority="44">
      <colorScale>
        <cfvo type="num" val="0"/>
        <cfvo type="num" val="0.4"/>
        <cfvo type="num" val="1"/>
        <color rgb="FF00B050"/>
        <color rgb="FFFFEB84"/>
        <color rgb="FFFF0000"/>
      </colorScale>
    </cfRule>
  </conditionalFormatting>
  <conditionalFormatting sqref="N169:Z169">
    <cfRule type="colorScale" priority="43">
      <colorScale>
        <cfvo type="num" val="-0.15"/>
        <cfvo type="num" val="0"/>
        <cfvo type="num" val="2"/>
        <color rgb="FFFF0000"/>
        <color rgb="FF00B050"/>
        <color rgb="FF7030A0"/>
      </colorScale>
    </cfRule>
  </conditionalFormatting>
  <conditionalFormatting sqref="G176:L176 N176:Y176">
    <cfRule type="colorScale" priority="41">
      <colorScale>
        <cfvo type="num" val="0"/>
        <cfvo type="num" val="1"/>
        <color rgb="FF00B050"/>
        <color rgb="FFFF0000"/>
      </colorScale>
    </cfRule>
  </conditionalFormatting>
  <conditionalFormatting sqref="M176">
    <cfRule type="colorScale" priority="40">
      <colorScale>
        <cfvo type="num" val="0"/>
        <cfvo type="num" val="50"/>
        <color rgb="FF00B050"/>
        <color rgb="FFFF0000"/>
      </colorScale>
    </cfRule>
  </conditionalFormatting>
  <conditionalFormatting sqref="AC151">
    <cfRule type="colorScale" priority="39">
      <colorScale>
        <cfvo type="min"/>
        <cfvo type="max"/>
        <color rgb="FFFCFCFF"/>
        <color rgb="FF63BE7B"/>
      </colorScale>
    </cfRule>
  </conditionalFormatting>
  <conditionalFormatting sqref="AD1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AE1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AF151">
    <cfRule type="colorScale" priority="36">
      <colorScale>
        <cfvo type="min"/>
        <cfvo type="max"/>
        <color rgb="FFFCFCFF"/>
        <color rgb="FF63BE7B"/>
      </colorScale>
    </cfRule>
  </conditionalFormatting>
  <conditionalFormatting sqref="AG151">
    <cfRule type="colorScale" priority="35">
      <colorScale>
        <cfvo type="min"/>
        <cfvo type="max"/>
        <color rgb="FFFCFCFF"/>
        <color rgb="FF63BE7B"/>
      </colorScale>
    </cfRule>
  </conditionalFormatting>
  <conditionalFormatting sqref="AH151">
    <cfRule type="colorScale" priority="34">
      <colorScale>
        <cfvo type="min"/>
        <cfvo type="max"/>
        <color rgb="FFFCFCFF"/>
        <color rgb="FF63BE7B"/>
      </colorScale>
    </cfRule>
  </conditionalFormatting>
  <conditionalFormatting sqref="AI151">
    <cfRule type="colorScale" priority="29">
      <colorScale>
        <cfvo type="min"/>
        <cfvo type="max"/>
        <color rgb="FFFCFCFF"/>
        <color rgb="FFF8696B"/>
      </colorScale>
    </cfRule>
  </conditionalFormatting>
  <conditionalFormatting sqref="AJ1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K151">
    <cfRule type="colorScale" priority="32">
      <colorScale>
        <cfvo type="min"/>
        <cfvo type="max"/>
        <color rgb="FFFCFCFF"/>
        <color rgb="FF63BE7B"/>
      </colorScale>
    </cfRule>
  </conditionalFormatting>
  <conditionalFormatting sqref="AL1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AM1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AO151">
    <cfRule type="colorScale" priority="28">
      <colorScale>
        <cfvo type="min"/>
        <cfvo type="max"/>
        <color rgb="FFFCFCFF"/>
        <color rgb="FF63BE7B"/>
      </colorScale>
    </cfRule>
  </conditionalFormatting>
  <conditionalFormatting sqref="AP151">
    <cfRule type="colorScale" priority="27">
      <colorScale>
        <cfvo type="min"/>
        <cfvo type="max"/>
        <color rgb="FFFCFCFF"/>
        <color rgb="FF63BE7B"/>
      </colorScale>
    </cfRule>
  </conditionalFormatting>
  <conditionalFormatting sqref="AQ1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R151">
    <cfRule type="colorScale" priority="25">
      <colorScale>
        <cfvo type="min"/>
        <cfvo type="max"/>
        <color rgb="FFFCFCFF"/>
        <color rgb="FF63BE7B"/>
      </colorScale>
    </cfRule>
  </conditionalFormatting>
  <conditionalFormatting sqref="AS151">
    <cfRule type="colorScale" priority="24">
      <colorScale>
        <cfvo type="min"/>
        <cfvo type="max"/>
        <color rgb="FFFCFCFF"/>
        <color rgb="FF63BE7B"/>
      </colorScale>
    </cfRule>
  </conditionalFormatting>
  <conditionalFormatting sqref="AT151">
    <cfRule type="colorScale" priority="23">
      <colorScale>
        <cfvo type="min"/>
        <cfvo type="max"/>
        <color rgb="FFFCFCFF"/>
        <color rgb="FF63BE7B"/>
      </colorScale>
    </cfRule>
  </conditionalFormatting>
  <conditionalFormatting sqref="AU151">
    <cfRule type="colorScale" priority="22">
      <colorScale>
        <cfvo type="min"/>
        <cfvo type="max"/>
        <color rgb="FFFCFCFF"/>
        <color rgb="FF63BE7B"/>
      </colorScale>
    </cfRule>
  </conditionalFormatting>
  <conditionalFormatting sqref="AV151">
    <cfRule type="colorScale" priority="21">
      <colorScale>
        <cfvo type="min"/>
        <cfvo type="max"/>
        <color rgb="FFFCFCFF"/>
        <color rgb="FFF8696B"/>
      </colorScale>
    </cfRule>
  </conditionalFormatting>
  <conditionalFormatting sqref="AC149">
    <cfRule type="colorScale" priority="20">
      <colorScale>
        <cfvo type="min"/>
        <cfvo type="max"/>
        <color rgb="FFFCFCFF"/>
        <color rgb="FF63BE7B"/>
      </colorScale>
    </cfRule>
  </conditionalFormatting>
  <conditionalFormatting sqref="AD149">
    <cfRule type="colorScale" priority="19">
      <colorScale>
        <cfvo type="min"/>
        <cfvo type="max"/>
        <color rgb="FFFCFCFF"/>
        <color rgb="FF63BE7B"/>
      </colorScale>
    </cfRule>
  </conditionalFormatting>
  <conditionalFormatting sqref="AE149">
    <cfRule type="colorScale" priority="18">
      <colorScale>
        <cfvo type="min"/>
        <cfvo type="max"/>
        <color rgb="FFFCFCFF"/>
        <color rgb="FF63BE7B"/>
      </colorScale>
    </cfRule>
  </conditionalFormatting>
  <conditionalFormatting sqref="AF149">
    <cfRule type="colorScale" priority="17">
      <colorScale>
        <cfvo type="min"/>
        <cfvo type="max"/>
        <color rgb="FFFCFCFF"/>
        <color rgb="FF63BE7B"/>
      </colorScale>
    </cfRule>
  </conditionalFormatting>
  <conditionalFormatting sqref="AG149">
    <cfRule type="colorScale" priority="16">
      <colorScale>
        <cfvo type="min"/>
        <cfvo type="max"/>
        <color rgb="FFFCFCFF"/>
        <color rgb="FF63BE7B"/>
      </colorScale>
    </cfRule>
  </conditionalFormatting>
  <conditionalFormatting sqref="AH149">
    <cfRule type="colorScale" priority="15">
      <colorScale>
        <cfvo type="min"/>
        <cfvo type="max"/>
        <color rgb="FFFCFCFF"/>
        <color rgb="FF63BE7B"/>
      </colorScale>
    </cfRule>
  </conditionalFormatting>
  <conditionalFormatting sqref="AI149">
    <cfRule type="colorScale" priority="10">
      <colorScale>
        <cfvo type="min"/>
        <cfvo type="max"/>
        <color rgb="FFFCFCFF"/>
        <color rgb="FFF8696B"/>
      </colorScale>
    </cfRule>
  </conditionalFormatting>
  <conditionalFormatting sqref="AJ149">
    <cfRule type="colorScale" priority="14">
      <colorScale>
        <cfvo type="min"/>
        <cfvo type="max"/>
        <color rgb="FFFCFCFF"/>
        <color rgb="FF63BE7B"/>
      </colorScale>
    </cfRule>
  </conditionalFormatting>
  <conditionalFormatting sqref="AK149">
    <cfRule type="colorScale" priority="13">
      <colorScale>
        <cfvo type="min"/>
        <cfvo type="max"/>
        <color rgb="FFFCFCFF"/>
        <color rgb="FF63BE7B"/>
      </colorScale>
    </cfRule>
  </conditionalFormatting>
  <conditionalFormatting sqref="AL149">
    <cfRule type="colorScale" priority="12">
      <colorScale>
        <cfvo type="min"/>
        <cfvo type="max"/>
        <color rgb="FFFCFCFF"/>
        <color rgb="FF63BE7B"/>
      </colorScale>
    </cfRule>
  </conditionalFormatting>
  <conditionalFormatting sqref="AM149">
    <cfRule type="colorScale" priority="11">
      <colorScale>
        <cfvo type="min"/>
        <cfvo type="max"/>
        <color rgb="FFFCFCFF"/>
        <color rgb="FF63BE7B"/>
      </colorScale>
    </cfRule>
  </conditionalFormatting>
  <conditionalFormatting sqref="AO149">
    <cfRule type="colorScale" priority="9">
      <colorScale>
        <cfvo type="min"/>
        <cfvo type="max"/>
        <color rgb="FFFCFCFF"/>
        <color rgb="FF63BE7B"/>
      </colorScale>
    </cfRule>
  </conditionalFormatting>
  <conditionalFormatting sqref="AP149">
    <cfRule type="colorScale" priority="8">
      <colorScale>
        <cfvo type="min"/>
        <cfvo type="max"/>
        <color rgb="FFFCFCFF"/>
        <color rgb="FF63BE7B"/>
      </colorScale>
    </cfRule>
  </conditionalFormatting>
  <conditionalFormatting sqref="AQ149">
    <cfRule type="colorScale" priority="7">
      <colorScale>
        <cfvo type="min"/>
        <cfvo type="max"/>
        <color rgb="FFFCFCFF"/>
        <color rgb="FF63BE7B"/>
      </colorScale>
    </cfRule>
  </conditionalFormatting>
  <conditionalFormatting sqref="AR149">
    <cfRule type="colorScale" priority="6">
      <colorScale>
        <cfvo type="min"/>
        <cfvo type="max"/>
        <color rgb="FFFCFCFF"/>
        <color rgb="FF63BE7B"/>
      </colorScale>
    </cfRule>
  </conditionalFormatting>
  <conditionalFormatting sqref="AS149">
    <cfRule type="colorScale" priority="5">
      <colorScale>
        <cfvo type="min"/>
        <cfvo type="max"/>
        <color rgb="FFFCFCFF"/>
        <color rgb="FF63BE7B"/>
      </colorScale>
    </cfRule>
  </conditionalFormatting>
  <conditionalFormatting sqref="AT149">
    <cfRule type="colorScale" priority="4">
      <colorScale>
        <cfvo type="min"/>
        <cfvo type="max"/>
        <color rgb="FFFCFCFF"/>
        <color rgb="FF63BE7B"/>
      </colorScale>
    </cfRule>
  </conditionalFormatting>
  <conditionalFormatting sqref="AU149">
    <cfRule type="colorScale" priority="3">
      <colorScale>
        <cfvo type="min"/>
        <cfvo type="max"/>
        <color rgb="FFFCFCFF"/>
        <color rgb="FF63BE7B"/>
      </colorScale>
    </cfRule>
  </conditionalFormatting>
  <conditionalFormatting sqref="AV149">
    <cfRule type="colorScale" priority="2">
      <colorScale>
        <cfvo type="min"/>
        <cfvo type="max"/>
        <color rgb="FFFCFCFF"/>
        <color rgb="FFF8696B"/>
      </colorScale>
    </cfRule>
  </conditionalFormatting>
  <conditionalFormatting sqref="Z176">
    <cfRule type="colorScale" priority="1">
      <colorScale>
        <cfvo type="num" val="0"/>
        <cfvo type="num" val="1"/>
        <color rgb="FF00B050"/>
        <color rgb="FFFF0000"/>
      </colorScale>
    </cfRule>
  </conditionalFormatting>
  <dataValidations count="1">
    <dataValidation type="list" showInputMessage="1" showErrorMessage="1" sqref="B156:B164">
      <formula1>description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workbookViewId="0">
      <selection activeCell="F2" sqref="F2"/>
    </sheetView>
  </sheetViews>
  <sheetFormatPr defaultRowHeight="14.4" x14ac:dyDescent="0.55000000000000004"/>
  <cols>
    <col min="1" max="1" width="31.83984375" bestFit="1" customWidth="1"/>
    <col min="2" max="2" width="58.41796875" bestFit="1" customWidth="1"/>
    <col min="3" max="3" width="11.83984375" bestFit="1" customWidth="1"/>
    <col min="4" max="5" width="4.68359375" bestFit="1" customWidth="1"/>
  </cols>
  <sheetData>
    <row r="1" spans="1:6" x14ac:dyDescent="0.55000000000000004">
      <c r="A1" t="s">
        <v>305</v>
      </c>
      <c r="B1" t="s">
        <v>199</v>
      </c>
      <c r="C1" t="s">
        <v>264</v>
      </c>
      <c r="D1" t="s">
        <v>265</v>
      </c>
      <c r="E1" t="s">
        <v>264</v>
      </c>
    </row>
    <row r="2" spans="1:6" x14ac:dyDescent="0.55000000000000004">
      <c r="A2" t="s">
        <v>611</v>
      </c>
      <c r="B2" t="s">
        <v>487</v>
      </c>
      <c r="C2">
        <v>250</v>
      </c>
      <c r="D2">
        <v>250</v>
      </c>
      <c r="E2">
        <v>250</v>
      </c>
    </row>
    <row r="3" spans="1:6" x14ac:dyDescent="0.55000000000000004">
      <c r="A3" t="s">
        <v>626</v>
      </c>
      <c r="B3" t="s">
        <v>510</v>
      </c>
      <c r="C3">
        <v>250</v>
      </c>
      <c r="D3">
        <v>250</v>
      </c>
      <c r="E3">
        <v>250</v>
      </c>
    </row>
    <row r="4" spans="1:6" x14ac:dyDescent="0.55000000000000004">
      <c r="A4" t="s">
        <v>628</v>
      </c>
      <c r="B4" t="s">
        <v>512</v>
      </c>
      <c r="C4">
        <v>250</v>
      </c>
      <c r="D4">
        <v>250</v>
      </c>
      <c r="E4">
        <v>250</v>
      </c>
    </row>
    <row r="5" spans="1:6" x14ac:dyDescent="0.55000000000000004">
      <c r="A5" t="s">
        <v>630</v>
      </c>
      <c r="B5" t="s">
        <v>514</v>
      </c>
      <c r="C5">
        <v>250</v>
      </c>
      <c r="D5">
        <v>250</v>
      </c>
      <c r="E5">
        <v>250</v>
      </c>
    </row>
    <row r="6" spans="1:6" x14ac:dyDescent="0.55000000000000004">
      <c r="A6" t="s">
        <v>631</v>
      </c>
      <c r="B6" t="s">
        <v>515</v>
      </c>
      <c r="C6">
        <v>250</v>
      </c>
      <c r="D6">
        <v>250</v>
      </c>
      <c r="E6">
        <v>250</v>
      </c>
      <c r="F6" t="s">
        <v>717</v>
      </c>
    </row>
    <row r="7" spans="1:6" x14ac:dyDescent="0.55000000000000004">
      <c r="A7" t="s">
        <v>695</v>
      </c>
      <c r="B7" t="s">
        <v>578</v>
      </c>
      <c r="C7">
        <v>250</v>
      </c>
      <c r="D7">
        <v>250</v>
      </c>
      <c r="E7">
        <v>250</v>
      </c>
    </row>
    <row r="8" spans="1:6" x14ac:dyDescent="0.55000000000000004">
      <c r="A8" t="s">
        <v>309</v>
      </c>
      <c r="B8" t="s">
        <v>534</v>
      </c>
      <c r="C8">
        <v>196.07073287413539</v>
      </c>
      <c r="D8">
        <v>250</v>
      </c>
      <c r="E8">
        <v>196</v>
      </c>
    </row>
    <row r="9" spans="1:6" x14ac:dyDescent="0.55000000000000004">
      <c r="A9" t="s">
        <v>694</v>
      </c>
      <c r="B9" t="s">
        <v>574</v>
      </c>
      <c r="C9">
        <v>160.61909237417501</v>
      </c>
      <c r="D9">
        <v>250</v>
      </c>
      <c r="E9">
        <v>160</v>
      </c>
      <c r="F9">
        <v>50</v>
      </c>
    </row>
    <row r="10" spans="1:6" x14ac:dyDescent="0.55000000000000004">
      <c r="A10" t="s">
        <v>674</v>
      </c>
      <c r="B10" t="s">
        <v>548</v>
      </c>
      <c r="C10">
        <v>156.06505206357028</v>
      </c>
      <c r="D10">
        <v>250</v>
      </c>
      <c r="E10">
        <v>156</v>
      </c>
      <c r="F10" t="s">
        <v>717</v>
      </c>
    </row>
    <row r="11" spans="1:6" x14ac:dyDescent="0.55000000000000004">
      <c r="A11" t="s">
        <v>680</v>
      </c>
      <c r="B11" t="s">
        <v>549</v>
      </c>
      <c r="C11">
        <v>23.026081223923779</v>
      </c>
      <c r="D11">
        <v>250</v>
      </c>
      <c r="E11">
        <v>23</v>
      </c>
    </row>
    <row r="12" spans="1:6" x14ac:dyDescent="0.55000000000000004">
      <c r="A12" t="s">
        <v>679</v>
      </c>
      <c r="B12" t="s">
        <v>238</v>
      </c>
      <c r="C12">
        <v>7.160034379228148</v>
      </c>
      <c r="D12">
        <v>250</v>
      </c>
      <c r="E12">
        <v>7</v>
      </c>
      <c r="F12" t="s">
        <v>717</v>
      </c>
    </row>
    <row r="13" spans="1:6" x14ac:dyDescent="0.55000000000000004">
      <c r="A13" t="s">
        <v>608</v>
      </c>
      <c r="B13" t="s">
        <v>481</v>
      </c>
      <c r="C13">
        <v>4.4929368924102899</v>
      </c>
      <c r="D13">
        <v>250</v>
      </c>
      <c r="E13">
        <v>4</v>
      </c>
    </row>
    <row r="14" spans="1:6" x14ac:dyDescent="0.55000000000000004">
      <c r="A14" t="s">
        <v>344</v>
      </c>
      <c r="B14" t="s">
        <v>345</v>
      </c>
      <c r="C14">
        <v>0.17361089913641997</v>
      </c>
      <c r="D14">
        <v>250</v>
      </c>
      <c r="E14">
        <v>1</v>
      </c>
      <c r="F14" t="s">
        <v>717</v>
      </c>
    </row>
    <row r="162" spans="2:3" x14ac:dyDescent="0.55000000000000004">
      <c r="B162" t="s">
        <v>289</v>
      </c>
    </row>
    <row r="163" spans="2:3" x14ac:dyDescent="0.55000000000000004">
      <c r="B163" t="s">
        <v>259</v>
      </c>
    </row>
    <row r="164" spans="2:3" x14ac:dyDescent="0.55000000000000004">
      <c r="B164" t="s">
        <v>290</v>
      </c>
    </row>
    <row r="165" spans="2:3" x14ac:dyDescent="0.55000000000000004">
      <c r="B165" t="s">
        <v>265</v>
      </c>
    </row>
    <row r="166" spans="2:3" x14ac:dyDescent="0.55000000000000004">
      <c r="B166" t="s">
        <v>335</v>
      </c>
    </row>
    <row r="167" spans="2:3" x14ac:dyDescent="0.55000000000000004">
      <c r="B167" t="s">
        <v>336</v>
      </c>
    </row>
    <row r="168" spans="2:3" x14ac:dyDescent="0.55000000000000004">
      <c r="B168" t="s">
        <v>337</v>
      </c>
    </row>
    <row r="169" spans="2:3" x14ac:dyDescent="0.55000000000000004">
      <c r="B169" t="s">
        <v>299</v>
      </c>
    </row>
    <row r="170" spans="2:3" x14ac:dyDescent="0.55000000000000004">
      <c r="B170" t="s">
        <v>300</v>
      </c>
    </row>
    <row r="171" spans="2:3" x14ac:dyDescent="0.55000000000000004">
      <c r="B171" t="s">
        <v>301</v>
      </c>
    </row>
    <row r="172" spans="2:3" x14ac:dyDescent="0.55000000000000004">
      <c r="B172" t="s">
        <v>352</v>
      </c>
      <c r="C172">
        <v>12.569928329668908</v>
      </c>
    </row>
    <row r="173" spans="2:3" x14ac:dyDescent="0.55000000000000004">
      <c r="C173">
        <v>12.569928329672519</v>
      </c>
    </row>
  </sheetData>
  <sortState ref="A2:E153">
    <sortCondition descending="1" ref="C2:C1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9"/>
  <sheetViews>
    <sheetView workbookViewId="0">
      <selection activeCell="Q24" sqref="Q24"/>
    </sheetView>
  </sheetViews>
  <sheetFormatPr defaultColWidth="9.15625" defaultRowHeight="14.4" x14ac:dyDescent="0.55000000000000004"/>
  <cols>
    <col min="1" max="1" width="9.15625" style="127"/>
    <col min="2" max="2" width="25" style="1" customWidth="1"/>
    <col min="3" max="3" width="12" style="1" bestFit="1" customWidth="1"/>
    <col min="4" max="4" width="12.26171875" style="1" bestFit="1" customWidth="1"/>
    <col min="5" max="5" width="10.41796875" style="1" bestFit="1" customWidth="1"/>
    <col min="6" max="6" width="10" style="1" customWidth="1"/>
    <col min="7" max="7" width="8.68359375" style="1" bestFit="1" customWidth="1"/>
    <col min="8" max="8" width="9.15625" style="1" bestFit="1" customWidth="1"/>
    <col min="9" max="15" width="9.15625" style="1"/>
    <col min="16" max="16" width="15.15625" style="1" bestFit="1" customWidth="1"/>
    <col min="17" max="17" width="12" style="1" bestFit="1" customWidth="1"/>
    <col min="18" max="19" width="9.15625" style="1"/>
    <col min="20" max="20" width="23.83984375" style="1" bestFit="1" customWidth="1"/>
    <col min="21" max="21" width="12" style="1" bestFit="1" customWidth="1"/>
    <col min="22" max="16384" width="9.15625" style="1"/>
  </cols>
  <sheetData>
    <row r="1" spans="1:17" x14ac:dyDescent="0.55000000000000004">
      <c r="A1" s="129"/>
      <c r="B1" s="126" t="s">
        <v>0</v>
      </c>
      <c r="C1" s="126" t="s">
        <v>5</v>
      </c>
      <c r="D1" s="62"/>
      <c r="E1" s="208" t="s">
        <v>3</v>
      </c>
      <c r="F1" s="209"/>
      <c r="G1" s="208" t="s">
        <v>346</v>
      </c>
      <c r="H1" s="209"/>
      <c r="I1" s="208" t="s">
        <v>347</v>
      </c>
      <c r="J1" s="209"/>
      <c r="K1" s="109" t="s">
        <v>2</v>
      </c>
      <c r="L1" s="110"/>
      <c r="M1" s="109" t="s">
        <v>4</v>
      </c>
      <c r="N1" s="110"/>
    </row>
    <row r="2" spans="1:17" x14ac:dyDescent="0.55000000000000004">
      <c r="A2" s="41"/>
      <c r="B2" s="206" t="s">
        <v>253</v>
      </c>
      <c r="C2" s="207"/>
      <c r="D2" s="41"/>
      <c r="E2" s="12" t="s">
        <v>256</v>
      </c>
      <c r="F2" s="12" t="s">
        <v>257</v>
      </c>
      <c r="G2" s="12" t="s">
        <v>256</v>
      </c>
      <c r="H2" s="12" t="s">
        <v>257</v>
      </c>
      <c r="I2" s="12" t="s">
        <v>256</v>
      </c>
      <c r="J2" s="12" t="s">
        <v>257</v>
      </c>
      <c r="K2" s="12" t="s">
        <v>256</v>
      </c>
      <c r="L2" s="12" t="s">
        <v>257</v>
      </c>
      <c r="M2" s="12" t="s">
        <v>258</v>
      </c>
      <c r="N2" s="12" t="s">
        <v>257</v>
      </c>
    </row>
    <row r="3" spans="1:17" x14ac:dyDescent="0.55000000000000004">
      <c r="B3" s="149">
        <f>PLANNER!B156</f>
        <v>0</v>
      </c>
      <c r="C3" s="149">
        <f>PLANNER!D156</f>
        <v>0</v>
      </c>
      <c r="D3" s="147"/>
      <c r="E3" s="132" t="e">
        <f>VLOOKUP($B3,PLANNER!$B$3:$AV$154,29,FALSE)</f>
        <v>#N/A</v>
      </c>
      <c r="F3" s="132" t="e">
        <f>$C3*E3/100</f>
        <v>#N/A</v>
      </c>
      <c r="G3" s="132" t="e">
        <f>VLOOKUP($B3,PLANNER!$B$3:$AV$154,31,FALSE)</f>
        <v>#N/A</v>
      </c>
      <c r="H3" s="132" t="e">
        <f>$C3*G3/100</f>
        <v>#N/A</v>
      </c>
      <c r="I3" s="132" t="e">
        <f>VLOOKUP($B3,PLANNER!$B$3:$AV$154,32,FALSE)</f>
        <v>#N/A</v>
      </c>
      <c r="J3" s="132" t="e">
        <f t="shared" ref="J3:J11" si="0">$C3*I3/100</f>
        <v>#N/A</v>
      </c>
      <c r="K3" s="132" t="e">
        <f>VLOOKUP($B3,PLANNER!$B$3:$AV$154,33,FALSE)</f>
        <v>#N/A</v>
      </c>
      <c r="L3" s="132" t="e">
        <f t="shared" ref="L3:L11" si="1">$C3*K3/100</f>
        <v>#N/A</v>
      </c>
      <c r="M3" s="132" t="e">
        <f>VLOOKUP($B3,PLANNER!$B$3:$AV$154,28,FALSE)</f>
        <v>#N/A</v>
      </c>
      <c r="N3" s="132" t="e">
        <f t="shared" ref="N3:N11" si="2">$C3*M3/100</f>
        <v>#N/A</v>
      </c>
    </row>
    <row r="4" spans="1:17" x14ac:dyDescent="0.55000000000000004">
      <c r="B4" s="149">
        <f>PLANNER!B157</f>
        <v>0</v>
      </c>
      <c r="C4" s="149">
        <f>PLANNER!D157</f>
        <v>0</v>
      </c>
      <c r="D4" s="147"/>
      <c r="E4" s="132" t="e">
        <f>VLOOKUP($B4,PLANNER!$B$3:$AV$154,29,FALSE)</f>
        <v>#N/A</v>
      </c>
      <c r="F4" s="132" t="e">
        <f t="shared" ref="F4:H11" si="3">$C4*E4/100</f>
        <v>#N/A</v>
      </c>
      <c r="G4" s="132" t="e">
        <f>VLOOKUP($B4,PLANNER!$B$3:$AV$154,31,FALSE)</f>
        <v>#N/A</v>
      </c>
      <c r="H4" s="132" t="e">
        <f t="shared" si="3"/>
        <v>#N/A</v>
      </c>
      <c r="I4" s="132" t="e">
        <f>VLOOKUP($B4,PLANNER!$B$3:$AV$154,32,FALSE)</f>
        <v>#N/A</v>
      </c>
      <c r="J4" s="132" t="e">
        <f t="shared" si="0"/>
        <v>#N/A</v>
      </c>
      <c r="K4" s="132" t="e">
        <f>VLOOKUP($B4,PLANNER!$B$3:$AV$154,33,FALSE)</f>
        <v>#N/A</v>
      </c>
      <c r="L4" s="132" t="e">
        <f t="shared" si="1"/>
        <v>#N/A</v>
      </c>
      <c r="M4" s="132" t="e">
        <f>VLOOKUP($B4,PLANNER!$B$3:$AV$154,28,FALSE)</f>
        <v>#N/A</v>
      </c>
      <c r="N4" s="132" t="e">
        <f t="shared" si="2"/>
        <v>#N/A</v>
      </c>
    </row>
    <row r="5" spans="1:17" x14ac:dyDescent="0.55000000000000004">
      <c r="B5" s="149">
        <f>PLANNER!B158</f>
        <v>0</v>
      </c>
      <c r="C5" s="149">
        <f>PLANNER!D158</f>
        <v>0</v>
      </c>
      <c r="D5" s="147"/>
      <c r="E5" s="132" t="e">
        <f>VLOOKUP($B5,PLANNER!$B$3:$AV$154,29,FALSE)</f>
        <v>#N/A</v>
      </c>
      <c r="F5" s="132" t="e">
        <f t="shared" si="3"/>
        <v>#N/A</v>
      </c>
      <c r="G5" s="132" t="e">
        <f>VLOOKUP($B5,PLANNER!$B$3:$AV$154,31,FALSE)</f>
        <v>#N/A</v>
      </c>
      <c r="H5" s="132" t="e">
        <f t="shared" si="3"/>
        <v>#N/A</v>
      </c>
      <c r="I5" s="132" t="e">
        <f>VLOOKUP($B5,PLANNER!$B$3:$AV$154,32,FALSE)</f>
        <v>#N/A</v>
      </c>
      <c r="J5" s="132" t="e">
        <f t="shared" si="0"/>
        <v>#N/A</v>
      </c>
      <c r="K5" s="132" t="e">
        <f>VLOOKUP($B5,PLANNER!$B$3:$AV$154,33,FALSE)</f>
        <v>#N/A</v>
      </c>
      <c r="L5" s="132" t="e">
        <f t="shared" si="1"/>
        <v>#N/A</v>
      </c>
      <c r="M5" s="132" t="e">
        <f>VLOOKUP($B5,PLANNER!$B$3:$AV$154,28,FALSE)</f>
        <v>#N/A</v>
      </c>
      <c r="N5" s="132" t="e">
        <f t="shared" si="2"/>
        <v>#N/A</v>
      </c>
    </row>
    <row r="6" spans="1:17" x14ac:dyDescent="0.55000000000000004">
      <c r="B6" s="149">
        <f>PLANNER!B159</f>
        <v>0</v>
      </c>
      <c r="C6" s="149">
        <f>PLANNER!D159</f>
        <v>0</v>
      </c>
      <c r="D6" s="147"/>
      <c r="E6" s="132" t="e">
        <f>VLOOKUP($B6,PLANNER!$B$3:$AV$154,29,FALSE)</f>
        <v>#N/A</v>
      </c>
      <c r="F6" s="132" t="e">
        <f t="shared" si="3"/>
        <v>#N/A</v>
      </c>
      <c r="G6" s="132" t="e">
        <f>VLOOKUP($B6,PLANNER!$B$3:$AV$154,31,FALSE)</f>
        <v>#N/A</v>
      </c>
      <c r="H6" s="132" t="e">
        <f t="shared" si="3"/>
        <v>#N/A</v>
      </c>
      <c r="I6" s="132" t="e">
        <f>VLOOKUP($B6,PLANNER!$B$3:$AV$154,32,FALSE)</f>
        <v>#N/A</v>
      </c>
      <c r="J6" s="132" t="e">
        <f t="shared" si="0"/>
        <v>#N/A</v>
      </c>
      <c r="K6" s="132" t="e">
        <f>VLOOKUP($B6,PLANNER!$B$3:$AV$154,33,FALSE)</f>
        <v>#N/A</v>
      </c>
      <c r="L6" s="132" t="e">
        <f t="shared" si="1"/>
        <v>#N/A</v>
      </c>
      <c r="M6" s="132" t="e">
        <f>VLOOKUP($B6,PLANNER!$B$3:$AV$154,28,FALSE)</f>
        <v>#N/A</v>
      </c>
      <c r="N6" s="132" t="e">
        <f t="shared" si="2"/>
        <v>#N/A</v>
      </c>
    </row>
    <row r="7" spans="1:17" x14ac:dyDescent="0.55000000000000004">
      <c r="B7" s="149">
        <f>PLANNER!B160</f>
        <v>0</v>
      </c>
      <c r="C7" s="149">
        <f>PLANNER!D160</f>
        <v>0</v>
      </c>
      <c r="D7" s="147"/>
      <c r="E7" s="132" t="e">
        <f>VLOOKUP($B7,PLANNER!$B$3:$AV$154,29,FALSE)</f>
        <v>#N/A</v>
      </c>
      <c r="F7" s="132" t="e">
        <f t="shared" si="3"/>
        <v>#N/A</v>
      </c>
      <c r="G7" s="132" t="e">
        <f>VLOOKUP($B7,PLANNER!$B$3:$AV$154,31,FALSE)</f>
        <v>#N/A</v>
      </c>
      <c r="H7" s="132" t="e">
        <f t="shared" si="3"/>
        <v>#N/A</v>
      </c>
      <c r="I7" s="132" t="e">
        <f>VLOOKUP($B7,PLANNER!$B$3:$AV$154,32,FALSE)</f>
        <v>#N/A</v>
      </c>
      <c r="J7" s="132" t="e">
        <f t="shared" si="0"/>
        <v>#N/A</v>
      </c>
      <c r="K7" s="132" t="e">
        <f>VLOOKUP($B7,PLANNER!$B$3:$AV$154,33,FALSE)</f>
        <v>#N/A</v>
      </c>
      <c r="L7" s="132" t="e">
        <f t="shared" si="1"/>
        <v>#N/A</v>
      </c>
      <c r="M7" s="132" t="e">
        <f>VLOOKUP($B7,PLANNER!$B$3:$AV$154,28,FALSE)</f>
        <v>#N/A</v>
      </c>
      <c r="N7" s="132" t="e">
        <f t="shared" si="2"/>
        <v>#N/A</v>
      </c>
      <c r="P7" s="150" t="s">
        <v>266</v>
      </c>
      <c r="Q7" s="154">
        <f>PLANNER!G$165/PLANNER!G$166</f>
        <v>0.97453477791339915</v>
      </c>
    </row>
    <row r="8" spans="1:17" x14ac:dyDescent="0.55000000000000004">
      <c r="B8" s="149">
        <f>PLANNER!B161</f>
        <v>0</v>
      </c>
      <c r="C8" s="149">
        <f>PLANNER!D161</f>
        <v>0</v>
      </c>
      <c r="D8" s="147"/>
      <c r="E8" s="132" t="e">
        <f>VLOOKUP($B8,PLANNER!$B$3:$AV$154,29,FALSE)</f>
        <v>#N/A</v>
      </c>
      <c r="F8" s="132" t="e">
        <f t="shared" si="3"/>
        <v>#N/A</v>
      </c>
      <c r="G8" s="132" t="e">
        <f>VLOOKUP($B8,PLANNER!$B$3:$AV$154,31,FALSE)</f>
        <v>#N/A</v>
      </c>
      <c r="H8" s="132" t="e">
        <f t="shared" si="3"/>
        <v>#N/A</v>
      </c>
      <c r="I8" s="132" t="e">
        <f>VLOOKUP($B8,PLANNER!$B$3:$AV$154,32,FALSE)</f>
        <v>#N/A</v>
      </c>
      <c r="J8" s="132" t="e">
        <f t="shared" si="0"/>
        <v>#N/A</v>
      </c>
      <c r="K8" s="132" t="e">
        <f>VLOOKUP($B8,PLANNER!$B$3:$AV$154,33,FALSE)</f>
        <v>#N/A</v>
      </c>
      <c r="L8" s="132" t="e">
        <f t="shared" si="1"/>
        <v>#N/A</v>
      </c>
      <c r="M8" s="132" t="e">
        <f>VLOOKUP($B8,PLANNER!$B$3:$AV$154,28,FALSE)</f>
        <v>#N/A</v>
      </c>
      <c r="N8" s="132" t="e">
        <f t="shared" si="2"/>
        <v>#N/A</v>
      </c>
      <c r="P8" s="150" t="s">
        <v>267</v>
      </c>
      <c r="Q8" s="154">
        <f>PLANNER!H$165/PLANNER!H$166</f>
        <v>0.99999999999980638</v>
      </c>
    </row>
    <row r="9" spans="1:17" x14ac:dyDescent="0.55000000000000004">
      <c r="B9" s="149">
        <f>PLANNER!B162</f>
        <v>0</v>
      </c>
      <c r="C9" s="149">
        <f>PLANNER!D162</f>
        <v>0</v>
      </c>
      <c r="D9" s="147"/>
      <c r="E9" s="132" t="e">
        <f>VLOOKUP($B9,PLANNER!$B$3:$AV$154,29,FALSE)</f>
        <v>#N/A</v>
      </c>
      <c r="F9" s="132" t="e">
        <f t="shared" si="3"/>
        <v>#N/A</v>
      </c>
      <c r="G9" s="132" t="e">
        <f>VLOOKUP($B9,PLANNER!$B$3:$AV$154,31,FALSE)</f>
        <v>#N/A</v>
      </c>
      <c r="H9" s="132" t="e">
        <f t="shared" si="3"/>
        <v>#N/A</v>
      </c>
      <c r="I9" s="132" t="e">
        <f>VLOOKUP($B9,PLANNER!$B$3:$AV$154,32,FALSE)</f>
        <v>#N/A</v>
      </c>
      <c r="J9" s="132" t="e">
        <f t="shared" si="0"/>
        <v>#N/A</v>
      </c>
      <c r="K9" s="132" t="e">
        <f>VLOOKUP($B9,PLANNER!$B$3:$AV$154,33,FALSE)</f>
        <v>#N/A</v>
      </c>
      <c r="L9" s="132" t="e">
        <f t="shared" si="1"/>
        <v>#N/A</v>
      </c>
      <c r="M9" s="132" t="e">
        <f>VLOOKUP($B9,PLANNER!$B$3:$AV$154,28,FALSE)</f>
        <v>#N/A</v>
      </c>
      <c r="N9" s="132" t="e">
        <f t="shared" si="2"/>
        <v>#N/A</v>
      </c>
      <c r="P9" s="150" t="s">
        <v>303</v>
      </c>
      <c r="Q9" s="154">
        <f>PLANNER!I$165/PLANNER!I$166</f>
        <v>1.0000000000000411</v>
      </c>
    </row>
    <row r="10" spans="1:17" x14ac:dyDescent="0.55000000000000004">
      <c r="B10" s="149">
        <f>PLANNER!B163</f>
        <v>0</v>
      </c>
      <c r="C10" s="149">
        <f>PLANNER!D163</f>
        <v>0</v>
      </c>
      <c r="D10" s="147"/>
      <c r="E10" s="132" t="e">
        <f>VLOOKUP($B10,PLANNER!$B$3:$AV$154,29,FALSE)</f>
        <v>#N/A</v>
      </c>
      <c r="F10" s="132" t="e">
        <f t="shared" si="3"/>
        <v>#N/A</v>
      </c>
      <c r="G10" s="132" t="e">
        <f>VLOOKUP($B10,PLANNER!$B$3:$AV$154,31,FALSE)</f>
        <v>#N/A</v>
      </c>
      <c r="H10" s="132" t="e">
        <f t="shared" si="3"/>
        <v>#N/A</v>
      </c>
      <c r="I10" s="132" t="e">
        <f>VLOOKUP($B10,PLANNER!$B$3:$AV$154,32,FALSE)</f>
        <v>#N/A</v>
      </c>
      <c r="J10" s="132" t="e">
        <f t="shared" si="0"/>
        <v>#N/A</v>
      </c>
      <c r="K10" s="132" t="e">
        <f>VLOOKUP($B10,PLANNER!$B$3:$AV$154,33,FALSE)</f>
        <v>#N/A</v>
      </c>
      <c r="L10" s="132" t="e">
        <f t="shared" si="1"/>
        <v>#N/A</v>
      </c>
      <c r="M10" s="132" t="e">
        <f>VLOOKUP($B10,PLANNER!$B$3:$AV$154,28,FALSE)</f>
        <v>#N/A</v>
      </c>
      <c r="N10" s="132" t="e">
        <f t="shared" si="2"/>
        <v>#N/A</v>
      </c>
      <c r="P10" s="150" t="s">
        <v>304</v>
      </c>
      <c r="Q10" s="154">
        <f>PLANNER!J$165/PLANNER!J$166</f>
        <v>0.99999999999997602</v>
      </c>
    </row>
    <row r="11" spans="1:17" x14ac:dyDescent="0.55000000000000004">
      <c r="B11" s="149">
        <f>PLANNER!B164</f>
        <v>0</v>
      </c>
      <c r="C11" s="149">
        <f>PLANNER!D164</f>
        <v>0</v>
      </c>
      <c r="D11" s="148"/>
      <c r="E11" s="132" t="e">
        <f>VLOOKUP($B11,PLANNER!$B$3:$AV$154,29,FALSE)</f>
        <v>#N/A</v>
      </c>
      <c r="F11" s="132" t="e">
        <f t="shared" si="3"/>
        <v>#N/A</v>
      </c>
      <c r="G11" s="132" t="e">
        <f>VLOOKUP($B11,PLANNER!$B$3:$AV$154,31,FALSE)</f>
        <v>#N/A</v>
      </c>
      <c r="H11" s="132" t="e">
        <f t="shared" si="3"/>
        <v>#N/A</v>
      </c>
      <c r="I11" s="132" t="e">
        <f>VLOOKUP($B11,PLANNER!$B$3:$AV$154,32,FALSE)</f>
        <v>#N/A</v>
      </c>
      <c r="J11" s="132" t="e">
        <f t="shared" si="0"/>
        <v>#N/A</v>
      </c>
      <c r="K11" s="132" t="e">
        <f>VLOOKUP($B11,PLANNER!$B$3:$AV$154,33,FALSE)</f>
        <v>#N/A</v>
      </c>
      <c r="L11" s="132" t="e">
        <f t="shared" si="1"/>
        <v>#N/A</v>
      </c>
      <c r="M11" s="132" t="e">
        <f>VLOOKUP($B11,PLANNER!$B$3:$AV$154,28,FALSE)</f>
        <v>#N/A</v>
      </c>
      <c r="N11" s="132" t="e">
        <f t="shared" si="2"/>
        <v>#N/A</v>
      </c>
      <c r="P11" s="150" t="s">
        <v>269</v>
      </c>
      <c r="Q11" s="154">
        <f>PLANNER!K$165/PLANNER!K$166</f>
        <v>0.99999999999997724</v>
      </c>
    </row>
    <row r="12" spans="1:17" x14ac:dyDescent="0.55000000000000004">
      <c r="A12" s="129" t="s">
        <v>254</v>
      </c>
      <c r="B12" s="204" t="s">
        <v>348</v>
      </c>
      <c r="C12" s="205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P12" s="150" t="s">
        <v>270</v>
      </c>
      <c r="Q12" s="154">
        <f>PLANNER!L$165/PLANNER!L$166</f>
        <v>1.0000000000001794</v>
      </c>
    </row>
    <row r="13" spans="1:17" x14ac:dyDescent="0.55000000000000004">
      <c r="A13" s="151" t="str">
        <f t="array" ref="A13">INDEX(refno, ROWS(intamount)+1-MOD(LARGE(intamount+((ROWS(intamount)-(ROW(intamount)-ROW(INDEX(intamount,1))+1)+1)%%%), ROW(Inputs!1:1)),1)*10^6)</f>
        <v>20029</v>
      </c>
      <c r="B13" s="152" t="str">
        <f t="shared" ref="B13:B20" si="4">VLOOKUP($A13,bertha,2,FALSE)</f>
        <v>couscous</v>
      </c>
      <c r="C13" s="153">
        <f t="shared" ref="C13:C20" si="5">VLOOKUP($A13,bertha,6)</f>
        <v>0</v>
      </c>
      <c r="D13" s="118" t="s">
        <v>48</v>
      </c>
      <c r="E13" s="130">
        <f t="shared" ref="E13:E31" si="6">VLOOKUP($A13,bertha,29,FALSE)</f>
        <v>3.79</v>
      </c>
      <c r="F13" s="130">
        <f>VLOOKUP($A13,bertha,8,FALSE)</f>
        <v>9.4749999999999996</v>
      </c>
      <c r="G13" s="130">
        <f t="shared" ref="G13:G31" si="7">VLOOKUP($A13,bertha,32,FALSE)</f>
        <v>8.5999999999999993E-2</v>
      </c>
      <c r="H13" s="130">
        <f t="shared" ref="H13:H31" si="8">VLOOKUP($A13,bertha,9,FALSE)</f>
        <v>0.4</v>
      </c>
      <c r="I13" s="130">
        <f t="shared" ref="I13:I31" si="9">VLOOKUP($A13,bertha,33,FALSE)</f>
        <v>23.22</v>
      </c>
      <c r="J13" s="130">
        <f t="shared" ref="J13:J31" si="10">VLOOKUP($A13,bertha,10,FALSE)</f>
        <v>7.2499999999999995E-2</v>
      </c>
      <c r="K13" s="130">
        <f t="shared" ref="K13:K31" si="11">VLOOKUP($A13,bertha,34,FALSE)</f>
        <v>1.4</v>
      </c>
      <c r="L13" s="130">
        <f t="shared" ref="L13:L31" si="12">VLOOKUP($A13,bertha,11,FALSE)</f>
        <v>58.05</v>
      </c>
      <c r="M13" s="130">
        <f t="shared" ref="M13:M31" si="13">VLOOKUP($A13,bertha,29,FALSE)</f>
        <v>3.79</v>
      </c>
      <c r="N13" s="131">
        <f t="shared" ref="N13:N31" si="14">VLOOKUP($A13,bertha,7,FALSE)</f>
        <v>280</v>
      </c>
      <c r="P13" s="150" t="s">
        <v>128</v>
      </c>
      <c r="Q13" s="155">
        <f>PLANNER!M$165</f>
        <v>3.618607666875616</v>
      </c>
    </row>
    <row r="14" spans="1:17" x14ac:dyDescent="0.55000000000000004">
      <c r="A14" s="151" t="str">
        <f t="array" ref="A14">INDEX(refno, ROWS(intamount)+1-MOD(LARGE(intamount+((ROWS(intamount)-(ROW(intamount)-ROW(INDEX(intamount,1))+1)+1)%%%), ROW(Inputs!3:3)),1)*10^6)</f>
        <v>15037</v>
      </c>
      <c r="B14" s="152" t="str">
        <f t="shared" si="4"/>
        <v>Halibut</v>
      </c>
      <c r="C14" s="153">
        <f t="shared" si="5"/>
        <v>0</v>
      </c>
      <c r="D14" s="119" t="s">
        <v>48</v>
      </c>
      <c r="E14" s="130">
        <f t="shared" si="6"/>
        <v>22.54</v>
      </c>
      <c r="F14" s="130">
        <f t="shared" ref="F14:F31" si="15">VLOOKUP($A14,bertha,8,FALSE)</f>
        <v>56.35</v>
      </c>
      <c r="G14" s="130">
        <f t="shared" si="7"/>
        <v>0.92499999999999993</v>
      </c>
      <c r="H14" s="130">
        <f t="shared" si="8"/>
        <v>4.0250000000000004</v>
      </c>
      <c r="I14" s="130">
        <f t="shared" si="9"/>
        <v>0</v>
      </c>
      <c r="J14" s="130">
        <f t="shared" si="10"/>
        <v>0.88500000000000001</v>
      </c>
      <c r="K14" s="130">
        <f t="shared" si="11"/>
        <v>0</v>
      </c>
      <c r="L14" s="130">
        <f t="shared" si="12"/>
        <v>0</v>
      </c>
      <c r="M14" s="130">
        <f t="shared" si="13"/>
        <v>22.54</v>
      </c>
      <c r="N14" s="131">
        <f t="shared" si="14"/>
        <v>277.5</v>
      </c>
      <c r="P14" s="150" t="s">
        <v>271</v>
      </c>
      <c r="Q14" s="154">
        <f>PLANNER!N$165/PLANNER!N$166</f>
        <v>0.99999999999999045</v>
      </c>
    </row>
    <row r="15" spans="1:17" x14ac:dyDescent="0.55000000000000004">
      <c r="A15" s="151" t="str">
        <f t="array" ref="A15">INDEX(refno, ROWS(intamount)+1-MOD(LARGE(intamount+((ROWS(intamount)-(ROW(intamount)-ROW(INDEX(intamount,1))+1)+1)%%%), ROW(Inputs!4:4)),1)*10^6)</f>
        <v>20127</v>
      </c>
      <c r="B15" s="152" t="str">
        <f t="shared" si="4"/>
        <v>Spinach Spaghetti</v>
      </c>
      <c r="C15" s="153">
        <f t="shared" si="5"/>
        <v>0</v>
      </c>
      <c r="D15" s="119" t="s">
        <v>48</v>
      </c>
      <c r="E15" s="130">
        <f t="shared" si="6"/>
        <v>4.58</v>
      </c>
      <c r="F15" s="130">
        <f t="shared" si="15"/>
        <v>11.45</v>
      </c>
      <c r="G15" s="130">
        <f t="shared" si="7"/>
        <v>0.32900000000000001</v>
      </c>
      <c r="H15" s="130">
        <f t="shared" si="8"/>
        <v>1.575</v>
      </c>
      <c r="I15" s="130">
        <f t="shared" si="9"/>
        <v>26.15</v>
      </c>
      <c r="J15" s="130">
        <f t="shared" si="10"/>
        <v>0.22750000000000001</v>
      </c>
      <c r="K15" s="130">
        <f t="shared" si="11"/>
        <v>0</v>
      </c>
      <c r="L15" s="130">
        <f t="shared" si="12"/>
        <v>65.375</v>
      </c>
      <c r="M15" s="130">
        <f t="shared" si="13"/>
        <v>4.58</v>
      </c>
      <c r="N15" s="131">
        <f t="shared" si="14"/>
        <v>325</v>
      </c>
      <c r="P15" s="150" t="s">
        <v>272</v>
      </c>
      <c r="Q15" s="154">
        <f>PLANNER!O$165/PLANNER!O$166</f>
        <v>1.3217489394637714</v>
      </c>
    </row>
    <row r="16" spans="1:17" x14ac:dyDescent="0.55000000000000004">
      <c r="A16" s="151" t="str">
        <f t="array" ref="A16">INDEX(refno, ROWS(intamount)+1-MOD(LARGE(intamount+((ROWS(intamount)-(ROW(intamount)-ROW(INDEX(intamount,1))+1)+1)%%%), ROW(Inputs!5:5)),1)*10^6)</f>
        <v>15184</v>
      </c>
      <c r="B16" s="152" t="str">
        <f t="shared" si="4"/>
        <v>Light Canned Tuna</v>
      </c>
      <c r="C16" s="153">
        <f t="shared" si="5"/>
        <v>0</v>
      </c>
      <c r="D16" s="119" t="s">
        <v>48</v>
      </c>
      <c r="E16" s="130">
        <f t="shared" si="6"/>
        <v>25.51</v>
      </c>
      <c r="F16" s="130">
        <f t="shared" si="15"/>
        <v>45.949121643244936</v>
      </c>
      <c r="G16" s="130">
        <f t="shared" si="7"/>
        <v>0.496</v>
      </c>
      <c r="H16" s="130">
        <f t="shared" si="8"/>
        <v>1.477000382103522</v>
      </c>
      <c r="I16" s="130">
        <f t="shared" si="9"/>
        <v>0</v>
      </c>
      <c r="J16" s="130">
        <f t="shared" si="10"/>
        <v>0.42148547489295629</v>
      </c>
      <c r="K16" s="130">
        <f t="shared" si="11"/>
        <v>0</v>
      </c>
      <c r="L16" s="130">
        <f t="shared" si="12"/>
        <v>0</v>
      </c>
      <c r="M16" s="130">
        <f t="shared" si="13"/>
        <v>25.51</v>
      </c>
      <c r="N16" s="131">
        <f t="shared" si="14"/>
        <v>208.94151746830315</v>
      </c>
      <c r="P16" s="150" t="s">
        <v>273</v>
      </c>
      <c r="Q16" s="154">
        <f>PLANNER!P$165/PLANNER!P$166</f>
        <v>3.2125248591242808</v>
      </c>
    </row>
    <row r="17" spans="1:17" x14ac:dyDescent="0.55000000000000004">
      <c r="A17" s="151" t="str">
        <f t="array" ref="A17">INDEX(refno, ROWS(intamount)+1-MOD(LARGE(intamount+((ROWS(intamount)-(ROW(intamount)-ROW(INDEX(intamount,1))+1)+1)%%%), ROW(Inputs!6:6)),1)*10^6)</f>
        <v>15086</v>
      </c>
      <c r="B17" s="152" t="str">
        <f t="shared" si="4"/>
        <v>Salmon</v>
      </c>
      <c r="C17" s="153">
        <f t="shared" si="5"/>
        <v>0</v>
      </c>
      <c r="D17" s="119" t="s">
        <v>48</v>
      </c>
      <c r="E17" s="130">
        <f t="shared" si="6"/>
        <v>26.48</v>
      </c>
      <c r="F17" s="130">
        <f t="shared" si="15"/>
        <v>40.408871166415096</v>
      </c>
      <c r="G17" s="130">
        <f t="shared" si="7"/>
        <v>3.1909999999999998</v>
      </c>
      <c r="H17" s="130">
        <f t="shared" si="8"/>
        <v>8.4999022808509093</v>
      </c>
      <c r="I17" s="130">
        <f t="shared" si="9"/>
        <v>0</v>
      </c>
      <c r="J17" s="130">
        <f t="shared" si="10"/>
        <v>1.478708314209072</v>
      </c>
      <c r="K17" s="130">
        <f t="shared" si="11"/>
        <v>0</v>
      </c>
      <c r="L17" s="130">
        <f t="shared" si="12"/>
        <v>0</v>
      </c>
      <c r="M17" s="130">
        <f t="shared" si="13"/>
        <v>26.48</v>
      </c>
      <c r="N17" s="131">
        <f t="shared" si="14"/>
        <v>238.05830445471128</v>
      </c>
      <c r="P17" s="150" t="s">
        <v>274</v>
      </c>
      <c r="Q17" s="154">
        <f>PLANNER!Q$165/PLANNER!Q$166</f>
        <v>0.99999999999997102</v>
      </c>
    </row>
    <row r="18" spans="1:17" x14ac:dyDescent="0.55000000000000004">
      <c r="A18" s="151" t="str">
        <f t="array" ref="A18">INDEX(refno, ROWS(intamount)+1-MOD(LARGE(intamount+((ROWS(intamount)-(ROW(intamount)-ROW(INDEX(intamount,1))+1)+1)%%%), ROW(Inputs!7:7)),1)*10^6)</f>
        <v>16054</v>
      </c>
      <c r="B18" s="152" t="str">
        <f t="shared" si="4"/>
        <v>Fava Beans</v>
      </c>
      <c r="C18" s="153">
        <f t="shared" si="5"/>
        <v>0</v>
      </c>
      <c r="D18" s="119" t="s">
        <v>48</v>
      </c>
      <c r="E18" s="130">
        <f t="shared" si="6"/>
        <v>8</v>
      </c>
      <c r="F18" s="130">
        <f t="shared" si="15"/>
        <v>10.593394731130291</v>
      </c>
      <c r="G18" s="130">
        <f t="shared" si="7"/>
        <v>0.4</v>
      </c>
      <c r="H18" s="130">
        <f t="shared" si="8"/>
        <v>0.92692203897390035</v>
      </c>
      <c r="I18" s="130">
        <f t="shared" si="9"/>
        <v>18</v>
      </c>
      <c r="J18" s="130">
        <f t="shared" si="10"/>
        <v>0.13241743413912865</v>
      </c>
      <c r="K18" s="130">
        <f t="shared" si="11"/>
        <v>8</v>
      </c>
      <c r="L18" s="130">
        <f t="shared" si="12"/>
        <v>23.835138145043153</v>
      </c>
      <c r="M18" s="130">
        <f t="shared" si="13"/>
        <v>8</v>
      </c>
      <c r="N18" s="131">
        <f t="shared" si="14"/>
        <v>94.016378238781328</v>
      </c>
      <c r="P18" s="150" t="s">
        <v>275</v>
      </c>
      <c r="Q18" s="154">
        <f>PLANNER!R$165/PLANNER!R$166</f>
        <v>1.0000000000000357</v>
      </c>
    </row>
    <row r="19" spans="1:17" x14ac:dyDescent="0.55000000000000004">
      <c r="A19" s="151" t="str">
        <f t="array" ref="A19">INDEX(refno, ROWS(intamount)+1-MOD(LARGE(intamount+((ROWS(intamount)-(ROW(intamount)-ROW(INDEX(intamount,1))+1)+1)%%%), ROW(Inputs!8:8)),1)*10^6)</f>
        <v>12012</v>
      </c>
      <c r="B19" s="152" t="str">
        <f t="shared" si="4"/>
        <v>Hemp Sd Seeds</v>
      </c>
      <c r="C19" s="153">
        <f t="shared" si="5"/>
        <v>0</v>
      </c>
      <c r="D19" s="119" t="s">
        <v>48</v>
      </c>
      <c r="E19" s="130">
        <f t="shared" si="6"/>
        <v>31.56</v>
      </c>
      <c r="F19" s="130">
        <f t="shared" si="15"/>
        <v>24.616780124951205</v>
      </c>
      <c r="G19" s="130">
        <f t="shared" si="7"/>
        <v>43.5</v>
      </c>
      <c r="H19" s="130">
        <f t="shared" si="8"/>
        <v>38.024969299473106</v>
      </c>
      <c r="I19" s="130">
        <f t="shared" si="9"/>
        <v>8.67</v>
      </c>
      <c r="J19" s="130">
        <f t="shared" si="10"/>
        <v>3.5879971031297702</v>
      </c>
      <c r="K19" s="130">
        <f t="shared" si="11"/>
        <v>4</v>
      </c>
      <c r="L19" s="130">
        <f t="shared" si="12"/>
        <v>6.7625945400293714</v>
      </c>
      <c r="M19" s="130">
        <f t="shared" si="13"/>
        <v>31.56</v>
      </c>
      <c r="N19" s="131">
        <f t="shared" si="14"/>
        <v>431.33965174581806</v>
      </c>
      <c r="P19" s="150" t="s">
        <v>276</v>
      </c>
      <c r="Q19" s="154">
        <f>PLANNER!S$165/PLANNER!S$166</f>
        <v>0.75000000000000622</v>
      </c>
    </row>
    <row r="20" spans="1:17" x14ac:dyDescent="0.55000000000000004">
      <c r="A20" s="151" t="str">
        <f t="array" ref="A20">INDEX(refno, ROWS(intamount)+1-MOD(LARGE(intamount+((ROWS(intamount)-(ROW(intamount)-ROW(INDEX(intamount,1))+1)+1)%%%), ROW(Inputs!9:9)),1)*10^6)</f>
        <v>12198</v>
      </c>
      <c r="B20" s="152" t="str">
        <f t="shared" si="4"/>
        <v>Sesame Butter</v>
      </c>
      <c r="C20" s="153">
        <f t="shared" si="5"/>
        <v>0</v>
      </c>
      <c r="D20" s="119" t="s">
        <v>48</v>
      </c>
      <c r="E20" s="130">
        <f t="shared" si="6"/>
        <v>17.809999999999999</v>
      </c>
      <c r="F20" s="130">
        <f t="shared" si="15"/>
        <v>10.686</v>
      </c>
      <c r="G20" s="130">
        <f t="shared" si="7"/>
        <v>39.165999999999997</v>
      </c>
      <c r="H20" s="130">
        <f t="shared" si="8"/>
        <v>28.8</v>
      </c>
      <c r="I20" s="130">
        <f t="shared" si="9"/>
        <v>26.19</v>
      </c>
      <c r="J20" s="130">
        <f t="shared" si="10"/>
        <v>4.0332000000000008</v>
      </c>
      <c r="K20" s="130">
        <f t="shared" si="11"/>
        <v>9.3000000000000007</v>
      </c>
      <c r="L20" s="130">
        <f t="shared" si="12"/>
        <v>15.714</v>
      </c>
      <c r="M20" s="130">
        <f t="shared" si="13"/>
        <v>17.809999999999999</v>
      </c>
      <c r="N20" s="131">
        <f t="shared" si="14"/>
        <v>342</v>
      </c>
      <c r="P20" s="150" t="s">
        <v>277</v>
      </c>
      <c r="Q20" s="154">
        <f>PLANNER!T$165/PLANNER!T$166</f>
        <v>2.2795184441425076</v>
      </c>
    </row>
    <row r="21" spans="1:17" x14ac:dyDescent="0.55000000000000004">
      <c r="A21" s="151" t="str">
        <f t="array" ref="A21">INDEX(refno, ROWS(intamount)+1-MOD(LARGE(intamount+((ROWS(intamount)-(ROW(intamount)-ROW(INDEX(intamount,1))+1)+1)%%%), ROW(Inputs!10:10)),1)*10^6)</f>
        <v>20037</v>
      </c>
      <c r="B21" s="152"/>
      <c r="C21" s="153"/>
      <c r="D21" s="119" t="s">
        <v>48</v>
      </c>
      <c r="E21" s="130">
        <f t="shared" si="6"/>
        <v>2.74</v>
      </c>
      <c r="F21" s="130">
        <f t="shared" si="15"/>
        <v>1.1754765670838971</v>
      </c>
      <c r="G21" s="130">
        <f t="shared" si="7"/>
        <v>0.73499999999999999</v>
      </c>
      <c r="H21" s="130">
        <f t="shared" si="8"/>
        <v>0.41613586498955485</v>
      </c>
      <c r="I21" s="130">
        <f t="shared" si="9"/>
        <v>25.58</v>
      </c>
      <c r="J21" s="130">
        <f t="shared" si="10"/>
        <v>0.11154157205905595</v>
      </c>
      <c r="K21" s="130">
        <f t="shared" si="11"/>
        <v>1.6</v>
      </c>
      <c r="L21" s="130">
        <f t="shared" si="12"/>
        <v>10.97397466642558</v>
      </c>
      <c r="M21" s="130">
        <f t="shared" si="13"/>
        <v>2.74</v>
      </c>
      <c r="N21" s="131">
        <f t="shared" si="14"/>
        <v>52.767743704861076</v>
      </c>
      <c r="P21" s="150" t="s">
        <v>278</v>
      </c>
      <c r="Q21" s="154">
        <f>PLANNER!U$165/PLANNER!U$166</f>
        <v>7.0222988235606705</v>
      </c>
    </row>
    <row r="22" spans="1:17" x14ac:dyDescent="0.55000000000000004">
      <c r="A22" s="151" t="str">
        <f t="array" ref="A22">INDEX(refno, ROWS(intamount)+1-MOD(LARGE(intamount+((ROWS(intamount)-(ROW(intamount)-ROW(INDEX(intamount,1))+1)+1)%%%), ROW(Inputs!11:11)),1)*10^6)</f>
        <v>04053</v>
      </c>
      <c r="B22" s="152"/>
      <c r="C22" s="153"/>
      <c r="D22" s="119" t="s">
        <v>48</v>
      </c>
      <c r="E22" s="130">
        <f t="shared" si="6"/>
        <v>0</v>
      </c>
      <c r="F22" s="130">
        <f t="shared" si="15"/>
        <v>0</v>
      </c>
      <c r="G22" s="130">
        <f t="shared" si="7"/>
        <v>83.483999999999995</v>
      </c>
      <c r="H22" s="130">
        <f t="shared" si="8"/>
        <v>31.04313506536468</v>
      </c>
      <c r="I22" s="130">
        <f t="shared" si="9"/>
        <v>0</v>
      </c>
      <c r="J22" s="130">
        <f t="shared" si="10"/>
        <v>4.2864360898255551</v>
      </c>
      <c r="K22" s="130">
        <f t="shared" si="11"/>
        <v>0</v>
      </c>
      <c r="L22" s="130">
        <f t="shared" si="12"/>
        <v>0</v>
      </c>
      <c r="M22" s="130">
        <f t="shared" si="13"/>
        <v>0</v>
      </c>
      <c r="N22" s="131">
        <f t="shared" si="14"/>
        <v>274.42131397782379</v>
      </c>
      <c r="P22" s="150" t="s">
        <v>279</v>
      </c>
      <c r="Q22" s="154">
        <f>PLANNER!V$165/PLANNER!V$166</f>
        <v>8.7353824566254694</v>
      </c>
    </row>
    <row r="23" spans="1:17" x14ac:dyDescent="0.55000000000000004">
      <c r="A23" s="151" t="str">
        <f t="array" ref="A23">INDEX(refno, ROWS(intamount)+1-MOD(LARGE(intamount+((ROWS(intamount)-(ROW(intamount)-ROW(INDEX(intamount,1))+1)+1)%%%), ROW(Inputs!12:12)),1)*10^6)</f>
        <v>01028</v>
      </c>
      <c r="B23" s="152"/>
      <c r="C23" s="153"/>
      <c r="D23" s="119" t="s">
        <v>48</v>
      </c>
      <c r="E23" s="130">
        <f t="shared" si="6"/>
        <v>24.26</v>
      </c>
      <c r="F23" s="130">
        <f t="shared" si="15"/>
        <v>5.828654362138125</v>
      </c>
      <c r="G23" s="130">
        <f t="shared" si="7"/>
        <v>4.9819999999999993</v>
      </c>
      <c r="H23" s="130">
        <f t="shared" si="8"/>
        <v>3.824904264024688</v>
      </c>
      <c r="I23" s="130">
        <f t="shared" si="9"/>
        <v>2.77</v>
      </c>
      <c r="J23" s="130">
        <f t="shared" si="10"/>
        <v>2.4299674451222173</v>
      </c>
      <c r="K23" s="130">
        <f t="shared" si="11"/>
        <v>0</v>
      </c>
      <c r="L23" s="130">
        <f t="shared" si="12"/>
        <v>0.66551412131585341</v>
      </c>
      <c r="M23" s="130">
        <f t="shared" si="13"/>
        <v>24.26</v>
      </c>
      <c r="N23" s="131">
        <f t="shared" si="14"/>
        <v>61.025482604413995</v>
      </c>
      <c r="P23" s="150" t="s">
        <v>280</v>
      </c>
      <c r="Q23" s="154">
        <f>PLANNER!W$165/PLANNER!W$166</f>
        <v>2.292269647821878</v>
      </c>
    </row>
    <row r="24" spans="1:17" x14ac:dyDescent="0.55000000000000004">
      <c r="A24" s="151" t="str">
        <f t="array" ref="A24">INDEX(refno, ROWS(intamount)+1-MOD(LARGE(intamount+((ROWS(intamount)-(ROW(intamount)-ROW(INDEX(intamount,1))+1)+1)%%%), ROW(Inputs!13:13)),1)*10^6)</f>
        <v>04047</v>
      </c>
      <c r="B24" s="152"/>
      <c r="C24" s="153"/>
      <c r="D24" s="119" t="s">
        <v>48</v>
      </c>
      <c r="E24" s="130">
        <f t="shared" si="6"/>
        <v>0</v>
      </c>
      <c r="F24" s="130">
        <f t="shared" si="15"/>
        <v>0</v>
      </c>
      <c r="G24" s="130">
        <f t="shared" si="7"/>
        <v>8.0339999999999989</v>
      </c>
      <c r="H24" s="130">
        <f t="shared" si="8"/>
        <v>19.234334607921426</v>
      </c>
      <c r="I24" s="130">
        <f t="shared" si="9"/>
        <v>0</v>
      </c>
      <c r="J24" s="130">
        <f t="shared" si="10"/>
        <v>16.014049533498074</v>
      </c>
      <c r="K24" s="130">
        <f t="shared" si="11"/>
        <v>0</v>
      </c>
      <c r="L24" s="130">
        <f t="shared" si="12"/>
        <v>0</v>
      </c>
      <c r="M24" s="130">
        <f t="shared" si="13"/>
        <v>0</v>
      </c>
      <c r="N24" s="131">
        <f t="shared" si="14"/>
        <v>173.1983289952141</v>
      </c>
      <c r="P24" s="150" t="s">
        <v>281</v>
      </c>
      <c r="Q24" s="154">
        <f>PLANNER!X$165/PLANNER!X$166</f>
        <v>81.095208839136603</v>
      </c>
    </row>
    <row r="25" spans="1:17" x14ac:dyDescent="0.55000000000000004">
      <c r="A25" s="151" t="str">
        <f t="array" ref="A25">INDEX(refno, ROWS(intamount)+1-MOD(LARGE(intamount+((ROWS(intamount)-(ROW(intamount)-ROW(INDEX(intamount,1))+1)+1)%%%), ROW(Inputs!14:14)),1)*10^6)</f>
        <v>11161</v>
      </c>
      <c r="B25" s="152"/>
      <c r="C25" s="153"/>
      <c r="D25" s="119" t="s">
        <v>48</v>
      </c>
      <c r="E25" s="130">
        <f t="shared" si="6"/>
        <v>3.02</v>
      </c>
      <c r="F25" s="130">
        <f t="shared" si="15"/>
        <v>0.32271877649116076</v>
      </c>
      <c r="G25" s="130">
        <f t="shared" si="7"/>
        <v>0.23100000000000001</v>
      </c>
      <c r="H25" s="130">
        <f t="shared" si="8"/>
        <v>6.5184918430333805E-2</v>
      </c>
      <c r="I25" s="130">
        <f t="shared" si="9"/>
        <v>5.42</v>
      </c>
      <c r="J25" s="130">
        <f t="shared" si="10"/>
        <v>5.8773287109317365E-3</v>
      </c>
      <c r="K25" s="130">
        <f t="shared" si="11"/>
        <v>4</v>
      </c>
      <c r="L25" s="130">
        <f t="shared" si="12"/>
        <v>0.57918402933181834</v>
      </c>
      <c r="M25" s="130">
        <f t="shared" si="13"/>
        <v>3.02</v>
      </c>
      <c r="N25" s="131">
        <f t="shared" si="14"/>
        <v>3.419536704542101</v>
      </c>
      <c r="P25" s="150" t="s">
        <v>282</v>
      </c>
      <c r="Q25" s="154">
        <f>PLANNER!Y$165/PLANNER!Y$166</f>
        <v>0.99999999999999334</v>
      </c>
    </row>
    <row r="26" spans="1:17" x14ac:dyDescent="0.55000000000000004">
      <c r="A26" s="151" t="str">
        <f t="array" ref="A26">INDEX(refno, ROWS(intamount)+1-MOD(LARGE(intamount+((ROWS(intamount)-(ROW(intamount)-ROW(INDEX(intamount,1))+1)+1)%%%), ROW(Inputs!15:15)),1)*10^6)</f>
        <v>09107</v>
      </c>
      <c r="B26" s="152"/>
      <c r="C26" s="153"/>
      <c r="D26" s="119" t="s">
        <v>48</v>
      </c>
      <c r="E26" s="130">
        <f t="shared" si="6"/>
        <v>0.88</v>
      </c>
      <c r="F26" s="130">
        <f t="shared" si="15"/>
        <v>1.8982628497840683E-2</v>
      </c>
      <c r="G26" s="130">
        <f t="shared" si="7"/>
        <v>0.36799999999999999</v>
      </c>
      <c r="H26" s="130">
        <f t="shared" si="8"/>
        <v>1.2511277873576815E-2</v>
      </c>
      <c r="I26" s="130">
        <f t="shared" si="9"/>
        <v>10.18</v>
      </c>
      <c r="J26" s="130">
        <f t="shared" si="10"/>
        <v>8.1970441240675684E-4</v>
      </c>
      <c r="K26" s="130">
        <f t="shared" si="11"/>
        <v>4.3</v>
      </c>
      <c r="L26" s="130">
        <f t="shared" si="12"/>
        <v>0.21959449785002064</v>
      </c>
      <c r="M26" s="130">
        <f t="shared" si="13"/>
        <v>0.88</v>
      </c>
      <c r="N26" s="131">
        <f t="shared" si="14"/>
        <v>0.94913142489203428</v>
      </c>
      <c r="P26" s="150" t="s">
        <v>283</v>
      </c>
      <c r="Q26" s="155">
        <f>PLANNER!Z$165</f>
        <v>312.4999999999996</v>
      </c>
    </row>
    <row r="27" spans="1:17" x14ac:dyDescent="0.55000000000000004">
      <c r="A27" s="151">
        <f t="array" ref="A27">INDEX(refno, ROWS(intamount)+1-MOD(LARGE(intamount+((ROWS(intamount)-(ROW(intamount)-ROW(INDEX(intamount,1))+1)+1)%%%), ROW(Inputs!16:16)),1)*10^6)</f>
        <v>99997</v>
      </c>
      <c r="B27" s="152"/>
      <c r="C27" s="153"/>
      <c r="D27" s="119" t="s">
        <v>48</v>
      </c>
      <c r="E27" s="130">
        <f t="shared" si="6"/>
        <v>0</v>
      </c>
      <c r="F27" s="130">
        <f t="shared" si="15"/>
        <v>0</v>
      </c>
      <c r="G27" s="130">
        <f t="shared" si="7"/>
        <v>0</v>
      </c>
      <c r="H27" s="130">
        <f t="shared" si="8"/>
        <v>0</v>
      </c>
      <c r="I27" s="130">
        <f t="shared" si="9"/>
        <v>0</v>
      </c>
      <c r="J27" s="130">
        <f t="shared" si="10"/>
        <v>0</v>
      </c>
      <c r="K27" s="130">
        <f t="shared" si="11"/>
        <v>0</v>
      </c>
      <c r="L27" s="130">
        <f t="shared" si="12"/>
        <v>0</v>
      </c>
      <c r="M27" s="130">
        <f t="shared" si="13"/>
        <v>0</v>
      </c>
      <c r="N27" s="131">
        <f t="shared" si="14"/>
        <v>0</v>
      </c>
    </row>
    <row r="28" spans="1:17" x14ac:dyDescent="0.55000000000000004">
      <c r="A28" s="151">
        <f t="array" ref="A28">INDEX(refno, ROWS(intamount)+1-MOD(LARGE(intamount+((ROWS(intamount)-(ROW(intamount)-ROW(INDEX(intamount,1))+1)+1)%%%), ROW(Inputs!17:17)),1)*10^6)</f>
        <v>0</v>
      </c>
      <c r="B28" s="152"/>
      <c r="C28" s="153"/>
      <c r="D28" s="119" t="s">
        <v>48</v>
      </c>
      <c r="E28" s="130">
        <f t="shared" si="6"/>
        <v>0</v>
      </c>
      <c r="F28" s="130">
        <f t="shared" si="15"/>
        <v>0</v>
      </c>
      <c r="G28" s="130">
        <f t="shared" si="7"/>
        <v>0</v>
      </c>
      <c r="H28" s="130">
        <f t="shared" si="8"/>
        <v>0</v>
      </c>
      <c r="I28" s="130">
        <f t="shared" si="9"/>
        <v>0</v>
      </c>
      <c r="J28" s="130">
        <f t="shared" si="10"/>
        <v>0</v>
      </c>
      <c r="K28" s="130">
        <f t="shared" si="11"/>
        <v>0</v>
      </c>
      <c r="L28" s="130">
        <f t="shared" si="12"/>
        <v>0</v>
      </c>
      <c r="M28" s="130">
        <f t="shared" si="13"/>
        <v>0</v>
      </c>
      <c r="N28" s="131">
        <f t="shared" si="14"/>
        <v>0</v>
      </c>
    </row>
    <row r="29" spans="1:17" x14ac:dyDescent="0.55000000000000004">
      <c r="A29" s="151" t="str">
        <f t="array" ref="A29">INDEX(refno, ROWS(intamount)+1-MOD(LARGE(intamount+((ROWS(intamount)-(ROW(intamount)-ROW(INDEX(intamount,1))+1)+1)%%%), ROW(Inputs!18:18)),1)*10^6)</f>
        <v>12195</v>
      </c>
      <c r="B29" s="152"/>
      <c r="C29" s="153"/>
      <c r="D29" s="119" t="s">
        <v>48</v>
      </c>
      <c r="E29" s="130">
        <f t="shared" si="6"/>
        <v>20.96</v>
      </c>
      <c r="F29" s="130">
        <f t="shared" si="15"/>
        <v>0</v>
      </c>
      <c r="G29" s="130">
        <f t="shared" si="7"/>
        <v>46.058</v>
      </c>
      <c r="H29" s="130">
        <f t="shared" si="8"/>
        <v>0</v>
      </c>
      <c r="I29" s="130">
        <f t="shared" si="9"/>
        <v>18.82</v>
      </c>
      <c r="J29" s="130">
        <f t="shared" si="10"/>
        <v>0</v>
      </c>
      <c r="K29" s="130">
        <f t="shared" si="11"/>
        <v>10.3</v>
      </c>
      <c r="L29" s="130">
        <f t="shared" si="12"/>
        <v>0</v>
      </c>
      <c r="M29" s="130">
        <f t="shared" si="13"/>
        <v>20.96</v>
      </c>
      <c r="N29" s="131">
        <f t="shared" si="14"/>
        <v>0</v>
      </c>
    </row>
    <row r="30" spans="1:17" x14ac:dyDescent="0.55000000000000004">
      <c r="A30" s="151" t="str">
        <f t="array" ref="A30">INDEX(refno, ROWS(intamount)+1-MOD(LARGE(intamount+((ROWS(intamount)-(ROW(intamount)-ROW(INDEX(intamount,1))+1)+1)%%%), ROW(Inputs!19:19)),1)*10^6)</f>
        <v>12063</v>
      </c>
      <c r="B30" s="152"/>
      <c r="C30" s="153"/>
      <c r="D30" s="119" t="s">
        <v>48</v>
      </c>
      <c r="E30" s="130">
        <f t="shared" si="6"/>
        <v>20.96</v>
      </c>
      <c r="F30" s="130">
        <f t="shared" si="15"/>
        <v>0</v>
      </c>
      <c r="G30" s="130">
        <f t="shared" si="7"/>
        <v>46.030999999999999</v>
      </c>
      <c r="H30" s="130">
        <f t="shared" si="8"/>
        <v>0</v>
      </c>
      <c r="I30" s="130">
        <f t="shared" si="9"/>
        <v>21.01</v>
      </c>
      <c r="J30" s="130">
        <f t="shared" si="10"/>
        <v>0</v>
      </c>
      <c r="K30" s="130">
        <f t="shared" si="11"/>
        <v>10.9</v>
      </c>
      <c r="L30" s="130">
        <f t="shared" si="12"/>
        <v>0</v>
      </c>
      <c r="M30" s="130">
        <f t="shared" si="13"/>
        <v>20.96</v>
      </c>
      <c r="N30" s="131">
        <f t="shared" si="14"/>
        <v>0</v>
      </c>
    </row>
    <row r="31" spans="1:17" x14ac:dyDescent="0.55000000000000004">
      <c r="A31" s="151" t="str">
        <f t="array" ref="A31">INDEX(refno, ROWS(intamount)+1-MOD(LARGE(intamount+((ROWS(intamount)-(ROW(intamount)-ROW(INDEX(intamount,1))+1)+1)%%%), ROW(Inputs!20:20)),1)*10^6)</f>
        <v>09003</v>
      </c>
      <c r="B31" s="152"/>
      <c r="C31" s="153"/>
      <c r="D31" s="119" t="s">
        <v>48</v>
      </c>
      <c r="E31" s="130">
        <f t="shared" si="6"/>
        <v>0.26</v>
      </c>
      <c r="F31" s="130">
        <f t="shared" si="15"/>
        <v>0</v>
      </c>
      <c r="G31" s="130">
        <f t="shared" si="7"/>
        <v>5.7999999999999996E-2</v>
      </c>
      <c r="H31" s="130">
        <f t="shared" si="8"/>
        <v>0</v>
      </c>
      <c r="I31" s="130">
        <f t="shared" si="9"/>
        <v>13.81</v>
      </c>
      <c r="J31" s="130">
        <f t="shared" si="10"/>
        <v>0</v>
      </c>
      <c r="K31" s="130">
        <f t="shared" si="11"/>
        <v>2.4</v>
      </c>
      <c r="L31" s="130">
        <f t="shared" si="12"/>
        <v>0</v>
      </c>
      <c r="M31" s="130">
        <f t="shared" si="13"/>
        <v>0.26</v>
      </c>
      <c r="N31" s="131">
        <f t="shared" si="14"/>
        <v>0</v>
      </c>
    </row>
    <row r="32" spans="1:17" x14ac:dyDescent="0.55000000000000004">
      <c r="B32" s="52"/>
      <c r="C32" s="200"/>
      <c r="D32" s="210"/>
      <c r="E32" s="16"/>
      <c r="F32" s="123" t="e">
        <f>SUM(F3:F31)</f>
        <v>#N/A</v>
      </c>
      <c r="G32" s="123"/>
      <c r="H32" s="123" t="e">
        <f>SUM(H3:H31)</f>
        <v>#N/A</v>
      </c>
      <c r="I32" s="123"/>
      <c r="J32" s="123" t="e">
        <f>SUM(J3:J31)</f>
        <v>#N/A</v>
      </c>
      <c r="K32" s="123"/>
      <c r="L32" s="50" t="e">
        <f>SUM(L3:L31)</f>
        <v>#N/A</v>
      </c>
      <c r="M32" s="50"/>
      <c r="N32" s="15" t="e">
        <f>SUM(N3:N31)</f>
        <v>#N/A</v>
      </c>
    </row>
    <row r="33" spans="2:15" x14ac:dyDescent="0.55000000000000004">
      <c r="B33" s="52"/>
      <c r="C33" s="200" t="s">
        <v>169</v>
      </c>
      <c r="D33" s="201"/>
      <c r="E33" s="120"/>
      <c r="F33" s="121" t="e">
        <f>ProtCals*F32/$N$32</f>
        <v>#N/A</v>
      </c>
      <c r="G33" s="121"/>
      <c r="H33" s="121" t="e">
        <f>FatCals*H32/$N$32</f>
        <v>#N/A</v>
      </c>
      <c r="I33" s="121"/>
      <c r="J33" s="121" t="e">
        <f>FatCals*J32/$N$32</f>
        <v>#N/A</v>
      </c>
      <c r="K33" s="121"/>
      <c r="L33" s="121" t="e">
        <f>CarbCals*L32/$N$32</f>
        <v>#N/A</v>
      </c>
      <c r="M33" s="121"/>
      <c r="N33" s="122" t="e">
        <f>SUM(F33:L33)</f>
        <v>#N/A</v>
      </c>
    </row>
    <row r="34" spans="2:15" ht="14.7" thickBot="1" x14ac:dyDescent="0.6">
      <c r="B34" s="52"/>
      <c r="C34" s="200" t="s">
        <v>6</v>
      </c>
      <c r="D34" s="201"/>
      <c r="E34" s="51"/>
      <c r="F34" s="49" t="e">
        <f>F32/Inputs!$D$10</f>
        <v>#N/A</v>
      </c>
      <c r="G34" s="49"/>
      <c r="H34" s="49" t="e">
        <f>H32/Inputs!$D$3</f>
        <v>#N/A</v>
      </c>
      <c r="I34" s="49"/>
      <c r="J34" s="49" t="e">
        <f>J32/Inputs!$D$3</f>
        <v>#N/A</v>
      </c>
      <c r="K34" s="49"/>
      <c r="L34" s="49" t="e">
        <f>L32/Inputs!$D$3</f>
        <v>#N/A</v>
      </c>
      <c r="M34" s="49"/>
      <c r="N34" s="55"/>
    </row>
    <row r="35" spans="2:15" ht="14.7" thickBot="1" x14ac:dyDescent="0.6">
      <c r="B35" s="53"/>
      <c r="C35" s="202"/>
      <c r="D35" s="203"/>
      <c r="E35" s="51"/>
      <c r="F35" s="49"/>
      <c r="G35" s="49"/>
      <c r="H35" s="49"/>
      <c r="I35" s="49"/>
      <c r="J35" s="49"/>
      <c r="K35" s="49"/>
      <c r="L35" s="49"/>
      <c r="M35" s="49"/>
      <c r="N35" s="124"/>
      <c r="O35" s="125">
        <f>PLANNER!D175</f>
        <v>3.6079314527799302</v>
      </c>
    </row>
    <row r="36" spans="2:15" x14ac:dyDescent="0.55000000000000004">
      <c r="B36" s="38"/>
      <c r="C36" s="38"/>
      <c r="D36" s="38"/>
      <c r="E36" s="38"/>
      <c r="F36" s="38"/>
      <c r="G36" s="38"/>
      <c r="H36" s="38"/>
    </row>
    <row r="37" spans="2:15" x14ac:dyDescent="0.55000000000000004">
      <c r="B37" s="38"/>
      <c r="C37" s="38"/>
      <c r="D37" s="38"/>
      <c r="E37" s="38"/>
      <c r="F37" s="38"/>
      <c r="G37" s="38"/>
      <c r="H37" s="38"/>
    </row>
    <row r="38" spans="2:15" x14ac:dyDescent="0.55000000000000004">
      <c r="B38" s="38"/>
      <c r="C38" s="38"/>
      <c r="D38" s="38"/>
      <c r="E38" s="38"/>
      <c r="F38" s="38"/>
      <c r="G38" s="38"/>
      <c r="H38" s="38"/>
    </row>
    <row r="39" spans="2:15" x14ac:dyDescent="0.55000000000000004">
      <c r="B39" s="38"/>
      <c r="C39" s="38"/>
      <c r="D39" s="38"/>
      <c r="E39" s="38"/>
      <c r="F39" s="38"/>
      <c r="G39" s="38"/>
      <c r="H39" s="38"/>
    </row>
  </sheetData>
  <mergeCells count="9">
    <mergeCell ref="C34:D34"/>
    <mergeCell ref="C35:D35"/>
    <mergeCell ref="B12:C12"/>
    <mergeCell ref="B2:C2"/>
    <mergeCell ref="I1:J1"/>
    <mergeCell ref="G1:H1"/>
    <mergeCell ref="E1:F1"/>
    <mergeCell ref="C32:D32"/>
    <mergeCell ref="C33:D33"/>
  </mergeCells>
  <conditionalFormatting sqref="Q7:Q12">
    <cfRule type="colorScale" priority="6">
      <colorScale>
        <cfvo type="num" val="0"/>
        <cfvo type="num" val="1"/>
        <cfvo type="num" val="2"/>
        <color theme="5" tint="0.39997558519241921"/>
        <color rgb="FF00B050"/>
        <color theme="5" tint="0.39997558519241921"/>
      </colorScale>
    </cfRule>
  </conditionalFormatting>
  <conditionalFormatting sqref="Q13">
    <cfRule type="colorScale" priority="5">
      <colorScale>
        <cfvo type="num" val="0"/>
        <cfvo type="num" val="50"/>
        <color rgb="FF00B050"/>
        <color theme="5" tint="0.39997558519241921"/>
      </colorScale>
    </cfRule>
  </conditionalFormatting>
  <conditionalFormatting sqref="Q15:Q19">
    <cfRule type="colorScale" priority="4">
      <colorScale>
        <cfvo type="num" val="0"/>
        <cfvo type="num" val="1"/>
        <cfvo type="num" val="2"/>
        <color theme="5" tint="0.39997558519241921"/>
        <color rgb="FF00B050"/>
        <color theme="5" tint="0.39997558519241921"/>
      </colorScale>
    </cfRule>
  </conditionalFormatting>
  <conditionalFormatting sqref="Q20:Q25">
    <cfRule type="colorScale" priority="3">
      <colorScale>
        <cfvo type="num" val="0"/>
        <cfvo type="num" val="1"/>
        <cfvo type="num" val="10"/>
        <color theme="5" tint="0.39997558519241921"/>
        <color rgb="FF00B050"/>
        <color theme="5" tint="0.39997558519241921"/>
      </colorScale>
    </cfRule>
  </conditionalFormatting>
  <conditionalFormatting sqref="Q26">
    <cfRule type="colorScale" priority="2">
      <colorScale>
        <cfvo type="num" val="0"/>
        <cfvo type="num" val="500"/>
        <color rgb="FF00B050"/>
        <color theme="5" tint="0.39997558519241921"/>
      </colorScale>
    </cfRule>
  </conditionalFormatting>
  <conditionalFormatting sqref="Q14">
    <cfRule type="colorScale" priority="1">
      <colorScale>
        <cfvo type="num" val="0"/>
        <cfvo type="num" val="1"/>
        <cfvo type="num" val="2"/>
        <color theme="5" tint="0.39997558519241921"/>
        <color rgb="FF00B050"/>
        <color theme="5" tint="0.39997558519241921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506"/>
  <sheetViews>
    <sheetView topLeftCell="A94" workbookViewId="0">
      <selection activeCell="A117" sqref="A117"/>
    </sheetView>
  </sheetViews>
  <sheetFormatPr defaultColWidth="9.15625" defaultRowHeight="14.4" x14ac:dyDescent="0.55000000000000004"/>
  <cols>
    <col min="1" max="1" width="22.41796875" style="2" bestFit="1" customWidth="1"/>
    <col min="2" max="2" width="8.15625" style="27" bestFit="1" customWidth="1"/>
    <col min="3" max="3" width="7.15625" style="20" bestFit="1" customWidth="1"/>
    <col min="4" max="4" width="10.41796875" style="2" bestFit="1" customWidth="1"/>
    <col min="5" max="5" width="6.578125" style="2" bestFit="1" customWidth="1"/>
    <col min="6" max="6" width="8.68359375" style="2" bestFit="1" customWidth="1"/>
    <col min="7" max="7" width="8.15625" style="2" bestFit="1" customWidth="1"/>
    <col min="8" max="11" width="9.15625" style="1"/>
    <col min="12" max="12" width="10.41796875" style="17" bestFit="1" customWidth="1"/>
    <col min="13" max="16384" width="9.15625" style="1"/>
  </cols>
  <sheetData>
    <row r="1" spans="1:18" ht="14.7" thickBot="1" x14ac:dyDescent="0.6">
      <c r="A1" s="30"/>
      <c r="B1" s="31" t="s">
        <v>5</v>
      </c>
      <c r="C1" s="32" t="s">
        <v>42</v>
      </c>
      <c r="D1" s="33" t="s">
        <v>3</v>
      </c>
      <c r="E1" s="33" t="s">
        <v>1</v>
      </c>
      <c r="F1" s="33" t="s">
        <v>2</v>
      </c>
      <c r="G1" s="34" t="s">
        <v>4</v>
      </c>
      <c r="J1" s="18" t="s">
        <v>164</v>
      </c>
      <c r="L1" s="19" t="s">
        <v>182</v>
      </c>
      <c r="N1" s="19" t="s">
        <v>259</v>
      </c>
      <c r="P1" s="19" t="s">
        <v>296</v>
      </c>
      <c r="R1" s="19" t="s">
        <v>327</v>
      </c>
    </row>
    <row r="2" spans="1:18" x14ac:dyDescent="0.55000000000000004">
      <c r="A2" s="2" t="s">
        <v>143</v>
      </c>
      <c r="B2" s="22" t="s">
        <v>43</v>
      </c>
      <c r="C2" s="20" t="s">
        <v>44</v>
      </c>
      <c r="D2" s="2">
        <v>32</v>
      </c>
      <c r="E2" s="2">
        <v>3</v>
      </c>
      <c r="F2" s="2">
        <v>14</v>
      </c>
      <c r="G2" s="2">
        <v>200</v>
      </c>
      <c r="J2" s="20" t="s">
        <v>79</v>
      </c>
      <c r="L2" s="17">
        <v>41640</v>
      </c>
      <c r="N2" s="1" t="s">
        <v>262</v>
      </c>
      <c r="P2" s="1" t="s">
        <v>330</v>
      </c>
      <c r="R2" s="1" t="s">
        <v>328</v>
      </c>
    </row>
    <row r="3" spans="1:18" x14ac:dyDescent="0.55000000000000004">
      <c r="A3" s="2" t="s">
        <v>15</v>
      </c>
      <c r="B3" s="22" t="s">
        <v>43</v>
      </c>
      <c r="C3" s="20" t="s">
        <v>60</v>
      </c>
      <c r="D3" s="2">
        <v>2</v>
      </c>
      <c r="E3" s="2">
        <v>9</v>
      </c>
      <c r="F3" s="2">
        <v>3</v>
      </c>
      <c r="G3" s="2">
        <v>101</v>
      </c>
      <c r="J3" s="21" t="s">
        <v>70</v>
      </c>
      <c r="L3" s="17">
        <v>41641</v>
      </c>
      <c r="N3" s="1" t="s">
        <v>261</v>
      </c>
      <c r="P3" s="1" t="s">
        <v>331</v>
      </c>
      <c r="R3" s="1" t="s">
        <v>326</v>
      </c>
    </row>
    <row r="4" spans="1:18" x14ac:dyDescent="0.55000000000000004">
      <c r="A4" s="25" t="s">
        <v>184</v>
      </c>
      <c r="B4" s="35">
        <v>240</v>
      </c>
      <c r="C4" s="20" t="s">
        <v>45</v>
      </c>
      <c r="D4" s="25">
        <v>1</v>
      </c>
      <c r="E4" s="25">
        <v>2.5</v>
      </c>
      <c r="F4" s="25">
        <v>1</v>
      </c>
      <c r="G4" s="25">
        <v>30</v>
      </c>
      <c r="J4" s="20" t="s">
        <v>156</v>
      </c>
      <c r="L4" s="17">
        <v>41642</v>
      </c>
      <c r="N4" s="1" t="s">
        <v>260</v>
      </c>
    </row>
    <row r="5" spans="1:18" x14ac:dyDescent="0.55000000000000004">
      <c r="A5" s="25" t="s">
        <v>185</v>
      </c>
      <c r="B5" s="35">
        <v>240</v>
      </c>
      <c r="C5" s="26" t="s">
        <v>45</v>
      </c>
      <c r="D5" s="25">
        <v>1</v>
      </c>
      <c r="E5" s="25">
        <v>2.5</v>
      </c>
      <c r="F5" s="25">
        <v>16</v>
      </c>
      <c r="G5" s="25">
        <v>90</v>
      </c>
      <c r="J5" s="20" t="s">
        <v>49</v>
      </c>
      <c r="L5" s="17">
        <v>41643</v>
      </c>
      <c r="N5" s="25" t="s">
        <v>263</v>
      </c>
    </row>
    <row r="6" spans="1:18" x14ac:dyDescent="0.55000000000000004">
      <c r="A6" s="2" t="s">
        <v>19</v>
      </c>
      <c r="B6" s="22" t="s">
        <v>47</v>
      </c>
      <c r="C6" s="20" t="s">
        <v>48</v>
      </c>
      <c r="D6" s="2">
        <v>6</v>
      </c>
      <c r="E6" s="2">
        <v>14</v>
      </c>
      <c r="F6" s="2">
        <v>6</v>
      </c>
      <c r="G6" s="2">
        <v>163</v>
      </c>
      <c r="J6" s="20" t="s">
        <v>56</v>
      </c>
      <c r="L6" s="17">
        <v>41644</v>
      </c>
    </row>
    <row r="7" spans="1:18" x14ac:dyDescent="0.55000000000000004">
      <c r="A7" s="2" t="s">
        <v>17</v>
      </c>
      <c r="B7" s="22">
        <v>1</v>
      </c>
      <c r="C7" s="20" t="s">
        <v>63</v>
      </c>
      <c r="D7" s="2">
        <v>0</v>
      </c>
      <c r="E7" s="2">
        <v>0</v>
      </c>
      <c r="F7" s="2">
        <v>19</v>
      </c>
      <c r="G7" s="2">
        <v>72</v>
      </c>
      <c r="J7" s="20" t="s">
        <v>44</v>
      </c>
      <c r="L7" s="17">
        <v>41645</v>
      </c>
    </row>
    <row r="8" spans="1:18" x14ac:dyDescent="0.55000000000000004">
      <c r="A8" s="2" t="s">
        <v>20</v>
      </c>
      <c r="B8" s="22" t="s">
        <v>43</v>
      </c>
      <c r="C8" s="20" t="s">
        <v>49</v>
      </c>
      <c r="D8" s="2">
        <v>3</v>
      </c>
      <c r="E8" s="2">
        <v>4</v>
      </c>
      <c r="F8" s="2">
        <v>24</v>
      </c>
      <c r="G8" s="2">
        <v>130</v>
      </c>
      <c r="J8" s="20" t="s">
        <v>48</v>
      </c>
      <c r="L8" s="17">
        <v>41646</v>
      </c>
    </row>
    <row r="9" spans="1:18" x14ac:dyDescent="0.55000000000000004">
      <c r="A9" s="2" t="s">
        <v>61</v>
      </c>
      <c r="B9" s="22" t="s">
        <v>43</v>
      </c>
      <c r="C9" s="20" t="s">
        <v>44</v>
      </c>
      <c r="D9" s="2">
        <v>0.6</v>
      </c>
      <c r="E9" s="2">
        <v>0.2</v>
      </c>
      <c r="F9" s="2">
        <v>0.8</v>
      </c>
      <c r="G9" s="2">
        <v>6</v>
      </c>
      <c r="J9" s="20" t="s">
        <v>18</v>
      </c>
      <c r="L9" s="17">
        <v>41647</v>
      </c>
    </row>
    <row r="10" spans="1:18" x14ac:dyDescent="0.55000000000000004">
      <c r="A10" s="2" t="s">
        <v>111</v>
      </c>
      <c r="B10" s="2">
        <v>1</v>
      </c>
      <c r="C10" s="20" t="s">
        <v>63</v>
      </c>
      <c r="D10" s="2">
        <v>0.4</v>
      </c>
      <c r="E10" s="2">
        <v>0</v>
      </c>
      <c r="F10" s="2">
        <v>0.6</v>
      </c>
      <c r="G10" s="2">
        <v>3</v>
      </c>
      <c r="J10" s="20" t="s">
        <v>11</v>
      </c>
      <c r="L10" s="17">
        <v>41648</v>
      </c>
    </row>
    <row r="11" spans="1:18" x14ac:dyDescent="0.55000000000000004">
      <c r="A11" s="2" t="s">
        <v>35</v>
      </c>
      <c r="B11" s="22" t="s">
        <v>43</v>
      </c>
      <c r="C11" s="20" t="s">
        <v>63</v>
      </c>
      <c r="D11" s="2">
        <v>4</v>
      </c>
      <c r="E11" s="2">
        <v>30</v>
      </c>
      <c r="F11" s="2">
        <v>16</v>
      </c>
      <c r="G11" s="2">
        <v>322</v>
      </c>
      <c r="J11" s="20" t="s">
        <v>63</v>
      </c>
      <c r="L11" s="17">
        <v>41649</v>
      </c>
    </row>
    <row r="12" spans="1:18" x14ac:dyDescent="0.55000000000000004">
      <c r="A12" s="2" t="s">
        <v>149</v>
      </c>
      <c r="B12" s="2">
        <v>2</v>
      </c>
      <c r="C12" s="20" t="s">
        <v>150</v>
      </c>
      <c r="D12" s="2">
        <v>12</v>
      </c>
      <c r="E12" s="2">
        <v>3</v>
      </c>
      <c r="F12" s="2">
        <v>0</v>
      </c>
      <c r="G12" s="2">
        <v>70</v>
      </c>
      <c r="J12" s="20" t="s">
        <v>45</v>
      </c>
      <c r="L12" s="17">
        <v>41650</v>
      </c>
    </row>
    <row r="13" spans="1:18" x14ac:dyDescent="0.55000000000000004">
      <c r="A13" s="2" t="s">
        <v>151</v>
      </c>
      <c r="B13" s="2">
        <v>1</v>
      </c>
      <c r="C13" s="20" t="s">
        <v>152</v>
      </c>
      <c r="D13" s="2">
        <v>10</v>
      </c>
      <c r="E13" s="2">
        <v>1.5</v>
      </c>
      <c r="F13" s="2">
        <v>48</v>
      </c>
      <c r="G13" s="2">
        <v>245</v>
      </c>
      <c r="J13" s="20" t="s">
        <v>91</v>
      </c>
      <c r="L13" s="17">
        <v>41651</v>
      </c>
    </row>
    <row r="14" spans="1:18" x14ac:dyDescent="0.55000000000000004">
      <c r="A14" s="2" t="s">
        <v>110</v>
      </c>
      <c r="B14" s="22" t="s">
        <v>51</v>
      </c>
      <c r="C14" s="20" t="s">
        <v>45</v>
      </c>
      <c r="D14" s="2">
        <v>7</v>
      </c>
      <c r="E14" s="2">
        <v>7</v>
      </c>
      <c r="F14" s="2">
        <v>27</v>
      </c>
      <c r="G14" s="2">
        <v>190</v>
      </c>
      <c r="J14" s="20" t="s">
        <v>158</v>
      </c>
      <c r="L14" s="17">
        <v>41652</v>
      </c>
    </row>
    <row r="15" spans="1:18" x14ac:dyDescent="0.55000000000000004">
      <c r="A15" s="2" t="s">
        <v>14</v>
      </c>
      <c r="B15" s="22" t="s">
        <v>43</v>
      </c>
      <c r="C15" s="20" t="s">
        <v>63</v>
      </c>
      <c r="D15" s="2">
        <v>1.3</v>
      </c>
      <c r="E15" s="2">
        <v>0.4</v>
      </c>
      <c r="F15" s="2">
        <v>27</v>
      </c>
      <c r="G15" s="2">
        <v>105</v>
      </c>
      <c r="J15" s="20" t="s">
        <v>73</v>
      </c>
      <c r="L15" s="17">
        <v>41653</v>
      </c>
    </row>
    <row r="16" spans="1:18" x14ac:dyDescent="0.55000000000000004">
      <c r="A16" s="2" t="s">
        <v>157</v>
      </c>
      <c r="B16" s="2">
        <v>355</v>
      </c>
      <c r="C16" s="20" t="s">
        <v>45</v>
      </c>
      <c r="D16" s="2">
        <v>1</v>
      </c>
      <c r="E16" s="2">
        <v>0</v>
      </c>
      <c r="F16" s="2">
        <v>12</v>
      </c>
      <c r="G16" s="2">
        <v>150</v>
      </c>
      <c r="J16" s="20" t="s">
        <v>54</v>
      </c>
      <c r="L16" s="17">
        <v>41654</v>
      </c>
    </row>
    <row r="17" spans="1:12" x14ac:dyDescent="0.55000000000000004">
      <c r="A17" s="2" t="s">
        <v>142</v>
      </c>
      <c r="B17" s="2">
        <v>355</v>
      </c>
      <c r="C17" s="20" t="s">
        <v>45</v>
      </c>
      <c r="D17" s="2">
        <v>1</v>
      </c>
      <c r="E17" s="2">
        <v>0</v>
      </c>
      <c r="F17" s="2">
        <v>6</v>
      </c>
      <c r="G17" s="2">
        <v>103</v>
      </c>
      <c r="J17" s="20" t="s">
        <v>85</v>
      </c>
      <c r="L17" s="17">
        <v>41655</v>
      </c>
    </row>
    <row r="18" spans="1:12" x14ac:dyDescent="0.55000000000000004">
      <c r="A18" s="2" t="s">
        <v>62</v>
      </c>
      <c r="B18" s="22" t="s">
        <v>43</v>
      </c>
      <c r="C18" s="20" t="s">
        <v>63</v>
      </c>
      <c r="D18" s="2">
        <v>1.3</v>
      </c>
      <c r="E18" s="2">
        <v>0.1</v>
      </c>
      <c r="F18" s="2">
        <v>8</v>
      </c>
      <c r="G18" s="2">
        <v>35</v>
      </c>
      <c r="J18" s="20" t="s">
        <v>65</v>
      </c>
      <c r="L18" s="17">
        <v>41656</v>
      </c>
    </row>
    <row r="19" spans="1:12" x14ac:dyDescent="0.55000000000000004">
      <c r="A19" s="2" t="s">
        <v>109</v>
      </c>
      <c r="B19" s="22" t="s">
        <v>64</v>
      </c>
      <c r="C19" s="20" t="s">
        <v>48</v>
      </c>
      <c r="D19" s="2">
        <v>1</v>
      </c>
      <c r="E19" s="2">
        <v>0.2</v>
      </c>
      <c r="F19" s="2">
        <v>4.5999999999999996</v>
      </c>
      <c r="G19" s="2">
        <v>20</v>
      </c>
      <c r="J19" s="20" t="s">
        <v>60</v>
      </c>
      <c r="L19" s="17">
        <v>41657</v>
      </c>
    </row>
    <row r="20" spans="1:12" x14ac:dyDescent="0.55000000000000004">
      <c r="A20" s="2" t="s">
        <v>108</v>
      </c>
      <c r="B20" s="22" t="s">
        <v>64</v>
      </c>
      <c r="C20" s="20" t="s">
        <v>48</v>
      </c>
      <c r="D20" s="2">
        <v>21</v>
      </c>
      <c r="E20" s="2">
        <v>0.9</v>
      </c>
      <c r="F20" s="2">
        <v>63</v>
      </c>
      <c r="G20" s="2">
        <v>339</v>
      </c>
      <c r="J20" s="20" t="s">
        <v>152</v>
      </c>
      <c r="L20" s="17">
        <v>41658</v>
      </c>
    </row>
    <row r="21" spans="1:12" x14ac:dyDescent="0.55000000000000004">
      <c r="A21" s="23" t="s">
        <v>39</v>
      </c>
      <c r="B21" s="24">
        <v>50</v>
      </c>
      <c r="C21" s="21" t="s">
        <v>113</v>
      </c>
      <c r="D21" s="23">
        <v>0.5</v>
      </c>
      <c r="E21" s="23">
        <v>0.2</v>
      </c>
      <c r="F21" s="23">
        <v>10</v>
      </c>
      <c r="G21" s="23">
        <v>40</v>
      </c>
      <c r="J21" s="20"/>
      <c r="L21" s="17">
        <v>41659</v>
      </c>
    </row>
    <row r="22" spans="1:12" x14ac:dyDescent="0.55000000000000004">
      <c r="A22" s="2" t="s">
        <v>137</v>
      </c>
      <c r="B22" s="2">
        <v>1</v>
      </c>
      <c r="C22" s="20" t="s">
        <v>85</v>
      </c>
      <c r="D22" s="2">
        <v>4</v>
      </c>
      <c r="E22" s="2">
        <v>1.5</v>
      </c>
      <c r="F22" s="2">
        <v>18</v>
      </c>
      <c r="G22" s="2">
        <v>100</v>
      </c>
      <c r="J22" s="20"/>
      <c r="L22" s="17">
        <v>41660</v>
      </c>
    </row>
    <row r="23" spans="1:12" x14ac:dyDescent="0.55000000000000004">
      <c r="A23" s="2" t="s">
        <v>138</v>
      </c>
      <c r="B23" s="2">
        <v>1</v>
      </c>
      <c r="C23" s="20" t="s">
        <v>85</v>
      </c>
      <c r="D23" s="2">
        <v>2.6</v>
      </c>
      <c r="E23" s="2">
        <v>0.8</v>
      </c>
      <c r="F23" s="2">
        <v>14</v>
      </c>
      <c r="G23" s="2">
        <v>74</v>
      </c>
      <c r="L23" s="17">
        <v>41661</v>
      </c>
    </row>
    <row r="24" spans="1:12" x14ac:dyDescent="0.55000000000000004">
      <c r="A24" s="2" t="s">
        <v>136</v>
      </c>
      <c r="B24" s="2">
        <v>1</v>
      </c>
      <c r="C24" s="20" t="s">
        <v>85</v>
      </c>
      <c r="D24" s="2">
        <v>3</v>
      </c>
      <c r="E24" s="2">
        <v>1</v>
      </c>
      <c r="F24" s="2">
        <v>14</v>
      </c>
      <c r="G24" s="2">
        <v>78</v>
      </c>
      <c r="L24" s="17">
        <v>41662</v>
      </c>
    </row>
    <row r="25" spans="1:12" x14ac:dyDescent="0.55000000000000004">
      <c r="A25" s="2" t="s">
        <v>107</v>
      </c>
      <c r="B25" s="2">
        <v>1</v>
      </c>
      <c r="C25" s="20" t="s">
        <v>44</v>
      </c>
      <c r="D25" s="2">
        <v>2.6</v>
      </c>
      <c r="E25" s="2">
        <v>0.3</v>
      </c>
      <c r="F25" s="2">
        <v>6</v>
      </c>
      <c r="G25" s="2">
        <v>31</v>
      </c>
      <c r="L25" s="17">
        <v>41663</v>
      </c>
    </row>
    <row r="26" spans="1:12" x14ac:dyDescent="0.55000000000000004">
      <c r="A26" s="2" t="s">
        <v>106</v>
      </c>
      <c r="B26" s="22" t="s">
        <v>43</v>
      </c>
      <c r="C26" s="20" t="s">
        <v>114</v>
      </c>
      <c r="D26" s="2">
        <v>2</v>
      </c>
      <c r="E26" s="2">
        <v>11</v>
      </c>
      <c r="F26" s="2">
        <v>30</v>
      </c>
      <c r="G26" s="2">
        <v>230</v>
      </c>
      <c r="L26" s="17">
        <v>41664</v>
      </c>
    </row>
    <row r="27" spans="1:12" x14ac:dyDescent="0.55000000000000004">
      <c r="A27" s="2" t="s">
        <v>118</v>
      </c>
      <c r="B27" s="22" t="s">
        <v>64</v>
      </c>
      <c r="C27" s="20" t="s">
        <v>48</v>
      </c>
      <c r="D27" s="2">
        <v>0.8</v>
      </c>
      <c r="E27" s="2">
        <v>0.2</v>
      </c>
      <c r="F27" s="2">
        <v>8</v>
      </c>
      <c r="G27" s="2">
        <v>34</v>
      </c>
      <c r="L27" s="17">
        <v>41665</v>
      </c>
    </row>
    <row r="28" spans="1:12" x14ac:dyDescent="0.55000000000000004">
      <c r="A28" s="2" t="s">
        <v>22</v>
      </c>
      <c r="B28" s="22" t="s">
        <v>43</v>
      </c>
      <c r="C28" s="20" t="s">
        <v>50</v>
      </c>
      <c r="D28" s="2">
        <v>2</v>
      </c>
      <c r="E28" s="2">
        <v>16</v>
      </c>
      <c r="F28" s="2">
        <v>40</v>
      </c>
      <c r="G28" s="2">
        <v>300</v>
      </c>
      <c r="L28" s="17">
        <v>41666</v>
      </c>
    </row>
    <row r="29" spans="1:12" x14ac:dyDescent="0.55000000000000004">
      <c r="A29" s="2" t="s">
        <v>135</v>
      </c>
      <c r="B29" s="2">
        <v>1</v>
      </c>
      <c r="C29" s="20" t="s">
        <v>68</v>
      </c>
      <c r="D29" s="2">
        <v>0.7</v>
      </c>
      <c r="E29" s="2">
        <v>0.2</v>
      </c>
      <c r="F29" s="2">
        <v>7</v>
      </c>
      <c r="G29" s="2">
        <v>30</v>
      </c>
      <c r="L29" s="17">
        <v>41667</v>
      </c>
    </row>
    <row r="30" spans="1:12" x14ac:dyDescent="0.55000000000000004">
      <c r="A30" s="2" t="s">
        <v>13</v>
      </c>
      <c r="B30" s="22" t="s">
        <v>43</v>
      </c>
      <c r="C30" s="20" t="s">
        <v>54</v>
      </c>
      <c r="D30" s="2">
        <v>25</v>
      </c>
      <c r="E30" s="2">
        <v>0.5</v>
      </c>
      <c r="F30" s="2">
        <v>2</v>
      </c>
      <c r="G30" s="2">
        <v>110</v>
      </c>
      <c r="L30" s="17">
        <v>41668</v>
      </c>
    </row>
    <row r="31" spans="1:12" x14ac:dyDescent="0.55000000000000004">
      <c r="A31" s="2" t="s">
        <v>25</v>
      </c>
      <c r="B31" s="22">
        <v>1</v>
      </c>
      <c r="C31" s="20" t="s">
        <v>65</v>
      </c>
      <c r="D31" s="2">
        <v>6</v>
      </c>
      <c r="E31" s="2">
        <v>4</v>
      </c>
      <c r="F31" s="2">
        <v>0</v>
      </c>
      <c r="G31" s="2">
        <v>60</v>
      </c>
      <c r="L31" s="17">
        <v>41669</v>
      </c>
    </row>
    <row r="32" spans="1:12" x14ac:dyDescent="0.55000000000000004">
      <c r="A32" s="2" t="s">
        <v>24</v>
      </c>
      <c r="B32" s="22" t="s">
        <v>66</v>
      </c>
      <c r="C32" s="20" t="s">
        <v>48</v>
      </c>
      <c r="D32" s="2">
        <v>25</v>
      </c>
      <c r="E32" s="2">
        <v>13</v>
      </c>
      <c r="F32" s="2">
        <v>0</v>
      </c>
      <c r="G32" s="2">
        <v>250</v>
      </c>
      <c r="L32" s="17">
        <v>41670</v>
      </c>
    </row>
    <row r="33" spans="1:12" x14ac:dyDescent="0.55000000000000004">
      <c r="A33" s="2" t="s">
        <v>21</v>
      </c>
      <c r="B33" s="22">
        <v>1</v>
      </c>
      <c r="C33" s="20" t="s">
        <v>115</v>
      </c>
      <c r="D33" s="2">
        <v>13</v>
      </c>
      <c r="E33" s="2">
        <v>9</v>
      </c>
      <c r="F33" s="2">
        <v>0</v>
      </c>
      <c r="G33" s="2">
        <v>142</v>
      </c>
      <c r="L33" s="17">
        <v>41671</v>
      </c>
    </row>
    <row r="34" spans="1:12" x14ac:dyDescent="0.55000000000000004">
      <c r="A34" s="2" t="s">
        <v>27</v>
      </c>
      <c r="B34" s="22" t="s">
        <v>53</v>
      </c>
      <c r="C34" s="20" t="s">
        <v>48</v>
      </c>
      <c r="D34" s="2">
        <v>0.2</v>
      </c>
      <c r="E34" s="2">
        <v>0.1</v>
      </c>
      <c r="F34" s="2">
        <v>2</v>
      </c>
      <c r="G34" s="2">
        <v>40</v>
      </c>
      <c r="L34" s="17">
        <v>41672</v>
      </c>
    </row>
    <row r="35" spans="1:12" x14ac:dyDescent="0.55000000000000004">
      <c r="A35" s="2" t="s">
        <v>155</v>
      </c>
      <c r="B35" s="2">
        <v>1</v>
      </c>
      <c r="C35" s="20" t="s">
        <v>156</v>
      </c>
      <c r="D35" s="2">
        <v>10</v>
      </c>
      <c r="E35" s="2">
        <v>7</v>
      </c>
      <c r="F35" s="2">
        <v>41</v>
      </c>
      <c r="G35" s="2">
        <v>250</v>
      </c>
      <c r="L35" s="17">
        <v>41673</v>
      </c>
    </row>
    <row r="36" spans="1:12" x14ac:dyDescent="0.55000000000000004">
      <c r="A36" s="2" t="s">
        <v>105</v>
      </c>
      <c r="B36" s="22" t="s">
        <v>43</v>
      </c>
      <c r="C36" s="20" t="s">
        <v>79</v>
      </c>
      <c r="D36" s="2">
        <v>0</v>
      </c>
      <c r="E36" s="2">
        <v>0</v>
      </c>
      <c r="F36" s="2">
        <v>35</v>
      </c>
      <c r="G36" s="2">
        <v>200</v>
      </c>
      <c r="L36" s="17">
        <v>41674</v>
      </c>
    </row>
    <row r="37" spans="1:12" x14ac:dyDescent="0.55000000000000004">
      <c r="A37" s="2" t="s">
        <v>126</v>
      </c>
      <c r="B37" s="2">
        <v>225</v>
      </c>
      <c r="C37" s="20" t="s">
        <v>45</v>
      </c>
      <c r="D37" s="2">
        <v>0</v>
      </c>
      <c r="E37" s="2">
        <v>0</v>
      </c>
      <c r="F37" s="2">
        <v>0</v>
      </c>
      <c r="G37" s="2">
        <v>0</v>
      </c>
      <c r="L37" s="17">
        <v>41675</v>
      </c>
    </row>
    <row r="38" spans="1:12" x14ac:dyDescent="0.55000000000000004">
      <c r="A38" s="2" t="s">
        <v>130</v>
      </c>
      <c r="B38" s="2">
        <v>1</v>
      </c>
      <c r="C38" s="20" t="s">
        <v>91</v>
      </c>
      <c r="D38" s="2">
        <v>0.8</v>
      </c>
      <c r="E38" s="2">
        <v>5.8</v>
      </c>
      <c r="F38" s="2">
        <v>1.1000000000000001</v>
      </c>
      <c r="G38" s="2">
        <v>59</v>
      </c>
      <c r="L38" s="17">
        <v>41676</v>
      </c>
    </row>
    <row r="39" spans="1:12" x14ac:dyDescent="0.55000000000000004">
      <c r="A39" s="2" t="s">
        <v>180</v>
      </c>
      <c r="B39" s="2">
        <v>491</v>
      </c>
      <c r="C39" s="20" t="s">
        <v>45</v>
      </c>
      <c r="D39" s="2">
        <v>0.3</v>
      </c>
      <c r="E39" s="2">
        <v>0.1</v>
      </c>
      <c r="F39" s="2">
        <v>47</v>
      </c>
      <c r="G39" s="2">
        <v>184</v>
      </c>
      <c r="L39" s="17">
        <v>41677</v>
      </c>
    </row>
    <row r="40" spans="1:12" x14ac:dyDescent="0.55000000000000004">
      <c r="A40" s="2" t="s">
        <v>181</v>
      </c>
      <c r="B40" s="2">
        <v>355</v>
      </c>
      <c r="C40" s="20" t="s">
        <v>45</v>
      </c>
      <c r="D40" s="2">
        <v>0</v>
      </c>
      <c r="E40" s="2">
        <v>0</v>
      </c>
      <c r="F40" s="2">
        <v>18</v>
      </c>
      <c r="G40" s="2">
        <v>71</v>
      </c>
      <c r="L40" s="17">
        <v>41678</v>
      </c>
    </row>
    <row r="41" spans="1:12" x14ac:dyDescent="0.55000000000000004">
      <c r="A41" s="23" t="s">
        <v>40</v>
      </c>
      <c r="B41" s="24" t="s">
        <v>43</v>
      </c>
      <c r="C41" s="21" t="s">
        <v>44</v>
      </c>
      <c r="D41" s="23">
        <v>8</v>
      </c>
      <c r="E41" s="23">
        <v>1.3</v>
      </c>
      <c r="F41" s="23">
        <v>43</v>
      </c>
      <c r="G41" s="23">
        <v>221</v>
      </c>
      <c r="L41" s="17">
        <v>41679</v>
      </c>
    </row>
    <row r="42" spans="1:12" x14ac:dyDescent="0.55000000000000004">
      <c r="A42" s="2" t="s">
        <v>26</v>
      </c>
      <c r="B42" s="22">
        <v>1</v>
      </c>
      <c r="C42" s="20" t="s">
        <v>63</v>
      </c>
      <c r="D42" s="2">
        <v>1</v>
      </c>
      <c r="E42" s="2">
        <v>5</v>
      </c>
      <c r="F42" s="2">
        <v>10</v>
      </c>
      <c r="G42" s="2">
        <v>90</v>
      </c>
      <c r="L42" s="17">
        <v>41680</v>
      </c>
    </row>
    <row r="43" spans="1:12" x14ac:dyDescent="0.55000000000000004">
      <c r="A43" s="2" t="s">
        <v>104</v>
      </c>
      <c r="B43" s="22" t="s">
        <v>64</v>
      </c>
      <c r="C43" s="20" t="s">
        <v>48</v>
      </c>
      <c r="D43" s="2">
        <v>9</v>
      </c>
      <c r="E43" s="2">
        <v>5</v>
      </c>
      <c r="F43" s="2">
        <v>74</v>
      </c>
      <c r="G43" s="2">
        <v>365</v>
      </c>
      <c r="L43" s="17">
        <v>41681</v>
      </c>
    </row>
    <row r="44" spans="1:12" x14ac:dyDescent="0.55000000000000004">
      <c r="A44" s="2" t="s">
        <v>78</v>
      </c>
      <c r="B44" s="22" t="s">
        <v>51</v>
      </c>
      <c r="C44" s="20" t="s">
        <v>45</v>
      </c>
      <c r="D44" s="2">
        <v>16</v>
      </c>
      <c r="E44" s="2">
        <v>1.5</v>
      </c>
      <c r="F44" s="2">
        <v>7</v>
      </c>
      <c r="G44" s="2">
        <v>100</v>
      </c>
      <c r="L44" s="17">
        <v>41682</v>
      </c>
    </row>
    <row r="45" spans="1:12" x14ac:dyDescent="0.55000000000000004">
      <c r="A45" s="2" t="s">
        <v>112</v>
      </c>
      <c r="B45" s="22" t="s">
        <v>52</v>
      </c>
      <c r="C45" s="20" t="s">
        <v>45</v>
      </c>
      <c r="D45" s="2">
        <v>32</v>
      </c>
      <c r="E45" s="2">
        <v>3</v>
      </c>
      <c r="F45" s="2">
        <v>14</v>
      </c>
      <c r="G45" s="2">
        <v>200</v>
      </c>
      <c r="L45" s="17">
        <v>41683</v>
      </c>
    </row>
    <row r="46" spans="1:12" x14ac:dyDescent="0.55000000000000004">
      <c r="A46" s="2" t="s">
        <v>129</v>
      </c>
      <c r="B46" s="2">
        <v>1</v>
      </c>
      <c r="C46" s="20" t="s">
        <v>91</v>
      </c>
      <c r="D46" s="2">
        <v>0.8</v>
      </c>
      <c r="E46" s="2">
        <v>5.8</v>
      </c>
      <c r="F46" s="2">
        <v>1.1000000000000001</v>
      </c>
      <c r="G46" s="2">
        <v>59</v>
      </c>
      <c r="L46" s="17">
        <v>41684</v>
      </c>
    </row>
    <row r="47" spans="1:12" x14ac:dyDescent="0.55000000000000004">
      <c r="A47" s="2" t="s">
        <v>103</v>
      </c>
      <c r="B47" s="22" t="s">
        <v>53</v>
      </c>
      <c r="C47" s="20" t="s">
        <v>48</v>
      </c>
      <c r="D47" s="2">
        <v>0.8</v>
      </c>
      <c r="E47" s="2">
        <v>3</v>
      </c>
      <c r="F47" s="2">
        <v>1.2</v>
      </c>
      <c r="G47" s="2">
        <v>28</v>
      </c>
      <c r="L47" s="17">
        <v>41685</v>
      </c>
    </row>
    <row r="48" spans="1:12" x14ac:dyDescent="0.55000000000000004">
      <c r="A48" s="25" t="s">
        <v>196</v>
      </c>
      <c r="B48" s="37">
        <v>1</v>
      </c>
      <c r="C48" s="20" t="s">
        <v>158</v>
      </c>
      <c r="D48" s="25">
        <v>0.2</v>
      </c>
      <c r="E48" s="1">
        <v>0</v>
      </c>
      <c r="F48" s="25">
        <v>5</v>
      </c>
      <c r="G48" s="25">
        <v>20</v>
      </c>
      <c r="L48" s="17">
        <v>41686</v>
      </c>
    </row>
    <row r="49" spans="1:12" x14ac:dyDescent="0.55000000000000004">
      <c r="A49" s="2" t="s">
        <v>92</v>
      </c>
      <c r="B49" s="2">
        <v>1</v>
      </c>
      <c r="C49" s="20" t="s">
        <v>60</v>
      </c>
      <c r="D49" s="2">
        <v>0</v>
      </c>
      <c r="E49" s="2">
        <v>0</v>
      </c>
      <c r="F49" s="2">
        <v>0</v>
      </c>
      <c r="G49" s="2">
        <v>30</v>
      </c>
      <c r="L49" s="17">
        <v>41687</v>
      </c>
    </row>
    <row r="50" spans="1:12" x14ac:dyDescent="0.55000000000000004">
      <c r="A50" s="2" t="s">
        <v>8</v>
      </c>
      <c r="B50" s="22" t="s">
        <v>51</v>
      </c>
      <c r="C50" s="20" t="s">
        <v>45</v>
      </c>
      <c r="D50" s="2">
        <v>13</v>
      </c>
      <c r="E50" s="2">
        <v>0.2</v>
      </c>
      <c r="F50" s="2">
        <v>0</v>
      </c>
      <c r="G50" s="2">
        <v>75</v>
      </c>
      <c r="L50" s="17">
        <v>41688</v>
      </c>
    </row>
    <row r="51" spans="1:12" x14ac:dyDescent="0.55000000000000004">
      <c r="A51" s="2" t="s">
        <v>7</v>
      </c>
      <c r="B51" s="22">
        <v>1</v>
      </c>
      <c r="C51" s="20" t="s">
        <v>11</v>
      </c>
      <c r="D51" s="2">
        <v>6</v>
      </c>
      <c r="E51" s="2">
        <v>5</v>
      </c>
      <c r="F51" s="2">
        <v>0.6</v>
      </c>
      <c r="G51" s="2">
        <v>78</v>
      </c>
      <c r="L51" s="17">
        <v>41689</v>
      </c>
    </row>
    <row r="52" spans="1:12" x14ac:dyDescent="0.55000000000000004">
      <c r="A52" s="2" t="s">
        <v>134</v>
      </c>
      <c r="B52" s="2">
        <v>3</v>
      </c>
      <c r="C52" s="20" t="s">
        <v>91</v>
      </c>
      <c r="D52" s="2">
        <v>17</v>
      </c>
      <c r="E52" s="2">
        <v>11</v>
      </c>
      <c r="F52" s="2">
        <v>0</v>
      </c>
      <c r="G52" s="2">
        <v>177</v>
      </c>
      <c r="L52" s="17">
        <v>41690</v>
      </c>
    </row>
    <row r="53" spans="1:12" x14ac:dyDescent="0.55000000000000004">
      <c r="A53" s="2" t="s">
        <v>133</v>
      </c>
      <c r="B53" s="2">
        <v>7</v>
      </c>
      <c r="C53" s="20" t="s">
        <v>91</v>
      </c>
      <c r="D53" s="2">
        <v>38</v>
      </c>
      <c r="E53" s="2">
        <v>12</v>
      </c>
      <c r="F53" s="2">
        <v>0</v>
      </c>
      <c r="G53" s="2">
        <v>265</v>
      </c>
      <c r="L53" s="17">
        <v>41691</v>
      </c>
    </row>
    <row r="54" spans="1:12" x14ac:dyDescent="0.55000000000000004">
      <c r="A54" s="2" t="s">
        <v>16</v>
      </c>
      <c r="B54" s="22" t="s">
        <v>43</v>
      </c>
      <c r="C54" s="20" t="s">
        <v>56</v>
      </c>
      <c r="D54" s="2">
        <v>13</v>
      </c>
      <c r="E54" s="2">
        <v>0.2</v>
      </c>
      <c r="F54" s="2">
        <v>0</v>
      </c>
      <c r="G54" s="2">
        <v>60</v>
      </c>
      <c r="L54" s="17">
        <v>41692</v>
      </c>
    </row>
    <row r="55" spans="1:12" x14ac:dyDescent="0.55000000000000004">
      <c r="A55" s="2" t="s">
        <v>173</v>
      </c>
      <c r="B55" s="2">
        <v>125</v>
      </c>
      <c r="C55" s="20" t="s">
        <v>45</v>
      </c>
      <c r="D55" s="2">
        <v>2.9</v>
      </c>
      <c r="E55" s="2">
        <v>4</v>
      </c>
      <c r="F55" s="2">
        <v>17</v>
      </c>
      <c r="G55" s="2">
        <v>114</v>
      </c>
      <c r="L55" s="17">
        <v>41693</v>
      </c>
    </row>
    <row r="56" spans="1:12" x14ac:dyDescent="0.55000000000000004">
      <c r="A56" s="25" t="s">
        <v>186</v>
      </c>
      <c r="B56" s="35">
        <v>1</v>
      </c>
      <c r="C56" s="26" t="s">
        <v>187</v>
      </c>
      <c r="D56" s="25">
        <v>0</v>
      </c>
      <c r="E56" s="25">
        <v>0</v>
      </c>
      <c r="F56" s="25">
        <v>38</v>
      </c>
      <c r="G56" s="25">
        <v>150</v>
      </c>
      <c r="L56" s="17">
        <v>41694</v>
      </c>
    </row>
    <row r="57" spans="1:12" x14ac:dyDescent="0.55000000000000004">
      <c r="A57" s="2" t="s">
        <v>9</v>
      </c>
      <c r="B57" s="22" t="s">
        <v>67</v>
      </c>
      <c r="C57" s="20" t="s">
        <v>60</v>
      </c>
      <c r="D57" s="2">
        <v>6</v>
      </c>
      <c r="E57" s="2">
        <v>7</v>
      </c>
      <c r="F57" s="2">
        <v>1</v>
      </c>
      <c r="G57" s="2">
        <v>90</v>
      </c>
      <c r="L57" s="17">
        <v>41695</v>
      </c>
    </row>
    <row r="58" spans="1:12" x14ac:dyDescent="0.55000000000000004">
      <c r="A58" s="2" t="s">
        <v>10</v>
      </c>
      <c r="B58" s="22" t="s">
        <v>46</v>
      </c>
      <c r="C58" s="20" t="s">
        <v>45</v>
      </c>
      <c r="D58" s="2">
        <v>10</v>
      </c>
      <c r="E58" s="2">
        <v>6</v>
      </c>
      <c r="F58" s="2">
        <v>18</v>
      </c>
      <c r="G58" s="2">
        <v>132</v>
      </c>
      <c r="L58" s="17">
        <v>41696</v>
      </c>
    </row>
    <row r="59" spans="1:12" x14ac:dyDescent="0.55000000000000004">
      <c r="A59" s="2" t="s">
        <v>28</v>
      </c>
      <c r="B59" s="22">
        <v>0.5</v>
      </c>
      <c r="C59" s="20" t="s">
        <v>68</v>
      </c>
      <c r="D59" s="2">
        <v>1</v>
      </c>
      <c r="E59" s="2">
        <v>0.2</v>
      </c>
      <c r="F59" s="2">
        <v>13</v>
      </c>
      <c r="G59" s="2">
        <v>52</v>
      </c>
      <c r="L59" s="17">
        <v>41697</v>
      </c>
    </row>
    <row r="60" spans="1:12" x14ac:dyDescent="0.55000000000000004">
      <c r="A60" s="2" t="s">
        <v>188</v>
      </c>
      <c r="B60" s="36">
        <v>175</v>
      </c>
      <c r="C60" s="26" t="s">
        <v>48</v>
      </c>
      <c r="D60" s="25">
        <v>14</v>
      </c>
      <c r="E60" s="25">
        <v>0</v>
      </c>
      <c r="F60" s="25">
        <v>23</v>
      </c>
      <c r="G60" s="25">
        <v>150</v>
      </c>
      <c r="L60" s="17">
        <v>41698</v>
      </c>
    </row>
    <row r="61" spans="1:12" x14ac:dyDescent="0.55000000000000004">
      <c r="A61" s="2" t="s">
        <v>189</v>
      </c>
      <c r="B61" s="36">
        <v>175</v>
      </c>
      <c r="C61" s="26" t="s">
        <v>48</v>
      </c>
      <c r="D61" s="25">
        <v>14</v>
      </c>
      <c r="E61" s="25">
        <v>4.5</v>
      </c>
      <c r="F61" s="25">
        <v>19</v>
      </c>
      <c r="G61" s="25">
        <v>170</v>
      </c>
      <c r="L61" s="17">
        <v>41699</v>
      </c>
    </row>
    <row r="62" spans="1:12" x14ac:dyDescent="0.55000000000000004">
      <c r="A62" s="2" t="s">
        <v>190</v>
      </c>
      <c r="B62" s="36">
        <v>100</v>
      </c>
      <c r="C62" s="26" t="s">
        <v>48</v>
      </c>
      <c r="D62" s="25">
        <v>8</v>
      </c>
      <c r="E62" s="25">
        <v>2</v>
      </c>
      <c r="F62" s="25">
        <v>12</v>
      </c>
      <c r="G62" s="25">
        <v>100</v>
      </c>
      <c r="L62" s="17">
        <v>41700</v>
      </c>
    </row>
    <row r="63" spans="1:12" x14ac:dyDescent="0.55000000000000004">
      <c r="A63" s="2" t="s">
        <v>102</v>
      </c>
      <c r="B63" s="22" t="s">
        <v>59</v>
      </c>
      <c r="C63" s="20" t="s">
        <v>48</v>
      </c>
      <c r="D63" s="2">
        <v>18</v>
      </c>
      <c r="E63" s="2">
        <v>0</v>
      </c>
      <c r="F63" s="2">
        <v>12</v>
      </c>
      <c r="G63" s="2">
        <v>120</v>
      </c>
      <c r="L63" s="17">
        <v>41701</v>
      </c>
    </row>
    <row r="64" spans="1:12" x14ac:dyDescent="0.55000000000000004">
      <c r="A64" s="2" t="s">
        <v>191</v>
      </c>
      <c r="B64" s="36">
        <v>175</v>
      </c>
      <c r="C64" s="26" t="s">
        <v>48</v>
      </c>
      <c r="D64" s="25">
        <v>14</v>
      </c>
      <c r="E64" s="25">
        <v>3</v>
      </c>
      <c r="F64" s="25">
        <v>22</v>
      </c>
      <c r="G64" s="25">
        <v>170</v>
      </c>
      <c r="L64" s="17">
        <v>41702</v>
      </c>
    </row>
    <row r="65" spans="1:12" x14ac:dyDescent="0.55000000000000004">
      <c r="A65" s="2" t="s">
        <v>192</v>
      </c>
      <c r="B65" s="36">
        <v>175</v>
      </c>
      <c r="C65" s="26" t="s">
        <v>48</v>
      </c>
      <c r="D65" s="25">
        <v>15</v>
      </c>
      <c r="E65" s="25">
        <v>0</v>
      </c>
      <c r="F65" s="25">
        <v>20</v>
      </c>
      <c r="G65" s="25">
        <v>140</v>
      </c>
      <c r="L65" s="17">
        <v>41703</v>
      </c>
    </row>
    <row r="66" spans="1:12" x14ac:dyDescent="0.55000000000000004">
      <c r="A66" s="2" t="s">
        <v>127</v>
      </c>
      <c r="B66" s="2">
        <v>250</v>
      </c>
      <c r="C66" s="20" t="s">
        <v>45</v>
      </c>
      <c r="D66" s="2">
        <v>0</v>
      </c>
      <c r="E66" s="2">
        <v>0</v>
      </c>
      <c r="F66" s="2">
        <v>0</v>
      </c>
      <c r="G66" s="2">
        <v>0</v>
      </c>
      <c r="L66" s="17">
        <v>41704</v>
      </c>
    </row>
    <row r="67" spans="1:12" x14ac:dyDescent="0.55000000000000004">
      <c r="A67" s="2" t="s">
        <v>174</v>
      </c>
      <c r="B67" s="2">
        <v>85</v>
      </c>
      <c r="C67" s="20" t="s">
        <v>48</v>
      </c>
      <c r="D67" s="2">
        <v>18</v>
      </c>
      <c r="E67" s="2">
        <v>4.2</v>
      </c>
      <c r="F67" s="2">
        <v>0</v>
      </c>
      <c r="G67" s="2">
        <v>116</v>
      </c>
      <c r="L67" s="17">
        <v>41705</v>
      </c>
    </row>
    <row r="68" spans="1:12" x14ac:dyDescent="0.55000000000000004">
      <c r="A68" s="2" t="s">
        <v>175</v>
      </c>
      <c r="B68" s="2">
        <v>85</v>
      </c>
      <c r="C68" s="20" t="s">
        <v>48</v>
      </c>
      <c r="D68" s="2">
        <v>17</v>
      </c>
      <c r="E68" s="2">
        <v>8</v>
      </c>
      <c r="F68" s="2">
        <v>0</v>
      </c>
      <c r="G68" s="2">
        <v>149</v>
      </c>
      <c r="L68" s="17">
        <v>41706</v>
      </c>
    </row>
    <row r="69" spans="1:12" x14ac:dyDescent="0.55000000000000004">
      <c r="A69" s="2" t="s">
        <v>176</v>
      </c>
      <c r="B69" s="2">
        <v>85</v>
      </c>
      <c r="C69" s="20" t="s">
        <v>48</v>
      </c>
      <c r="D69" s="2">
        <v>15</v>
      </c>
      <c r="E69" s="2">
        <v>17</v>
      </c>
      <c r="F69" s="2">
        <v>0</v>
      </c>
      <c r="G69" s="2">
        <v>216</v>
      </c>
      <c r="L69" s="17">
        <v>41707</v>
      </c>
    </row>
    <row r="70" spans="1:12" x14ac:dyDescent="0.55000000000000004">
      <c r="A70" s="2" t="s">
        <v>101</v>
      </c>
      <c r="B70" s="22" t="s">
        <v>69</v>
      </c>
      <c r="C70" s="20" t="s">
        <v>48</v>
      </c>
      <c r="D70" s="2">
        <v>22</v>
      </c>
      <c r="E70" s="2">
        <v>11</v>
      </c>
      <c r="F70" s="2">
        <v>0</v>
      </c>
      <c r="G70" s="2">
        <v>193</v>
      </c>
      <c r="L70" s="17">
        <v>41708</v>
      </c>
    </row>
    <row r="71" spans="1:12" x14ac:dyDescent="0.55000000000000004">
      <c r="A71" s="2" t="s">
        <v>197</v>
      </c>
      <c r="B71" s="22" t="s">
        <v>64</v>
      </c>
      <c r="C71" s="20" t="s">
        <v>48</v>
      </c>
      <c r="D71" s="2">
        <v>18</v>
      </c>
      <c r="E71" s="2">
        <v>7</v>
      </c>
      <c r="F71" s="2">
        <v>0</v>
      </c>
      <c r="G71" s="2">
        <v>193</v>
      </c>
      <c r="L71" s="17">
        <v>41709</v>
      </c>
    </row>
    <row r="72" spans="1:12" x14ac:dyDescent="0.55000000000000004">
      <c r="A72" s="2" t="s">
        <v>87</v>
      </c>
      <c r="B72" s="2">
        <v>7</v>
      </c>
      <c r="C72" s="20" t="s">
        <v>88</v>
      </c>
      <c r="D72" s="2">
        <v>1</v>
      </c>
      <c r="E72" s="2">
        <v>0</v>
      </c>
      <c r="F72" s="2">
        <v>29</v>
      </c>
      <c r="G72" s="2">
        <v>130</v>
      </c>
      <c r="L72" s="17">
        <v>41710</v>
      </c>
    </row>
    <row r="73" spans="1:12" x14ac:dyDescent="0.55000000000000004">
      <c r="A73" s="2" t="s">
        <v>193</v>
      </c>
      <c r="B73" s="35">
        <v>7</v>
      </c>
      <c r="C73" s="20" t="s">
        <v>88</v>
      </c>
      <c r="D73" s="2">
        <v>1</v>
      </c>
      <c r="E73" s="2">
        <v>0</v>
      </c>
      <c r="F73" s="2">
        <v>29</v>
      </c>
      <c r="G73" s="2">
        <v>130</v>
      </c>
      <c r="L73" s="17">
        <v>41711</v>
      </c>
    </row>
    <row r="74" spans="1:12" x14ac:dyDescent="0.55000000000000004">
      <c r="A74" s="25" t="s">
        <v>194</v>
      </c>
      <c r="B74" s="36">
        <v>32</v>
      </c>
      <c r="C74" s="2" t="s">
        <v>158</v>
      </c>
      <c r="D74" s="25">
        <v>0</v>
      </c>
      <c r="E74" s="25">
        <v>0</v>
      </c>
      <c r="L74" s="17">
        <v>41712</v>
      </c>
    </row>
    <row r="75" spans="1:12" x14ac:dyDescent="0.55000000000000004">
      <c r="A75" s="2" t="s">
        <v>100</v>
      </c>
      <c r="B75" s="22" t="s">
        <v>43</v>
      </c>
      <c r="C75" s="20" t="s">
        <v>60</v>
      </c>
      <c r="D75" s="2">
        <v>1.5</v>
      </c>
      <c r="E75" s="2">
        <v>5</v>
      </c>
      <c r="F75" s="2">
        <v>15</v>
      </c>
      <c r="G75" s="2">
        <v>80</v>
      </c>
      <c r="L75" s="17">
        <v>41713</v>
      </c>
    </row>
    <row r="76" spans="1:12" x14ac:dyDescent="0.55000000000000004">
      <c r="A76" s="2" t="s">
        <v>30</v>
      </c>
      <c r="B76" s="22" t="s">
        <v>57</v>
      </c>
      <c r="C76" s="20" t="s">
        <v>58</v>
      </c>
      <c r="D76" s="2">
        <v>2.2999999999999998</v>
      </c>
      <c r="E76" s="2">
        <v>7.5</v>
      </c>
      <c r="F76" s="2">
        <v>6</v>
      </c>
      <c r="G76" s="2">
        <v>105</v>
      </c>
      <c r="L76" s="17">
        <v>41714</v>
      </c>
    </row>
    <row r="77" spans="1:12" x14ac:dyDescent="0.55000000000000004">
      <c r="A77" s="2" t="s">
        <v>178</v>
      </c>
      <c r="B77" s="2">
        <v>100</v>
      </c>
      <c r="C77" s="20" t="s">
        <v>48</v>
      </c>
      <c r="D77" s="2">
        <v>3.8</v>
      </c>
      <c r="E77" s="2">
        <v>11</v>
      </c>
      <c r="F77" s="2">
        <v>28</v>
      </c>
      <c r="G77" s="2">
        <v>216</v>
      </c>
      <c r="L77" s="17">
        <v>41715</v>
      </c>
    </row>
    <row r="78" spans="1:12" x14ac:dyDescent="0.55000000000000004">
      <c r="A78" s="2" t="s">
        <v>177</v>
      </c>
      <c r="B78" s="2">
        <v>100</v>
      </c>
      <c r="C78" s="20" t="s">
        <v>48</v>
      </c>
      <c r="D78" s="2">
        <v>3.5</v>
      </c>
      <c r="E78" s="2">
        <v>11</v>
      </c>
      <c r="F78" s="2">
        <v>24</v>
      </c>
      <c r="G78" s="2">
        <v>207</v>
      </c>
      <c r="L78" s="17">
        <v>41716</v>
      </c>
    </row>
    <row r="79" spans="1:12" x14ac:dyDescent="0.55000000000000004">
      <c r="A79" s="2" t="s">
        <v>153</v>
      </c>
      <c r="B79" s="2">
        <v>1</v>
      </c>
      <c r="C79" s="20" t="s">
        <v>60</v>
      </c>
      <c r="D79" s="2">
        <v>0</v>
      </c>
      <c r="E79" s="2">
        <v>0</v>
      </c>
      <c r="F79" s="2">
        <v>20</v>
      </c>
      <c r="G79" s="2">
        <v>70</v>
      </c>
      <c r="L79" s="17">
        <v>41717</v>
      </c>
    </row>
    <row r="80" spans="1:12" x14ac:dyDescent="0.55000000000000004">
      <c r="A80" s="2" t="s">
        <v>144</v>
      </c>
      <c r="B80" s="22" t="s">
        <v>43</v>
      </c>
      <c r="C80" s="20" t="s">
        <v>18</v>
      </c>
      <c r="D80" s="2">
        <v>3</v>
      </c>
      <c r="E80" s="2">
        <v>0</v>
      </c>
      <c r="F80" s="2">
        <v>49</v>
      </c>
      <c r="G80" s="2">
        <v>210</v>
      </c>
      <c r="L80" s="17">
        <v>41718</v>
      </c>
    </row>
    <row r="81" spans="1:12" x14ac:dyDescent="0.55000000000000004">
      <c r="A81" s="2" t="s">
        <v>99</v>
      </c>
      <c r="B81" s="22" t="s">
        <v>43</v>
      </c>
      <c r="C81" s="20" t="s">
        <v>18</v>
      </c>
      <c r="D81" s="2">
        <v>3</v>
      </c>
      <c r="E81" s="2">
        <v>0</v>
      </c>
      <c r="F81" s="2">
        <v>49</v>
      </c>
      <c r="G81" s="2">
        <v>210</v>
      </c>
      <c r="L81" s="17">
        <v>41719</v>
      </c>
    </row>
    <row r="82" spans="1:12" x14ac:dyDescent="0.55000000000000004">
      <c r="A82" s="2" t="s">
        <v>23</v>
      </c>
      <c r="B82" s="22">
        <v>1</v>
      </c>
      <c r="C82" s="20" t="s">
        <v>63</v>
      </c>
      <c r="D82" s="2">
        <v>0</v>
      </c>
      <c r="E82" s="2">
        <v>0</v>
      </c>
      <c r="F82" s="2">
        <v>7</v>
      </c>
      <c r="G82" s="2">
        <v>50</v>
      </c>
      <c r="L82" s="17">
        <v>41720</v>
      </c>
    </row>
    <row r="83" spans="1:12" x14ac:dyDescent="0.55000000000000004">
      <c r="A83" s="23" t="s">
        <v>97</v>
      </c>
      <c r="B83" s="24" t="s">
        <v>43</v>
      </c>
      <c r="C83" s="21" t="s">
        <v>60</v>
      </c>
      <c r="D83" s="23">
        <v>0</v>
      </c>
      <c r="E83" s="23">
        <v>0</v>
      </c>
      <c r="F83" s="23">
        <v>13</v>
      </c>
      <c r="G83" s="23">
        <v>50</v>
      </c>
      <c r="L83" s="17">
        <v>41721</v>
      </c>
    </row>
    <row r="84" spans="1:12" x14ac:dyDescent="0.55000000000000004">
      <c r="A84" s="2" t="s">
        <v>163</v>
      </c>
      <c r="B84" s="2">
        <v>100</v>
      </c>
      <c r="C84" s="20" t="s">
        <v>48</v>
      </c>
      <c r="D84" s="2">
        <v>8</v>
      </c>
      <c r="E84" s="2">
        <v>30</v>
      </c>
      <c r="F84" s="2">
        <v>59</v>
      </c>
      <c r="G84" s="2">
        <v>535</v>
      </c>
      <c r="L84" s="17">
        <v>41722</v>
      </c>
    </row>
    <row r="85" spans="1:12" x14ac:dyDescent="0.55000000000000004">
      <c r="A85" s="2" t="s">
        <v>122</v>
      </c>
      <c r="B85" s="2">
        <v>100</v>
      </c>
      <c r="C85" s="20" t="s">
        <v>48</v>
      </c>
      <c r="D85" s="2">
        <v>3.4</v>
      </c>
      <c r="E85" s="2">
        <v>1</v>
      </c>
      <c r="F85" s="2">
        <v>5</v>
      </c>
      <c r="G85" s="2">
        <v>42</v>
      </c>
      <c r="L85" s="17">
        <v>41723</v>
      </c>
    </row>
    <row r="86" spans="1:12" x14ac:dyDescent="0.55000000000000004">
      <c r="A86" s="2" t="s">
        <v>123</v>
      </c>
      <c r="B86" s="2">
        <v>100</v>
      </c>
      <c r="C86" s="20" t="s">
        <v>48</v>
      </c>
      <c r="D86" s="2">
        <v>3.3</v>
      </c>
      <c r="E86" s="2">
        <v>2</v>
      </c>
      <c r="F86" s="2">
        <v>4.8</v>
      </c>
      <c r="G86" s="2">
        <v>50</v>
      </c>
      <c r="L86" s="17">
        <v>41724</v>
      </c>
    </row>
    <row r="87" spans="1:12" x14ac:dyDescent="0.55000000000000004">
      <c r="A87" s="2" t="s">
        <v>125</v>
      </c>
      <c r="B87" s="2">
        <v>100</v>
      </c>
      <c r="C87" s="20" t="s">
        <v>48</v>
      </c>
      <c r="D87" s="2">
        <v>3.4</v>
      </c>
      <c r="E87" s="2">
        <v>0.1</v>
      </c>
      <c r="F87" s="2">
        <v>5</v>
      </c>
      <c r="G87" s="2">
        <v>34</v>
      </c>
      <c r="L87" s="17">
        <v>41725</v>
      </c>
    </row>
    <row r="88" spans="1:12" x14ac:dyDescent="0.55000000000000004">
      <c r="A88" s="2" t="s">
        <v>124</v>
      </c>
      <c r="B88" s="2">
        <v>100</v>
      </c>
      <c r="C88" s="20" t="s">
        <v>48</v>
      </c>
      <c r="D88" s="2">
        <v>3.2</v>
      </c>
      <c r="E88" s="2">
        <v>3.2</v>
      </c>
      <c r="F88" s="2">
        <v>4.8</v>
      </c>
      <c r="G88" s="2">
        <v>61</v>
      </c>
      <c r="L88" s="17">
        <v>41726</v>
      </c>
    </row>
    <row r="89" spans="1:12" x14ac:dyDescent="0.55000000000000004">
      <c r="A89" s="2" t="s">
        <v>98</v>
      </c>
      <c r="B89" s="22" t="s">
        <v>51</v>
      </c>
      <c r="C89" s="20" t="s">
        <v>45</v>
      </c>
      <c r="D89" s="2">
        <v>0.5</v>
      </c>
      <c r="E89" s="2">
        <v>0</v>
      </c>
      <c r="F89" s="2">
        <v>8</v>
      </c>
      <c r="G89" s="2">
        <v>40</v>
      </c>
      <c r="L89" s="17">
        <v>41727</v>
      </c>
    </row>
    <row r="90" spans="1:12" x14ac:dyDescent="0.55000000000000004">
      <c r="A90" s="25" t="s">
        <v>80</v>
      </c>
      <c r="B90" s="2">
        <v>1</v>
      </c>
      <c r="C90" s="26" t="s">
        <v>44</v>
      </c>
      <c r="D90" s="25">
        <v>0.5</v>
      </c>
      <c r="E90" s="25">
        <v>0</v>
      </c>
      <c r="F90" s="25">
        <v>1.5</v>
      </c>
      <c r="G90" s="25">
        <v>7.5</v>
      </c>
      <c r="L90" s="17">
        <v>41728</v>
      </c>
    </row>
    <row r="91" spans="1:12" x14ac:dyDescent="0.55000000000000004">
      <c r="A91" s="2" t="s">
        <v>29</v>
      </c>
      <c r="B91" s="22" t="s">
        <v>55</v>
      </c>
      <c r="C91" s="20" t="s">
        <v>48</v>
      </c>
      <c r="D91" s="2">
        <v>8</v>
      </c>
      <c r="E91" s="2">
        <v>24</v>
      </c>
      <c r="F91" s="2">
        <v>10</v>
      </c>
      <c r="G91" s="2">
        <v>290</v>
      </c>
      <c r="L91" s="17">
        <v>41729</v>
      </c>
    </row>
    <row r="92" spans="1:12" x14ac:dyDescent="0.55000000000000004">
      <c r="A92" s="25" t="s">
        <v>195</v>
      </c>
      <c r="B92" s="37">
        <v>30</v>
      </c>
      <c r="C92" s="20" t="s">
        <v>48</v>
      </c>
      <c r="D92" s="37">
        <v>7</v>
      </c>
      <c r="E92" s="1">
        <v>6</v>
      </c>
      <c r="F92" s="25">
        <v>1</v>
      </c>
      <c r="G92" s="25">
        <v>90</v>
      </c>
      <c r="L92" s="17">
        <v>41730</v>
      </c>
    </row>
    <row r="93" spans="1:12" x14ac:dyDescent="0.55000000000000004">
      <c r="A93" s="2" t="s">
        <v>83</v>
      </c>
      <c r="B93" s="2">
        <v>1</v>
      </c>
      <c r="C93" s="20" t="s">
        <v>44</v>
      </c>
      <c r="D93" s="2">
        <v>26</v>
      </c>
      <c r="E93" s="2">
        <v>10.76</v>
      </c>
      <c r="F93" s="2">
        <v>103.4</v>
      </c>
      <c r="G93" s="2">
        <v>389</v>
      </c>
      <c r="L93" s="17">
        <v>41731</v>
      </c>
    </row>
    <row r="94" spans="1:12" x14ac:dyDescent="0.55000000000000004">
      <c r="A94" s="2" t="s">
        <v>76</v>
      </c>
      <c r="B94" s="27" t="s">
        <v>43</v>
      </c>
      <c r="C94" s="20" t="s">
        <v>60</v>
      </c>
      <c r="D94" s="2">
        <v>0</v>
      </c>
      <c r="E94" s="2">
        <v>14</v>
      </c>
      <c r="F94" s="2">
        <v>0</v>
      </c>
      <c r="G94" s="2">
        <v>119</v>
      </c>
      <c r="L94" s="17">
        <v>41732</v>
      </c>
    </row>
    <row r="95" spans="1:12" x14ac:dyDescent="0.55000000000000004">
      <c r="A95" s="23" t="s">
        <v>38</v>
      </c>
      <c r="B95" s="24">
        <v>3</v>
      </c>
      <c r="C95" s="21" t="s">
        <v>70</v>
      </c>
      <c r="D95" s="23">
        <v>9</v>
      </c>
      <c r="E95" s="23">
        <v>12</v>
      </c>
      <c r="F95" s="23">
        <v>35</v>
      </c>
      <c r="G95" s="23">
        <v>270</v>
      </c>
      <c r="L95" s="17">
        <v>41733</v>
      </c>
    </row>
    <row r="96" spans="1:12" x14ac:dyDescent="0.55000000000000004">
      <c r="A96" s="2" t="s">
        <v>131</v>
      </c>
      <c r="B96" s="2">
        <v>1</v>
      </c>
      <c r="C96" s="20" t="s">
        <v>44</v>
      </c>
      <c r="D96" s="2">
        <v>8</v>
      </c>
      <c r="E96" s="2">
        <v>1.3</v>
      </c>
      <c r="F96" s="2">
        <v>43</v>
      </c>
      <c r="G96" s="2">
        <v>221</v>
      </c>
      <c r="L96" s="17">
        <v>41734</v>
      </c>
    </row>
    <row r="97" spans="1:12" x14ac:dyDescent="0.55000000000000004">
      <c r="A97" s="2" t="s">
        <v>161</v>
      </c>
      <c r="B97" s="2">
        <v>1</v>
      </c>
      <c r="C97" s="20" t="s">
        <v>60</v>
      </c>
      <c r="D97" s="2">
        <v>4</v>
      </c>
      <c r="E97" s="2">
        <v>8</v>
      </c>
      <c r="F97" s="2">
        <v>3</v>
      </c>
      <c r="G97" s="2">
        <v>94</v>
      </c>
      <c r="L97" s="17">
        <v>41735</v>
      </c>
    </row>
    <row r="98" spans="1:12" x14ac:dyDescent="0.55000000000000004">
      <c r="A98" s="2" t="s">
        <v>96</v>
      </c>
      <c r="B98" s="22">
        <v>1</v>
      </c>
      <c r="C98" s="20" t="s">
        <v>63</v>
      </c>
      <c r="D98" s="2">
        <v>0.7</v>
      </c>
      <c r="E98" s="2">
        <v>0.3</v>
      </c>
      <c r="F98" s="2">
        <v>26</v>
      </c>
      <c r="G98" s="2">
        <v>95</v>
      </c>
      <c r="L98" s="17">
        <v>41736</v>
      </c>
    </row>
    <row r="99" spans="1:12" x14ac:dyDescent="0.55000000000000004">
      <c r="A99" s="2" t="s">
        <v>89</v>
      </c>
      <c r="B99" s="2">
        <v>14</v>
      </c>
      <c r="C99" s="20" t="s">
        <v>65</v>
      </c>
      <c r="D99" s="2">
        <v>0</v>
      </c>
      <c r="E99" s="2">
        <v>0</v>
      </c>
      <c r="F99" s="2">
        <v>30</v>
      </c>
      <c r="G99" s="2">
        <v>120</v>
      </c>
      <c r="L99" s="17">
        <v>41737</v>
      </c>
    </row>
    <row r="100" spans="1:12" x14ac:dyDescent="0.55000000000000004">
      <c r="A100" s="2" t="s">
        <v>121</v>
      </c>
      <c r="B100" s="2">
        <v>1</v>
      </c>
      <c r="C100" s="20" t="s">
        <v>85</v>
      </c>
      <c r="D100" s="2">
        <v>12</v>
      </c>
      <c r="E100" s="2">
        <v>10</v>
      </c>
      <c r="F100" s="2">
        <v>36</v>
      </c>
      <c r="G100" s="2">
        <v>285</v>
      </c>
      <c r="L100" s="17">
        <v>41738</v>
      </c>
    </row>
    <row r="101" spans="1:12" x14ac:dyDescent="0.55000000000000004">
      <c r="A101" s="2" t="s">
        <v>71</v>
      </c>
      <c r="B101" s="22" t="s">
        <v>59</v>
      </c>
      <c r="C101" s="20" t="s">
        <v>48</v>
      </c>
      <c r="D101" s="2">
        <v>18</v>
      </c>
      <c r="E101" s="2">
        <v>0</v>
      </c>
      <c r="F101" s="2">
        <v>12</v>
      </c>
      <c r="G101" s="2">
        <v>120</v>
      </c>
      <c r="L101" s="17">
        <v>41739</v>
      </c>
    </row>
    <row r="102" spans="1:12" x14ac:dyDescent="0.55000000000000004">
      <c r="A102" s="2" t="s">
        <v>160</v>
      </c>
      <c r="B102" s="2">
        <v>1</v>
      </c>
      <c r="C102" s="20" t="s">
        <v>85</v>
      </c>
      <c r="D102" s="2">
        <v>6</v>
      </c>
      <c r="E102" s="2">
        <v>5</v>
      </c>
      <c r="F102" s="2">
        <v>0</v>
      </c>
      <c r="G102" s="2">
        <v>70</v>
      </c>
      <c r="L102" s="17">
        <v>41740</v>
      </c>
    </row>
    <row r="103" spans="1:12" x14ac:dyDescent="0.55000000000000004">
      <c r="A103" s="2" t="s">
        <v>179</v>
      </c>
      <c r="B103" s="2">
        <v>1</v>
      </c>
      <c r="C103" s="20" t="s">
        <v>44</v>
      </c>
      <c r="D103" s="2">
        <v>5</v>
      </c>
      <c r="E103" s="2">
        <v>1.8</v>
      </c>
      <c r="F103" s="2">
        <v>45</v>
      </c>
      <c r="G103" s="2">
        <v>216</v>
      </c>
      <c r="L103" s="17">
        <v>41741</v>
      </c>
    </row>
    <row r="104" spans="1:12" x14ac:dyDescent="0.55000000000000004">
      <c r="A104" s="2" t="s">
        <v>139</v>
      </c>
      <c r="B104" s="2">
        <v>1</v>
      </c>
      <c r="C104" s="20" t="s">
        <v>44</v>
      </c>
      <c r="D104" s="2">
        <v>4.2</v>
      </c>
      <c r="E104" s="2">
        <v>0.4</v>
      </c>
      <c r="F104" s="2">
        <v>45</v>
      </c>
      <c r="G104" s="2">
        <v>206</v>
      </c>
      <c r="L104" s="17">
        <v>41742</v>
      </c>
    </row>
    <row r="105" spans="1:12" x14ac:dyDescent="0.55000000000000004">
      <c r="A105" s="2" t="s">
        <v>132</v>
      </c>
      <c r="B105" s="2">
        <v>3</v>
      </c>
      <c r="C105" s="20" t="s">
        <v>91</v>
      </c>
      <c r="D105" s="2">
        <v>17</v>
      </c>
      <c r="E105" s="2">
        <v>11</v>
      </c>
      <c r="F105" s="2">
        <v>0</v>
      </c>
      <c r="G105" s="2">
        <v>177</v>
      </c>
      <c r="L105" s="17">
        <v>41743</v>
      </c>
    </row>
    <row r="106" spans="1:12" x14ac:dyDescent="0.55000000000000004">
      <c r="A106" s="2" t="s">
        <v>33</v>
      </c>
      <c r="B106" s="22" t="s">
        <v>72</v>
      </c>
      <c r="C106" s="20" t="s">
        <v>73</v>
      </c>
      <c r="D106" s="2">
        <v>25</v>
      </c>
      <c r="E106" s="2">
        <v>16</v>
      </c>
      <c r="F106" s="2">
        <v>59</v>
      </c>
      <c r="G106" s="2">
        <v>485</v>
      </c>
      <c r="L106" s="17">
        <v>41744</v>
      </c>
    </row>
    <row r="107" spans="1:12" x14ac:dyDescent="0.55000000000000004">
      <c r="A107" s="2" t="s">
        <v>162</v>
      </c>
      <c r="B107" s="2">
        <v>1</v>
      </c>
      <c r="C107" s="20" t="s">
        <v>152</v>
      </c>
      <c r="D107" s="2">
        <v>7</v>
      </c>
      <c r="E107" s="2">
        <v>22</v>
      </c>
      <c r="F107" s="2">
        <v>61</v>
      </c>
      <c r="G107" s="2">
        <v>460</v>
      </c>
      <c r="L107" s="17">
        <v>41745</v>
      </c>
    </row>
    <row r="108" spans="1:12" x14ac:dyDescent="0.55000000000000004">
      <c r="A108" s="28" t="s">
        <v>41</v>
      </c>
      <c r="B108" s="22" t="s">
        <v>43</v>
      </c>
      <c r="C108" s="29" t="s">
        <v>44</v>
      </c>
      <c r="D108" s="2">
        <v>0.9</v>
      </c>
      <c r="E108" s="2">
        <v>0.1</v>
      </c>
      <c r="F108" s="2">
        <v>1.1000000000000001</v>
      </c>
      <c r="G108" s="2">
        <v>7</v>
      </c>
      <c r="L108" s="17">
        <v>41746</v>
      </c>
    </row>
    <row r="109" spans="1:12" x14ac:dyDescent="0.55000000000000004">
      <c r="A109" s="2" t="s">
        <v>94</v>
      </c>
      <c r="B109" s="2">
        <v>8</v>
      </c>
      <c r="C109" s="20" t="s">
        <v>91</v>
      </c>
      <c r="D109" s="2">
        <v>61</v>
      </c>
      <c r="E109" s="2">
        <v>19</v>
      </c>
      <c r="F109" s="2">
        <v>0</v>
      </c>
      <c r="G109" s="2">
        <v>430</v>
      </c>
      <c r="L109" s="17">
        <v>41747</v>
      </c>
    </row>
    <row r="110" spans="1:12" x14ac:dyDescent="0.55000000000000004">
      <c r="A110" s="2" t="s">
        <v>140</v>
      </c>
      <c r="B110" s="2">
        <v>10</v>
      </c>
      <c r="C110" s="20" t="s">
        <v>91</v>
      </c>
      <c r="D110" s="2">
        <v>69</v>
      </c>
      <c r="E110" s="2">
        <v>63</v>
      </c>
      <c r="F110" s="2">
        <v>0</v>
      </c>
      <c r="G110" s="2">
        <v>847</v>
      </c>
      <c r="L110" s="17">
        <v>41748</v>
      </c>
    </row>
    <row r="111" spans="1:12" x14ac:dyDescent="0.55000000000000004">
      <c r="A111" s="2" t="s">
        <v>141</v>
      </c>
      <c r="B111" s="2">
        <v>10</v>
      </c>
      <c r="C111" s="20" t="s">
        <v>91</v>
      </c>
      <c r="D111" s="2">
        <v>65</v>
      </c>
      <c r="E111" s="2">
        <v>7.75</v>
      </c>
      <c r="F111" s="2">
        <v>0</v>
      </c>
      <c r="G111" s="2">
        <v>288</v>
      </c>
      <c r="L111" s="17">
        <v>41749</v>
      </c>
    </row>
    <row r="112" spans="1:12" x14ac:dyDescent="0.55000000000000004">
      <c r="A112" s="2" t="s">
        <v>90</v>
      </c>
      <c r="B112" s="2">
        <v>3.5</v>
      </c>
      <c r="C112" s="20" t="s">
        <v>91</v>
      </c>
      <c r="D112" s="2">
        <v>27</v>
      </c>
      <c r="E112" s="2">
        <v>11</v>
      </c>
      <c r="F112" s="2">
        <v>0.9</v>
      </c>
      <c r="G112" s="2">
        <v>213</v>
      </c>
      <c r="L112" s="17">
        <v>41750</v>
      </c>
    </row>
    <row r="113" spans="1:12" x14ac:dyDescent="0.55000000000000004">
      <c r="A113" s="2" t="s">
        <v>31</v>
      </c>
      <c r="B113" s="22" t="s">
        <v>43</v>
      </c>
      <c r="C113" s="20" t="s">
        <v>63</v>
      </c>
      <c r="D113" s="2">
        <v>0.1</v>
      </c>
      <c r="E113" s="2">
        <v>0</v>
      </c>
      <c r="F113" s="2">
        <v>0.9</v>
      </c>
      <c r="G113" s="2">
        <v>4</v>
      </c>
      <c r="L113" s="17">
        <v>41751</v>
      </c>
    </row>
    <row r="114" spans="1:12" x14ac:dyDescent="0.55000000000000004">
      <c r="A114" s="2" t="s">
        <v>82</v>
      </c>
      <c r="B114" s="2">
        <v>1</v>
      </c>
      <c r="C114" s="20" t="s">
        <v>11</v>
      </c>
      <c r="D114" s="2">
        <v>3.2</v>
      </c>
      <c r="E114" s="2">
        <v>0.2</v>
      </c>
      <c r="F114" s="2">
        <v>11.6</v>
      </c>
      <c r="G114" s="2">
        <v>85</v>
      </c>
      <c r="L114" s="17">
        <v>41752</v>
      </c>
    </row>
    <row r="115" spans="1:12" x14ac:dyDescent="0.55000000000000004">
      <c r="A115" s="2" t="s">
        <v>128</v>
      </c>
      <c r="B115" s="2">
        <v>100</v>
      </c>
      <c r="C115" s="20" t="s">
        <v>48</v>
      </c>
      <c r="D115" s="2">
        <v>0</v>
      </c>
      <c r="E115" s="2">
        <v>0</v>
      </c>
      <c r="F115" s="2">
        <v>100</v>
      </c>
      <c r="G115" s="2">
        <v>387</v>
      </c>
      <c r="L115" s="17">
        <v>41753</v>
      </c>
    </row>
    <row r="116" spans="1:12" x14ac:dyDescent="0.55000000000000004">
      <c r="A116" s="2" t="s">
        <v>84</v>
      </c>
      <c r="B116" s="2">
        <v>1</v>
      </c>
      <c r="C116" s="20" t="s">
        <v>85</v>
      </c>
      <c r="D116" s="2">
        <v>6</v>
      </c>
      <c r="E116" s="2">
        <v>3</v>
      </c>
      <c r="F116" s="2">
        <v>1</v>
      </c>
      <c r="G116" s="2">
        <v>60</v>
      </c>
      <c r="L116" s="17">
        <v>41754</v>
      </c>
    </row>
    <row r="117" spans="1:12" x14ac:dyDescent="0.55000000000000004">
      <c r="A117" s="2" t="s">
        <v>36</v>
      </c>
      <c r="B117" s="22" t="s">
        <v>74</v>
      </c>
      <c r="C117" s="20" t="s">
        <v>48</v>
      </c>
      <c r="D117" s="2">
        <v>4</v>
      </c>
      <c r="E117" s="2">
        <v>8</v>
      </c>
      <c r="F117" s="2">
        <v>50</v>
      </c>
      <c r="G117" s="2">
        <v>337</v>
      </c>
      <c r="L117" s="17">
        <v>41755</v>
      </c>
    </row>
    <row r="118" spans="1:12" x14ac:dyDescent="0.55000000000000004">
      <c r="A118" s="2" t="s">
        <v>81</v>
      </c>
      <c r="B118" s="22" t="s">
        <v>43</v>
      </c>
      <c r="C118" s="20" t="s">
        <v>56</v>
      </c>
      <c r="D118" s="2">
        <v>13</v>
      </c>
      <c r="E118" s="2">
        <v>0.2</v>
      </c>
      <c r="F118" s="2">
        <v>0</v>
      </c>
      <c r="G118" s="2">
        <v>60</v>
      </c>
      <c r="L118" s="17">
        <v>41756</v>
      </c>
    </row>
    <row r="119" spans="1:12" x14ac:dyDescent="0.55000000000000004">
      <c r="A119" s="2" t="s">
        <v>116</v>
      </c>
      <c r="B119" s="22" t="s">
        <v>43</v>
      </c>
      <c r="C119" s="20" t="s">
        <v>115</v>
      </c>
      <c r="D119" s="2">
        <v>14</v>
      </c>
      <c r="E119" s="2">
        <v>8</v>
      </c>
      <c r="F119" s="2">
        <v>30</v>
      </c>
      <c r="G119" s="2">
        <v>150</v>
      </c>
      <c r="L119" s="17">
        <v>41757</v>
      </c>
    </row>
    <row r="120" spans="1:12" x14ac:dyDescent="0.55000000000000004">
      <c r="A120" s="2" t="s">
        <v>145</v>
      </c>
      <c r="B120" s="22" t="s">
        <v>67</v>
      </c>
      <c r="C120" s="20" t="s">
        <v>164</v>
      </c>
      <c r="D120" s="2">
        <v>28</v>
      </c>
      <c r="E120" s="2">
        <v>16</v>
      </c>
      <c r="F120" s="2">
        <v>60</v>
      </c>
      <c r="G120" s="2">
        <v>300</v>
      </c>
      <c r="L120" s="17">
        <v>41758</v>
      </c>
    </row>
    <row r="121" spans="1:12" x14ac:dyDescent="0.55000000000000004">
      <c r="A121" s="2" t="s">
        <v>146</v>
      </c>
      <c r="B121" s="22" t="s">
        <v>43</v>
      </c>
      <c r="C121" s="20" t="s">
        <v>164</v>
      </c>
      <c r="D121" s="2">
        <v>14</v>
      </c>
      <c r="E121" s="2">
        <v>8</v>
      </c>
      <c r="F121" s="2">
        <v>30</v>
      </c>
      <c r="G121" s="2">
        <v>150</v>
      </c>
      <c r="L121" s="17">
        <v>41759</v>
      </c>
    </row>
    <row r="122" spans="1:12" x14ac:dyDescent="0.55000000000000004">
      <c r="A122" s="2" t="s">
        <v>159</v>
      </c>
      <c r="B122" s="2">
        <v>4</v>
      </c>
      <c r="C122" s="20" t="s">
        <v>91</v>
      </c>
      <c r="D122" s="2">
        <v>22</v>
      </c>
      <c r="E122" s="2">
        <v>11</v>
      </c>
      <c r="F122" s="2">
        <v>0</v>
      </c>
      <c r="G122" s="2">
        <v>193</v>
      </c>
      <c r="L122" s="17">
        <v>41760</v>
      </c>
    </row>
    <row r="123" spans="1:12" x14ac:dyDescent="0.55000000000000004">
      <c r="A123" s="2" t="s">
        <v>86</v>
      </c>
      <c r="B123" s="2">
        <v>1</v>
      </c>
      <c r="C123" s="20" t="s">
        <v>85</v>
      </c>
      <c r="D123" s="2">
        <v>5</v>
      </c>
      <c r="E123" s="2">
        <v>1</v>
      </c>
      <c r="F123" s="2">
        <v>1</v>
      </c>
      <c r="G123" s="2">
        <v>30</v>
      </c>
      <c r="L123" s="17">
        <v>41761</v>
      </c>
    </row>
    <row r="124" spans="1:12" x14ac:dyDescent="0.55000000000000004">
      <c r="A124" s="2" t="s">
        <v>148</v>
      </c>
      <c r="B124" s="2">
        <v>50</v>
      </c>
      <c r="C124" s="20" t="s">
        <v>48</v>
      </c>
      <c r="D124" s="2">
        <v>9</v>
      </c>
      <c r="E124" s="2">
        <v>2</v>
      </c>
      <c r="F124" s="2">
        <v>2</v>
      </c>
      <c r="G124" s="2">
        <v>60</v>
      </c>
      <c r="L124" s="17">
        <v>41762</v>
      </c>
    </row>
    <row r="125" spans="1:12" x14ac:dyDescent="0.55000000000000004">
      <c r="A125" s="2" t="s">
        <v>147</v>
      </c>
      <c r="B125" s="2">
        <v>1</v>
      </c>
      <c r="C125" s="20" t="s">
        <v>85</v>
      </c>
      <c r="D125" s="2">
        <v>4.5</v>
      </c>
      <c r="E125" s="2">
        <v>1</v>
      </c>
      <c r="F125" s="2">
        <v>1</v>
      </c>
      <c r="G125" s="2">
        <v>30</v>
      </c>
      <c r="L125" s="17">
        <v>41763</v>
      </c>
    </row>
    <row r="126" spans="1:12" x14ac:dyDescent="0.55000000000000004">
      <c r="A126" s="2" t="s">
        <v>93</v>
      </c>
      <c r="B126" s="2">
        <v>4</v>
      </c>
      <c r="C126" s="20" t="s">
        <v>73</v>
      </c>
      <c r="D126" s="2">
        <v>32</v>
      </c>
      <c r="E126" s="2">
        <v>10</v>
      </c>
      <c r="F126" s="2">
        <v>6</v>
      </c>
      <c r="G126" s="2">
        <v>240</v>
      </c>
      <c r="L126" s="17">
        <v>41764</v>
      </c>
    </row>
    <row r="127" spans="1:12" x14ac:dyDescent="0.55000000000000004">
      <c r="A127" s="25" t="s">
        <v>183</v>
      </c>
      <c r="B127" s="35">
        <v>1</v>
      </c>
      <c r="C127" s="20" t="s">
        <v>73</v>
      </c>
      <c r="D127" s="2">
        <v>7.75</v>
      </c>
      <c r="E127" s="2">
        <v>4.375</v>
      </c>
      <c r="F127" s="2">
        <v>2.5</v>
      </c>
      <c r="G127" s="2">
        <v>80.125</v>
      </c>
      <c r="L127" s="17">
        <v>41765</v>
      </c>
    </row>
    <row r="128" spans="1:12" x14ac:dyDescent="0.55000000000000004">
      <c r="A128" s="25" t="s">
        <v>77</v>
      </c>
      <c r="B128" s="2">
        <v>1</v>
      </c>
      <c r="C128" s="20" t="s">
        <v>60</v>
      </c>
      <c r="D128" s="2">
        <v>0.1</v>
      </c>
      <c r="E128" s="2">
        <v>0</v>
      </c>
      <c r="F128" s="2">
        <v>2.7</v>
      </c>
      <c r="G128" s="2">
        <v>14</v>
      </c>
      <c r="L128" s="17">
        <v>41766</v>
      </c>
    </row>
    <row r="129" spans="1:12" x14ac:dyDescent="0.55000000000000004">
      <c r="A129" s="2" t="s">
        <v>95</v>
      </c>
      <c r="B129" s="22">
        <v>1</v>
      </c>
      <c r="C129" s="20" t="s">
        <v>34</v>
      </c>
      <c r="D129" s="2">
        <v>0.5</v>
      </c>
      <c r="E129" s="2">
        <v>1</v>
      </c>
      <c r="F129" s="2">
        <v>4</v>
      </c>
      <c r="G129" s="2">
        <v>26</v>
      </c>
      <c r="L129" s="17">
        <v>41767</v>
      </c>
    </row>
    <row r="130" spans="1:12" x14ac:dyDescent="0.55000000000000004">
      <c r="A130" s="2" t="s">
        <v>32</v>
      </c>
      <c r="B130" s="22" t="s">
        <v>43</v>
      </c>
      <c r="C130" s="20" t="s">
        <v>54</v>
      </c>
      <c r="D130" s="2">
        <v>25</v>
      </c>
      <c r="E130" s="2">
        <v>2</v>
      </c>
      <c r="F130" s="2">
        <v>3.5</v>
      </c>
      <c r="G130" s="2">
        <v>110</v>
      </c>
      <c r="L130" s="17">
        <v>41768</v>
      </c>
    </row>
    <row r="131" spans="1:12" x14ac:dyDescent="0.55000000000000004">
      <c r="A131" s="2" t="s">
        <v>117</v>
      </c>
      <c r="B131" s="22" t="s">
        <v>43</v>
      </c>
      <c r="C131" s="20" t="s">
        <v>54</v>
      </c>
      <c r="D131" s="2">
        <v>25</v>
      </c>
      <c r="E131" s="2">
        <v>2</v>
      </c>
      <c r="F131" s="2">
        <v>5</v>
      </c>
      <c r="G131" s="2">
        <v>110</v>
      </c>
      <c r="L131" s="17">
        <v>41769</v>
      </c>
    </row>
    <row r="132" spans="1:12" x14ac:dyDescent="0.55000000000000004">
      <c r="A132" s="28" t="s">
        <v>12</v>
      </c>
      <c r="B132" s="22" t="s">
        <v>43</v>
      </c>
      <c r="C132" s="20" t="s">
        <v>54</v>
      </c>
      <c r="D132" s="2">
        <v>25</v>
      </c>
      <c r="E132" s="2">
        <v>2</v>
      </c>
      <c r="F132" s="2">
        <v>5</v>
      </c>
      <c r="G132" s="2">
        <v>110</v>
      </c>
      <c r="L132" s="17">
        <v>41770</v>
      </c>
    </row>
    <row r="133" spans="1:12" x14ac:dyDescent="0.55000000000000004">
      <c r="A133" s="2" t="s">
        <v>154</v>
      </c>
      <c r="B133" s="2">
        <v>1</v>
      </c>
      <c r="C133" s="20" t="s">
        <v>85</v>
      </c>
      <c r="D133" s="2">
        <v>4</v>
      </c>
      <c r="E133" s="2">
        <v>1.5</v>
      </c>
      <c r="F133" s="2">
        <v>18</v>
      </c>
      <c r="G133" s="2">
        <v>100</v>
      </c>
      <c r="L133" s="17">
        <v>41771</v>
      </c>
    </row>
    <row r="134" spans="1:12" x14ac:dyDescent="0.55000000000000004">
      <c r="A134" s="2" t="s">
        <v>37</v>
      </c>
      <c r="B134" s="22" t="s">
        <v>75</v>
      </c>
      <c r="C134" s="20" t="s">
        <v>45</v>
      </c>
      <c r="D134" s="2">
        <v>0.2</v>
      </c>
      <c r="E134" s="2">
        <v>0</v>
      </c>
      <c r="F134" s="2">
        <v>8</v>
      </c>
      <c r="G134" s="2">
        <v>246</v>
      </c>
      <c r="L134" s="17">
        <v>41772</v>
      </c>
    </row>
    <row r="135" spans="1:12" x14ac:dyDescent="0.55000000000000004">
      <c r="A135" s="2" t="s">
        <v>119</v>
      </c>
      <c r="B135" s="2">
        <v>100</v>
      </c>
      <c r="C135" s="20" t="s">
        <v>48</v>
      </c>
      <c r="D135" s="2">
        <v>4</v>
      </c>
      <c r="E135" s="2">
        <v>2</v>
      </c>
      <c r="F135" s="2">
        <v>16</v>
      </c>
      <c r="G135" s="2">
        <v>90</v>
      </c>
      <c r="L135" s="17">
        <v>41773</v>
      </c>
    </row>
    <row r="136" spans="1:12" x14ac:dyDescent="0.55000000000000004">
      <c r="A136" s="2" t="s">
        <v>120</v>
      </c>
      <c r="B136" s="22" t="s">
        <v>59</v>
      </c>
      <c r="C136" s="20" t="s">
        <v>48</v>
      </c>
      <c r="D136" s="2">
        <v>18</v>
      </c>
      <c r="E136" s="2">
        <v>0</v>
      </c>
      <c r="F136" s="2">
        <v>12</v>
      </c>
      <c r="G136" s="2">
        <v>120</v>
      </c>
      <c r="L136" s="17">
        <v>41774</v>
      </c>
    </row>
    <row r="137" spans="1:12" x14ac:dyDescent="0.55000000000000004">
      <c r="A137"/>
      <c r="B137"/>
      <c r="C137"/>
      <c r="D137"/>
      <c r="E137"/>
      <c r="F137"/>
      <c r="G137"/>
      <c r="L137" s="17">
        <v>41775</v>
      </c>
    </row>
    <row r="138" spans="1:12" x14ac:dyDescent="0.55000000000000004">
      <c r="A138"/>
      <c r="B138"/>
      <c r="C138"/>
      <c r="D138"/>
      <c r="E138"/>
      <c r="F138"/>
      <c r="G138"/>
      <c r="L138" s="17">
        <v>41776</v>
      </c>
    </row>
    <row r="139" spans="1:12" x14ac:dyDescent="0.55000000000000004">
      <c r="A139"/>
      <c r="B139"/>
      <c r="C139"/>
      <c r="D139"/>
      <c r="E139"/>
      <c r="F139"/>
      <c r="G139"/>
      <c r="L139" s="17">
        <v>41777</v>
      </c>
    </row>
    <row r="140" spans="1:12" x14ac:dyDescent="0.55000000000000004">
      <c r="A140"/>
      <c r="B140"/>
      <c r="C140"/>
      <c r="D140"/>
      <c r="E140"/>
      <c r="F140"/>
      <c r="G140"/>
      <c r="L140" s="17">
        <v>41778</v>
      </c>
    </row>
    <row r="141" spans="1:12" x14ac:dyDescent="0.55000000000000004">
      <c r="A141"/>
      <c r="B141"/>
      <c r="C141"/>
      <c r="D141"/>
      <c r="E141"/>
      <c r="F141"/>
      <c r="G141"/>
      <c r="L141" s="17">
        <v>41779</v>
      </c>
    </row>
    <row r="142" spans="1:12" x14ac:dyDescent="0.55000000000000004">
      <c r="A142"/>
      <c r="B142"/>
      <c r="C142"/>
      <c r="D142"/>
      <c r="E142"/>
      <c r="F142"/>
      <c r="G142"/>
      <c r="L142" s="17">
        <v>41780</v>
      </c>
    </row>
    <row r="143" spans="1:12" x14ac:dyDescent="0.55000000000000004">
      <c r="A143"/>
      <c r="B143"/>
      <c r="C143"/>
      <c r="D143"/>
      <c r="E143"/>
      <c r="F143"/>
      <c r="G143"/>
      <c r="L143" s="17">
        <v>41781</v>
      </c>
    </row>
    <row r="144" spans="1:12" x14ac:dyDescent="0.55000000000000004">
      <c r="A144"/>
      <c r="B144"/>
      <c r="C144"/>
      <c r="D144"/>
      <c r="E144"/>
      <c r="F144"/>
      <c r="G144"/>
      <c r="L144" s="17">
        <v>41782</v>
      </c>
    </row>
    <row r="145" spans="1:12" x14ac:dyDescent="0.55000000000000004">
      <c r="A145"/>
      <c r="B145"/>
      <c r="C145"/>
      <c r="D145"/>
      <c r="E145"/>
      <c r="F145"/>
      <c r="G145"/>
      <c r="L145" s="17">
        <v>41783</v>
      </c>
    </row>
    <row r="146" spans="1:12" x14ac:dyDescent="0.55000000000000004">
      <c r="A146"/>
      <c r="B146"/>
      <c r="C146"/>
      <c r="D146"/>
      <c r="E146"/>
      <c r="F146"/>
      <c r="G146"/>
      <c r="L146" s="17">
        <v>41784</v>
      </c>
    </row>
    <row r="147" spans="1:12" x14ac:dyDescent="0.55000000000000004">
      <c r="A147"/>
      <c r="B147"/>
      <c r="C147"/>
      <c r="D147"/>
      <c r="E147"/>
      <c r="F147"/>
      <c r="G147"/>
      <c r="L147" s="17">
        <v>41785</v>
      </c>
    </row>
    <row r="148" spans="1:12" x14ac:dyDescent="0.55000000000000004">
      <c r="A148"/>
      <c r="B148"/>
      <c r="C148"/>
      <c r="D148"/>
      <c r="E148"/>
      <c r="F148"/>
      <c r="G148"/>
      <c r="L148" s="17">
        <v>41786</v>
      </c>
    </row>
    <row r="149" spans="1:12" x14ac:dyDescent="0.55000000000000004">
      <c r="A149"/>
      <c r="B149"/>
      <c r="C149"/>
      <c r="D149"/>
      <c r="E149"/>
      <c r="F149"/>
      <c r="G149"/>
      <c r="L149" s="17">
        <v>41787</v>
      </c>
    </row>
    <row r="150" spans="1:12" x14ac:dyDescent="0.55000000000000004">
      <c r="A150"/>
      <c r="B150"/>
      <c r="C150"/>
      <c r="D150"/>
      <c r="E150"/>
      <c r="F150"/>
      <c r="G150"/>
      <c r="L150" s="17">
        <v>41788</v>
      </c>
    </row>
    <row r="151" spans="1:12" x14ac:dyDescent="0.55000000000000004">
      <c r="A151"/>
      <c r="B151"/>
      <c r="C151"/>
      <c r="D151"/>
      <c r="E151"/>
      <c r="F151"/>
      <c r="G151"/>
      <c r="L151" s="17">
        <v>41789</v>
      </c>
    </row>
    <row r="152" spans="1:12" x14ac:dyDescent="0.55000000000000004">
      <c r="A152"/>
      <c r="B152"/>
      <c r="C152"/>
      <c r="D152"/>
      <c r="E152"/>
      <c r="F152"/>
      <c r="G152"/>
      <c r="L152" s="17">
        <v>41790</v>
      </c>
    </row>
    <row r="153" spans="1:12" x14ac:dyDescent="0.55000000000000004">
      <c r="A153"/>
      <c r="B153"/>
      <c r="C153"/>
      <c r="D153"/>
      <c r="E153"/>
      <c r="F153"/>
      <c r="G153"/>
      <c r="L153" s="17">
        <v>41791</v>
      </c>
    </row>
    <row r="154" spans="1:12" x14ac:dyDescent="0.55000000000000004">
      <c r="A154"/>
      <c r="B154"/>
      <c r="C154"/>
      <c r="D154"/>
      <c r="E154"/>
      <c r="F154"/>
      <c r="G154"/>
      <c r="L154" s="17">
        <v>41792</v>
      </c>
    </row>
    <row r="155" spans="1:12" x14ac:dyDescent="0.55000000000000004">
      <c r="A155"/>
      <c r="B155"/>
      <c r="C155"/>
      <c r="D155"/>
      <c r="E155"/>
      <c r="F155"/>
      <c r="G155"/>
      <c r="L155" s="17">
        <v>41793</v>
      </c>
    </row>
    <row r="156" spans="1:12" x14ac:dyDescent="0.55000000000000004">
      <c r="A156"/>
      <c r="B156"/>
      <c r="C156"/>
      <c r="D156"/>
      <c r="E156"/>
      <c r="F156"/>
      <c r="G156"/>
      <c r="L156" s="17">
        <v>41794</v>
      </c>
    </row>
    <row r="157" spans="1:12" x14ac:dyDescent="0.55000000000000004">
      <c r="A157"/>
      <c r="B157"/>
      <c r="C157"/>
      <c r="D157"/>
      <c r="E157"/>
      <c r="F157"/>
      <c r="G157"/>
      <c r="L157" s="17">
        <v>41795</v>
      </c>
    </row>
    <row r="158" spans="1:12" x14ac:dyDescent="0.55000000000000004">
      <c r="A158"/>
      <c r="B158"/>
      <c r="C158"/>
      <c r="D158"/>
      <c r="E158"/>
      <c r="F158"/>
      <c r="G158"/>
      <c r="L158" s="17">
        <v>41796</v>
      </c>
    </row>
    <row r="159" spans="1:12" x14ac:dyDescent="0.55000000000000004">
      <c r="A159"/>
      <c r="B159"/>
      <c r="C159"/>
      <c r="D159"/>
      <c r="E159"/>
      <c r="F159"/>
      <c r="G159"/>
      <c r="L159" s="17">
        <v>41797</v>
      </c>
    </row>
    <row r="160" spans="1:12" x14ac:dyDescent="0.55000000000000004">
      <c r="A160"/>
      <c r="B160"/>
      <c r="C160"/>
      <c r="D160"/>
      <c r="E160"/>
      <c r="F160"/>
      <c r="G160"/>
      <c r="L160" s="17">
        <v>41798</v>
      </c>
    </row>
    <row r="161" spans="1:12" x14ac:dyDescent="0.55000000000000004">
      <c r="A161"/>
      <c r="B161"/>
      <c r="C161"/>
      <c r="D161"/>
      <c r="E161"/>
      <c r="F161"/>
      <c r="G161"/>
      <c r="L161" s="17">
        <v>41799</v>
      </c>
    </row>
    <row r="162" spans="1:12" x14ac:dyDescent="0.55000000000000004">
      <c r="A162"/>
      <c r="B162"/>
      <c r="C162"/>
      <c r="D162"/>
      <c r="E162"/>
      <c r="F162"/>
      <c r="G162"/>
      <c r="L162" s="17">
        <v>41800</v>
      </c>
    </row>
    <row r="163" spans="1:12" x14ac:dyDescent="0.55000000000000004">
      <c r="A163"/>
      <c r="B163"/>
      <c r="C163"/>
      <c r="D163"/>
      <c r="E163"/>
      <c r="F163"/>
      <c r="G163"/>
      <c r="L163" s="17">
        <v>41801</v>
      </c>
    </row>
    <row r="164" spans="1:12" x14ac:dyDescent="0.55000000000000004">
      <c r="A164"/>
      <c r="B164"/>
      <c r="C164"/>
      <c r="D164"/>
      <c r="E164"/>
      <c r="F164"/>
      <c r="G164"/>
      <c r="L164" s="17">
        <v>41802</v>
      </c>
    </row>
    <row r="165" spans="1:12" x14ac:dyDescent="0.55000000000000004">
      <c r="A165"/>
      <c r="B165"/>
      <c r="C165"/>
      <c r="D165"/>
      <c r="E165"/>
      <c r="F165"/>
      <c r="G165"/>
      <c r="L165" s="17">
        <v>41803</v>
      </c>
    </row>
    <row r="166" spans="1:12" x14ac:dyDescent="0.55000000000000004">
      <c r="A166"/>
      <c r="B166"/>
      <c r="C166"/>
      <c r="D166"/>
      <c r="E166"/>
      <c r="F166"/>
      <c r="G166"/>
      <c r="L166" s="17">
        <v>41804</v>
      </c>
    </row>
    <row r="167" spans="1:12" x14ac:dyDescent="0.55000000000000004">
      <c r="A167"/>
      <c r="B167"/>
      <c r="C167"/>
      <c r="D167"/>
      <c r="E167"/>
      <c r="F167"/>
      <c r="G167"/>
      <c r="L167" s="17">
        <v>41805</v>
      </c>
    </row>
    <row r="168" spans="1:12" x14ac:dyDescent="0.55000000000000004">
      <c r="A168"/>
      <c r="B168"/>
      <c r="C168"/>
      <c r="D168"/>
      <c r="E168"/>
      <c r="F168"/>
      <c r="G168"/>
      <c r="L168" s="17">
        <v>41806</v>
      </c>
    </row>
    <row r="169" spans="1:12" x14ac:dyDescent="0.55000000000000004">
      <c r="A169"/>
      <c r="B169"/>
      <c r="C169"/>
      <c r="D169"/>
      <c r="E169"/>
      <c r="F169"/>
      <c r="G169"/>
      <c r="L169" s="17">
        <v>41807</v>
      </c>
    </row>
    <row r="170" spans="1:12" x14ac:dyDescent="0.55000000000000004">
      <c r="A170"/>
      <c r="B170"/>
      <c r="C170"/>
      <c r="D170"/>
      <c r="E170"/>
      <c r="F170"/>
      <c r="G170"/>
      <c r="L170" s="17">
        <v>41808</v>
      </c>
    </row>
    <row r="171" spans="1:12" x14ac:dyDescent="0.55000000000000004">
      <c r="A171"/>
      <c r="B171"/>
      <c r="C171"/>
      <c r="D171"/>
      <c r="E171"/>
      <c r="F171"/>
      <c r="G171"/>
      <c r="L171" s="17">
        <v>41809</v>
      </c>
    </row>
    <row r="172" spans="1:12" x14ac:dyDescent="0.55000000000000004">
      <c r="A172"/>
      <c r="B172"/>
      <c r="C172"/>
      <c r="D172"/>
      <c r="E172"/>
      <c r="F172"/>
      <c r="G172"/>
      <c r="L172" s="17">
        <v>41810</v>
      </c>
    </row>
    <row r="173" spans="1:12" x14ac:dyDescent="0.55000000000000004">
      <c r="A173"/>
      <c r="B173"/>
      <c r="C173"/>
      <c r="D173"/>
      <c r="E173"/>
      <c r="F173"/>
      <c r="G173"/>
      <c r="L173" s="17">
        <v>41811</v>
      </c>
    </row>
    <row r="174" spans="1:12" x14ac:dyDescent="0.55000000000000004">
      <c r="A174"/>
      <c r="B174"/>
      <c r="C174"/>
      <c r="D174"/>
      <c r="E174"/>
      <c r="F174"/>
      <c r="G174"/>
      <c r="L174" s="17">
        <v>41812</v>
      </c>
    </row>
    <row r="175" spans="1:12" x14ac:dyDescent="0.55000000000000004">
      <c r="A175"/>
      <c r="B175"/>
      <c r="C175"/>
      <c r="D175"/>
      <c r="E175"/>
      <c r="F175"/>
      <c r="G175"/>
      <c r="L175" s="17">
        <v>41813</v>
      </c>
    </row>
    <row r="176" spans="1:12" x14ac:dyDescent="0.55000000000000004">
      <c r="A176"/>
      <c r="B176"/>
      <c r="C176"/>
      <c r="D176"/>
      <c r="E176"/>
      <c r="F176"/>
      <c r="G176"/>
      <c r="L176" s="17">
        <v>41814</v>
      </c>
    </row>
    <row r="177" spans="1:12" x14ac:dyDescent="0.55000000000000004">
      <c r="A177"/>
      <c r="B177"/>
      <c r="C177"/>
      <c r="D177"/>
      <c r="E177"/>
      <c r="F177"/>
      <c r="G177"/>
      <c r="L177" s="17">
        <v>41815</v>
      </c>
    </row>
    <row r="178" spans="1:12" x14ac:dyDescent="0.55000000000000004">
      <c r="A178"/>
      <c r="B178"/>
      <c r="C178"/>
      <c r="D178"/>
      <c r="E178"/>
      <c r="F178"/>
      <c r="G178"/>
      <c r="L178" s="17">
        <v>41816</v>
      </c>
    </row>
    <row r="179" spans="1:12" x14ac:dyDescent="0.55000000000000004">
      <c r="A179"/>
      <c r="B179"/>
      <c r="C179"/>
      <c r="D179"/>
      <c r="E179"/>
      <c r="F179"/>
      <c r="G179"/>
      <c r="L179" s="17">
        <v>41817</v>
      </c>
    </row>
    <row r="180" spans="1:12" x14ac:dyDescent="0.55000000000000004">
      <c r="A180"/>
      <c r="B180"/>
      <c r="C180"/>
      <c r="D180"/>
      <c r="E180"/>
      <c r="F180"/>
      <c r="G180"/>
      <c r="L180" s="17">
        <v>41818</v>
      </c>
    </row>
    <row r="181" spans="1:12" x14ac:dyDescent="0.55000000000000004">
      <c r="A181"/>
      <c r="B181"/>
      <c r="C181"/>
      <c r="D181"/>
      <c r="E181"/>
      <c r="F181"/>
      <c r="G181"/>
      <c r="L181" s="17">
        <v>41819</v>
      </c>
    </row>
    <row r="182" spans="1:12" x14ac:dyDescent="0.55000000000000004">
      <c r="A182"/>
      <c r="B182"/>
      <c r="C182"/>
      <c r="D182"/>
      <c r="E182"/>
      <c r="F182"/>
      <c r="G182"/>
      <c r="L182" s="17">
        <v>41820</v>
      </c>
    </row>
    <row r="183" spans="1:12" x14ac:dyDescent="0.55000000000000004">
      <c r="A183"/>
      <c r="B183"/>
      <c r="C183"/>
      <c r="D183"/>
      <c r="E183"/>
      <c r="F183"/>
      <c r="G183"/>
      <c r="L183" s="17">
        <v>41821</v>
      </c>
    </row>
    <row r="184" spans="1:12" x14ac:dyDescent="0.55000000000000004">
      <c r="A184"/>
      <c r="B184"/>
      <c r="C184"/>
      <c r="D184"/>
      <c r="E184"/>
      <c r="F184"/>
      <c r="G184"/>
      <c r="L184" s="17">
        <v>41822</v>
      </c>
    </row>
    <row r="185" spans="1:12" x14ac:dyDescent="0.55000000000000004">
      <c r="A185"/>
      <c r="B185"/>
      <c r="C185"/>
      <c r="D185"/>
      <c r="E185"/>
      <c r="F185"/>
      <c r="G185"/>
      <c r="L185" s="17">
        <v>41823</v>
      </c>
    </row>
    <row r="186" spans="1:12" x14ac:dyDescent="0.55000000000000004">
      <c r="A186"/>
      <c r="B186"/>
      <c r="C186"/>
      <c r="D186"/>
      <c r="E186"/>
      <c r="F186"/>
      <c r="G186"/>
      <c r="L186" s="17">
        <v>41824</v>
      </c>
    </row>
    <row r="187" spans="1:12" x14ac:dyDescent="0.55000000000000004">
      <c r="A187"/>
      <c r="B187"/>
      <c r="C187"/>
      <c r="D187"/>
      <c r="E187"/>
      <c r="F187"/>
      <c r="G187"/>
      <c r="L187" s="17">
        <v>41825</v>
      </c>
    </row>
    <row r="188" spans="1:12" x14ac:dyDescent="0.55000000000000004">
      <c r="A188"/>
      <c r="B188"/>
      <c r="C188"/>
      <c r="D188"/>
      <c r="E188"/>
      <c r="F188"/>
      <c r="G188"/>
      <c r="L188" s="17">
        <v>41826</v>
      </c>
    </row>
    <row r="189" spans="1:12" x14ac:dyDescent="0.55000000000000004">
      <c r="A189"/>
      <c r="B189"/>
      <c r="C189"/>
      <c r="D189"/>
      <c r="E189"/>
      <c r="F189"/>
      <c r="G189"/>
      <c r="L189" s="17">
        <v>41827</v>
      </c>
    </row>
    <row r="190" spans="1:12" x14ac:dyDescent="0.55000000000000004">
      <c r="A190"/>
      <c r="B190"/>
      <c r="C190"/>
      <c r="D190"/>
      <c r="E190"/>
      <c r="F190"/>
      <c r="G190"/>
      <c r="L190" s="17">
        <v>41828</v>
      </c>
    </row>
    <row r="191" spans="1:12" x14ac:dyDescent="0.55000000000000004">
      <c r="A191"/>
      <c r="B191"/>
      <c r="C191"/>
      <c r="D191"/>
      <c r="E191"/>
      <c r="F191"/>
      <c r="G191"/>
      <c r="L191" s="17">
        <v>41829</v>
      </c>
    </row>
    <row r="192" spans="1:12" x14ac:dyDescent="0.55000000000000004">
      <c r="A192"/>
      <c r="B192"/>
      <c r="C192"/>
      <c r="D192"/>
      <c r="E192"/>
      <c r="F192"/>
      <c r="G192"/>
      <c r="L192" s="17">
        <v>41830</v>
      </c>
    </row>
    <row r="193" spans="1:12" x14ac:dyDescent="0.55000000000000004">
      <c r="A193"/>
      <c r="B193"/>
      <c r="C193"/>
      <c r="D193"/>
      <c r="E193"/>
      <c r="F193"/>
      <c r="G193"/>
      <c r="L193" s="17">
        <v>41831</v>
      </c>
    </row>
    <row r="194" spans="1:12" x14ac:dyDescent="0.55000000000000004">
      <c r="A194"/>
      <c r="B194"/>
      <c r="C194"/>
      <c r="D194"/>
      <c r="E194"/>
      <c r="F194"/>
      <c r="G194"/>
      <c r="L194" s="17">
        <v>41832</v>
      </c>
    </row>
    <row r="195" spans="1:12" x14ac:dyDescent="0.55000000000000004">
      <c r="A195"/>
      <c r="B195"/>
      <c r="C195"/>
      <c r="D195"/>
      <c r="E195"/>
      <c r="F195"/>
      <c r="G195"/>
      <c r="L195" s="17">
        <v>41833</v>
      </c>
    </row>
    <row r="196" spans="1:12" x14ac:dyDescent="0.55000000000000004">
      <c r="A196"/>
      <c r="B196"/>
      <c r="C196"/>
      <c r="D196"/>
      <c r="E196"/>
      <c r="F196"/>
      <c r="G196"/>
      <c r="L196" s="17">
        <v>41834</v>
      </c>
    </row>
    <row r="197" spans="1:12" x14ac:dyDescent="0.55000000000000004">
      <c r="A197"/>
      <c r="B197"/>
      <c r="C197"/>
      <c r="D197"/>
      <c r="E197"/>
      <c r="F197"/>
      <c r="G197"/>
      <c r="L197" s="17">
        <v>41835</v>
      </c>
    </row>
    <row r="198" spans="1:12" x14ac:dyDescent="0.55000000000000004">
      <c r="A198"/>
      <c r="B198"/>
      <c r="C198"/>
      <c r="D198"/>
      <c r="E198"/>
      <c r="F198"/>
      <c r="G198"/>
      <c r="L198" s="17">
        <v>41836</v>
      </c>
    </row>
    <row r="199" spans="1:12" x14ac:dyDescent="0.55000000000000004">
      <c r="A199"/>
      <c r="B199"/>
      <c r="C199"/>
      <c r="D199"/>
      <c r="E199"/>
      <c r="F199"/>
      <c r="G199"/>
      <c r="L199" s="17">
        <v>41837</v>
      </c>
    </row>
    <row r="200" spans="1:12" x14ac:dyDescent="0.55000000000000004">
      <c r="A200"/>
      <c r="B200"/>
      <c r="C200"/>
      <c r="D200"/>
      <c r="E200"/>
      <c r="F200"/>
      <c r="G200"/>
      <c r="L200" s="17">
        <v>41838</v>
      </c>
    </row>
    <row r="201" spans="1:12" x14ac:dyDescent="0.55000000000000004">
      <c r="A201"/>
      <c r="B201"/>
      <c r="C201"/>
      <c r="D201"/>
      <c r="E201"/>
      <c r="F201"/>
      <c r="G201"/>
      <c r="L201" s="17">
        <v>41839</v>
      </c>
    </row>
    <row r="202" spans="1:12" x14ac:dyDescent="0.55000000000000004">
      <c r="A202"/>
      <c r="B202"/>
      <c r="C202"/>
      <c r="D202"/>
      <c r="E202"/>
      <c r="F202"/>
      <c r="G202"/>
      <c r="L202" s="17">
        <v>41840</v>
      </c>
    </row>
    <row r="203" spans="1:12" x14ac:dyDescent="0.55000000000000004">
      <c r="A203"/>
      <c r="B203"/>
      <c r="C203"/>
      <c r="D203"/>
      <c r="E203"/>
      <c r="F203"/>
      <c r="G203"/>
      <c r="L203" s="17">
        <v>41841</v>
      </c>
    </row>
    <row r="204" spans="1:12" x14ac:dyDescent="0.55000000000000004">
      <c r="A204"/>
      <c r="B204"/>
      <c r="C204"/>
      <c r="D204"/>
      <c r="E204"/>
      <c r="F204"/>
      <c r="G204"/>
      <c r="L204" s="17">
        <v>41842</v>
      </c>
    </row>
    <row r="205" spans="1:12" x14ac:dyDescent="0.55000000000000004">
      <c r="A205"/>
      <c r="B205"/>
      <c r="C205"/>
      <c r="D205"/>
      <c r="E205"/>
      <c r="F205"/>
      <c r="G205"/>
      <c r="L205" s="17">
        <v>41843</v>
      </c>
    </row>
    <row r="206" spans="1:12" x14ac:dyDescent="0.55000000000000004">
      <c r="A206"/>
      <c r="B206"/>
      <c r="C206"/>
      <c r="D206"/>
      <c r="E206"/>
      <c r="F206"/>
      <c r="G206"/>
      <c r="L206" s="17">
        <v>41844</v>
      </c>
    </row>
    <row r="207" spans="1:12" x14ac:dyDescent="0.55000000000000004">
      <c r="A207"/>
      <c r="B207"/>
      <c r="C207"/>
      <c r="D207"/>
      <c r="E207"/>
      <c r="F207"/>
      <c r="G207"/>
      <c r="L207" s="17">
        <v>41845</v>
      </c>
    </row>
    <row r="208" spans="1:12" x14ac:dyDescent="0.55000000000000004">
      <c r="A208"/>
      <c r="B208"/>
      <c r="C208"/>
      <c r="D208"/>
      <c r="E208"/>
      <c r="F208"/>
      <c r="G208"/>
      <c r="L208" s="17">
        <v>41846</v>
      </c>
    </row>
    <row r="209" spans="1:12" x14ac:dyDescent="0.55000000000000004">
      <c r="A209"/>
      <c r="B209"/>
      <c r="C209"/>
      <c r="D209"/>
      <c r="E209"/>
      <c r="F209"/>
      <c r="G209"/>
      <c r="L209" s="17">
        <v>41847</v>
      </c>
    </row>
    <row r="210" spans="1:12" x14ac:dyDescent="0.55000000000000004">
      <c r="A210"/>
      <c r="B210"/>
      <c r="C210"/>
      <c r="D210"/>
      <c r="E210"/>
      <c r="F210"/>
      <c r="G210"/>
      <c r="L210" s="17">
        <v>41848</v>
      </c>
    </row>
    <row r="211" spans="1:12" x14ac:dyDescent="0.55000000000000004">
      <c r="A211"/>
      <c r="B211"/>
      <c r="C211"/>
      <c r="D211"/>
      <c r="E211"/>
      <c r="F211"/>
      <c r="G211"/>
      <c r="L211" s="17">
        <v>41849</v>
      </c>
    </row>
    <row r="212" spans="1:12" x14ac:dyDescent="0.55000000000000004">
      <c r="A212"/>
      <c r="B212"/>
      <c r="C212"/>
      <c r="D212"/>
      <c r="E212"/>
      <c r="F212"/>
      <c r="G212"/>
      <c r="L212" s="17">
        <v>41850</v>
      </c>
    </row>
    <row r="213" spans="1:12" x14ac:dyDescent="0.55000000000000004">
      <c r="A213"/>
      <c r="B213"/>
      <c r="C213"/>
      <c r="D213"/>
      <c r="E213"/>
      <c r="F213"/>
      <c r="G213"/>
      <c r="L213" s="17">
        <v>41851</v>
      </c>
    </row>
    <row r="214" spans="1:12" x14ac:dyDescent="0.55000000000000004">
      <c r="A214"/>
      <c r="B214"/>
      <c r="C214"/>
      <c r="D214"/>
      <c r="E214"/>
      <c r="F214"/>
      <c r="G214"/>
      <c r="L214" s="17">
        <v>41852</v>
      </c>
    </row>
    <row r="215" spans="1:12" x14ac:dyDescent="0.55000000000000004">
      <c r="A215"/>
      <c r="B215"/>
      <c r="C215"/>
      <c r="D215"/>
      <c r="E215"/>
      <c r="F215"/>
      <c r="G215"/>
      <c r="L215" s="17">
        <v>41853</v>
      </c>
    </row>
    <row r="216" spans="1:12" x14ac:dyDescent="0.55000000000000004">
      <c r="A216"/>
      <c r="B216"/>
      <c r="C216"/>
      <c r="D216"/>
      <c r="E216"/>
      <c r="F216"/>
      <c r="G216"/>
      <c r="L216" s="17">
        <v>41854</v>
      </c>
    </row>
    <row r="217" spans="1:12" x14ac:dyDescent="0.55000000000000004">
      <c r="A217"/>
      <c r="B217"/>
      <c r="C217"/>
      <c r="D217"/>
      <c r="E217"/>
      <c r="F217"/>
      <c r="G217"/>
      <c r="L217" s="17">
        <v>41855</v>
      </c>
    </row>
    <row r="218" spans="1:12" x14ac:dyDescent="0.55000000000000004">
      <c r="A218"/>
      <c r="B218"/>
      <c r="C218"/>
      <c r="D218"/>
      <c r="E218"/>
      <c r="F218"/>
      <c r="G218"/>
      <c r="L218" s="17">
        <v>41856</v>
      </c>
    </row>
    <row r="219" spans="1:12" x14ac:dyDescent="0.55000000000000004">
      <c r="A219"/>
      <c r="B219"/>
      <c r="C219"/>
      <c r="D219"/>
      <c r="E219"/>
      <c r="F219"/>
      <c r="G219"/>
      <c r="L219" s="17">
        <v>41857</v>
      </c>
    </row>
    <row r="220" spans="1:12" x14ac:dyDescent="0.55000000000000004">
      <c r="A220"/>
      <c r="B220"/>
      <c r="C220"/>
      <c r="D220"/>
      <c r="E220"/>
      <c r="F220"/>
      <c r="G220"/>
      <c r="L220" s="17">
        <v>41858</v>
      </c>
    </row>
    <row r="221" spans="1:12" x14ac:dyDescent="0.55000000000000004">
      <c r="A221"/>
      <c r="B221"/>
      <c r="C221"/>
      <c r="D221"/>
      <c r="E221"/>
      <c r="F221"/>
      <c r="G221"/>
      <c r="L221" s="17">
        <v>41859</v>
      </c>
    </row>
    <row r="222" spans="1:12" x14ac:dyDescent="0.55000000000000004">
      <c r="A222"/>
      <c r="B222"/>
      <c r="C222"/>
      <c r="D222"/>
      <c r="E222"/>
      <c r="F222"/>
      <c r="G222"/>
      <c r="L222" s="17">
        <v>41860</v>
      </c>
    </row>
    <row r="223" spans="1:12" x14ac:dyDescent="0.55000000000000004">
      <c r="A223"/>
      <c r="B223"/>
      <c r="C223"/>
      <c r="D223"/>
      <c r="E223"/>
      <c r="F223"/>
      <c r="G223"/>
      <c r="L223" s="17">
        <v>41861</v>
      </c>
    </row>
    <row r="224" spans="1:12" x14ac:dyDescent="0.55000000000000004">
      <c r="A224"/>
      <c r="B224"/>
      <c r="C224"/>
      <c r="D224"/>
      <c r="E224"/>
      <c r="F224"/>
      <c r="G224"/>
      <c r="L224" s="17">
        <v>41862</v>
      </c>
    </row>
    <row r="225" spans="1:12" x14ac:dyDescent="0.55000000000000004">
      <c r="A225"/>
      <c r="B225"/>
      <c r="C225"/>
      <c r="D225"/>
      <c r="E225"/>
      <c r="F225"/>
      <c r="G225"/>
      <c r="L225" s="17">
        <v>41863</v>
      </c>
    </row>
    <row r="226" spans="1:12" x14ac:dyDescent="0.55000000000000004">
      <c r="A226"/>
      <c r="B226"/>
      <c r="C226"/>
      <c r="D226"/>
      <c r="E226"/>
      <c r="F226"/>
      <c r="G226"/>
      <c r="L226" s="17">
        <v>41864</v>
      </c>
    </row>
    <row r="227" spans="1:12" x14ac:dyDescent="0.55000000000000004">
      <c r="A227"/>
      <c r="B227"/>
      <c r="C227"/>
      <c r="D227"/>
      <c r="E227"/>
      <c r="F227"/>
      <c r="G227"/>
      <c r="L227" s="17">
        <v>41865</v>
      </c>
    </row>
    <row r="228" spans="1:12" x14ac:dyDescent="0.55000000000000004">
      <c r="A228"/>
      <c r="B228"/>
      <c r="C228"/>
      <c r="D228"/>
      <c r="E228"/>
      <c r="F228"/>
      <c r="G228"/>
      <c r="L228" s="17">
        <v>41866</v>
      </c>
    </row>
    <row r="229" spans="1:12" x14ac:dyDescent="0.55000000000000004">
      <c r="A229"/>
      <c r="B229"/>
      <c r="C229"/>
      <c r="D229"/>
      <c r="E229"/>
      <c r="F229"/>
      <c r="G229"/>
      <c r="L229" s="17">
        <v>41867</v>
      </c>
    </row>
    <row r="230" spans="1:12" x14ac:dyDescent="0.55000000000000004">
      <c r="A230"/>
      <c r="B230"/>
      <c r="C230"/>
      <c r="D230"/>
      <c r="E230"/>
      <c r="F230"/>
      <c r="G230"/>
      <c r="L230" s="17">
        <v>41868</v>
      </c>
    </row>
    <row r="231" spans="1:12" x14ac:dyDescent="0.55000000000000004">
      <c r="A231"/>
      <c r="B231"/>
      <c r="C231"/>
      <c r="D231"/>
      <c r="E231"/>
      <c r="F231"/>
      <c r="G231"/>
      <c r="L231" s="17">
        <v>41869</v>
      </c>
    </row>
    <row r="232" spans="1:12" x14ac:dyDescent="0.55000000000000004">
      <c r="A232"/>
      <c r="B232"/>
      <c r="C232"/>
      <c r="D232"/>
      <c r="E232"/>
      <c r="F232"/>
      <c r="G232"/>
      <c r="L232" s="17">
        <v>41870</v>
      </c>
    </row>
    <row r="233" spans="1:12" x14ac:dyDescent="0.55000000000000004">
      <c r="A233"/>
      <c r="B233"/>
      <c r="C233"/>
      <c r="D233"/>
      <c r="E233"/>
      <c r="F233"/>
      <c r="G233"/>
      <c r="L233" s="17">
        <v>41871</v>
      </c>
    </row>
    <row r="234" spans="1:12" x14ac:dyDescent="0.55000000000000004">
      <c r="A234"/>
      <c r="B234"/>
      <c r="C234"/>
      <c r="D234"/>
      <c r="E234"/>
      <c r="F234"/>
      <c r="G234"/>
      <c r="L234" s="17">
        <v>41872</v>
      </c>
    </row>
    <row r="235" spans="1:12" x14ac:dyDescent="0.55000000000000004">
      <c r="A235"/>
      <c r="B235"/>
      <c r="C235"/>
      <c r="D235"/>
      <c r="E235"/>
      <c r="F235"/>
      <c r="G235"/>
      <c r="L235" s="17">
        <v>41873</v>
      </c>
    </row>
    <row r="236" spans="1:12" x14ac:dyDescent="0.55000000000000004">
      <c r="A236"/>
      <c r="B236"/>
      <c r="C236"/>
      <c r="D236"/>
      <c r="E236"/>
      <c r="F236"/>
      <c r="G236"/>
      <c r="L236" s="17">
        <v>41874</v>
      </c>
    </row>
    <row r="237" spans="1:12" x14ac:dyDescent="0.55000000000000004">
      <c r="A237"/>
      <c r="B237"/>
      <c r="C237"/>
      <c r="D237"/>
      <c r="E237"/>
      <c r="F237"/>
      <c r="G237"/>
      <c r="L237" s="17">
        <v>41875</v>
      </c>
    </row>
    <row r="238" spans="1:12" x14ac:dyDescent="0.55000000000000004">
      <c r="A238"/>
      <c r="B238"/>
      <c r="C238"/>
      <c r="D238"/>
      <c r="E238"/>
      <c r="F238"/>
      <c r="G238"/>
      <c r="L238" s="17">
        <v>41876</v>
      </c>
    </row>
    <row r="239" spans="1:12" x14ac:dyDescent="0.55000000000000004">
      <c r="A239"/>
      <c r="B239"/>
      <c r="C239"/>
      <c r="D239"/>
      <c r="E239"/>
      <c r="F239"/>
      <c r="G239"/>
      <c r="L239" s="17">
        <v>41877</v>
      </c>
    </row>
    <row r="240" spans="1:12" x14ac:dyDescent="0.55000000000000004">
      <c r="A240"/>
      <c r="B240"/>
      <c r="C240"/>
      <c r="D240"/>
      <c r="E240"/>
      <c r="F240"/>
      <c r="G240"/>
      <c r="L240" s="17">
        <v>41878</v>
      </c>
    </row>
    <row r="241" spans="1:12" x14ac:dyDescent="0.55000000000000004">
      <c r="A241"/>
      <c r="B241"/>
      <c r="C241"/>
      <c r="D241"/>
      <c r="E241"/>
      <c r="F241"/>
      <c r="G241"/>
      <c r="L241" s="17">
        <v>41879</v>
      </c>
    </row>
    <row r="242" spans="1:12" x14ac:dyDescent="0.55000000000000004">
      <c r="A242"/>
      <c r="B242"/>
      <c r="C242"/>
      <c r="D242"/>
      <c r="E242"/>
      <c r="F242"/>
      <c r="G242"/>
      <c r="L242" s="17">
        <v>41880</v>
      </c>
    </row>
    <row r="243" spans="1:12" x14ac:dyDescent="0.55000000000000004">
      <c r="A243"/>
      <c r="B243"/>
      <c r="C243"/>
      <c r="D243"/>
      <c r="E243"/>
      <c r="F243"/>
      <c r="G243"/>
      <c r="L243" s="17">
        <v>41881</v>
      </c>
    </row>
    <row r="244" spans="1:12" x14ac:dyDescent="0.55000000000000004">
      <c r="A244"/>
      <c r="B244"/>
      <c r="C244"/>
      <c r="D244"/>
      <c r="E244"/>
      <c r="F244"/>
      <c r="G244"/>
      <c r="L244" s="17">
        <v>41882</v>
      </c>
    </row>
    <row r="245" spans="1:12" x14ac:dyDescent="0.55000000000000004">
      <c r="A245"/>
      <c r="B245"/>
      <c r="C245"/>
      <c r="D245"/>
      <c r="E245"/>
      <c r="F245"/>
      <c r="G245"/>
      <c r="L245" s="17">
        <v>41883</v>
      </c>
    </row>
    <row r="246" spans="1:12" x14ac:dyDescent="0.55000000000000004">
      <c r="A246"/>
      <c r="B246"/>
      <c r="C246"/>
      <c r="D246"/>
      <c r="E246"/>
      <c r="F246"/>
      <c r="G246"/>
      <c r="L246" s="17">
        <v>41884</v>
      </c>
    </row>
    <row r="247" spans="1:12" x14ac:dyDescent="0.55000000000000004">
      <c r="A247"/>
      <c r="B247"/>
      <c r="C247"/>
      <c r="D247"/>
      <c r="E247"/>
      <c r="F247"/>
      <c r="G247"/>
      <c r="L247" s="17">
        <v>41885</v>
      </c>
    </row>
    <row r="248" spans="1:12" x14ac:dyDescent="0.55000000000000004">
      <c r="A248"/>
      <c r="B248"/>
      <c r="C248"/>
      <c r="D248"/>
      <c r="E248"/>
      <c r="F248"/>
      <c r="G248"/>
      <c r="L248" s="17">
        <v>41886</v>
      </c>
    </row>
    <row r="249" spans="1:12" x14ac:dyDescent="0.55000000000000004">
      <c r="A249"/>
      <c r="B249"/>
      <c r="C249"/>
      <c r="D249"/>
      <c r="E249"/>
      <c r="F249"/>
      <c r="G249"/>
      <c r="L249" s="17">
        <v>41887</v>
      </c>
    </row>
    <row r="250" spans="1:12" x14ac:dyDescent="0.55000000000000004">
      <c r="A250"/>
      <c r="B250"/>
      <c r="C250"/>
      <c r="D250"/>
      <c r="E250"/>
      <c r="F250"/>
      <c r="G250"/>
      <c r="L250" s="17">
        <v>41888</v>
      </c>
    </row>
    <row r="251" spans="1:12" x14ac:dyDescent="0.55000000000000004">
      <c r="A251"/>
      <c r="B251"/>
      <c r="C251"/>
      <c r="D251"/>
      <c r="E251"/>
      <c r="F251"/>
      <c r="G251"/>
      <c r="L251" s="17">
        <v>41889</v>
      </c>
    </row>
    <row r="252" spans="1:12" x14ac:dyDescent="0.55000000000000004">
      <c r="A252"/>
      <c r="B252"/>
      <c r="C252"/>
      <c r="D252"/>
      <c r="E252"/>
      <c r="F252"/>
      <c r="G252"/>
      <c r="L252" s="17">
        <v>41890</v>
      </c>
    </row>
    <row r="253" spans="1:12" x14ac:dyDescent="0.55000000000000004">
      <c r="A253"/>
      <c r="B253"/>
      <c r="C253"/>
      <c r="D253"/>
      <c r="E253"/>
      <c r="F253"/>
      <c r="G253"/>
      <c r="L253" s="17">
        <v>41891</v>
      </c>
    </row>
    <row r="254" spans="1:12" x14ac:dyDescent="0.55000000000000004">
      <c r="A254"/>
      <c r="B254"/>
      <c r="C254"/>
      <c r="D254"/>
      <c r="E254"/>
      <c r="F254"/>
      <c r="G254"/>
      <c r="L254" s="17">
        <v>41892</v>
      </c>
    </row>
    <row r="255" spans="1:12" x14ac:dyDescent="0.55000000000000004">
      <c r="A255"/>
      <c r="B255"/>
      <c r="C255"/>
      <c r="D255"/>
      <c r="E255"/>
      <c r="F255"/>
      <c r="G255"/>
      <c r="L255" s="17">
        <v>41893</v>
      </c>
    </row>
    <row r="256" spans="1:12" x14ac:dyDescent="0.55000000000000004">
      <c r="A256"/>
      <c r="B256"/>
      <c r="C256"/>
      <c r="D256"/>
      <c r="E256"/>
      <c r="F256"/>
      <c r="G256"/>
      <c r="L256" s="17">
        <v>41894</v>
      </c>
    </row>
    <row r="257" spans="1:12" x14ac:dyDescent="0.55000000000000004">
      <c r="A257"/>
      <c r="B257"/>
      <c r="C257"/>
      <c r="D257"/>
      <c r="E257"/>
      <c r="F257"/>
      <c r="G257"/>
      <c r="L257" s="17">
        <v>41895</v>
      </c>
    </row>
    <row r="258" spans="1:12" x14ac:dyDescent="0.55000000000000004">
      <c r="A258"/>
      <c r="B258"/>
      <c r="C258"/>
      <c r="D258"/>
      <c r="E258"/>
      <c r="F258"/>
      <c r="G258"/>
      <c r="L258" s="17">
        <v>41896</v>
      </c>
    </row>
    <row r="259" spans="1:12" x14ac:dyDescent="0.55000000000000004">
      <c r="A259"/>
      <c r="B259"/>
      <c r="C259"/>
      <c r="D259"/>
      <c r="E259"/>
      <c r="F259"/>
      <c r="G259"/>
      <c r="L259" s="17">
        <v>41897</v>
      </c>
    </row>
    <row r="260" spans="1:12" x14ac:dyDescent="0.55000000000000004">
      <c r="A260"/>
      <c r="B260"/>
      <c r="C260"/>
      <c r="D260"/>
      <c r="E260"/>
      <c r="F260"/>
      <c r="G260"/>
      <c r="L260" s="17">
        <v>41898</v>
      </c>
    </row>
    <row r="261" spans="1:12" x14ac:dyDescent="0.55000000000000004">
      <c r="A261"/>
      <c r="B261"/>
      <c r="C261"/>
      <c r="D261"/>
      <c r="E261"/>
      <c r="F261"/>
      <c r="G261"/>
      <c r="L261" s="17">
        <v>41899</v>
      </c>
    </row>
    <row r="262" spans="1:12" x14ac:dyDescent="0.55000000000000004">
      <c r="A262"/>
      <c r="B262"/>
      <c r="C262"/>
      <c r="D262"/>
      <c r="E262"/>
      <c r="F262"/>
      <c r="G262"/>
      <c r="L262" s="17">
        <v>41900</v>
      </c>
    </row>
    <row r="263" spans="1:12" x14ac:dyDescent="0.55000000000000004">
      <c r="A263"/>
      <c r="B263"/>
      <c r="C263"/>
      <c r="D263"/>
      <c r="E263"/>
      <c r="F263"/>
      <c r="G263"/>
      <c r="L263" s="17">
        <v>41901</v>
      </c>
    </row>
    <row r="264" spans="1:12" x14ac:dyDescent="0.55000000000000004">
      <c r="A264"/>
      <c r="B264"/>
      <c r="C264"/>
      <c r="D264"/>
      <c r="E264"/>
      <c r="F264"/>
      <c r="G264"/>
      <c r="L264" s="17">
        <v>41902</v>
      </c>
    </row>
    <row r="265" spans="1:12" x14ac:dyDescent="0.55000000000000004">
      <c r="A265"/>
      <c r="B265"/>
      <c r="C265"/>
      <c r="D265"/>
      <c r="E265"/>
      <c r="F265"/>
      <c r="G265"/>
      <c r="L265" s="17">
        <v>41903</v>
      </c>
    </row>
    <row r="266" spans="1:12" x14ac:dyDescent="0.55000000000000004">
      <c r="A266"/>
      <c r="B266"/>
      <c r="C266"/>
      <c r="D266"/>
      <c r="E266"/>
      <c r="F266"/>
      <c r="G266"/>
      <c r="L266" s="17">
        <v>41904</v>
      </c>
    </row>
    <row r="267" spans="1:12" x14ac:dyDescent="0.55000000000000004">
      <c r="A267"/>
      <c r="B267"/>
      <c r="C267"/>
      <c r="D267"/>
      <c r="E267"/>
      <c r="F267"/>
      <c r="G267"/>
      <c r="L267" s="17">
        <v>41905</v>
      </c>
    </row>
    <row r="268" spans="1:12" x14ac:dyDescent="0.55000000000000004">
      <c r="A268"/>
      <c r="B268"/>
      <c r="C268"/>
      <c r="D268"/>
      <c r="E268"/>
      <c r="F268"/>
      <c r="G268"/>
      <c r="L268" s="17">
        <v>41906</v>
      </c>
    </row>
    <row r="269" spans="1:12" x14ac:dyDescent="0.55000000000000004">
      <c r="A269"/>
      <c r="B269"/>
      <c r="C269"/>
      <c r="D269"/>
      <c r="E269"/>
      <c r="F269"/>
      <c r="G269"/>
      <c r="L269" s="17">
        <v>41907</v>
      </c>
    </row>
    <row r="270" spans="1:12" x14ac:dyDescent="0.55000000000000004">
      <c r="A270"/>
      <c r="B270"/>
      <c r="C270"/>
      <c r="D270"/>
      <c r="E270"/>
      <c r="F270"/>
      <c r="G270"/>
      <c r="L270" s="17">
        <v>41908</v>
      </c>
    </row>
    <row r="271" spans="1:12" x14ac:dyDescent="0.55000000000000004">
      <c r="A271"/>
      <c r="B271"/>
      <c r="C271"/>
      <c r="D271"/>
      <c r="E271"/>
      <c r="F271"/>
      <c r="G271"/>
      <c r="L271" s="17">
        <v>41909</v>
      </c>
    </row>
    <row r="272" spans="1:12" x14ac:dyDescent="0.55000000000000004">
      <c r="A272"/>
      <c r="B272"/>
      <c r="C272"/>
      <c r="D272"/>
      <c r="E272"/>
      <c r="F272"/>
      <c r="G272"/>
      <c r="L272" s="17">
        <v>41910</v>
      </c>
    </row>
    <row r="273" spans="1:12" x14ac:dyDescent="0.55000000000000004">
      <c r="A273"/>
      <c r="B273"/>
      <c r="C273"/>
      <c r="D273"/>
      <c r="E273"/>
      <c r="F273"/>
      <c r="G273"/>
      <c r="L273" s="17">
        <v>41911</v>
      </c>
    </row>
    <row r="274" spans="1:12" x14ac:dyDescent="0.55000000000000004">
      <c r="A274"/>
      <c r="B274"/>
      <c r="C274"/>
      <c r="D274"/>
      <c r="E274"/>
      <c r="F274"/>
      <c r="G274"/>
      <c r="L274" s="17">
        <v>41912</v>
      </c>
    </row>
    <row r="275" spans="1:12" x14ac:dyDescent="0.55000000000000004">
      <c r="A275"/>
      <c r="B275"/>
      <c r="C275"/>
      <c r="D275"/>
      <c r="E275"/>
      <c r="F275"/>
      <c r="G275"/>
      <c r="L275" s="17">
        <v>41913</v>
      </c>
    </row>
    <row r="276" spans="1:12" x14ac:dyDescent="0.55000000000000004">
      <c r="A276"/>
      <c r="B276"/>
      <c r="C276"/>
      <c r="D276"/>
      <c r="E276"/>
      <c r="F276"/>
      <c r="G276"/>
      <c r="L276" s="17">
        <v>41914</v>
      </c>
    </row>
    <row r="277" spans="1:12" x14ac:dyDescent="0.55000000000000004">
      <c r="A277"/>
      <c r="B277"/>
      <c r="C277"/>
      <c r="D277"/>
      <c r="E277"/>
      <c r="F277"/>
      <c r="G277"/>
      <c r="L277" s="17">
        <v>41915</v>
      </c>
    </row>
    <row r="278" spans="1:12" x14ac:dyDescent="0.55000000000000004">
      <c r="A278"/>
      <c r="B278"/>
      <c r="C278"/>
      <c r="D278"/>
      <c r="E278"/>
      <c r="F278"/>
      <c r="G278"/>
      <c r="L278" s="17">
        <v>41916</v>
      </c>
    </row>
    <row r="279" spans="1:12" x14ac:dyDescent="0.55000000000000004">
      <c r="A279"/>
      <c r="B279"/>
      <c r="C279"/>
      <c r="D279"/>
      <c r="E279"/>
      <c r="F279"/>
      <c r="G279"/>
      <c r="L279" s="17">
        <v>41917</v>
      </c>
    </row>
    <row r="280" spans="1:12" x14ac:dyDescent="0.55000000000000004">
      <c r="A280"/>
      <c r="B280"/>
      <c r="C280"/>
      <c r="D280"/>
      <c r="E280"/>
      <c r="F280"/>
      <c r="G280"/>
      <c r="L280" s="17">
        <v>41918</v>
      </c>
    </row>
    <row r="281" spans="1:12" x14ac:dyDescent="0.55000000000000004">
      <c r="A281"/>
      <c r="B281"/>
      <c r="C281"/>
      <c r="D281"/>
      <c r="E281"/>
      <c r="F281"/>
      <c r="G281"/>
      <c r="L281" s="17">
        <v>41919</v>
      </c>
    </row>
    <row r="282" spans="1:12" x14ac:dyDescent="0.55000000000000004">
      <c r="A282"/>
      <c r="B282"/>
      <c r="C282"/>
      <c r="D282"/>
      <c r="E282"/>
      <c r="F282"/>
      <c r="G282"/>
      <c r="L282" s="17">
        <v>41920</v>
      </c>
    </row>
    <row r="283" spans="1:12" x14ac:dyDescent="0.55000000000000004">
      <c r="A283"/>
      <c r="B283"/>
      <c r="C283"/>
      <c r="D283"/>
      <c r="E283"/>
      <c r="F283"/>
      <c r="G283"/>
      <c r="L283" s="17">
        <v>41921</v>
      </c>
    </row>
    <row r="284" spans="1:12" x14ac:dyDescent="0.55000000000000004">
      <c r="A284"/>
      <c r="B284"/>
      <c r="C284"/>
      <c r="D284"/>
      <c r="E284"/>
      <c r="F284"/>
      <c r="G284"/>
      <c r="L284" s="17">
        <v>41922</v>
      </c>
    </row>
    <row r="285" spans="1:12" x14ac:dyDescent="0.55000000000000004">
      <c r="A285"/>
      <c r="B285"/>
      <c r="C285"/>
      <c r="D285"/>
      <c r="E285"/>
      <c r="F285"/>
      <c r="G285"/>
      <c r="L285" s="17">
        <v>41923</v>
      </c>
    </row>
    <row r="286" spans="1:12" x14ac:dyDescent="0.55000000000000004">
      <c r="A286"/>
      <c r="B286"/>
      <c r="C286"/>
      <c r="D286"/>
      <c r="E286"/>
      <c r="F286"/>
      <c r="G286"/>
      <c r="L286" s="17">
        <v>41924</v>
      </c>
    </row>
    <row r="287" spans="1:12" x14ac:dyDescent="0.55000000000000004">
      <c r="A287"/>
      <c r="B287"/>
      <c r="C287"/>
      <c r="D287"/>
      <c r="E287"/>
      <c r="F287"/>
      <c r="G287"/>
      <c r="L287" s="17">
        <v>41925</v>
      </c>
    </row>
    <row r="288" spans="1:12" x14ac:dyDescent="0.55000000000000004">
      <c r="A288"/>
      <c r="B288"/>
      <c r="C288"/>
      <c r="D288"/>
      <c r="E288"/>
      <c r="F288"/>
      <c r="G288"/>
      <c r="L288" s="17">
        <v>41926</v>
      </c>
    </row>
    <row r="289" spans="1:12" x14ac:dyDescent="0.55000000000000004">
      <c r="A289"/>
      <c r="B289"/>
      <c r="C289"/>
      <c r="D289"/>
      <c r="E289"/>
      <c r="F289"/>
      <c r="G289"/>
      <c r="L289" s="17">
        <v>41927</v>
      </c>
    </row>
    <row r="290" spans="1:12" x14ac:dyDescent="0.55000000000000004">
      <c r="A290"/>
      <c r="B290"/>
      <c r="C290"/>
      <c r="D290"/>
      <c r="E290"/>
      <c r="F290"/>
      <c r="G290"/>
      <c r="L290" s="17">
        <v>41928</v>
      </c>
    </row>
    <row r="291" spans="1:12" x14ac:dyDescent="0.55000000000000004">
      <c r="A291"/>
      <c r="B291"/>
      <c r="C291"/>
      <c r="D291"/>
      <c r="E291"/>
      <c r="F291"/>
      <c r="G291"/>
      <c r="L291" s="17">
        <v>41929</v>
      </c>
    </row>
    <row r="292" spans="1:12" x14ac:dyDescent="0.55000000000000004">
      <c r="A292"/>
      <c r="B292"/>
      <c r="C292"/>
      <c r="D292"/>
      <c r="E292"/>
      <c r="F292"/>
      <c r="G292"/>
      <c r="L292" s="17">
        <v>41930</v>
      </c>
    </row>
    <row r="293" spans="1:12" x14ac:dyDescent="0.55000000000000004">
      <c r="A293"/>
      <c r="B293"/>
      <c r="C293"/>
      <c r="D293"/>
      <c r="E293"/>
      <c r="F293"/>
      <c r="G293"/>
      <c r="L293" s="17">
        <v>41931</v>
      </c>
    </row>
    <row r="294" spans="1:12" x14ac:dyDescent="0.55000000000000004">
      <c r="A294"/>
      <c r="B294"/>
      <c r="C294"/>
      <c r="D294"/>
      <c r="E294"/>
      <c r="F294"/>
      <c r="G294"/>
      <c r="L294" s="17">
        <v>41932</v>
      </c>
    </row>
    <row r="295" spans="1:12" x14ac:dyDescent="0.55000000000000004">
      <c r="A295"/>
      <c r="B295"/>
      <c r="C295"/>
      <c r="D295"/>
      <c r="E295"/>
      <c r="F295"/>
      <c r="G295"/>
      <c r="L295" s="17">
        <v>41933</v>
      </c>
    </row>
    <row r="296" spans="1:12" x14ac:dyDescent="0.55000000000000004">
      <c r="A296"/>
      <c r="B296"/>
      <c r="C296"/>
      <c r="D296"/>
      <c r="E296"/>
      <c r="F296"/>
      <c r="G296"/>
      <c r="L296" s="17">
        <v>41934</v>
      </c>
    </row>
    <row r="297" spans="1:12" x14ac:dyDescent="0.55000000000000004">
      <c r="A297"/>
      <c r="B297"/>
      <c r="C297"/>
      <c r="D297"/>
      <c r="E297"/>
      <c r="F297"/>
      <c r="G297"/>
      <c r="L297" s="17">
        <v>41935</v>
      </c>
    </row>
    <row r="298" spans="1:12" x14ac:dyDescent="0.55000000000000004">
      <c r="A298"/>
      <c r="B298"/>
      <c r="C298"/>
      <c r="D298"/>
      <c r="E298"/>
      <c r="F298"/>
      <c r="G298"/>
      <c r="L298" s="17">
        <v>41936</v>
      </c>
    </row>
    <row r="299" spans="1:12" x14ac:dyDescent="0.55000000000000004">
      <c r="A299"/>
      <c r="B299"/>
      <c r="C299"/>
      <c r="D299"/>
      <c r="E299"/>
      <c r="F299"/>
      <c r="G299"/>
      <c r="L299" s="17">
        <v>41937</v>
      </c>
    </row>
    <row r="300" spans="1:12" x14ac:dyDescent="0.55000000000000004">
      <c r="A300"/>
      <c r="B300"/>
      <c r="C300"/>
      <c r="D300"/>
      <c r="E300"/>
      <c r="F300"/>
      <c r="G300"/>
      <c r="L300" s="17">
        <v>41938</v>
      </c>
    </row>
    <row r="301" spans="1:12" x14ac:dyDescent="0.55000000000000004">
      <c r="A301"/>
      <c r="B301"/>
      <c r="C301"/>
      <c r="D301"/>
      <c r="E301"/>
      <c r="F301"/>
      <c r="G301"/>
      <c r="L301" s="17">
        <v>41939</v>
      </c>
    </row>
    <row r="302" spans="1:12" x14ac:dyDescent="0.55000000000000004">
      <c r="A302"/>
      <c r="B302"/>
      <c r="C302"/>
      <c r="D302"/>
      <c r="E302"/>
      <c r="F302"/>
      <c r="G302"/>
      <c r="L302" s="17">
        <v>41940</v>
      </c>
    </row>
    <row r="303" spans="1:12" x14ac:dyDescent="0.55000000000000004">
      <c r="A303"/>
      <c r="B303"/>
      <c r="C303"/>
      <c r="D303"/>
      <c r="E303"/>
      <c r="F303"/>
      <c r="G303"/>
      <c r="L303" s="17">
        <v>41941</v>
      </c>
    </row>
    <row r="304" spans="1:12" x14ac:dyDescent="0.55000000000000004">
      <c r="A304"/>
      <c r="B304"/>
      <c r="C304"/>
      <c r="D304"/>
      <c r="E304"/>
      <c r="F304"/>
      <c r="G304"/>
      <c r="L304" s="17">
        <v>41942</v>
      </c>
    </row>
    <row r="305" spans="1:12" x14ac:dyDescent="0.55000000000000004">
      <c r="A305"/>
      <c r="B305"/>
      <c r="C305"/>
      <c r="D305"/>
      <c r="E305"/>
      <c r="F305"/>
      <c r="G305"/>
      <c r="L305" s="17">
        <v>41943</v>
      </c>
    </row>
    <row r="306" spans="1:12" x14ac:dyDescent="0.55000000000000004">
      <c r="A306"/>
      <c r="B306"/>
      <c r="C306"/>
      <c r="D306"/>
      <c r="E306"/>
      <c r="F306"/>
      <c r="G306"/>
      <c r="L306" s="17">
        <v>41944</v>
      </c>
    </row>
    <row r="307" spans="1:12" x14ac:dyDescent="0.55000000000000004">
      <c r="A307"/>
      <c r="B307"/>
      <c r="C307"/>
      <c r="D307"/>
      <c r="E307"/>
      <c r="F307"/>
      <c r="G307"/>
      <c r="L307" s="17">
        <v>41945</v>
      </c>
    </row>
    <row r="308" spans="1:12" x14ac:dyDescent="0.55000000000000004">
      <c r="A308"/>
      <c r="B308"/>
      <c r="C308"/>
      <c r="D308"/>
      <c r="E308"/>
      <c r="F308"/>
      <c r="G308"/>
      <c r="L308" s="17">
        <v>41946</v>
      </c>
    </row>
    <row r="309" spans="1:12" x14ac:dyDescent="0.55000000000000004">
      <c r="A309"/>
      <c r="B309"/>
      <c r="C309"/>
      <c r="D309"/>
      <c r="E309"/>
      <c r="F309"/>
      <c r="G309"/>
      <c r="L309" s="17">
        <v>41947</v>
      </c>
    </row>
    <row r="310" spans="1:12" x14ac:dyDescent="0.55000000000000004">
      <c r="A310"/>
      <c r="B310"/>
      <c r="C310"/>
      <c r="D310"/>
      <c r="E310"/>
      <c r="F310"/>
      <c r="G310"/>
      <c r="L310" s="17">
        <v>41948</v>
      </c>
    </row>
    <row r="311" spans="1:12" x14ac:dyDescent="0.55000000000000004">
      <c r="A311"/>
      <c r="B311"/>
      <c r="C311"/>
      <c r="D311"/>
      <c r="E311"/>
      <c r="F311"/>
      <c r="G311"/>
      <c r="L311" s="17">
        <v>41949</v>
      </c>
    </row>
    <row r="312" spans="1:12" x14ac:dyDescent="0.55000000000000004">
      <c r="A312"/>
      <c r="B312"/>
      <c r="C312"/>
      <c r="D312"/>
      <c r="E312"/>
      <c r="F312"/>
      <c r="G312"/>
      <c r="L312" s="17">
        <v>41950</v>
      </c>
    </row>
    <row r="313" spans="1:12" x14ac:dyDescent="0.55000000000000004">
      <c r="A313"/>
      <c r="B313"/>
      <c r="C313"/>
      <c r="D313"/>
      <c r="E313"/>
      <c r="F313"/>
      <c r="G313"/>
      <c r="L313" s="17">
        <v>41951</v>
      </c>
    </row>
    <row r="314" spans="1:12" x14ac:dyDescent="0.55000000000000004">
      <c r="A314"/>
      <c r="B314"/>
      <c r="C314"/>
      <c r="D314"/>
      <c r="E314"/>
      <c r="F314"/>
      <c r="G314"/>
      <c r="L314" s="17">
        <v>41952</v>
      </c>
    </row>
    <row r="315" spans="1:12" x14ac:dyDescent="0.55000000000000004">
      <c r="A315"/>
      <c r="B315"/>
      <c r="C315"/>
      <c r="D315"/>
      <c r="E315"/>
      <c r="F315"/>
      <c r="G315"/>
      <c r="L315" s="17">
        <v>41953</v>
      </c>
    </row>
    <row r="316" spans="1:12" x14ac:dyDescent="0.55000000000000004">
      <c r="A316"/>
      <c r="B316"/>
      <c r="C316"/>
      <c r="D316"/>
      <c r="E316"/>
      <c r="F316"/>
      <c r="G316"/>
      <c r="L316" s="17">
        <v>41954</v>
      </c>
    </row>
    <row r="317" spans="1:12" x14ac:dyDescent="0.55000000000000004">
      <c r="A317"/>
      <c r="B317"/>
      <c r="C317"/>
      <c r="D317"/>
      <c r="E317"/>
      <c r="F317"/>
      <c r="G317"/>
      <c r="L317" s="17">
        <v>41955</v>
      </c>
    </row>
    <row r="318" spans="1:12" x14ac:dyDescent="0.55000000000000004">
      <c r="A318"/>
      <c r="B318"/>
      <c r="C318"/>
      <c r="D318"/>
      <c r="E318"/>
      <c r="F318"/>
      <c r="G318"/>
      <c r="L318" s="17">
        <v>41956</v>
      </c>
    </row>
    <row r="319" spans="1:12" x14ac:dyDescent="0.55000000000000004">
      <c r="A319"/>
      <c r="B319"/>
      <c r="C319"/>
      <c r="D319"/>
      <c r="E319"/>
      <c r="F319"/>
      <c r="G319"/>
      <c r="L319" s="17">
        <v>41957</v>
      </c>
    </row>
    <row r="320" spans="1:12" x14ac:dyDescent="0.55000000000000004">
      <c r="A320"/>
      <c r="B320"/>
      <c r="C320"/>
      <c r="D320"/>
      <c r="E320"/>
      <c r="F320"/>
      <c r="G320"/>
      <c r="L320" s="17">
        <v>41958</v>
      </c>
    </row>
    <row r="321" spans="1:12" x14ac:dyDescent="0.55000000000000004">
      <c r="A321"/>
      <c r="B321"/>
      <c r="C321"/>
      <c r="D321"/>
      <c r="E321"/>
      <c r="F321"/>
      <c r="G321"/>
      <c r="L321" s="17">
        <v>41959</v>
      </c>
    </row>
    <row r="322" spans="1:12" x14ac:dyDescent="0.55000000000000004">
      <c r="A322"/>
      <c r="B322"/>
      <c r="C322"/>
      <c r="D322"/>
      <c r="E322"/>
      <c r="F322"/>
      <c r="G322"/>
      <c r="L322" s="17">
        <v>41960</v>
      </c>
    </row>
    <row r="323" spans="1:12" x14ac:dyDescent="0.55000000000000004">
      <c r="A323"/>
      <c r="B323"/>
      <c r="C323"/>
      <c r="D323"/>
      <c r="E323"/>
      <c r="F323"/>
      <c r="G323"/>
      <c r="L323" s="17">
        <v>41961</v>
      </c>
    </row>
    <row r="324" spans="1:12" x14ac:dyDescent="0.55000000000000004">
      <c r="A324"/>
      <c r="B324"/>
      <c r="C324"/>
      <c r="D324"/>
      <c r="E324"/>
      <c r="F324"/>
      <c r="G324"/>
      <c r="L324" s="17">
        <v>41962</v>
      </c>
    </row>
    <row r="325" spans="1:12" x14ac:dyDescent="0.55000000000000004">
      <c r="A325"/>
      <c r="B325"/>
      <c r="C325"/>
      <c r="D325"/>
      <c r="E325"/>
      <c r="F325"/>
      <c r="G325"/>
      <c r="L325" s="17">
        <v>41963</v>
      </c>
    </row>
    <row r="326" spans="1:12" x14ac:dyDescent="0.55000000000000004">
      <c r="A326"/>
      <c r="B326"/>
      <c r="C326"/>
      <c r="D326"/>
      <c r="E326"/>
      <c r="F326"/>
      <c r="G326"/>
      <c r="L326" s="17">
        <v>41964</v>
      </c>
    </row>
    <row r="327" spans="1:12" x14ac:dyDescent="0.55000000000000004">
      <c r="A327"/>
      <c r="B327"/>
      <c r="C327"/>
      <c r="D327"/>
      <c r="E327"/>
      <c r="F327"/>
      <c r="G327"/>
      <c r="L327" s="17">
        <v>41965</v>
      </c>
    </row>
    <row r="328" spans="1:12" x14ac:dyDescent="0.55000000000000004">
      <c r="A328"/>
      <c r="B328"/>
      <c r="C328"/>
      <c r="D328"/>
      <c r="E328"/>
      <c r="F328"/>
      <c r="G328"/>
      <c r="L328" s="17">
        <v>41966</v>
      </c>
    </row>
    <row r="329" spans="1:12" x14ac:dyDescent="0.55000000000000004">
      <c r="A329"/>
      <c r="B329"/>
      <c r="C329"/>
      <c r="D329"/>
      <c r="E329"/>
      <c r="F329"/>
      <c r="G329"/>
      <c r="L329" s="17">
        <v>41967</v>
      </c>
    </row>
    <row r="330" spans="1:12" x14ac:dyDescent="0.55000000000000004">
      <c r="A330"/>
      <c r="B330"/>
      <c r="C330"/>
      <c r="D330"/>
      <c r="E330"/>
      <c r="F330"/>
      <c r="G330"/>
      <c r="L330" s="17">
        <v>41968</v>
      </c>
    </row>
    <row r="331" spans="1:12" x14ac:dyDescent="0.55000000000000004">
      <c r="A331"/>
      <c r="B331"/>
      <c r="C331"/>
      <c r="D331"/>
      <c r="E331"/>
      <c r="F331"/>
      <c r="G331"/>
      <c r="L331" s="17">
        <v>41969</v>
      </c>
    </row>
    <row r="332" spans="1:12" x14ac:dyDescent="0.55000000000000004">
      <c r="A332"/>
      <c r="B332"/>
      <c r="C332"/>
      <c r="D332"/>
      <c r="E332"/>
      <c r="F332"/>
      <c r="G332"/>
      <c r="L332" s="17">
        <v>41970</v>
      </c>
    </row>
    <row r="333" spans="1:12" x14ac:dyDescent="0.55000000000000004">
      <c r="A333"/>
      <c r="B333"/>
      <c r="C333"/>
      <c r="D333"/>
      <c r="E333"/>
      <c r="F333"/>
      <c r="G333"/>
      <c r="L333" s="17">
        <v>41971</v>
      </c>
    </row>
    <row r="334" spans="1:12" x14ac:dyDescent="0.55000000000000004">
      <c r="A334"/>
      <c r="B334"/>
      <c r="C334"/>
      <c r="D334"/>
      <c r="E334"/>
      <c r="F334"/>
      <c r="G334"/>
      <c r="L334" s="17">
        <v>41972</v>
      </c>
    </row>
    <row r="335" spans="1:12" x14ac:dyDescent="0.55000000000000004">
      <c r="A335"/>
      <c r="B335"/>
      <c r="C335"/>
      <c r="D335"/>
      <c r="E335"/>
      <c r="F335"/>
      <c r="G335"/>
      <c r="L335" s="17">
        <v>41973</v>
      </c>
    </row>
    <row r="336" spans="1:12" x14ac:dyDescent="0.55000000000000004">
      <c r="A336"/>
      <c r="B336"/>
      <c r="C336"/>
      <c r="D336"/>
      <c r="E336"/>
      <c r="F336"/>
      <c r="G336"/>
      <c r="L336" s="17">
        <v>41974</v>
      </c>
    </row>
    <row r="337" spans="1:12" x14ac:dyDescent="0.55000000000000004">
      <c r="A337"/>
      <c r="B337"/>
      <c r="C337"/>
      <c r="D337"/>
      <c r="E337"/>
      <c r="F337"/>
      <c r="G337"/>
      <c r="L337" s="17">
        <v>41975</v>
      </c>
    </row>
    <row r="338" spans="1:12" x14ac:dyDescent="0.55000000000000004">
      <c r="A338"/>
      <c r="B338"/>
      <c r="C338"/>
      <c r="D338"/>
      <c r="E338"/>
      <c r="F338"/>
      <c r="G338"/>
      <c r="L338" s="17">
        <v>41976</v>
      </c>
    </row>
    <row r="339" spans="1:12" x14ac:dyDescent="0.55000000000000004">
      <c r="A339"/>
      <c r="B339"/>
      <c r="C339"/>
      <c r="D339"/>
      <c r="E339"/>
      <c r="F339"/>
      <c r="G339"/>
      <c r="L339" s="17">
        <v>41977</v>
      </c>
    </row>
    <row r="340" spans="1:12" x14ac:dyDescent="0.55000000000000004">
      <c r="A340"/>
      <c r="B340"/>
      <c r="C340"/>
      <c r="D340"/>
      <c r="E340"/>
      <c r="F340"/>
      <c r="G340"/>
      <c r="L340" s="17">
        <v>41978</v>
      </c>
    </row>
    <row r="341" spans="1:12" x14ac:dyDescent="0.55000000000000004">
      <c r="A341"/>
      <c r="B341"/>
      <c r="C341"/>
      <c r="D341"/>
      <c r="E341"/>
      <c r="F341"/>
      <c r="G341"/>
      <c r="L341" s="17">
        <v>41979</v>
      </c>
    </row>
    <row r="342" spans="1:12" x14ac:dyDescent="0.55000000000000004">
      <c r="A342"/>
      <c r="B342"/>
      <c r="C342"/>
      <c r="D342"/>
      <c r="E342"/>
      <c r="F342"/>
      <c r="G342"/>
      <c r="L342" s="17">
        <v>41980</v>
      </c>
    </row>
    <row r="343" spans="1:12" x14ac:dyDescent="0.55000000000000004">
      <c r="A343"/>
      <c r="B343"/>
      <c r="C343"/>
      <c r="D343"/>
      <c r="E343"/>
      <c r="F343"/>
      <c r="G343"/>
      <c r="L343" s="17">
        <v>41981</v>
      </c>
    </row>
    <row r="344" spans="1:12" x14ac:dyDescent="0.55000000000000004">
      <c r="A344"/>
      <c r="B344"/>
      <c r="C344"/>
      <c r="D344"/>
      <c r="E344"/>
      <c r="F344"/>
      <c r="G344"/>
      <c r="L344" s="17">
        <v>41982</v>
      </c>
    </row>
    <row r="345" spans="1:12" x14ac:dyDescent="0.55000000000000004">
      <c r="A345"/>
      <c r="B345"/>
      <c r="C345"/>
      <c r="D345"/>
      <c r="E345"/>
      <c r="F345"/>
      <c r="G345"/>
      <c r="L345" s="17">
        <v>41983</v>
      </c>
    </row>
    <row r="346" spans="1:12" x14ac:dyDescent="0.55000000000000004">
      <c r="A346"/>
      <c r="B346"/>
      <c r="C346"/>
      <c r="D346"/>
      <c r="E346"/>
      <c r="F346"/>
      <c r="G346"/>
      <c r="L346" s="17">
        <v>41984</v>
      </c>
    </row>
    <row r="347" spans="1:12" x14ac:dyDescent="0.55000000000000004">
      <c r="A347"/>
      <c r="B347"/>
      <c r="C347"/>
      <c r="D347"/>
      <c r="E347"/>
      <c r="F347"/>
      <c r="G347"/>
      <c r="L347" s="17">
        <v>41985</v>
      </c>
    </row>
    <row r="348" spans="1:12" x14ac:dyDescent="0.55000000000000004">
      <c r="A348"/>
      <c r="B348"/>
      <c r="C348"/>
      <c r="D348"/>
      <c r="E348"/>
      <c r="F348"/>
      <c r="G348"/>
      <c r="L348" s="17">
        <v>41986</v>
      </c>
    </row>
    <row r="349" spans="1:12" x14ac:dyDescent="0.55000000000000004">
      <c r="A349"/>
      <c r="B349"/>
      <c r="C349"/>
      <c r="D349"/>
      <c r="E349"/>
      <c r="F349"/>
      <c r="G349"/>
      <c r="L349" s="17">
        <v>41987</v>
      </c>
    </row>
    <row r="350" spans="1:12" x14ac:dyDescent="0.55000000000000004">
      <c r="A350"/>
      <c r="B350"/>
      <c r="C350"/>
      <c r="D350"/>
      <c r="E350"/>
      <c r="F350"/>
      <c r="G350"/>
      <c r="L350" s="17">
        <v>41988</v>
      </c>
    </row>
    <row r="351" spans="1:12" x14ac:dyDescent="0.55000000000000004">
      <c r="A351"/>
      <c r="B351"/>
      <c r="C351"/>
      <c r="D351"/>
      <c r="E351"/>
      <c r="F351"/>
      <c r="G351"/>
      <c r="L351" s="17">
        <v>41989</v>
      </c>
    </row>
    <row r="352" spans="1:12" x14ac:dyDescent="0.55000000000000004">
      <c r="A352"/>
      <c r="B352"/>
      <c r="C352"/>
      <c r="D352"/>
      <c r="E352"/>
      <c r="F352"/>
      <c r="G352"/>
      <c r="L352" s="17">
        <v>41990</v>
      </c>
    </row>
    <row r="353" spans="1:12" x14ac:dyDescent="0.55000000000000004">
      <c r="A353"/>
      <c r="B353"/>
      <c r="C353"/>
      <c r="D353"/>
      <c r="E353"/>
      <c r="F353"/>
      <c r="G353"/>
      <c r="L353" s="17">
        <v>41991</v>
      </c>
    </row>
    <row r="354" spans="1:12" x14ac:dyDescent="0.55000000000000004">
      <c r="A354"/>
      <c r="B354"/>
      <c r="C354"/>
      <c r="D354"/>
      <c r="E354"/>
      <c r="F354"/>
      <c r="G354"/>
      <c r="L354" s="17">
        <v>41992</v>
      </c>
    </row>
    <row r="355" spans="1:12" x14ac:dyDescent="0.55000000000000004">
      <c r="A355"/>
      <c r="B355"/>
      <c r="C355"/>
      <c r="D355"/>
      <c r="E355"/>
      <c r="F355"/>
      <c r="G355"/>
      <c r="L355" s="17">
        <v>41993</v>
      </c>
    </row>
    <row r="356" spans="1:12" x14ac:dyDescent="0.55000000000000004">
      <c r="A356"/>
      <c r="B356"/>
      <c r="C356"/>
      <c r="D356"/>
      <c r="E356"/>
      <c r="F356"/>
      <c r="G356"/>
      <c r="L356" s="17">
        <v>41994</v>
      </c>
    </row>
    <row r="357" spans="1:12" x14ac:dyDescent="0.55000000000000004">
      <c r="A357"/>
      <c r="B357"/>
      <c r="C357"/>
      <c r="D357"/>
      <c r="E357"/>
      <c r="F357"/>
      <c r="G357"/>
      <c r="L357" s="17">
        <v>41995</v>
      </c>
    </row>
    <row r="358" spans="1:12" x14ac:dyDescent="0.55000000000000004">
      <c r="A358"/>
      <c r="B358"/>
      <c r="C358"/>
      <c r="D358"/>
      <c r="E358"/>
      <c r="F358"/>
      <c r="G358"/>
      <c r="L358" s="17">
        <v>41996</v>
      </c>
    </row>
    <row r="359" spans="1:12" x14ac:dyDescent="0.55000000000000004">
      <c r="A359"/>
      <c r="B359"/>
      <c r="C359"/>
      <c r="D359"/>
      <c r="E359"/>
      <c r="F359"/>
      <c r="G359"/>
      <c r="L359" s="17">
        <v>41997</v>
      </c>
    </row>
    <row r="360" spans="1:12" x14ac:dyDescent="0.55000000000000004">
      <c r="A360"/>
      <c r="B360"/>
      <c r="C360"/>
      <c r="D360"/>
      <c r="E360"/>
      <c r="F360"/>
      <c r="G360"/>
      <c r="L360" s="17">
        <v>41998</v>
      </c>
    </row>
    <row r="361" spans="1:12" x14ac:dyDescent="0.55000000000000004">
      <c r="A361"/>
      <c r="B361"/>
      <c r="C361"/>
      <c r="D361"/>
      <c r="E361"/>
      <c r="F361"/>
      <c r="G361"/>
      <c r="L361" s="17">
        <v>41999</v>
      </c>
    </row>
    <row r="362" spans="1:12" x14ac:dyDescent="0.55000000000000004">
      <c r="A362"/>
      <c r="B362"/>
      <c r="C362"/>
      <c r="D362"/>
      <c r="E362"/>
      <c r="F362"/>
      <c r="G362"/>
      <c r="L362" s="17">
        <v>42000</v>
      </c>
    </row>
    <row r="363" spans="1:12" x14ac:dyDescent="0.55000000000000004">
      <c r="A363"/>
      <c r="B363"/>
      <c r="C363"/>
      <c r="D363"/>
      <c r="E363"/>
      <c r="F363"/>
      <c r="G363"/>
      <c r="L363" s="17">
        <v>42001</v>
      </c>
    </row>
    <row r="364" spans="1:12" x14ac:dyDescent="0.55000000000000004">
      <c r="A364"/>
      <c r="B364"/>
      <c r="C364"/>
      <c r="D364"/>
      <c r="E364"/>
      <c r="F364"/>
      <c r="G364"/>
      <c r="L364" s="17">
        <v>42002</v>
      </c>
    </row>
    <row r="365" spans="1:12" x14ac:dyDescent="0.55000000000000004">
      <c r="A365"/>
      <c r="B365"/>
      <c r="C365"/>
      <c r="D365"/>
      <c r="E365"/>
      <c r="F365"/>
      <c r="G365"/>
      <c r="L365" s="17">
        <v>42003</v>
      </c>
    </row>
    <row r="366" spans="1:12" x14ac:dyDescent="0.55000000000000004">
      <c r="A366"/>
      <c r="B366"/>
      <c r="C366"/>
      <c r="D366"/>
      <c r="E366"/>
      <c r="F366"/>
      <c r="G366"/>
      <c r="L366" s="17">
        <v>42004</v>
      </c>
    </row>
    <row r="367" spans="1:12" x14ac:dyDescent="0.55000000000000004">
      <c r="A367"/>
      <c r="B367"/>
      <c r="C367"/>
      <c r="D367"/>
      <c r="E367"/>
      <c r="F367"/>
      <c r="G367"/>
      <c r="L367" s="17">
        <v>42005</v>
      </c>
    </row>
    <row r="368" spans="1:12" x14ac:dyDescent="0.55000000000000004">
      <c r="A368"/>
      <c r="B368"/>
      <c r="C368"/>
      <c r="D368"/>
      <c r="E368"/>
      <c r="F368"/>
      <c r="G368"/>
      <c r="L368" s="17">
        <v>42006</v>
      </c>
    </row>
    <row r="369" spans="1:12" x14ac:dyDescent="0.55000000000000004">
      <c r="A369"/>
      <c r="B369"/>
      <c r="C369"/>
      <c r="D369"/>
      <c r="E369"/>
      <c r="F369"/>
      <c r="G369"/>
      <c r="L369" s="17">
        <v>42007</v>
      </c>
    </row>
    <row r="370" spans="1:12" x14ac:dyDescent="0.55000000000000004">
      <c r="A370"/>
      <c r="B370"/>
      <c r="C370"/>
      <c r="D370"/>
      <c r="E370"/>
      <c r="F370"/>
      <c r="G370"/>
      <c r="L370" s="17">
        <v>42008</v>
      </c>
    </row>
    <row r="371" spans="1:12" x14ac:dyDescent="0.55000000000000004">
      <c r="A371"/>
      <c r="B371"/>
      <c r="C371"/>
      <c r="D371"/>
      <c r="E371"/>
      <c r="F371"/>
      <c r="G371"/>
      <c r="L371" s="17">
        <v>42009</v>
      </c>
    </row>
    <row r="372" spans="1:12" x14ac:dyDescent="0.55000000000000004">
      <c r="A372"/>
      <c r="B372"/>
      <c r="C372"/>
      <c r="D372"/>
      <c r="E372"/>
      <c r="F372"/>
      <c r="G372"/>
      <c r="L372" s="17">
        <v>42010</v>
      </c>
    </row>
    <row r="373" spans="1:12" x14ac:dyDescent="0.55000000000000004">
      <c r="A373"/>
      <c r="B373"/>
      <c r="C373"/>
      <c r="D373"/>
      <c r="E373"/>
      <c r="F373"/>
      <c r="G373"/>
      <c r="L373" s="17">
        <v>42011</v>
      </c>
    </row>
    <row r="374" spans="1:12" x14ac:dyDescent="0.55000000000000004">
      <c r="A374"/>
      <c r="B374"/>
      <c r="C374"/>
      <c r="D374"/>
      <c r="E374"/>
      <c r="F374"/>
      <c r="G374"/>
      <c r="L374" s="17">
        <v>42012</v>
      </c>
    </row>
    <row r="375" spans="1:12" x14ac:dyDescent="0.55000000000000004">
      <c r="A375"/>
      <c r="B375"/>
      <c r="C375"/>
      <c r="D375"/>
      <c r="E375"/>
      <c r="F375"/>
      <c r="G375"/>
      <c r="L375" s="17">
        <v>42013</v>
      </c>
    </row>
    <row r="376" spans="1:12" x14ac:dyDescent="0.55000000000000004">
      <c r="A376"/>
      <c r="B376"/>
      <c r="C376"/>
      <c r="D376"/>
      <c r="E376"/>
      <c r="F376"/>
      <c r="G376"/>
      <c r="L376" s="17">
        <v>42014</v>
      </c>
    </row>
    <row r="377" spans="1:12" x14ac:dyDescent="0.55000000000000004">
      <c r="A377"/>
      <c r="B377"/>
      <c r="C377"/>
      <c r="D377"/>
      <c r="E377"/>
      <c r="F377"/>
      <c r="G377"/>
      <c r="L377" s="17">
        <v>42015</v>
      </c>
    </row>
    <row r="378" spans="1:12" x14ac:dyDescent="0.55000000000000004">
      <c r="A378"/>
      <c r="B378"/>
      <c r="C378"/>
      <c r="D378"/>
      <c r="E378"/>
      <c r="F378"/>
      <c r="G378"/>
      <c r="L378" s="17">
        <v>42016</v>
      </c>
    </row>
    <row r="379" spans="1:12" x14ac:dyDescent="0.55000000000000004">
      <c r="A379"/>
      <c r="B379"/>
      <c r="C379"/>
      <c r="D379"/>
      <c r="E379"/>
      <c r="F379"/>
      <c r="G379"/>
      <c r="L379" s="17">
        <v>42017</v>
      </c>
    </row>
    <row r="380" spans="1:12" x14ac:dyDescent="0.55000000000000004">
      <c r="A380"/>
      <c r="B380"/>
      <c r="C380"/>
      <c r="D380"/>
      <c r="E380"/>
      <c r="F380"/>
      <c r="G380"/>
      <c r="L380" s="17">
        <v>42018</v>
      </c>
    </row>
    <row r="381" spans="1:12" x14ac:dyDescent="0.55000000000000004">
      <c r="A381"/>
      <c r="B381"/>
      <c r="C381"/>
      <c r="D381"/>
      <c r="E381"/>
      <c r="F381"/>
      <c r="G381"/>
      <c r="L381" s="17">
        <v>42019</v>
      </c>
    </row>
    <row r="382" spans="1:12" x14ac:dyDescent="0.55000000000000004">
      <c r="A382"/>
      <c r="B382"/>
      <c r="C382"/>
      <c r="D382"/>
      <c r="E382"/>
      <c r="F382"/>
      <c r="G382"/>
      <c r="L382" s="17">
        <v>42020</v>
      </c>
    </row>
    <row r="383" spans="1:12" x14ac:dyDescent="0.55000000000000004">
      <c r="A383"/>
      <c r="B383"/>
      <c r="C383"/>
      <c r="D383"/>
      <c r="E383"/>
      <c r="F383"/>
      <c r="G383"/>
      <c r="L383" s="17">
        <v>42021</v>
      </c>
    </row>
    <row r="384" spans="1:12" x14ac:dyDescent="0.55000000000000004">
      <c r="A384"/>
      <c r="B384"/>
      <c r="C384"/>
      <c r="D384"/>
      <c r="E384"/>
      <c r="F384"/>
      <c r="G384"/>
      <c r="L384" s="17">
        <v>42022</v>
      </c>
    </row>
    <row r="385" spans="1:12" x14ac:dyDescent="0.55000000000000004">
      <c r="A385"/>
      <c r="B385"/>
      <c r="C385"/>
      <c r="D385"/>
      <c r="E385"/>
      <c r="F385"/>
      <c r="G385"/>
      <c r="L385" s="17">
        <v>42023</v>
      </c>
    </row>
    <row r="386" spans="1:12" x14ac:dyDescent="0.55000000000000004">
      <c r="A386"/>
      <c r="B386"/>
      <c r="C386"/>
      <c r="D386"/>
      <c r="E386"/>
      <c r="F386"/>
      <c r="G386"/>
      <c r="L386" s="17">
        <v>42024</v>
      </c>
    </row>
    <row r="387" spans="1:12" x14ac:dyDescent="0.55000000000000004">
      <c r="A387"/>
      <c r="B387"/>
      <c r="C387"/>
      <c r="D387"/>
      <c r="E387"/>
      <c r="F387"/>
      <c r="G387"/>
      <c r="L387" s="17">
        <v>42025</v>
      </c>
    </row>
    <row r="388" spans="1:12" x14ac:dyDescent="0.55000000000000004">
      <c r="A388"/>
      <c r="B388"/>
      <c r="C388"/>
      <c r="D388"/>
      <c r="E388"/>
      <c r="F388"/>
      <c r="G388"/>
      <c r="L388" s="17">
        <v>42026</v>
      </c>
    </row>
    <row r="389" spans="1:12" x14ac:dyDescent="0.55000000000000004">
      <c r="A389"/>
      <c r="B389"/>
      <c r="C389"/>
      <c r="D389"/>
      <c r="E389"/>
      <c r="F389"/>
      <c r="G389"/>
      <c r="L389" s="17">
        <v>42027</v>
      </c>
    </row>
    <row r="390" spans="1:12" x14ac:dyDescent="0.55000000000000004">
      <c r="A390"/>
      <c r="B390"/>
      <c r="C390"/>
      <c r="D390"/>
      <c r="E390"/>
      <c r="F390"/>
      <c r="G390"/>
      <c r="L390" s="17">
        <v>42028</v>
      </c>
    </row>
    <row r="391" spans="1:12" x14ac:dyDescent="0.55000000000000004">
      <c r="A391"/>
      <c r="B391"/>
      <c r="C391"/>
      <c r="D391"/>
      <c r="E391"/>
      <c r="F391"/>
      <c r="G391"/>
      <c r="L391" s="17">
        <v>42029</v>
      </c>
    </row>
    <row r="392" spans="1:12" x14ac:dyDescent="0.55000000000000004">
      <c r="A392"/>
      <c r="B392"/>
      <c r="C392"/>
      <c r="D392"/>
      <c r="E392"/>
      <c r="F392"/>
      <c r="G392"/>
      <c r="L392" s="17">
        <v>42030</v>
      </c>
    </row>
    <row r="393" spans="1:12" x14ac:dyDescent="0.55000000000000004">
      <c r="A393"/>
      <c r="B393"/>
      <c r="C393"/>
      <c r="D393"/>
      <c r="E393"/>
      <c r="F393"/>
      <c r="G393"/>
      <c r="L393" s="17">
        <v>42031</v>
      </c>
    </row>
    <row r="394" spans="1:12" x14ac:dyDescent="0.55000000000000004">
      <c r="A394"/>
      <c r="B394"/>
      <c r="C394"/>
      <c r="D394"/>
      <c r="E394"/>
      <c r="F394"/>
      <c r="G394"/>
      <c r="L394" s="17">
        <v>42032</v>
      </c>
    </row>
    <row r="395" spans="1:12" x14ac:dyDescent="0.55000000000000004">
      <c r="A395"/>
      <c r="B395"/>
      <c r="C395"/>
      <c r="D395"/>
      <c r="E395"/>
      <c r="F395"/>
      <c r="G395"/>
      <c r="L395" s="17">
        <v>42033</v>
      </c>
    </row>
    <row r="396" spans="1:12" x14ac:dyDescent="0.55000000000000004">
      <c r="A396"/>
      <c r="B396"/>
      <c r="C396"/>
      <c r="D396"/>
      <c r="E396"/>
      <c r="F396"/>
      <c r="G396"/>
      <c r="L396" s="17">
        <v>42034</v>
      </c>
    </row>
    <row r="397" spans="1:12" x14ac:dyDescent="0.55000000000000004">
      <c r="A397"/>
      <c r="B397"/>
      <c r="C397"/>
      <c r="D397"/>
      <c r="E397"/>
      <c r="F397"/>
      <c r="G397"/>
      <c r="L397" s="17">
        <v>42035</v>
      </c>
    </row>
    <row r="398" spans="1:12" x14ac:dyDescent="0.55000000000000004">
      <c r="A398"/>
      <c r="B398"/>
      <c r="C398"/>
      <c r="D398"/>
      <c r="E398"/>
      <c r="F398"/>
      <c r="G398"/>
      <c r="L398" s="17">
        <v>42036</v>
      </c>
    </row>
    <row r="399" spans="1:12" x14ac:dyDescent="0.55000000000000004">
      <c r="A399"/>
      <c r="B399"/>
      <c r="C399"/>
      <c r="D399"/>
      <c r="E399"/>
      <c r="F399"/>
      <c r="G399"/>
      <c r="L399" s="17">
        <v>42037</v>
      </c>
    </row>
    <row r="400" spans="1:12" x14ac:dyDescent="0.55000000000000004">
      <c r="A400"/>
      <c r="B400"/>
      <c r="C400"/>
      <c r="D400"/>
      <c r="E400"/>
      <c r="F400"/>
      <c r="G400"/>
      <c r="L400" s="17">
        <v>42038</v>
      </c>
    </row>
    <row r="401" spans="1:12" x14ac:dyDescent="0.55000000000000004">
      <c r="A401"/>
      <c r="B401"/>
      <c r="C401"/>
      <c r="D401"/>
      <c r="E401"/>
      <c r="F401"/>
      <c r="G401"/>
      <c r="L401" s="17">
        <v>42039</v>
      </c>
    </row>
    <row r="402" spans="1:12" x14ac:dyDescent="0.55000000000000004">
      <c r="A402"/>
      <c r="B402"/>
      <c r="C402"/>
      <c r="D402"/>
      <c r="E402"/>
      <c r="F402"/>
      <c r="G402"/>
      <c r="L402" s="17">
        <v>42040</v>
      </c>
    </row>
    <row r="403" spans="1:12" x14ac:dyDescent="0.55000000000000004">
      <c r="A403"/>
      <c r="B403"/>
      <c r="C403"/>
      <c r="D403"/>
      <c r="E403"/>
      <c r="F403"/>
      <c r="G403"/>
      <c r="L403" s="17">
        <v>42041</v>
      </c>
    </row>
    <row r="404" spans="1:12" x14ac:dyDescent="0.55000000000000004">
      <c r="A404"/>
      <c r="B404"/>
      <c r="C404"/>
      <c r="D404"/>
      <c r="E404"/>
      <c r="F404"/>
      <c r="G404"/>
      <c r="L404" s="17">
        <v>42042</v>
      </c>
    </row>
    <row r="405" spans="1:12" x14ac:dyDescent="0.55000000000000004">
      <c r="A405"/>
      <c r="B405"/>
      <c r="C405"/>
      <c r="D405"/>
      <c r="E405"/>
      <c r="F405"/>
      <c r="G405"/>
      <c r="L405" s="17">
        <v>42043</v>
      </c>
    </row>
    <row r="406" spans="1:12" x14ac:dyDescent="0.55000000000000004">
      <c r="A406"/>
      <c r="B406"/>
      <c r="C406"/>
      <c r="D406"/>
      <c r="E406"/>
      <c r="F406"/>
      <c r="G406"/>
      <c r="L406" s="17">
        <v>42044</v>
      </c>
    </row>
    <row r="407" spans="1:12" x14ac:dyDescent="0.55000000000000004">
      <c r="A407"/>
      <c r="B407"/>
      <c r="C407"/>
      <c r="D407"/>
      <c r="E407"/>
      <c r="F407"/>
      <c r="G407"/>
      <c r="L407" s="17">
        <v>42045</v>
      </c>
    </row>
    <row r="408" spans="1:12" x14ac:dyDescent="0.55000000000000004">
      <c r="A408"/>
      <c r="B408"/>
      <c r="C408"/>
      <c r="D408"/>
      <c r="E408"/>
      <c r="F408"/>
      <c r="G408"/>
      <c r="L408" s="17">
        <v>42046</v>
      </c>
    </row>
    <row r="409" spans="1:12" x14ac:dyDescent="0.55000000000000004">
      <c r="A409"/>
      <c r="B409"/>
      <c r="C409"/>
      <c r="D409"/>
      <c r="E409"/>
      <c r="F409"/>
      <c r="G409"/>
      <c r="L409" s="17">
        <v>42047</v>
      </c>
    </row>
    <row r="410" spans="1:12" x14ac:dyDescent="0.55000000000000004">
      <c r="A410"/>
      <c r="B410"/>
      <c r="C410"/>
      <c r="D410"/>
      <c r="E410"/>
      <c r="F410"/>
      <c r="G410"/>
      <c r="L410" s="17">
        <v>42048</v>
      </c>
    </row>
    <row r="411" spans="1:12" x14ac:dyDescent="0.55000000000000004">
      <c r="A411"/>
      <c r="B411"/>
      <c r="C411"/>
      <c r="D411"/>
      <c r="E411"/>
      <c r="F411"/>
      <c r="G411"/>
      <c r="L411" s="17">
        <v>42049</v>
      </c>
    </row>
    <row r="412" spans="1:12" x14ac:dyDescent="0.55000000000000004">
      <c r="A412"/>
      <c r="B412"/>
      <c r="C412"/>
      <c r="D412"/>
      <c r="E412"/>
      <c r="F412"/>
      <c r="G412"/>
      <c r="L412" s="17">
        <v>42050</v>
      </c>
    </row>
    <row r="413" spans="1:12" x14ac:dyDescent="0.55000000000000004">
      <c r="A413"/>
      <c r="B413"/>
      <c r="C413"/>
      <c r="D413"/>
      <c r="E413"/>
      <c r="F413"/>
      <c r="G413"/>
      <c r="L413" s="17">
        <v>42051</v>
      </c>
    </row>
    <row r="414" spans="1:12" x14ac:dyDescent="0.55000000000000004">
      <c r="A414"/>
      <c r="B414"/>
      <c r="C414"/>
      <c r="D414"/>
      <c r="E414"/>
      <c r="F414"/>
      <c r="G414"/>
      <c r="L414" s="17">
        <v>42052</v>
      </c>
    </row>
    <row r="415" spans="1:12" x14ac:dyDescent="0.55000000000000004">
      <c r="A415"/>
      <c r="B415"/>
      <c r="C415"/>
      <c r="D415"/>
      <c r="E415"/>
      <c r="F415"/>
      <c r="G415"/>
      <c r="L415" s="17">
        <v>42053</v>
      </c>
    </row>
    <row r="416" spans="1:12" x14ac:dyDescent="0.55000000000000004">
      <c r="A416"/>
      <c r="B416"/>
      <c r="C416"/>
      <c r="D416"/>
      <c r="E416"/>
      <c r="F416"/>
      <c r="G416"/>
      <c r="L416" s="17">
        <v>42054</v>
      </c>
    </row>
    <row r="417" spans="1:12" x14ac:dyDescent="0.55000000000000004">
      <c r="A417"/>
      <c r="B417"/>
      <c r="C417"/>
      <c r="D417"/>
      <c r="E417"/>
      <c r="F417"/>
      <c r="G417"/>
      <c r="L417" s="17">
        <v>42055</v>
      </c>
    </row>
    <row r="418" spans="1:12" x14ac:dyDescent="0.55000000000000004">
      <c r="A418"/>
      <c r="B418"/>
      <c r="C418"/>
      <c r="D418"/>
      <c r="E418"/>
      <c r="F418"/>
      <c r="G418"/>
      <c r="L418" s="17">
        <v>42056</v>
      </c>
    </row>
    <row r="419" spans="1:12" x14ac:dyDescent="0.55000000000000004">
      <c r="A419"/>
      <c r="B419"/>
      <c r="C419"/>
      <c r="D419"/>
      <c r="E419"/>
      <c r="F419"/>
      <c r="G419"/>
      <c r="L419" s="17">
        <v>42057</v>
      </c>
    </row>
    <row r="420" spans="1:12" x14ac:dyDescent="0.55000000000000004">
      <c r="A420"/>
      <c r="B420"/>
      <c r="C420"/>
      <c r="D420"/>
      <c r="E420"/>
      <c r="F420"/>
      <c r="G420"/>
      <c r="L420" s="17">
        <v>42058</v>
      </c>
    </row>
    <row r="421" spans="1:12" x14ac:dyDescent="0.55000000000000004">
      <c r="A421"/>
      <c r="B421"/>
      <c r="C421"/>
      <c r="D421"/>
      <c r="E421"/>
      <c r="F421"/>
      <c r="G421"/>
      <c r="L421" s="17">
        <v>42059</v>
      </c>
    </row>
    <row r="422" spans="1:12" x14ac:dyDescent="0.55000000000000004">
      <c r="A422"/>
      <c r="B422"/>
      <c r="C422"/>
      <c r="D422"/>
      <c r="E422"/>
      <c r="F422"/>
      <c r="G422"/>
      <c r="L422" s="17">
        <v>42060</v>
      </c>
    </row>
    <row r="423" spans="1:12" x14ac:dyDescent="0.55000000000000004">
      <c r="A423"/>
      <c r="B423"/>
      <c r="C423"/>
      <c r="D423"/>
      <c r="E423"/>
      <c r="F423"/>
      <c r="G423"/>
      <c r="L423" s="17">
        <v>42061</v>
      </c>
    </row>
    <row r="424" spans="1:12" x14ac:dyDescent="0.55000000000000004">
      <c r="A424"/>
      <c r="B424"/>
      <c r="C424"/>
      <c r="D424"/>
      <c r="E424"/>
      <c r="F424"/>
      <c r="G424"/>
      <c r="L424" s="17">
        <v>42062</v>
      </c>
    </row>
    <row r="425" spans="1:12" x14ac:dyDescent="0.55000000000000004">
      <c r="A425"/>
      <c r="B425"/>
      <c r="C425"/>
      <c r="D425"/>
      <c r="E425"/>
      <c r="F425"/>
      <c r="G425"/>
      <c r="L425" s="17">
        <v>42063</v>
      </c>
    </row>
    <row r="426" spans="1:12" x14ac:dyDescent="0.55000000000000004">
      <c r="A426"/>
      <c r="B426"/>
      <c r="C426"/>
      <c r="D426"/>
      <c r="E426"/>
      <c r="F426"/>
      <c r="G426"/>
      <c r="L426" s="17">
        <v>42064</v>
      </c>
    </row>
    <row r="427" spans="1:12" x14ac:dyDescent="0.55000000000000004">
      <c r="A427"/>
      <c r="B427"/>
      <c r="C427"/>
      <c r="D427"/>
      <c r="E427"/>
      <c r="F427"/>
      <c r="G427"/>
      <c r="L427" s="17">
        <v>42065</v>
      </c>
    </row>
    <row r="428" spans="1:12" x14ac:dyDescent="0.55000000000000004">
      <c r="A428"/>
      <c r="B428"/>
      <c r="C428"/>
      <c r="D428"/>
      <c r="E428"/>
      <c r="F428"/>
      <c r="G428"/>
      <c r="L428" s="17">
        <v>42066</v>
      </c>
    </row>
    <row r="429" spans="1:12" x14ac:dyDescent="0.55000000000000004">
      <c r="A429"/>
      <c r="B429"/>
      <c r="C429"/>
      <c r="D429"/>
      <c r="E429"/>
      <c r="F429"/>
      <c r="G429"/>
      <c r="L429" s="17">
        <v>42067</v>
      </c>
    </row>
    <row r="430" spans="1:12" x14ac:dyDescent="0.55000000000000004">
      <c r="A430"/>
      <c r="B430"/>
      <c r="C430"/>
      <c r="D430"/>
      <c r="E430"/>
      <c r="F430"/>
      <c r="G430"/>
      <c r="L430" s="17">
        <v>42068</v>
      </c>
    </row>
    <row r="431" spans="1:12" x14ac:dyDescent="0.55000000000000004">
      <c r="A431"/>
      <c r="B431"/>
      <c r="C431"/>
      <c r="D431"/>
      <c r="E431"/>
      <c r="F431"/>
      <c r="G431"/>
      <c r="L431" s="17">
        <v>42069</v>
      </c>
    </row>
    <row r="432" spans="1:12" x14ac:dyDescent="0.55000000000000004">
      <c r="A432"/>
      <c r="B432"/>
      <c r="C432"/>
      <c r="D432"/>
      <c r="E432"/>
      <c r="F432"/>
      <c r="G432"/>
      <c r="L432" s="17">
        <v>42070</v>
      </c>
    </row>
    <row r="433" spans="1:12" x14ac:dyDescent="0.55000000000000004">
      <c r="A433"/>
      <c r="B433"/>
      <c r="C433"/>
      <c r="D433"/>
      <c r="E433"/>
      <c r="F433"/>
      <c r="G433"/>
      <c r="L433" s="17">
        <v>42071</v>
      </c>
    </row>
    <row r="434" spans="1:12" x14ac:dyDescent="0.55000000000000004">
      <c r="A434"/>
      <c r="B434"/>
      <c r="C434"/>
      <c r="D434"/>
      <c r="E434"/>
      <c r="F434"/>
      <c r="G434"/>
      <c r="L434" s="17">
        <v>42072</v>
      </c>
    </row>
    <row r="435" spans="1:12" x14ac:dyDescent="0.55000000000000004">
      <c r="A435"/>
      <c r="B435"/>
      <c r="C435"/>
      <c r="D435"/>
      <c r="E435"/>
      <c r="F435"/>
      <c r="G435"/>
      <c r="L435" s="17">
        <v>42073</v>
      </c>
    </row>
    <row r="436" spans="1:12" x14ac:dyDescent="0.55000000000000004">
      <c r="A436"/>
      <c r="B436"/>
      <c r="C436"/>
      <c r="D436"/>
      <c r="E436"/>
      <c r="F436"/>
      <c r="G436"/>
      <c r="L436" s="17">
        <v>42074</v>
      </c>
    </row>
    <row r="437" spans="1:12" x14ac:dyDescent="0.55000000000000004">
      <c r="A437"/>
      <c r="B437"/>
      <c r="C437"/>
      <c r="D437"/>
      <c r="E437"/>
      <c r="F437"/>
      <c r="G437"/>
      <c r="L437" s="17">
        <v>42075</v>
      </c>
    </row>
    <row r="438" spans="1:12" x14ac:dyDescent="0.55000000000000004">
      <c r="A438"/>
      <c r="B438"/>
      <c r="C438"/>
      <c r="D438"/>
      <c r="E438"/>
      <c r="F438"/>
      <c r="G438"/>
      <c r="L438" s="17">
        <v>42076</v>
      </c>
    </row>
    <row r="439" spans="1:12" x14ac:dyDescent="0.55000000000000004">
      <c r="A439"/>
      <c r="B439"/>
      <c r="C439"/>
      <c r="D439"/>
      <c r="E439"/>
      <c r="F439"/>
      <c r="G439"/>
      <c r="L439" s="17">
        <v>42077</v>
      </c>
    </row>
    <row r="440" spans="1:12" x14ac:dyDescent="0.55000000000000004">
      <c r="A440"/>
      <c r="B440"/>
      <c r="C440"/>
      <c r="D440"/>
      <c r="E440"/>
      <c r="F440"/>
      <c r="G440"/>
      <c r="L440" s="17">
        <v>42078</v>
      </c>
    </row>
    <row r="441" spans="1:12" x14ac:dyDescent="0.55000000000000004">
      <c r="A441"/>
      <c r="B441"/>
      <c r="C441"/>
      <c r="D441"/>
      <c r="E441"/>
      <c r="F441"/>
      <c r="G441"/>
      <c r="L441" s="17">
        <v>42079</v>
      </c>
    </row>
    <row r="442" spans="1:12" x14ac:dyDescent="0.55000000000000004">
      <c r="A442"/>
      <c r="B442"/>
      <c r="C442"/>
      <c r="D442"/>
      <c r="E442"/>
      <c r="F442"/>
      <c r="G442"/>
      <c r="L442" s="17">
        <v>42080</v>
      </c>
    </row>
    <row r="443" spans="1:12" x14ac:dyDescent="0.55000000000000004">
      <c r="A443"/>
      <c r="B443"/>
      <c r="C443"/>
      <c r="D443"/>
      <c r="E443"/>
      <c r="F443"/>
      <c r="G443"/>
      <c r="L443" s="17">
        <v>42081</v>
      </c>
    </row>
    <row r="444" spans="1:12" x14ac:dyDescent="0.55000000000000004">
      <c r="A444"/>
      <c r="B444"/>
      <c r="C444"/>
      <c r="D444"/>
      <c r="E444"/>
      <c r="F444"/>
      <c r="G444"/>
      <c r="L444" s="17">
        <v>42082</v>
      </c>
    </row>
    <row r="445" spans="1:12" x14ac:dyDescent="0.55000000000000004">
      <c r="A445"/>
      <c r="B445"/>
      <c r="C445"/>
      <c r="D445"/>
      <c r="E445"/>
      <c r="F445"/>
      <c r="G445"/>
      <c r="L445" s="17">
        <v>42083</v>
      </c>
    </row>
    <row r="446" spans="1:12" x14ac:dyDescent="0.55000000000000004">
      <c r="A446"/>
      <c r="B446"/>
      <c r="C446"/>
      <c r="D446"/>
      <c r="E446"/>
      <c r="F446"/>
      <c r="G446"/>
      <c r="L446" s="17">
        <v>42084</v>
      </c>
    </row>
    <row r="447" spans="1:12" x14ac:dyDescent="0.55000000000000004">
      <c r="A447"/>
      <c r="B447"/>
      <c r="C447"/>
      <c r="D447"/>
      <c r="E447"/>
      <c r="F447"/>
      <c r="G447"/>
      <c r="L447" s="17">
        <v>42085</v>
      </c>
    </row>
    <row r="448" spans="1:12" x14ac:dyDescent="0.55000000000000004">
      <c r="A448"/>
      <c r="B448"/>
      <c r="C448"/>
      <c r="D448"/>
      <c r="E448"/>
      <c r="F448"/>
      <c r="G448"/>
      <c r="L448" s="17">
        <v>42086</v>
      </c>
    </row>
    <row r="449" spans="1:12" x14ac:dyDescent="0.55000000000000004">
      <c r="A449"/>
      <c r="B449"/>
      <c r="C449"/>
      <c r="D449"/>
      <c r="E449"/>
      <c r="F449"/>
      <c r="G449"/>
      <c r="L449" s="17">
        <v>42087</v>
      </c>
    </row>
    <row r="450" spans="1:12" x14ac:dyDescent="0.55000000000000004">
      <c r="A450"/>
      <c r="B450"/>
      <c r="C450"/>
      <c r="D450"/>
      <c r="E450"/>
      <c r="F450"/>
      <c r="G450"/>
      <c r="L450" s="17">
        <v>42088</v>
      </c>
    </row>
    <row r="451" spans="1:12" x14ac:dyDescent="0.55000000000000004">
      <c r="A451"/>
      <c r="B451"/>
      <c r="C451"/>
      <c r="D451"/>
      <c r="E451"/>
      <c r="F451"/>
      <c r="G451"/>
      <c r="L451" s="17">
        <v>42089</v>
      </c>
    </row>
    <row r="452" spans="1:12" x14ac:dyDescent="0.55000000000000004">
      <c r="A452"/>
      <c r="B452"/>
      <c r="C452"/>
      <c r="D452"/>
      <c r="E452"/>
      <c r="F452"/>
      <c r="G452"/>
      <c r="L452" s="17">
        <v>42090</v>
      </c>
    </row>
    <row r="453" spans="1:12" x14ac:dyDescent="0.55000000000000004">
      <c r="A453"/>
      <c r="B453"/>
      <c r="C453"/>
      <c r="D453"/>
      <c r="E453"/>
      <c r="F453"/>
      <c r="G453"/>
      <c r="L453" s="17">
        <v>42091</v>
      </c>
    </row>
    <row r="454" spans="1:12" x14ac:dyDescent="0.55000000000000004">
      <c r="A454"/>
      <c r="B454"/>
      <c r="C454"/>
      <c r="D454"/>
      <c r="E454"/>
      <c r="F454"/>
      <c r="G454"/>
      <c r="L454" s="17">
        <v>42092</v>
      </c>
    </row>
    <row r="455" spans="1:12" x14ac:dyDescent="0.55000000000000004">
      <c r="A455"/>
      <c r="B455"/>
      <c r="C455"/>
      <c r="D455"/>
      <c r="E455"/>
      <c r="F455"/>
      <c r="G455"/>
      <c r="L455" s="17">
        <v>42093</v>
      </c>
    </row>
    <row r="456" spans="1:12" x14ac:dyDescent="0.55000000000000004">
      <c r="A456"/>
      <c r="B456"/>
      <c r="C456"/>
      <c r="D456"/>
      <c r="E456"/>
      <c r="F456"/>
      <c r="G456"/>
      <c r="L456" s="17">
        <v>42094</v>
      </c>
    </row>
    <row r="457" spans="1:12" x14ac:dyDescent="0.55000000000000004">
      <c r="A457"/>
      <c r="B457"/>
      <c r="C457"/>
      <c r="D457"/>
      <c r="E457"/>
      <c r="F457"/>
      <c r="G457"/>
      <c r="L457" s="17">
        <v>42095</v>
      </c>
    </row>
    <row r="458" spans="1:12" x14ac:dyDescent="0.55000000000000004">
      <c r="A458"/>
      <c r="B458"/>
      <c r="C458"/>
      <c r="D458"/>
      <c r="E458"/>
      <c r="F458"/>
      <c r="G458"/>
      <c r="L458" s="17">
        <v>42096</v>
      </c>
    </row>
    <row r="459" spans="1:12" x14ac:dyDescent="0.55000000000000004">
      <c r="A459"/>
      <c r="B459"/>
      <c r="C459"/>
      <c r="D459"/>
      <c r="E459"/>
      <c r="F459"/>
      <c r="G459"/>
      <c r="L459" s="17">
        <v>42097</v>
      </c>
    </row>
    <row r="460" spans="1:12" x14ac:dyDescent="0.55000000000000004">
      <c r="A460"/>
      <c r="B460"/>
      <c r="C460"/>
      <c r="D460"/>
      <c r="E460"/>
      <c r="F460"/>
      <c r="G460"/>
      <c r="L460" s="17">
        <v>42098</v>
      </c>
    </row>
    <row r="461" spans="1:12" x14ac:dyDescent="0.55000000000000004">
      <c r="A461"/>
      <c r="B461"/>
      <c r="C461"/>
      <c r="D461"/>
      <c r="E461"/>
      <c r="F461"/>
      <c r="G461"/>
      <c r="L461" s="17">
        <v>42099</v>
      </c>
    </row>
    <row r="462" spans="1:12" x14ac:dyDescent="0.55000000000000004">
      <c r="A462"/>
      <c r="B462"/>
      <c r="C462"/>
      <c r="D462"/>
      <c r="E462"/>
      <c r="F462"/>
      <c r="G462"/>
      <c r="L462" s="17">
        <v>42100</v>
      </c>
    </row>
    <row r="463" spans="1:12" x14ac:dyDescent="0.55000000000000004">
      <c r="A463"/>
      <c r="B463"/>
      <c r="C463"/>
      <c r="D463"/>
      <c r="E463"/>
      <c r="F463"/>
      <c r="G463"/>
      <c r="L463" s="17">
        <v>42101</v>
      </c>
    </row>
    <row r="464" spans="1:12" x14ac:dyDescent="0.55000000000000004">
      <c r="A464"/>
      <c r="B464"/>
      <c r="C464"/>
      <c r="D464"/>
      <c r="E464"/>
      <c r="F464"/>
      <c r="G464"/>
      <c r="L464" s="17">
        <v>42102</v>
      </c>
    </row>
    <row r="465" spans="1:12" x14ac:dyDescent="0.55000000000000004">
      <c r="A465"/>
      <c r="B465"/>
      <c r="C465"/>
      <c r="D465"/>
      <c r="E465"/>
      <c r="F465"/>
      <c r="G465"/>
      <c r="L465" s="17">
        <v>42103</v>
      </c>
    </row>
    <row r="466" spans="1:12" x14ac:dyDescent="0.55000000000000004">
      <c r="A466"/>
      <c r="B466"/>
      <c r="C466"/>
      <c r="D466"/>
      <c r="E466"/>
      <c r="F466"/>
      <c r="G466"/>
      <c r="L466" s="17">
        <v>42104</v>
      </c>
    </row>
    <row r="467" spans="1:12" x14ac:dyDescent="0.55000000000000004">
      <c r="A467"/>
      <c r="B467"/>
      <c r="C467"/>
      <c r="D467"/>
      <c r="E467"/>
      <c r="F467"/>
      <c r="G467"/>
      <c r="L467" s="17">
        <v>42105</v>
      </c>
    </row>
    <row r="468" spans="1:12" x14ac:dyDescent="0.55000000000000004">
      <c r="A468"/>
      <c r="B468"/>
      <c r="C468"/>
      <c r="D468"/>
      <c r="E468"/>
      <c r="F468"/>
      <c r="G468"/>
      <c r="L468" s="17">
        <v>42106</v>
      </c>
    </row>
    <row r="469" spans="1:12" x14ac:dyDescent="0.55000000000000004">
      <c r="A469"/>
      <c r="B469"/>
      <c r="C469"/>
      <c r="D469"/>
      <c r="E469"/>
      <c r="F469"/>
      <c r="G469"/>
      <c r="L469" s="17">
        <v>42107</v>
      </c>
    </row>
    <row r="470" spans="1:12" x14ac:dyDescent="0.55000000000000004">
      <c r="A470"/>
      <c r="B470"/>
      <c r="C470"/>
      <c r="D470"/>
      <c r="E470"/>
      <c r="F470"/>
      <c r="G470"/>
      <c r="L470" s="17">
        <v>42108</v>
      </c>
    </row>
    <row r="471" spans="1:12" x14ac:dyDescent="0.55000000000000004">
      <c r="A471"/>
      <c r="B471"/>
      <c r="C471"/>
      <c r="D471"/>
      <c r="E471"/>
      <c r="F471"/>
      <c r="G471"/>
      <c r="L471" s="17">
        <v>42109</v>
      </c>
    </row>
    <row r="472" spans="1:12" x14ac:dyDescent="0.55000000000000004">
      <c r="A472"/>
      <c r="B472"/>
      <c r="C472"/>
      <c r="D472"/>
      <c r="E472"/>
      <c r="F472"/>
      <c r="G472"/>
      <c r="L472" s="17">
        <v>42110</v>
      </c>
    </row>
    <row r="473" spans="1:12" x14ac:dyDescent="0.55000000000000004">
      <c r="A473"/>
      <c r="B473"/>
      <c r="C473"/>
      <c r="D473"/>
      <c r="E473"/>
      <c r="F473"/>
      <c r="G473"/>
      <c r="L473" s="17">
        <v>42111</v>
      </c>
    </row>
    <row r="474" spans="1:12" x14ac:dyDescent="0.55000000000000004">
      <c r="A474"/>
      <c r="B474"/>
      <c r="C474"/>
      <c r="D474"/>
      <c r="E474"/>
      <c r="F474"/>
      <c r="G474"/>
      <c r="L474" s="17">
        <v>42112</v>
      </c>
    </row>
    <row r="475" spans="1:12" x14ac:dyDescent="0.55000000000000004">
      <c r="A475"/>
      <c r="B475"/>
      <c r="C475"/>
      <c r="D475"/>
      <c r="E475"/>
      <c r="F475"/>
      <c r="G475"/>
      <c r="L475" s="17">
        <v>42113</v>
      </c>
    </row>
    <row r="476" spans="1:12" x14ac:dyDescent="0.55000000000000004">
      <c r="A476"/>
      <c r="B476"/>
      <c r="C476"/>
      <c r="D476"/>
      <c r="E476"/>
      <c r="F476"/>
      <c r="G476"/>
      <c r="L476" s="17">
        <v>42114</v>
      </c>
    </row>
    <row r="477" spans="1:12" x14ac:dyDescent="0.55000000000000004">
      <c r="A477"/>
      <c r="B477"/>
      <c r="C477"/>
      <c r="D477"/>
      <c r="E477"/>
      <c r="F477"/>
      <c r="G477"/>
      <c r="L477" s="17">
        <v>42115</v>
      </c>
    </row>
    <row r="478" spans="1:12" x14ac:dyDescent="0.55000000000000004">
      <c r="A478"/>
      <c r="B478"/>
      <c r="C478"/>
      <c r="D478"/>
      <c r="E478"/>
      <c r="F478"/>
      <c r="G478"/>
      <c r="L478" s="17">
        <v>42116</v>
      </c>
    </row>
    <row r="479" spans="1:12" x14ac:dyDescent="0.55000000000000004">
      <c r="A479"/>
      <c r="B479"/>
      <c r="C479"/>
      <c r="D479"/>
      <c r="E479"/>
      <c r="F479"/>
      <c r="G479"/>
      <c r="L479" s="17">
        <v>42117</v>
      </c>
    </row>
    <row r="480" spans="1:12" x14ac:dyDescent="0.55000000000000004">
      <c r="A480"/>
      <c r="B480"/>
      <c r="C480"/>
      <c r="D480"/>
      <c r="E480"/>
      <c r="F480"/>
      <c r="G480"/>
      <c r="L480" s="17">
        <v>42118</v>
      </c>
    </row>
    <row r="481" spans="1:12" x14ac:dyDescent="0.55000000000000004">
      <c r="A481"/>
      <c r="B481"/>
      <c r="C481"/>
      <c r="D481"/>
      <c r="E481"/>
      <c r="F481"/>
      <c r="G481"/>
      <c r="L481" s="17">
        <v>42119</v>
      </c>
    </row>
    <row r="482" spans="1:12" x14ac:dyDescent="0.55000000000000004">
      <c r="A482"/>
      <c r="B482"/>
      <c r="C482"/>
      <c r="D482"/>
      <c r="E482"/>
      <c r="F482"/>
      <c r="G482"/>
      <c r="L482" s="17">
        <v>42120</v>
      </c>
    </row>
    <row r="483" spans="1:12" x14ac:dyDescent="0.55000000000000004">
      <c r="A483"/>
      <c r="B483"/>
      <c r="C483"/>
      <c r="D483"/>
      <c r="E483"/>
      <c r="F483"/>
      <c r="G483"/>
      <c r="L483" s="17">
        <v>42121</v>
      </c>
    </row>
    <row r="484" spans="1:12" x14ac:dyDescent="0.55000000000000004">
      <c r="A484"/>
      <c r="B484"/>
      <c r="C484"/>
      <c r="D484"/>
      <c r="E484"/>
      <c r="F484"/>
      <c r="G484"/>
      <c r="L484" s="17">
        <v>42122</v>
      </c>
    </row>
    <row r="485" spans="1:12" x14ac:dyDescent="0.55000000000000004">
      <c r="A485"/>
      <c r="B485"/>
      <c r="C485"/>
      <c r="D485"/>
      <c r="E485"/>
      <c r="F485"/>
      <c r="G485"/>
      <c r="L485" s="17">
        <v>42123</v>
      </c>
    </row>
    <row r="486" spans="1:12" x14ac:dyDescent="0.55000000000000004">
      <c r="A486"/>
      <c r="B486"/>
      <c r="C486"/>
      <c r="D486"/>
      <c r="E486"/>
      <c r="F486"/>
      <c r="G486"/>
      <c r="L486" s="17">
        <v>42124</v>
      </c>
    </row>
    <row r="487" spans="1:12" x14ac:dyDescent="0.55000000000000004">
      <c r="A487"/>
      <c r="B487"/>
      <c r="C487"/>
      <c r="D487"/>
      <c r="E487"/>
      <c r="F487"/>
      <c r="G487"/>
      <c r="L487" s="17">
        <v>42125</v>
      </c>
    </row>
    <row r="488" spans="1:12" x14ac:dyDescent="0.55000000000000004">
      <c r="A488"/>
      <c r="B488"/>
      <c r="C488"/>
      <c r="D488"/>
      <c r="E488"/>
      <c r="F488"/>
      <c r="G488"/>
      <c r="L488" s="17">
        <v>42126</v>
      </c>
    </row>
    <row r="489" spans="1:12" x14ac:dyDescent="0.55000000000000004">
      <c r="A489"/>
      <c r="B489"/>
      <c r="C489"/>
      <c r="D489"/>
      <c r="E489"/>
      <c r="F489"/>
      <c r="G489"/>
      <c r="L489" s="17">
        <v>42127</v>
      </c>
    </row>
    <row r="490" spans="1:12" x14ac:dyDescent="0.55000000000000004">
      <c r="A490"/>
      <c r="B490"/>
      <c r="C490"/>
      <c r="D490"/>
      <c r="E490"/>
      <c r="F490"/>
      <c r="G490"/>
      <c r="L490" s="17">
        <v>42128</v>
      </c>
    </row>
    <row r="491" spans="1:12" x14ac:dyDescent="0.55000000000000004">
      <c r="A491"/>
      <c r="B491"/>
      <c r="C491"/>
      <c r="D491"/>
      <c r="E491"/>
      <c r="F491"/>
      <c r="G491"/>
      <c r="L491" s="17">
        <v>42129</v>
      </c>
    </row>
    <row r="492" spans="1:12" x14ac:dyDescent="0.55000000000000004">
      <c r="A492"/>
      <c r="B492"/>
      <c r="C492"/>
      <c r="D492"/>
      <c r="E492"/>
      <c r="F492"/>
      <c r="G492"/>
      <c r="L492" s="17">
        <v>42130</v>
      </c>
    </row>
    <row r="493" spans="1:12" x14ac:dyDescent="0.55000000000000004">
      <c r="A493"/>
      <c r="B493"/>
      <c r="C493"/>
      <c r="D493"/>
      <c r="E493"/>
      <c r="F493"/>
      <c r="G493"/>
      <c r="L493" s="17">
        <v>42131</v>
      </c>
    </row>
    <row r="494" spans="1:12" x14ac:dyDescent="0.55000000000000004">
      <c r="A494"/>
      <c r="B494"/>
      <c r="C494"/>
      <c r="D494"/>
      <c r="E494"/>
      <c r="F494"/>
      <c r="G494"/>
      <c r="L494" s="17">
        <v>42132</v>
      </c>
    </row>
    <row r="495" spans="1:12" x14ac:dyDescent="0.55000000000000004">
      <c r="A495"/>
      <c r="B495"/>
      <c r="C495"/>
      <c r="D495"/>
      <c r="E495"/>
      <c r="F495"/>
      <c r="G495"/>
      <c r="L495" s="17">
        <v>42133</v>
      </c>
    </row>
    <row r="496" spans="1:12" x14ac:dyDescent="0.55000000000000004">
      <c r="A496"/>
      <c r="B496"/>
      <c r="C496"/>
      <c r="D496"/>
      <c r="E496"/>
      <c r="F496"/>
      <c r="G496"/>
      <c r="L496" s="17">
        <v>42134</v>
      </c>
    </row>
    <row r="497" spans="1:12" x14ac:dyDescent="0.55000000000000004">
      <c r="A497"/>
      <c r="B497"/>
      <c r="C497"/>
      <c r="D497"/>
      <c r="E497"/>
      <c r="F497"/>
      <c r="G497"/>
      <c r="L497" s="17">
        <v>42135</v>
      </c>
    </row>
    <row r="498" spans="1:12" x14ac:dyDescent="0.55000000000000004">
      <c r="A498"/>
      <c r="B498"/>
      <c r="C498"/>
      <c r="D498"/>
      <c r="E498"/>
      <c r="F498"/>
      <c r="G498"/>
      <c r="L498" s="17">
        <v>42136</v>
      </c>
    </row>
    <row r="499" spans="1:12" x14ac:dyDescent="0.55000000000000004">
      <c r="A499"/>
      <c r="B499"/>
      <c r="C499"/>
      <c r="D499"/>
      <c r="E499"/>
      <c r="F499"/>
      <c r="G499"/>
      <c r="L499" s="17">
        <v>42137</v>
      </c>
    </row>
    <row r="500" spans="1:12" x14ac:dyDescent="0.55000000000000004">
      <c r="A500"/>
      <c r="B500"/>
      <c r="C500"/>
      <c r="D500"/>
      <c r="E500"/>
      <c r="F500"/>
      <c r="G500"/>
      <c r="L500" s="17">
        <v>42138</v>
      </c>
    </row>
    <row r="501" spans="1:12" x14ac:dyDescent="0.55000000000000004">
      <c r="A501"/>
      <c r="B501"/>
      <c r="C501"/>
      <c r="D501"/>
      <c r="E501"/>
      <c r="F501"/>
      <c r="G501"/>
      <c r="L501" s="17">
        <v>42139</v>
      </c>
    </row>
    <row r="502" spans="1:12" x14ac:dyDescent="0.55000000000000004">
      <c r="A502"/>
      <c r="B502"/>
      <c r="C502"/>
      <c r="D502"/>
      <c r="E502"/>
      <c r="F502"/>
      <c r="G502"/>
      <c r="L502" s="17">
        <v>42140</v>
      </c>
    </row>
    <row r="503" spans="1:12" x14ac:dyDescent="0.55000000000000004">
      <c r="A503"/>
      <c r="B503"/>
      <c r="C503"/>
      <c r="D503"/>
      <c r="E503"/>
      <c r="F503"/>
      <c r="G503"/>
      <c r="L503" s="17">
        <v>42141</v>
      </c>
    </row>
    <row r="504" spans="1:12" x14ac:dyDescent="0.55000000000000004">
      <c r="A504"/>
      <c r="B504"/>
      <c r="C504"/>
      <c r="D504"/>
      <c r="E504"/>
      <c r="F504"/>
      <c r="G504"/>
      <c r="L504" s="17">
        <v>42142</v>
      </c>
    </row>
    <row r="505" spans="1:12" x14ac:dyDescent="0.55000000000000004">
      <c r="A505"/>
      <c r="B505"/>
      <c r="C505"/>
      <c r="D505"/>
      <c r="E505"/>
      <c r="F505"/>
      <c r="G505"/>
      <c r="L505" s="17">
        <v>42143</v>
      </c>
    </row>
    <row r="506" spans="1:12" x14ac:dyDescent="0.55000000000000004">
      <c r="A506"/>
      <c r="B506"/>
      <c r="C506"/>
      <c r="D506"/>
      <c r="E506"/>
      <c r="F506"/>
      <c r="G506"/>
      <c r="L506" s="17">
        <v>42144</v>
      </c>
    </row>
  </sheetData>
  <sortState ref="A2:G136">
    <sortCondition ref="A2:A136"/>
  </sortState>
  <dataValidations disablePrompts="1" count="1">
    <dataValidation type="list" allowBlank="1" showInputMessage="1" showErrorMessage="1" sqref="C507:C1048576 C1:C136">
      <formula1>$J$1:$J$25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55"/>
  <sheetViews>
    <sheetView topLeftCell="A233" workbookViewId="0">
      <selection activeCell="M257" sqref="M257"/>
    </sheetView>
  </sheetViews>
  <sheetFormatPr defaultRowHeight="14.4" x14ac:dyDescent="0.55000000000000004"/>
  <cols>
    <col min="1" max="1" width="16" style="74" customWidth="1"/>
    <col min="2" max="2" width="12.83984375" style="75" customWidth="1"/>
    <col min="3" max="3" width="14.68359375" style="76" customWidth="1"/>
    <col min="4" max="4" width="16.41796875" style="76" customWidth="1"/>
    <col min="5" max="5" width="13.578125" style="1" customWidth="1"/>
    <col min="6" max="7" width="16.41796875" style="76" customWidth="1"/>
    <col min="8" max="8" width="9.15625" style="1"/>
    <col min="9" max="9" width="15.578125" style="76" customWidth="1"/>
    <col min="10" max="10" width="15.83984375" style="1" customWidth="1"/>
    <col min="11" max="11" width="9.578125" style="1" customWidth="1"/>
    <col min="12" max="12" width="13.578125" style="1" customWidth="1"/>
    <col min="13" max="15" width="9.15625" style="1"/>
  </cols>
  <sheetData>
    <row r="1" spans="1:15" x14ac:dyDescent="0.55000000000000004">
      <c r="B1" s="75" t="s">
        <v>314</v>
      </c>
      <c r="C1" s="76" t="s">
        <v>315</v>
      </c>
      <c r="D1" s="76" t="s">
        <v>332</v>
      </c>
      <c r="E1" s="1" t="s">
        <v>316</v>
      </c>
      <c r="F1" s="76" t="s">
        <v>333</v>
      </c>
      <c r="G1" s="76" t="s">
        <v>334</v>
      </c>
      <c r="H1" s="76" t="s">
        <v>317</v>
      </c>
      <c r="I1" s="76" t="s">
        <v>318</v>
      </c>
      <c r="J1" s="76" t="s">
        <v>319</v>
      </c>
      <c r="K1" s="76" t="s">
        <v>320</v>
      </c>
      <c r="L1" s="76" t="s">
        <v>321</v>
      </c>
      <c r="M1" s="76" t="s">
        <v>322</v>
      </c>
      <c r="N1" s="76" t="s">
        <v>718</v>
      </c>
    </row>
    <row r="2" spans="1:15" x14ac:dyDescent="0.55000000000000004">
      <c r="A2" s="77" t="s">
        <v>323</v>
      </c>
    </row>
    <row r="3" spans="1:15" x14ac:dyDescent="0.55000000000000004">
      <c r="A3" s="78" t="s">
        <v>324</v>
      </c>
    </row>
    <row r="4" spans="1:15" x14ac:dyDescent="0.55000000000000004">
      <c r="A4" s="74">
        <v>1</v>
      </c>
      <c r="B4" s="75">
        <v>15</v>
      </c>
      <c r="C4" s="76">
        <v>0.5</v>
      </c>
      <c r="D4" s="76">
        <v>0.9</v>
      </c>
      <c r="E4" s="1">
        <v>6</v>
      </c>
      <c r="F4" s="76">
        <v>15</v>
      </c>
      <c r="G4" s="76">
        <v>30</v>
      </c>
      <c r="H4" s="1">
        <v>7</v>
      </c>
      <c r="I4" s="76">
        <v>3000</v>
      </c>
      <c r="J4" s="1">
        <v>65</v>
      </c>
      <c r="K4" s="1">
        <v>7</v>
      </c>
      <c r="L4" s="1">
        <v>700</v>
      </c>
      <c r="M4" s="1">
        <v>19</v>
      </c>
      <c r="N4" s="1">
        <v>250</v>
      </c>
      <c r="O4" s="1">
        <v>75</v>
      </c>
    </row>
    <row r="5" spans="1:15" x14ac:dyDescent="0.55000000000000004">
      <c r="A5" s="74">
        <v>2</v>
      </c>
      <c r="B5" s="75">
        <v>15</v>
      </c>
      <c r="C5" s="76">
        <v>0.5</v>
      </c>
      <c r="D5" s="76">
        <v>0.9</v>
      </c>
      <c r="E5" s="1">
        <v>6</v>
      </c>
      <c r="F5" s="76">
        <v>15</v>
      </c>
      <c r="G5" s="76">
        <v>30</v>
      </c>
      <c r="H5" s="1">
        <v>7</v>
      </c>
      <c r="I5" s="76">
        <v>3000</v>
      </c>
      <c r="J5" s="1">
        <v>65</v>
      </c>
      <c r="K5" s="1">
        <v>7</v>
      </c>
      <c r="L5" s="1">
        <v>700</v>
      </c>
      <c r="M5" s="1">
        <v>19</v>
      </c>
      <c r="N5" s="1">
        <v>250</v>
      </c>
    </row>
    <row r="6" spans="1:15" x14ac:dyDescent="0.55000000000000004">
      <c r="A6" s="74">
        <v>3</v>
      </c>
      <c r="B6" s="75">
        <v>15</v>
      </c>
      <c r="C6" s="76">
        <v>0.5</v>
      </c>
      <c r="D6" s="76">
        <v>0.9</v>
      </c>
      <c r="E6" s="1">
        <v>6</v>
      </c>
      <c r="F6" s="76">
        <v>15</v>
      </c>
      <c r="G6" s="76">
        <v>30</v>
      </c>
      <c r="H6" s="1">
        <v>7</v>
      </c>
      <c r="I6" s="76">
        <v>3000</v>
      </c>
      <c r="J6" s="1">
        <v>65</v>
      </c>
      <c r="K6" s="1">
        <v>7</v>
      </c>
      <c r="L6" s="1">
        <v>700</v>
      </c>
      <c r="M6" s="1">
        <v>19</v>
      </c>
      <c r="N6" s="1">
        <v>250</v>
      </c>
    </row>
    <row r="7" spans="1:15" x14ac:dyDescent="0.55000000000000004">
      <c r="A7" s="74">
        <v>4</v>
      </c>
      <c r="B7" s="75">
        <v>25</v>
      </c>
      <c r="C7" s="76">
        <v>0.6</v>
      </c>
      <c r="D7" s="76">
        <v>1.2</v>
      </c>
      <c r="E7" s="1">
        <v>7</v>
      </c>
      <c r="F7" s="76">
        <v>15</v>
      </c>
      <c r="G7" s="76">
        <v>55</v>
      </c>
      <c r="H7" s="1">
        <v>12</v>
      </c>
      <c r="I7" s="76">
        <v>3800</v>
      </c>
      <c r="J7" s="1">
        <v>110</v>
      </c>
      <c r="K7" s="1">
        <v>10</v>
      </c>
      <c r="L7" s="1">
        <v>1000</v>
      </c>
      <c r="M7" s="1">
        <v>25</v>
      </c>
      <c r="N7" s="1">
        <v>250</v>
      </c>
    </row>
    <row r="8" spans="1:15" x14ac:dyDescent="0.55000000000000004">
      <c r="A8" s="74">
        <v>5</v>
      </c>
      <c r="B8" s="75">
        <v>25</v>
      </c>
      <c r="C8" s="76">
        <v>0.6</v>
      </c>
      <c r="D8" s="76">
        <v>1.2</v>
      </c>
      <c r="E8" s="1">
        <v>7</v>
      </c>
      <c r="F8" s="76">
        <v>15</v>
      </c>
      <c r="G8" s="76">
        <v>55</v>
      </c>
      <c r="H8" s="1">
        <v>12</v>
      </c>
      <c r="I8" s="76">
        <v>3800</v>
      </c>
      <c r="J8" s="1">
        <v>110</v>
      </c>
      <c r="K8" s="1">
        <v>10</v>
      </c>
      <c r="L8" s="1">
        <v>1000</v>
      </c>
      <c r="M8" s="1">
        <v>25</v>
      </c>
      <c r="N8" s="1">
        <v>250</v>
      </c>
    </row>
    <row r="9" spans="1:15" x14ac:dyDescent="0.55000000000000004">
      <c r="A9" s="74">
        <v>6</v>
      </c>
      <c r="B9" s="75">
        <v>25</v>
      </c>
      <c r="C9" s="76">
        <v>0.6</v>
      </c>
      <c r="D9" s="76">
        <v>1.2</v>
      </c>
      <c r="E9" s="1">
        <v>7</v>
      </c>
      <c r="F9" s="76">
        <v>15</v>
      </c>
      <c r="G9" s="76">
        <v>55</v>
      </c>
      <c r="H9" s="1">
        <v>12</v>
      </c>
      <c r="I9" s="76">
        <v>3800</v>
      </c>
      <c r="J9" s="1">
        <v>110</v>
      </c>
      <c r="K9" s="1">
        <v>10</v>
      </c>
      <c r="L9" s="1">
        <v>1000</v>
      </c>
      <c r="M9" s="1">
        <v>25</v>
      </c>
      <c r="N9" s="1">
        <v>250</v>
      </c>
    </row>
    <row r="10" spans="1:15" x14ac:dyDescent="0.55000000000000004">
      <c r="A10" s="74">
        <v>7</v>
      </c>
      <c r="B10" s="75">
        <v>25</v>
      </c>
      <c r="C10" s="76">
        <v>0.6</v>
      </c>
      <c r="D10" s="76">
        <v>1.2</v>
      </c>
      <c r="E10" s="1">
        <v>7</v>
      </c>
      <c r="F10" s="76">
        <v>15</v>
      </c>
      <c r="G10" s="76">
        <v>55</v>
      </c>
      <c r="H10" s="1">
        <v>12</v>
      </c>
      <c r="I10" s="76">
        <v>3800</v>
      </c>
      <c r="J10" s="1">
        <v>110</v>
      </c>
      <c r="K10" s="1">
        <v>10</v>
      </c>
      <c r="L10" s="1">
        <v>1000</v>
      </c>
      <c r="M10" s="1">
        <v>25</v>
      </c>
      <c r="N10" s="1">
        <v>250</v>
      </c>
    </row>
    <row r="11" spans="1:15" x14ac:dyDescent="0.55000000000000004">
      <c r="A11" s="74">
        <v>8</v>
      </c>
      <c r="B11" s="75">
        <v>25</v>
      </c>
      <c r="C11" s="76">
        <v>0.6</v>
      </c>
      <c r="D11" s="76">
        <v>1.2</v>
      </c>
      <c r="E11" s="1">
        <v>7</v>
      </c>
      <c r="F11" s="76">
        <v>15</v>
      </c>
      <c r="G11" s="76">
        <v>55</v>
      </c>
      <c r="H11" s="1">
        <v>12</v>
      </c>
      <c r="I11" s="76">
        <v>3800</v>
      </c>
      <c r="J11" s="1">
        <v>110</v>
      </c>
      <c r="K11" s="1">
        <v>10</v>
      </c>
      <c r="L11" s="1">
        <v>1000</v>
      </c>
      <c r="M11" s="1">
        <v>25</v>
      </c>
      <c r="N11" s="1">
        <v>250</v>
      </c>
    </row>
    <row r="12" spans="1:15" x14ac:dyDescent="0.55000000000000004">
      <c r="A12" s="74">
        <v>9</v>
      </c>
      <c r="B12" s="75">
        <v>45</v>
      </c>
      <c r="C12" s="76">
        <v>1</v>
      </c>
      <c r="D12" s="76">
        <v>1.8</v>
      </c>
      <c r="E12" s="1">
        <v>11</v>
      </c>
      <c r="F12" s="76">
        <v>15</v>
      </c>
      <c r="G12" s="76">
        <v>60</v>
      </c>
      <c r="H12" s="1">
        <v>23</v>
      </c>
      <c r="I12" s="76">
        <v>4500</v>
      </c>
      <c r="J12" s="1">
        <v>350</v>
      </c>
      <c r="K12" s="1">
        <v>8</v>
      </c>
      <c r="L12" s="1">
        <v>1300</v>
      </c>
      <c r="M12" s="1">
        <v>38</v>
      </c>
      <c r="N12" s="1">
        <v>250</v>
      </c>
      <c r="O12" s="1">
        <v>75</v>
      </c>
    </row>
    <row r="13" spans="1:15" x14ac:dyDescent="0.55000000000000004">
      <c r="A13" s="74">
        <v>10</v>
      </c>
      <c r="B13" s="75">
        <v>45</v>
      </c>
      <c r="C13" s="76">
        <v>1</v>
      </c>
      <c r="D13" s="76">
        <v>1.8</v>
      </c>
      <c r="E13" s="1">
        <v>11</v>
      </c>
      <c r="F13" s="76">
        <v>15</v>
      </c>
      <c r="G13" s="76">
        <v>60</v>
      </c>
      <c r="H13" s="1">
        <v>23</v>
      </c>
      <c r="I13" s="76">
        <v>4500</v>
      </c>
      <c r="J13" s="1">
        <v>350</v>
      </c>
      <c r="K13" s="1">
        <v>8</v>
      </c>
      <c r="L13" s="1">
        <v>1300</v>
      </c>
      <c r="M13" s="1">
        <v>38</v>
      </c>
      <c r="N13" s="1">
        <v>250</v>
      </c>
    </row>
    <row r="14" spans="1:15" x14ac:dyDescent="0.55000000000000004">
      <c r="A14" s="74">
        <v>11</v>
      </c>
      <c r="B14" s="75">
        <v>45</v>
      </c>
      <c r="C14" s="76">
        <v>1</v>
      </c>
      <c r="D14" s="76">
        <v>1.8</v>
      </c>
      <c r="E14" s="1">
        <v>11</v>
      </c>
      <c r="F14" s="76">
        <v>15</v>
      </c>
      <c r="G14" s="76">
        <v>60</v>
      </c>
      <c r="H14" s="1">
        <v>23</v>
      </c>
      <c r="I14" s="76">
        <v>4500</v>
      </c>
      <c r="J14" s="1">
        <v>350</v>
      </c>
      <c r="K14" s="1">
        <v>8</v>
      </c>
      <c r="L14" s="1">
        <v>1300</v>
      </c>
      <c r="M14" s="1">
        <v>38</v>
      </c>
      <c r="N14" s="1">
        <v>250</v>
      </c>
    </row>
    <row r="15" spans="1:15" x14ac:dyDescent="0.55000000000000004">
      <c r="A15" s="74">
        <v>12</v>
      </c>
      <c r="B15" s="75">
        <v>45</v>
      </c>
      <c r="C15" s="76">
        <v>1</v>
      </c>
      <c r="D15" s="76">
        <v>1.8</v>
      </c>
      <c r="E15" s="1">
        <v>11</v>
      </c>
      <c r="F15" s="76">
        <v>15</v>
      </c>
      <c r="G15" s="76">
        <v>60</v>
      </c>
      <c r="H15" s="1">
        <v>23</v>
      </c>
      <c r="I15" s="76">
        <v>4500</v>
      </c>
      <c r="J15" s="1">
        <v>350</v>
      </c>
      <c r="K15" s="1">
        <v>8</v>
      </c>
      <c r="L15" s="1">
        <v>1300</v>
      </c>
      <c r="M15" s="1">
        <v>38</v>
      </c>
      <c r="N15" s="1">
        <v>250</v>
      </c>
    </row>
    <row r="16" spans="1:15" x14ac:dyDescent="0.55000000000000004">
      <c r="A16" s="74">
        <v>13</v>
      </c>
      <c r="B16" s="75">
        <v>45</v>
      </c>
      <c r="C16" s="76">
        <v>1</v>
      </c>
      <c r="D16" s="76">
        <v>1.8</v>
      </c>
      <c r="E16" s="1">
        <v>11</v>
      </c>
      <c r="F16" s="76">
        <v>15</v>
      </c>
      <c r="G16" s="76">
        <v>60</v>
      </c>
      <c r="H16" s="1">
        <v>23</v>
      </c>
      <c r="I16" s="76">
        <v>4500</v>
      </c>
      <c r="J16" s="1">
        <v>350</v>
      </c>
      <c r="K16" s="1">
        <v>8</v>
      </c>
      <c r="L16" s="1">
        <v>1300</v>
      </c>
      <c r="M16" s="1">
        <v>38</v>
      </c>
      <c r="N16" s="1">
        <v>250</v>
      </c>
    </row>
    <row r="17" spans="1:15" x14ac:dyDescent="0.55000000000000004">
      <c r="A17" s="74">
        <v>14</v>
      </c>
      <c r="B17" s="75">
        <v>75</v>
      </c>
      <c r="C17" s="76">
        <v>1.3</v>
      </c>
      <c r="D17" s="76">
        <v>2.4</v>
      </c>
      <c r="E17" s="1">
        <v>15</v>
      </c>
      <c r="F17" s="76">
        <v>15</v>
      </c>
      <c r="G17" s="76">
        <v>75</v>
      </c>
      <c r="H17" s="1">
        <v>34</v>
      </c>
      <c r="I17" s="76">
        <v>4700</v>
      </c>
      <c r="J17" s="1">
        <v>350</v>
      </c>
      <c r="K17" s="1">
        <v>11</v>
      </c>
      <c r="L17" s="1">
        <v>1300</v>
      </c>
      <c r="M17" s="1">
        <v>30</v>
      </c>
      <c r="N17" s="1">
        <v>250</v>
      </c>
      <c r="O17" s="1">
        <v>1</v>
      </c>
    </row>
    <row r="18" spans="1:15" x14ac:dyDescent="0.55000000000000004">
      <c r="A18" s="74">
        <v>15</v>
      </c>
      <c r="B18" s="75">
        <v>75</v>
      </c>
      <c r="C18" s="76">
        <v>1.3</v>
      </c>
      <c r="D18" s="76">
        <v>2.4</v>
      </c>
      <c r="E18" s="1">
        <v>15</v>
      </c>
      <c r="F18" s="76">
        <v>15</v>
      </c>
      <c r="G18" s="76">
        <v>75</v>
      </c>
      <c r="H18" s="1">
        <v>34</v>
      </c>
      <c r="I18" s="76">
        <v>4700</v>
      </c>
      <c r="J18" s="1">
        <v>350</v>
      </c>
      <c r="K18" s="1">
        <v>11</v>
      </c>
      <c r="L18" s="1">
        <v>1300</v>
      </c>
      <c r="M18" s="1">
        <v>30</v>
      </c>
      <c r="N18" s="1">
        <v>250</v>
      </c>
    </row>
    <row r="19" spans="1:15" x14ac:dyDescent="0.55000000000000004">
      <c r="A19" s="74">
        <v>16</v>
      </c>
      <c r="B19" s="75">
        <v>75</v>
      </c>
      <c r="C19" s="76">
        <v>1.3</v>
      </c>
      <c r="D19" s="76">
        <v>2.4</v>
      </c>
      <c r="E19" s="1">
        <v>15</v>
      </c>
      <c r="F19" s="76">
        <v>15</v>
      </c>
      <c r="G19" s="76">
        <v>75</v>
      </c>
      <c r="H19" s="1">
        <v>34</v>
      </c>
      <c r="I19" s="76">
        <v>4700</v>
      </c>
      <c r="J19" s="1">
        <v>350</v>
      </c>
      <c r="K19" s="1">
        <v>11</v>
      </c>
      <c r="L19" s="1">
        <v>1300</v>
      </c>
      <c r="M19" s="1">
        <v>30</v>
      </c>
      <c r="N19" s="1">
        <v>250</v>
      </c>
    </row>
    <row r="20" spans="1:15" x14ac:dyDescent="0.55000000000000004">
      <c r="A20" s="74">
        <v>17</v>
      </c>
      <c r="B20" s="75">
        <v>75</v>
      </c>
      <c r="C20" s="76">
        <v>1.3</v>
      </c>
      <c r="D20" s="76">
        <v>2.4</v>
      </c>
      <c r="E20" s="1">
        <v>15</v>
      </c>
      <c r="F20" s="76">
        <v>15</v>
      </c>
      <c r="G20" s="76">
        <v>75</v>
      </c>
      <c r="H20" s="1">
        <v>34</v>
      </c>
      <c r="I20" s="76">
        <v>4700</v>
      </c>
      <c r="J20" s="1">
        <v>350</v>
      </c>
      <c r="K20" s="1">
        <v>11</v>
      </c>
      <c r="L20" s="1">
        <v>1300</v>
      </c>
      <c r="M20" s="1">
        <v>30</v>
      </c>
      <c r="N20" s="1">
        <v>250</v>
      </c>
    </row>
    <row r="21" spans="1:15" x14ac:dyDescent="0.55000000000000004">
      <c r="A21" s="74">
        <v>18</v>
      </c>
      <c r="B21" s="75">
        <v>75</v>
      </c>
      <c r="C21" s="76">
        <v>1.3</v>
      </c>
      <c r="D21" s="76">
        <v>2.4</v>
      </c>
      <c r="E21" s="1">
        <v>15</v>
      </c>
      <c r="F21" s="76">
        <v>15</v>
      </c>
      <c r="G21" s="76">
        <v>75</v>
      </c>
      <c r="H21" s="1">
        <v>34</v>
      </c>
      <c r="I21" s="76">
        <v>4700</v>
      </c>
      <c r="J21" s="1">
        <v>350</v>
      </c>
      <c r="K21" s="1">
        <v>11</v>
      </c>
      <c r="L21" s="1">
        <v>1300</v>
      </c>
      <c r="M21" s="1">
        <v>30</v>
      </c>
      <c r="N21" s="1">
        <v>250</v>
      </c>
    </row>
    <row r="22" spans="1:15" x14ac:dyDescent="0.55000000000000004">
      <c r="A22" s="74">
        <v>19</v>
      </c>
      <c r="B22" s="75">
        <v>90</v>
      </c>
      <c r="C22" s="76">
        <v>1.7</v>
      </c>
      <c r="D22" s="76">
        <v>2.4</v>
      </c>
      <c r="E22" s="1">
        <v>15</v>
      </c>
      <c r="F22" s="76">
        <v>20</v>
      </c>
      <c r="G22" s="76">
        <v>120</v>
      </c>
      <c r="H22" s="1">
        <v>40</v>
      </c>
      <c r="I22" s="76">
        <v>4700</v>
      </c>
      <c r="J22" s="1">
        <v>350</v>
      </c>
      <c r="K22" s="1">
        <v>8</v>
      </c>
      <c r="L22" s="1">
        <v>1000</v>
      </c>
      <c r="M22" s="1">
        <v>30</v>
      </c>
      <c r="N22" s="1">
        <v>250</v>
      </c>
    </row>
    <row r="23" spans="1:15" x14ac:dyDescent="0.55000000000000004">
      <c r="A23" s="74">
        <v>20</v>
      </c>
      <c r="B23" s="75">
        <v>90</v>
      </c>
      <c r="C23" s="76">
        <v>1.7</v>
      </c>
      <c r="D23" s="76">
        <v>2.4</v>
      </c>
      <c r="E23" s="1">
        <v>15</v>
      </c>
      <c r="F23" s="76">
        <v>20</v>
      </c>
      <c r="G23" s="76">
        <v>120</v>
      </c>
      <c r="H23" s="1">
        <v>40</v>
      </c>
      <c r="I23" s="76">
        <v>4700</v>
      </c>
      <c r="J23" s="1">
        <v>350</v>
      </c>
      <c r="K23" s="1">
        <v>8</v>
      </c>
      <c r="L23" s="1">
        <v>1000</v>
      </c>
      <c r="M23" s="1">
        <v>30</v>
      </c>
      <c r="N23" s="1">
        <v>250</v>
      </c>
    </row>
    <row r="24" spans="1:15" x14ac:dyDescent="0.55000000000000004">
      <c r="A24" s="74">
        <v>21</v>
      </c>
      <c r="B24" s="75">
        <v>90</v>
      </c>
      <c r="C24" s="76">
        <v>1.7</v>
      </c>
      <c r="D24" s="76">
        <v>2.4</v>
      </c>
      <c r="E24" s="1">
        <v>15</v>
      </c>
      <c r="F24" s="76">
        <v>20</v>
      </c>
      <c r="G24" s="76">
        <v>120</v>
      </c>
      <c r="H24" s="1">
        <v>40</v>
      </c>
      <c r="I24" s="76">
        <v>4700</v>
      </c>
      <c r="J24" s="1">
        <v>350</v>
      </c>
      <c r="K24" s="1">
        <v>8</v>
      </c>
      <c r="L24" s="1">
        <v>1000</v>
      </c>
      <c r="M24" s="1">
        <v>30</v>
      </c>
      <c r="N24" s="1">
        <v>250</v>
      </c>
    </row>
    <row r="25" spans="1:15" x14ac:dyDescent="0.55000000000000004">
      <c r="A25" s="74">
        <v>22</v>
      </c>
      <c r="B25" s="75">
        <v>90</v>
      </c>
      <c r="C25" s="76">
        <v>1.7</v>
      </c>
      <c r="D25" s="76">
        <v>2.4</v>
      </c>
      <c r="E25" s="1">
        <v>15</v>
      </c>
      <c r="F25" s="76">
        <v>20</v>
      </c>
      <c r="G25" s="76">
        <v>120</v>
      </c>
      <c r="H25" s="1">
        <v>40</v>
      </c>
      <c r="I25" s="76">
        <v>4700</v>
      </c>
      <c r="J25" s="1">
        <v>350</v>
      </c>
      <c r="K25" s="1">
        <v>8</v>
      </c>
      <c r="L25" s="1">
        <v>1000</v>
      </c>
      <c r="M25" s="1">
        <v>30</v>
      </c>
      <c r="N25" s="1">
        <v>250</v>
      </c>
    </row>
    <row r="26" spans="1:15" x14ac:dyDescent="0.55000000000000004">
      <c r="A26" s="74">
        <v>23</v>
      </c>
      <c r="B26" s="75">
        <v>90</v>
      </c>
      <c r="C26" s="76">
        <v>1.7</v>
      </c>
      <c r="D26" s="76">
        <v>2.4</v>
      </c>
      <c r="E26" s="1">
        <v>15</v>
      </c>
      <c r="F26" s="76">
        <v>20</v>
      </c>
      <c r="G26" s="76">
        <v>120</v>
      </c>
      <c r="H26" s="1">
        <v>40</v>
      </c>
      <c r="I26" s="76">
        <v>4700</v>
      </c>
      <c r="J26" s="1">
        <v>350</v>
      </c>
      <c r="K26" s="1">
        <v>8</v>
      </c>
      <c r="L26" s="1">
        <v>1000</v>
      </c>
      <c r="M26" s="1">
        <v>30</v>
      </c>
      <c r="N26" s="1">
        <v>250</v>
      </c>
    </row>
    <row r="27" spans="1:15" x14ac:dyDescent="0.55000000000000004">
      <c r="A27" s="74">
        <v>24</v>
      </c>
      <c r="B27" s="75">
        <v>90</v>
      </c>
      <c r="C27" s="76">
        <v>1.7</v>
      </c>
      <c r="D27" s="76">
        <v>2.4</v>
      </c>
      <c r="E27" s="1">
        <v>15</v>
      </c>
      <c r="F27" s="76">
        <v>20</v>
      </c>
      <c r="G27" s="76">
        <v>120</v>
      </c>
      <c r="H27" s="1">
        <v>40</v>
      </c>
      <c r="I27" s="76">
        <v>4700</v>
      </c>
      <c r="J27" s="1">
        <v>350</v>
      </c>
      <c r="K27" s="1">
        <v>8</v>
      </c>
      <c r="L27" s="1">
        <v>1000</v>
      </c>
      <c r="M27" s="1">
        <v>30</v>
      </c>
      <c r="N27" s="1">
        <v>250</v>
      </c>
    </row>
    <row r="28" spans="1:15" x14ac:dyDescent="0.55000000000000004">
      <c r="A28" s="74">
        <v>25</v>
      </c>
      <c r="B28" s="75">
        <v>90</v>
      </c>
      <c r="C28" s="76">
        <v>1.7</v>
      </c>
      <c r="D28" s="76">
        <v>2.4</v>
      </c>
      <c r="E28" s="1">
        <v>15</v>
      </c>
      <c r="F28" s="76">
        <v>20</v>
      </c>
      <c r="G28" s="76">
        <v>120</v>
      </c>
      <c r="H28" s="1">
        <v>40</v>
      </c>
      <c r="I28" s="76">
        <v>4700</v>
      </c>
      <c r="J28" s="1">
        <v>350</v>
      </c>
      <c r="K28" s="1">
        <v>8</v>
      </c>
      <c r="L28" s="1">
        <v>1000</v>
      </c>
      <c r="M28" s="1">
        <v>30</v>
      </c>
      <c r="N28" s="1">
        <v>250</v>
      </c>
    </row>
    <row r="29" spans="1:15" x14ac:dyDescent="0.55000000000000004">
      <c r="A29" s="74">
        <v>26</v>
      </c>
      <c r="B29" s="75">
        <v>90</v>
      </c>
      <c r="C29" s="76">
        <v>1.7</v>
      </c>
      <c r="D29" s="76">
        <v>2.4</v>
      </c>
      <c r="E29" s="1">
        <v>15</v>
      </c>
      <c r="F29" s="76">
        <v>20</v>
      </c>
      <c r="G29" s="76">
        <v>120</v>
      </c>
      <c r="H29" s="1">
        <v>40</v>
      </c>
      <c r="I29" s="76">
        <v>4700</v>
      </c>
      <c r="J29" s="1">
        <v>350</v>
      </c>
      <c r="K29" s="1">
        <v>8</v>
      </c>
      <c r="L29" s="1">
        <v>1000</v>
      </c>
      <c r="M29" s="1">
        <v>30</v>
      </c>
      <c r="N29" s="1">
        <v>250</v>
      </c>
    </row>
    <row r="30" spans="1:15" x14ac:dyDescent="0.55000000000000004">
      <c r="A30" s="74">
        <v>27</v>
      </c>
      <c r="B30" s="75">
        <v>90</v>
      </c>
      <c r="C30" s="76">
        <v>1.7</v>
      </c>
      <c r="D30" s="76">
        <v>2.4</v>
      </c>
      <c r="E30" s="1">
        <v>15</v>
      </c>
      <c r="F30" s="76">
        <v>20</v>
      </c>
      <c r="G30" s="76">
        <v>120</v>
      </c>
      <c r="H30" s="1">
        <v>40</v>
      </c>
      <c r="I30" s="76">
        <v>4700</v>
      </c>
      <c r="J30" s="1">
        <v>350</v>
      </c>
      <c r="K30" s="1">
        <v>8</v>
      </c>
      <c r="L30" s="1">
        <v>1000</v>
      </c>
      <c r="M30" s="1">
        <v>30</v>
      </c>
      <c r="N30" s="1">
        <v>250</v>
      </c>
    </row>
    <row r="31" spans="1:15" x14ac:dyDescent="0.55000000000000004">
      <c r="A31" s="74">
        <v>28</v>
      </c>
      <c r="B31" s="75">
        <v>90</v>
      </c>
      <c r="C31" s="76">
        <v>1.7</v>
      </c>
      <c r="D31" s="76">
        <v>2.4</v>
      </c>
      <c r="E31" s="1">
        <v>15</v>
      </c>
      <c r="F31" s="76">
        <v>20</v>
      </c>
      <c r="G31" s="76">
        <v>120</v>
      </c>
      <c r="H31" s="1">
        <v>40</v>
      </c>
      <c r="I31" s="76">
        <v>4700</v>
      </c>
      <c r="J31" s="1">
        <v>350</v>
      </c>
      <c r="K31" s="1">
        <v>8</v>
      </c>
      <c r="L31" s="1">
        <v>1000</v>
      </c>
      <c r="M31" s="1">
        <v>30</v>
      </c>
      <c r="N31" s="1">
        <v>250</v>
      </c>
    </row>
    <row r="32" spans="1:15" x14ac:dyDescent="0.55000000000000004">
      <c r="A32" s="74">
        <v>29</v>
      </c>
      <c r="B32" s="75">
        <v>90</v>
      </c>
      <c r="C32" s="76">
        <v>1.7</v>
      </c>
      <c r="D32" s="76">
        <v>2.4</v>
      </c>
      <c r="E32" s="1">
        <v>15</v>
      </c>
      <c r="F32" s="76">
        <v>20</v>
      </c>
      <c r="G32" s="76">
        <v>120</v>
      </c>
      <c r="H32" s="1">
        <v>40</v>
      </c>
      <c r="I32" s="76">
        <v>4700</v>
      </c>
      <c r="J32" s="1">
        <v>350</v>
      </c>
      <c r="K32" s="1">
        <v>8</v>
      </c>
      <c r="L32" s="1">
        <v>1000</v>
      </c>
      <c r="M32" s="1">
        <v>30</v>
      </c>
      <c r="N32" s="1">
        <v>250</v>
      </c>
    </row>
    <row r="33" spans="1:14" x14ac:dyDescent="0.55000000000000004">
      <c r="A33" s="74">
        <v>30</v>
      </c>
      <c r="B33" s="75">
        <v>90</v>
      </c>
      <c r="C33" s="76">
        <v>1.7</v>
      </c>
      <c r="D33" s="76">
        <v>2.4</v>
      </c>
      <c r="E33" s="1">
        <v>15</v>
      </c>
      <c r="F33" s="76">
        <v>20</v>
      </c>
      <c r="G33" s="76">
        <v>120</v>
      </c>
      <c r="H33" s="1">
        <v>40</v>
      </c>
      <c r="I33" s="76">
        <v>4700</v>
      </c>
      <c r="J33" s="1">
        <v>350</v>
      </c>
      <c r="K33" s="1">
        <v>8</v>
      </c>
      <c r="L33" s="1">
        <v>1000</v>
      </c>
      <c r="M33" s="1">
        <v>30</v>
      </c>
      <c r="N33" s="1">
        <v>250</v>
      </c>
    </row>
    <row r="34" spans="1:14" x14ac:dyDescent="0.55000000000000004">
      <c r="A34" s="74">
        <v>31</v>
      </c>
      <c r="B34" s="75">
        <v>90</v>
      </c>
      <c r="C34" s="76">
        <v>1.7</v>
      </c>
      <c r="D34" s="76">
        <v>2.4</v>
      </c>
      <c r="E34" s="1">
        <v>15</v>
      </c>
      <c r="F34" s="76">
        <v>20</v>
      </c>
      <c r="G34" s="76">
        <v>120</v>
      </c>
      <c r="H34" s="1">
        <v>40</v>
      </c>
      <c r="I34" s="76">
        <v>4700</v>
      </c>
      <c r="J34" s="1">
        <v>350</v>
      </c>
      <c r="K34" s="1">
        <v>8</v>
      </c>
      <c r="L34" s="1">
        <v>1000</v>
      </c>
      <c r="M34" s="1">
        <v>30</v>
      </c>
      <c r="N34" s="1">
        <v>250</v>
      </c>
    </row>
    <row r="35" spans="1:14" x14ac:dyDescent="0.55000000000000004">
      <c r="A35" s="74">
        <v>32</v>
      </c>
      <c r="B35" s="75">
        <v>90</v>
      </c>
      <c r="C35" s="76">
        <v>1.7</v>
      </c>
      <c r="D35" s="76">
        <v>2.4</v>
      </c>
      <c r="E35" s="1">
        <v>15</v>
      </c>
      <c r="F35" s="76">
        <v>20</v>
      </c>
      <c r="G35" s="76">
        <v>120</v>
      </c>
      <c r="H35" s="1">
        <v>40</v>
      </c>
      <c r="I35" s="76">
        <v>4700</v>
      </c>
      <c r="J35" s="1">
        <v>350</v>
      </c>
      <c r="K35" s="1">
        <v>8</v>
      </c>
      <c r="L35" s="1">
        <v>1000</v>
      </c>
      <c r="M35" s="1">
        <v>30</v>
      </c>
      <c r="N35" s="1">
        <v>250</v>
      </c>
    </row>
    <row r="36" spans="1:14" x14ac:dyDescent="0.55000000000000004">
      <c r="A36" s="74">
        <v>33</v>
      </c>
      <c r="B36" s="75">
        <v>90</v>
      </c>
      <c r="C36" s="76">
        <v>1.7</v>
      </c>
      <c r="D36" s="76">
        <v>2.4</v>
      </c>
      <c r="E36" s="1">
        <v>15</v>
      </c>
      <c r="F36" s="76">
        <v>20</v>
      </c>
      <c r="G36" s="76">
        <v>120</v>
      </c>
      <c r="H36" s="1">
        <v>40</v>
      </c>
      <c r="I36" s="76">
        <v>4700</v>
      </c>
      <c r="J36" s="1">
        <v>350</v>
      </c>
      <c r="K36" s="1">
        <v>8</v>
      </c>
      <c r="L36" s="1">
        <v>1000</v>
      </c>
      <c r="M36" s="1">
        <v>30</v>
      </c>
      <c r="N36" s="1">
        <v>250</v>
      </c>
    </row>
    <row r="37" spans="1:14" x14ac:dyDescent="0.55000000000000004">
      <c r="A37" s="74">
        <v>34</v>
      </c>
      <c r="B37" s="75">
        <v>90</v>
      </c>
      <c r="C37" s="76">
        <v>1.7</v>
      </c>
      <c r="D37" s="76">
        <v>2.4</v>
      </c>
      <c r="E37" s="1">
        <v>15</v>
      </c>
      <c r="F37" s="76">
        <v>20</v>
      </c>
      <c r="G37" s="76">
        <v>120</v>
      </c>
      <c r="H37" s="1">
        <v>40</v>
      </c>
      <c r="I37" s="76">
        <v>4700</v>
      </c>
      <c r="J37" s="1">
        <v>350</v>
      </c>
      <c r="K37" s="1">
        <v>8</v>
      </c>
      <c r="L37" s="1">
        <v>1000</v>
      </c>
      <c r="M37" s="1">
        <v>30</v>
      </c>
      <c r="N37" s="1">
        <v>250</v>
      </c>
    </row>
    <row r="38" spans="1:14" x14ac:dyDescent="0.55000000000000004">
      <c r="A38" s="74">
        <v>35</v>
      </c>
      <c r="B38" s="75">
        <v>90</v>
      </c>
      <c r="C38" s="76">
        <v>1.7</v>
      </c>
      <c r="D38" s="76">
        <v>2.4</v>
      </c>
      <c r="E38" s="1">
        <v>15</v>
      </c>
      <c r="F38" s="76">
        <v>20</v>
      </c>
      <c r="G38" s="76">
        <v>120</v>
      </c>
      <c r="H38" s="1">
        <v>40</v>
      </c>
      <c r="I38" s="76">
        <v>4700</v>
      </c>
      <c r="J38" s="1">
        <v>350</v>
      </c>
      <c r="K38" s="1">
        <v>8</v>
      </c>
      <c r="L38" s="1">
        <v>1000</v>
      </c>
      <c r="M38" s="1">
        <v>30</v>
      </c>
      <c r="N38" s="1">
        <v>250</v>
      </c>
    </row>
    <row r="39" spans="1:14" x14ac:dyDescent="0.55000000000000004">
      <c r="A39" s="74">
        <v>36</v>
      </c>
      <c r="B39" s="75">
        <v>90</v>
      </c>
      <c r="C39" s="76">
        <v>1.7</v>
      </c>
      <c r="D39" s="76">
        <v>2.4</v>
      </c>
      <c r="E39" s="1">
        <v>15</v>
      </c>
      <c r="F39" s="76">
        <v>20</v>
      </c>
      <c r="G39" s="76">
        <v>120</v>
      </c>
      <c r="H39" s="1">
        <v>40</v>
      </c>
      <c r="I39" s="76">
        <v>4700</v>
      </c>
      <c r="J39" s="1">
        <v>350</v>
      </c>
      <c r="K39" s="1">
        <v>8</v>
      </c>
      <c r="L39" s="1">
        <v>1000</v>
      </c>
      <c r="M39" s="1">
        <v>30</v>
      </c>
      <c r="N39" s="1">
        <v>250</v>
      </c>
    </row>
    <row r="40" spans="1:14" x14ac:dyDescent="0.55000000000000004">
      <c r="A40" s="74">
        <v>37</v>
      </c>
      <c r="B40" s="75">
        <v>90</v>
      </c>
      <c r="C40" s="76">
        <v>1.7</v>
      </c>
      <c r="D40" s="76">
        <v>2.4</v>
      </c>
      <c r="E40" s="1">
        <v>15</v>
      </c>
      <c r="F40" s="76">
        <v>20</v>
      </c>
      <c r="G40" s="76">
        <v>120</v>
      </c>
      <c r="H40" s="1">
        <v>40</v>
      </c>
      <c r="I40" s="76">
        <v>4700</v>
      </c>
      <c r="J40" s="1">
        <v>350</v>
      </c>
      <c r="K40" s="1">
        <v>8</v>
      </c>
      <c r="L40" s="1">
        <v>1000</v>
      </c>
      <c r="M40" s="1">
        <v>30</v>
      </c>
      <c r="N40" s="1">
        <v>250</v>
      </c>
    </row>
    <row r="41" spans="1:14" x14ac:dyDescent="0.55000000000000004">
      <c r="A41" s="74">
        <v>38</v>
      </c>
      <c r="B41" s="75">
        <v>90</v>
      </c>
      <c r="C41" s="76">
        <v>1.7</v>
      </c>
      <c r="D41" s="76">
        <v>2.4</v>
      </c>
      <c r="E41" s="1">
        <v>15</v>
      </c>
      <c r="F41" s="76">
        <v>20</v>
      </c>
      <c r="G41" s="76">
        <v>120</v>
      </c>
      <c r="H41" s="1">
        <v>40</v>
      </c>
      <c r="I41" s="76">
        <v>4700</v>
      </c>
      <c r="J41" s="1">
        <v>350</v>
      </c>
      <c r="K41" s="1">
        <v>8</v>
      </c>
      <c r="L41" s="1">
        <v>1000</v>
      </c>
      <c r="M41" s="1">
        <v>30</v>
      </c>
      <c r="N41" s="1">
        <v>250</v>
      </c>
    </row>
    <row r="42" spans="1:14" x14ac:dyDescent="0.55000000000000004">
      <c r="A42" s="74">
        <v>39</v>
      </c>
      <c r="B42" s="75">
        <v>90</v>
      </c>
      <c r="C42" s="76">
        <v>1.7</v>
      </c>
      <c r="D42" s="76">
        <v>2.4</v>
      </c>
      <c r="E42" s="1">
        <v>15</v>
      </c>
      <c r="F42" s="76">
        <v>20</v>
      </c>
      <c r="G42" s="76">
        <v>120</v>
      </c>
      <c r="H42" s="1">
        <v>40</v>
      </c>
      <c r="I42" s="76">
        <v>4700</v>
      </c>
      <c r="J42" s="1">
        <v>350</v>
      </c>
      <c r="K42" s="1">
        <v>8</v>
      </c>
      <c r="L42" s="1">
        <v>1000</v>
      </c>
      <c r="M42" s="1">
        <v>30</v>
      </c>
      <c r="N42" s="1">
        <v>250</v>
      </c>
    </row>
    <row r="43" spans="1:14" x14ac:dyDescent="0.55000000000000004">
      <c r="A43" s="74">
        <v>40</v>
      </c>
      <c r="B43" s="75">
        <v>90</v>
      </c>
      <c r="C43" s="76">
        <v>1.7</v>
      </c>
      <c r="D43" s="76">
        <v>2.4</v>
      </c>
      <c r="E43" s="1">
        <v>15</v>
      </c>
      <c r="F43" s="76">
        <v>20</v>
      </c>
      <c r="G43" s="76">
        <v>120</v>
      </c>
      <c r="H43" s="1">
        <v>40</v>
      </c>
      <c r="I43" s="76">
        <v>4700</v>
      </c>
      <c r="J43" s="1">
        <v>350</v>
      </c>
      <c r="K43" s="1">
        <v>8</v>
      </c>
      <c r="L43" s="1">
        <v>1000</v>
      </c>
      <c r="M43" s="1">
        <v>30</v>
      </c>
      <c r="N43" s="1">
        <v>250</v>
      </c>
    </row>
    <row r="44" spans="1:14" x14ac:dyDescent="0.55000000000000004">
      <c r="A44" s="74">
        <v>41</v>
      </c>
      <c r="B44" s="75">
        <v>90</v>
      </c>
      <c r="C44" s="76">
        <v>1.7</v>
      </c>
      <c r="D44" s="76">
        <v>2.4</v>
      </c>
      <c r="E44" s="1">
        <v>15</v>
      </c>
      <c r="F44" s="76">
        <v>20</v>
      </c>
      <c r="G44" s="76">
        <v>120</v>
      </c>
      <c r="H44" s="1">
        <v>40</v>
      </c>
      <c r="I44" s="76">
        <v>4700</v>
      </c>
      <c r="J44" s="1">
        <v>350</v>
      </c>
      <c r="K44" s="1">
        <v>8</v>
      </c>
      <c r="L44" s="1">
        <v>1000</v>
      </c>
      <c r="M44" s="1">
        <v>30</v>
      </c>
      <c r="N44" s="1">
        <v>250</v>
      </c>
    </row>
    <row r="45" spans="1:14" x14ac:dyDescent="0.55000000000000004">
      <c r="A45" s="74">
        <v>42</v>
      </c>
      <c r="B45" s="75">
        <v>90</v>
      </c>
      <c r="C45" s="76">
        <v>1.7</v>
      </c>
      <c r="D45" s="76">
        <v>2.4</v>
      </c>
      <c r="E45" s="1">
        <v>15</v>
      </c>
      <c r="F45" s="76">
        <v>20</v>
      </c>
      <c r="G45" s="76">
        <v>120</v>
      </c>
      <c r="H45" s="1">
        <v>40</v>
      </c>
      <c r="I45" s="76">
        <v>4700</v>
      </c>
      <c r="J45" s="1">
        <v>350</v>
      </c>
      <c r="K45" s="1">
        <v>8</v>
      </c>
      <c r="L45" s="1">
        <v>1000</v>
      </c>
      <c r="M45" s="1">
        <v>30</v>
      </c>
      <c r="N45" s="1">
        <v>250</v>
      </c>
    </row>
    <row r="46" spans="1:14" x14ac:dyDescent="0.55000000000000004">
      <c r="A46" s="74">
        <v>43</v>
      </c>
      <c r="B46" s="75">
        <v>90</v>
      </c>
      <c r="C46" s="76">
        <v>1.7</v>
      </c>
      <c r="D46" s="76">
        <v>2.4</v>
      </c>
      <c r="E46" s="1">
        <v>15</v>
      </c>
      <c r="F46" s="76">
        <v>20</v>
      </c>
      <c r="G46" s="76">
        <v>120</v>
      </c>
      <c r="H46" s="1">
        <v>40</v>
      </c>
      <c r="I46" s="76">
        <v>4700</v>
      </c>
      <c r="J46" s="1">
        <v>350</v>
      </c>
      <c r="K46" s="1">
        <v>8</v>
      </c>
      <c r="L46" s="1">
        <v>1000</v>
      </c>
      <c r="M46" s="1">
        <v>30</v>
      </c>
      <c r="N46" s="1">
        <v>250</v>
      </c>
    </row>
    <row r="47" spans="1:14" x14ac:dyDescent="0.55000000000000004">
      <c r="A47" s="74">
        <v>44</v>
      </c>
      <c r="B47" s="75">
        <v>90</v>
      </c>
      <c r="C47" s="76">
        <v>1.7</v>
      </c>
      <c r="D47" s="76">
        <v>2.4</v>
      </c>
      <c r="E47" s="1">
        <v>15</v>
      </c>
      <c r="F47" s="76">
        <v>20</v>
      </c>
      <c r="G47" s="76">
        <v>120</v>
      </c>
      <c r="H47" s="1">
        <v>40</v>
      </c>
      <c r="I47" s="76">
        <v>4700</v>
      </c>
      <c r="J47" s="1">
        <v>350</v>
      </c>
      <c r="K47" s="1">
        <v>8</v>
      </c>
      <c r="L47" s="1">
        <v>1000</v>
      </c>
      <c r="M47" s="1">
        <v>30</v>
      </c>
      <c r="N47" s="1">
        <v>250</v>
      </c>
    </row>
    <row r="48" spans="1:14" x14ac:dyDescent="0.55000000000000004">
      <c r="A48" s="74">
        <v>45</v>
      </c>
      <c r="B48" s="75">
        <v>90</v>
      </c>
      <c r="C48" s="76">
        <v>1.7</v>
      </c>
      <c r="D48" s="76">
        <v>2.4</v>
      </c>
      <c r="E48" s="1">
        <v>15</v>
      </c>
      <c r="F48" s="76">
        <v>20</v>
      </c>
      <c r="G48" s="76">
        <v>120</v>
      </c>
      <c r="H48" s="1">
        <v>40</v>
      </c>
      <c r="I48" s="76">
        <v>4700</v>
      </c>
      <c r="J48" s="1">
        <v>350</v>
      </c>
      <c r="K48" s="1">
        <v>8</v>
      </c>
      <c r="L48" s="1">
        <v>1000</v>
      </c>
      <c r="M48" s="1">
        <v>30</v>
      </c>
      <c r="N48" s="1">
        <v>250</v>
      </c>
    </row>
    <row r="49" spans="1:14" x14ac:dyDescent="0.55000000000000004">
      <c r="A49" s="74">
        <v>46</v>
      </c>
      <c r="B49" s="75">
        <v>90</v>
      </c>
      <c r="C49" s="76">
        <v>1.7</v>
      </c>
      <c r="D49" s="76">
        <v>2.4</v>
      </c>
      <c r="E49" s="1">
        <v>15</v>
      </c>
      <c r="F49" s="76">
        <v>20</v>
      </c>
      <c r="G49" s="76">
        <v>120</v>
      </c>
      <c r="H49" s="1">
        <v>40</v>
      </c>
      <c r="I49" s="76">
        <v>4700</v>
      </c>
      <c r="J49" s="1">
        <v>350</v>
      </c>
      <c r="K49" s="1">
        <v>8</v>
      </c>
      <c r="L49" s="1">
        <v>1000</v>
      </c>
      <c r="M49" s="1">
        <v>30</v>
      </c>
      <c r="N49" s="1">
        <v>250</v>
      </c>
    </row>
    <row r="50" spans="1:14" x14ac:dyDescent="0.55000000000000004">
      <c r="A50" s="74">
        <v>47</v>
      </c>
      <c r="B50" s="75">
        <v>90</v>
      </c>
      <c r="C50" s="76">
        <v>1.7</v>
      </c>
      <c r="D50" s="76">
        <v>2.4</v>
      </c>
      <c r="E50" s="1">
        <v>15</v>
      </c>
      <c r="F50" s="76">
        <v>20</v>
      </c>
      <c r="G50" s="76">
        <v>120</v>
      </c>
      <c r="H50" s="1">
        <v>40</v>
      </c>
      <c r="I50" s="76">
        <v>4700</v>
      </c>
      <c r="J50" s="1">
        <v>350</v>
      </c>
      <c r="K50" s="1">
        <v>8</v>
      </c>
      <c r="L50" s="1">
        <v>1000</v>
      </c>
      <c r="M50" s="1">
        <v>30</v>
      </c>
      <c r="N50" s="1">
        <v>250</v>
      </c>
    </row>
    <row r="51" spans="1:14" x14ac:dyDescent="0.55000000000000004">
      <c r="A51" s="74">
        <v>48</v>
      </c>
      <c r="B51" s="75">
        <v>90</v>
      </c>
      <c r="C51" s="76">
        <v>1.7</v>
      </c>
      <c r="D51" s="76">
        <v>2.4</v>
      </c>
      <c r="E51" s="1">
        <v>15</v>
      </c>
      <c r="F51" s="76">
        <v>20</v>
      </c>
      <c r="G51" s="76">
        <v>120</v>
      </c>
      <c r="H51" s="1">
        <v>40</v>
      </c>
      <c r="I51" s="76">
        <v>4700</v>
      </c>
      <c r="J51" s="1">
        <v>350</v>
      </c>
      <c r="K51" s="1">
        <v>8</v>
      </c>
      <c r="L51" s="1">
        <v>1000</v>
      </c>
      <c r="M51" s="1">
        <v>30</v>
      </c>
      <c r="N51" s="1">
        <v>250</v>
      </c>
    </row>
    <row r="52" spans="1:14" x14ac:dyDescent="0.55000000000000004">
      <c r="A52" s="74">
        <v>49</v>
      </c>
      <c r="B52" s="75">
        <v>90</v>
      </c>
      <c r="C52" s="76">
        <v>1.7</v>
      </c>
      <c r="D52" s="76">
        <v>2.4</v>
      </c>
      <c r="E52" s="1">
        <v>15</v>
      </c>
      <c r="F52" s="76">
        <v>20</v>
      </c>
      <c r="G52" s="76">
        <v>120</v>
      </c>
      <c r="H52" s="1">
        <v>40</v>
      </c>
      <c r="I52" s="76">
        <v>4700</v>
      </c>
      <c r="J52" s="1">
        <v>350</v>
      </c>
      <c r="K52" s="1">
        <v>8</v>
      </c>
      <c r="L52" s="1">
        <v>1000</v>
      </c>
      <c r="M52" s="1">
        <v>30</v>
      </c>
      <c r="N52" s="1">
        <v>250</v>
      </c>
    </row>
    <row r="53" spans="1:14" x14ac:dyDescent="0.55000000000000004">
      <c r="A53" s="74">
        <v>50</v>
      </c>
      <c r="B53" s="75">
        <v>90</v>
      </c>
      <c r="C53" s="76">
        <v>1.7</v>
      </c>
      <c r="D53" s="76">
        <v>2.4</v>
      </c>
      <c r="E53" s="1">
        <v>15</v>
      </c>
      <c r="F53" s="76">
        <v>20</v>
      </c>
      <c r="G53" s="76">
        <v>120</v>
      </c>
      <c r="H53" s="1">
        <v>40</v>
      </c>
      <c r="I53" s="76">
        <v>4700</v>
      </c>
      <c r="J53" s="1">
        <v>350</v>
      </c>
      <c r="K53" s="1">
        <v>8</v>
      </c>
      <c r="L53" s="1">
        <v>1000</v>
      </c>
      <c r="M53" s="1">
        <v>30</v>
      </c>
      <c r="N53" s="1">
        <v>250</v>
      </c>
    </row>
    <row r="54" spans="1:14" x14ac:dyDescent="0.55000000000000004">
      <c r="A54" s="74">
        <v>51</v>
      </c>
      <c r="B54" s="75">
        <v>90</v>
      </c>
      <c r="C54" s="76">
        <v>1.7</v>
      </c>
      <c r="D54" s="76">
        <v>2.4</v>
      </c>
      <c r="E54" s="1">
        <v>15</v>
      </c>
      <c r="F54" s="76">
        <v>20</v>
      </c>
      <c r="G54" s="76">
        <v>120</v>
      </c>
      <c r="H54" s="1">
        <v>40</v>
      </c>
      <c r="I54" s="76">
        <v>4700</v>
      </c>
      <c r="J54" s="1">
        <v>350</v>
      </c>
      <c r="K54" s="1">
        <v>8</v>
      </c>
      <c r="L54" s="1">
        <v>1000</v>
      </c>
      <c r="M54" s="1">
        <v>30</v>
      </c>
      <c r="N54" s="1">
        <v>250</v>
      </c>
    </row>
    <row r="55" spans="1:14" x14ac:dyDescent="0.55000000000000004">
      <c r="A55" s="74">
        <v>52</v>
      </c>
      <c r="B55" s="75">
        <v>90</v>
      </c>
      <c r="C55" s="76">
        <v>1.7</v>
      </c>
      <c r="D55" s="76">
        <v>2.4</v>
      </c>
      <c r="E55" s="1">
        <v>15</v>
      </c>
      <c r="F55" s="76">
        <v>20</v>
      </c>
      <c r="G55" s="76">
        <v>120</v>
      </c>
      <c r="H55" s="1">
        <v>40</v>
      </c>
      <c r="I55" s="76">
        <v>4700</v>
      </c>
      <c r="J55" s="1">
        <v>350</v>
      </c>
      <c r="K55" s="1">
        <v>8</v>
      </c>
      <c r="L55" s="1">
        <v>1000</v>
      </c>
      <c r="M55" s="1">
        <v>30</v>
      </c>
      <c r="N55" s="1">
        <v>250</v>
      </c>
    </row>
    <row r="56" spans="1:14" x14ac:dyDescent="0.55000000000000004">
      <c r="A56" s="74">
        <v>53</v>
      </c>
      <c r="B56" s="75">
        <v>90</v>
      </c>
      <c r="C56" s="76">
        <v>1.7</v>
      </c>
      <c r="D56" s="76">
        <v>2.4</v>
      </c>
      <c r="E56" s="1">
        <v>15</v>
      </c>
      <c r="F56" s="76">
        <v>20</v>
      </c>
      <c r="G56" s="76">
        <v>120</v>
      </c>
      <c r="H56" s="1">
        <v>40</v>
      </c>
      <c r="I56" s="76">
        <v>4700</v>
      </c>
      <c r="J56" s="1">
        <v>350</v>
      </c>
      <c r="K56" s="1">
        <v>8</v>
      </c>
      <c r="L56" s="1">
        <v>1000</v>
      </c>
      <c r="M56" s="1">
        <v>30</v>
      </c>
      <c r="N56" s="1">
        <v>250</v>
      </c>
    </row>
    <row r="57" spans="1:14" x14ac:dyDescent="0.55000000000000004">
      <c r="A57" s="74">
        <v>54</v>
      </c>
      <c r="B57" s="75">
        <v>90</v>
      </c>
      <c r="C57" s="76">
        <v>1.7</v>
      </c>
      <c r="D57" s="76">
        <v>2.4</v>
      </c>
      <c r="E57" s="1">
        <v>15</v>
      </c>
      <c r="F57" s="76">
        <v>20</v>
      </c>
      <c r="G57" s="76">
        <v>120</v>
      </c>
      <c r="H57" s="1">
        <v>40</v>
      </c>
      <c r="I57" s="76">
        <v>4700</v>
      </c>
      <c r="J57" s="1">
        <v>350</v>
      </c>
      <c r="K57" s="1">
        <v>8</v>
      </c>
      <c r="L57" s="1">
        <v>1000</v>
      </c>
      <c r="M57" s="1">
        <v>30</v>
      </c>
      <c r="N57" s="1">
        <v>250</v>
      </c>
    </row>
    <row r="58" spans="1:14" x14ac:dyDescent="0.55000000000000004">
      <c r="A58" s="74">
        <v>55</v>
      </c>
      <c r="B58" s="75">
        <v>90</v>
      </c>
      <c r="C58" s="76">
        <v>1.7</v>
      </c>
      <c r="D58" s="76">
        <v>2.4</v>
      </c>
      <c r="E58" s="1">
        <v>15</v>
      </c>
      <c r="F58" s="76">
        <v>20</v>
      </c>
      <c r="G58" s="76">
        <v>120</v>
      </c>
      <c r="H58" s="1">
        <v>40</v>
      </c>
      <c r="I58" s="76">
        <v>4700</v>
      </c>
      <c r="J58" s="1">
        <v>350</v>
      </c>
      <c r="K58" s="1">
        <v>8</v>
      </c>
      <c r="L58" s="1">
        <v>1000</v>
      </c>
      <c r="M58" s="1">
        <v>30</v>
      </c>
      <c r="N58" s="1">
        <v>250</v>
      </c>
    </row>
    <row r="59" spans="1:14" x14ac:dyDescent="0.55000000000000004">
      <c r="A59" s="74">
        <v>56</v>
      </c>
      <c r="B59" s="75">
        <v>90</v>
      </c>
      <c r="C59" s="76">
        <v>1.7</v>
      </c>
      <c r="D59" s="76">
        <v>2.4</v>
      </c>
      <c r="E59" s="1">
        <v>15</v>
      </c>
      <c r="F59" s="76">
        <v>20</v>
      </c>
      <c r="G59" s="76">
        <v>120</v>
      </c>
      <c r="H59" s="1">
        <v>40</v>
      </c>
      <c r="I59" s="76">
        <v>4700</v>
      </c>
      <c r="J59" s="1">
        <v>350</v>
      </c>
      <c r="K59" s="1">
        <v>8</v>
      </c>
      <c r="L59" s="1">
        <v>1000</v>
      </c>
      <c r="M59" s="1">
        <v>30</v>
      </c>
      <c r="N59" s="1">
        <v>250</v>
      </c>
    </row>
    <row r="60" spans="1:14" x14ac:dyDescent="0.55000000000000004">
      <c r="A60" s="74">
        <v>57</v>
      </c>
      <c r="B60" s="75">
        <v>90</v>
      </c>
      <c r="C60" s="76">
        <v>1.7</v>
      </c>
      <c r="D60" s="76">
        <v>2.4</v>
      </c>
      <c r="E60" s="1">
        <v>15</v>
      </c>
      <c r="F60" s="76">
        <v>20</v>
      </c>
      <c r="G60" s="76">
        <v>120</v>
      </c>
      <c r="H60" s="1">
        <v>40</v>
      </c>
      <c r="I60" s="76">
        <v>4700</v>
      </c>
      <c r="J60" s="1">
        <v>350</v>
      </c>
      <c r="K60" s="1">
        <v>8</v>
      </c>
      <c r="L60" s="1">
        <v>1000</v>
      </c>
      <c r="M60" s="1">
        <v>30</v>
      </c>
      <c r="N60" s="1">
        <v>250</v>
      </c>
    </row>
    <row r="61" spans="1:14" x14ac:dyDescent="0.55000000000000004">
      <c r="A61" s="74">
        <v>58</v>
      </c>
      <c r="B61" s="75">
        <v>90</v>
      </c>
      <c r="C61" s="76">
        <v>1.7</v>
      </c>
      <c r="D61" s="76">
        <v>2.4</v>
      </c>
      <c r="E61" s="1">
        <v>15</v>
      </c>
      <c r="F61" s="76">
        <v>20</v>
      </c>
      <c r="G61" s="76">
        <v>120</v>
      </c>
      <c r="H61" s="1">
        <v>40</v>
      </c>
      <c r="I61" s="76">
        <v>4700</v>
      </c>
      <c r="J61" s="1">
        <v>350</v>
      </c>
      <c r="K61" s="1">
        <v>8</v>
      </c>
      <c r="L61" s="1">
        <v>1000</v>
      </c>
      <c r="M61" s="1">
        <v>30</v>
      </c>
      <c r="N61" s="1">
        <v>250</v>
      </c>
    </row>
    <row r="62" spans="1:14" x14ac:dyDescent="0.55000000000000004">
      <c r="A62" s="74">
        <v>59</v>
      </c>
      <c r="B62" s="75">
        <v>90</v>
      </c>
      <c r="C62" s="76">
        <v>1.7</v>
      </c>
      <c r="D62" s="76">
        <v>2.4</v>
      </c>
      <c r="E62" s="1">
        <v>15</v>
      </c>
      <c r="F62" s="76">
        <v>20</v>
      </c>
      <c r="G62" s="76">
        <v>120</v>
      </c>
      <c r="H62" s="1">
        <v>40</v>
      </c>
      <c r="I62" s="76">
        <v>4700</v>
      </c>
      <c r="J62" s="1">
        <v>350</v>
      </c>
      <c r="K62" s="1">
        <v>8</v>
      </c>
      <c r="L62" s="1">
        <v>1000</v>
      </c>
      <c r="M62" s="1">
        <v>30</v>
      </c>
      <c r="N62" s="1">
        <v>250</v>
      </c>
    </row>
    <row r="63" spans="1:14" x14ac:dyDescent="0.55000000000000004">
      <c r="A63" s="74">
        <v>60</v>
      </c>
      <c r="B63" s="75">
        <v>90</v>
      </c>
      <c r="C63" s="76">
        <v>1.7</v>
      </c>
      <c r="D63" s="76">
        <v>2.4</v>
      </c>
      <c r="E63" s="1">
        <v>15</v>
      </c>
      <c r="F63" s="76">
        <v>20</v>
      </c>
      <c r="G63" s="76">
        <v>120</v>
      </c>
      <c r="H63" s="1">
        <v>40</v>
      </c>
      <c r="I63" s="76">
        <v>4700</v>
      </c>
      <c r="J63" s="1">
        <v>350</v>
      </c>
      <c r="K63" s="1">
        <v>8</v>
      </c>
      <c r="L63" s="1">
        <v>1000</v>
      </c>
      <c r="M63" s="1">
        <v>30</v>
      </c>
      <c r="N63" s="1">
        <v>250</v>
      </c>
    </row>
    <row r="64" spans="1:14" x14ac:dyDescent="0.55000000000000004">
      <c r="A64" s="74">
        <v>61</v>
      </c>
      <c r="B64" s="75">
        <v>90</v>
      </c>
      <c r="C64" s="76">
        <v>1.7</v>
      </c>
      <c r="D64" s="76">
        <v>2.4</v>
      </c>
      <c r="E64" s="1">
        <v>15</v>
      </c>
      <c r="F64" s="76">
        <v>20</v>
      </c>
      <c r="G64" s="76">
        <v>120</v>
      </c>
      <c r="H64" s="1">
        <v>40</v>
      </c>
      <c r="I64" s="76">
        <v>4700</v>
      </c>
      <c r="J64" s="1">
        <v>350</v>
      </c>
      <c r="K64" s="1">
        <v>8</v>
      </c>
      <c r="L64" s="1">
        <v>1000</v>
      </c>
      <c r="M64" s="1">
        <v>30</v>
      </c>
      <c r="N64" s="1">
        <v>250</v>
      </c>
    </row>
    <row r="65" spans="1:14" x14ac:dyDescent="0.55000000000000004">
      <c r="A65" s="74">
        <v>62</v>
      </c>
      <c r="B65" s="75">
        <v>90</v>
      </c>
      <c r="C65" s="76">
        <v>1.7</v>
      </c>
      <c r="D65" s="76">
        <v>2.4</v>
      </c>
      <c r="E65" s="1">
        <v>15</v>
      </c>
      <c r="F65" s="76">
        <v>20</v>
      </c>
      <c r="G65" s="76">
        <v>120</v>
      </c>
      <c r="H65" s="1">
        <v>40</v>
      </c>
      <c r="I65" s="76">
        <v>4700</v>
      </c>
      <c r="J65" s="1">
        <v>350</v>
      </c>
      <c r="K65" s="1">
        <v>8</v>
      </c>
      <c r="L65" s="1">
        <v>1000</v>
      </c>
      <c r="M65" s="1">
        <v>30</v>
      </c>
      <c r="N65" s="1">
        <v>250</v>
      </c>
    </row>
    <row r="66" spans="1:14" x14ac:dyDescent="0.55000000000000004">
      <c r="A66" s="74">
        <v>63</v>
      </c>
      <c r="B66" s="75">
        <v>90</v>
      </c>
      <c r="C66" s="76">
        <v>1.7</v>
      </c>
      <c r="D66" s="76">
        <v>2.4</v>
      </c>
      <c r="E66" s="1">
        <v>15</v>
      </c>
      <c r="F66" s="76">
        <v>20</v>
      </c>
      <c r="G66" s="76">
        <v>120</v>
      </c>
      <c r="H66" s="1">
        <v>40</v>
      </c>
      <c r="I66" s="76">
        <v>4700</v>
      </c>
      <c r="J66" s="1">
        <v>350</v>
      </c>
      <c r="K66" s="1">
        <v>8</v>
      </c>
      <c r="L66" s="1">
        <v>1000</v>
      </c>
      <c r="M66" s="1">
        <v>30</v>
      </c>
      <c r="N66" s="1">
        <v>250</v>
      </c>
    </row>
    <row r="67" spans="1:14" x14ac:dyDescent="0.55000000000000004">
      <c r="A67" s="74">
        <v>64</v>
      </c>
      <c r="B67" s="75">
        <v>90</v>
      </c>
      <c r="C67" s="76">
        <v>1.7</v>
      </c>
      <c r="D67" s="76">
        <v>2.4</v>
      </c>
      <c r="E67" s="1">
        <v>15</v>
      </c>
      <c r="F67" s="76">
        <v>20</v>
      </c>
      <c r="G67" s="76">
        <v>120</v>
      </c>
      <c r="H67" s="1">
        <v>40</v>
      </c>
      <c r="I67" s="76">
        <v>4700</v>
      </c>
      <c r="J67" s="1">
        <v>350</v>
      </c>
      <c r="K67" s="1">
        <v>8</v>
      </c>
      <c r="L67" s="1">
        <v>1000</v>
      </c>
      <c r="M67" s="1">
        <v>30</v>
      </c>
      <c r="N67" s="1">
        <v>250</v>
      </c>
    </row>
    <row r="68" spans="1:14" x14ac:dyDescent="0.55000000000000004">
      <c r="A68" s="74">
        <v>65</v>
      </c>
      <c r="B68" s="75">
        <v>90</v>
      </c>
      <c r="C68" s="76">
        <v>1.7</v>
      </c>
      <c r="D68" s="76">
        <v>2.4</v>
      </c>
      <c r="E68" s="1">
        <v>15</v>
      </c>
      <c r="F68" s="76">
        <v>20</v>
      </c>
      <c r="G68" s="76">
        <v>120</v>
      </c>
      <c r="H68" s="1">
        <v>40</v>
      </c>
      <c r="I68" s="76">
        <v>4700</v>
      </c>
      <c r="J68" s="1">
        <v>350</v>
      </c>
      <c r="K68" s="1">
        <v>8</v>
      </c>
      <c r="L68" s="1">
        <v>1000</v>
      </c>
      <c r="M68" s="1">
        <v>30</v>
      </c>
      <c r="N68" s="1">
        <v>250</v>
      </c>
    </row>
    <row r="69" spans="1:14" x14ac:dyDescent="0.55000000000000004">
      <c r="A69" s="74">
        <v>66</v>
      </c>
      <c r="B69" s="75">
        <v>90</v>
      </c>
      <c r="C69" s="76">
        <v>1.7</v>
      </c>
      <c r="D69" s="76">
        <v>2.4</v>
      </c>
      <c r="E69" s="1">
        <v>15</v>
      </c>
      <c r="F69" s="76">
        <v>20</v>
      </c>
      <c r="G69" s="76">
        <v>120</v>
      </c>
      <c r="H69" s="1">
        <v>40</v>
      </c>
      <c r="I69" s="76">
        <v>4700</v>
      </c>
      <c r="J69" s="1">
        <v>350</v>
      </c>
      <c r="K69" s="1">
        <v>8</v>
      </c>
      <c r="L69" s="1">
        <v>1000</v>
      </c>
      <c r="M69" s="1">
        <v>30</v>
      </c>
      <c r="N69" s="1">
        <v>250</v>
      </c>
    </row>
    <row r="70" spans="1:14" x14ac:dyDescent="0.55000000000000004">
      <c r="A70" s="74">
        <v>67</v>
      </c>
      <c r="B70" s="75">
        <v>90</v>
      </c>
      <c r="C70" s="76">
        <v>1.7</v>
      </c>
      <c r="D70" s="76">
        <v>2.4</v>
      </c>
      <c r="E70" s="1">
        <v>15</v>
      </c>
      <c r="F70" s="76">
        <v>20</v>
      </c>
      <c r="G70" s="76">
        <v>120</v>
      </c>
      <c r="H70" s="1">
        <v>40</v>
      </c>
      <c r="I70" s="76">
        <v>4700</v>
      </c>
      <c r="J70" s="1">
        <v>350</v>
      </c>
      <c r="K70" s="1">
        <v>8</v>
      </c>
      <c r="L70" s="1">
        <v>1000</v>
      </c>
      <c r="M70" s="1">
        <v>30</v>
      </c>
      <c r="N70" s="1">
        <v>250</v>
      </c>
    </row>
    <row r="71" spans="1:14" x14ac:dyDescent="0.55000000000000004">
      <c r="A71" s="74">
        <v>68</v>
      </c>
      <c r="B71" s="75">
        <v>90</v>
      </c>
      <c r="C71" s="76">
        <v>1.7</v>
      </c>
      <c r="D71" s="76">
        <v>2.4</v>
      </c>
      <c r="E71" s="1">
        <v>15</v>
      </c>
      <c r="F71" s="76">
        <v>20</v>
      </c>
      <c r="G71" s="76">
        <v>120</v>
      </c>
      <c r="H71" s="1">
        <v>40</v>
      </c>
      <c r="I71" s="76">
        <v>4700</v>
      </c>
      <c r="J71" s="1">
        <v>350</v>
      </c>
      <c r="K71" s="1">
        <v>8</v>
      </c>
      <c r="L71" s="1">
        <v>1000</v>
      </c>
      <c r="M71" s="1">
        <v>30</v>
      </c>
      <c r="N71" s="1">
        <v>250</v>
      </c>
    </row>
    <row r="72" spans="1:14" x14ac:dyDescent="0.55000000000000004">
      <c r="A72" s="74">
        <v>69</v>
      </c>
      <c r="B72" s="75">
        <v>90</v>
      </c>
      <c r="C72" s="76">
        <v>1.7</v>
      </c>
      <c r="D72" s="76">
        <v>2.4</v>
      </c>
      <c r="E72" s="1">
        <v>15</v>
      </c>
      <c r="F72" s="76">
        <v>20</v>
      </c>
      <c r="G72" s="76">
        <v>120</v>
      </c>
      <c r="H72" s="1">
        <v>40</v>
      </c>
      <c r="I72" s="76">
        <v>4700</v>
      </c>
      <c r="J72" s="1">
        <v>350</v>
      </c>
      <c r="K72" s="1">
        <v>8</v>
      </c>
      <c r="L72" s="1">
        <v>1000</v>
      </c>
      <c r="M72" s="1">
        <v>30</v>
      </c>
      <c r="N72" s="1">
        <v>250</v>
      </c>
    </row>
    <row r="73" spans="1:14" x14ac:dyDescent="0.55000000000000004">
      <c r="A73" s="74">
        <v>70</v>
      </c>
      <c r="B73" s="75">
        <v>90</v>
      </c>
      <c r="C73" s="76">
        <v>1.7</v>
      </c>
      <c r="D73" s="76">
        <v>2.4</v>
      </c>
      <c r="E73" s="1">
        <v>15</v>
      </c>
      <c r="F73" s="76">
        <v>20</v>
      </c>
      <c r="G73" s="76">
        <v>120</v>
      </c>
      <c r="H73" s="1">
        <v>40</v>
      </c>
      <c r="I73" s="76">
        <v>4700</v>
      </c>
      <c r="J73" s="1">
        <v>350</v>
      </c>
      <c r="K73" s="1">
        <v>8</v>
      </c>
      <c r="L73" s="1">
        <v>1000</v>
      </c>
      <c r="M73" s="1">
        <v>30</v>
      </c>
      <c r="N73" s="1">
        <v>250</v>
      </c>
    </row>
    <row r="74" spans="1:14" x14ac:dyDescent="0.55000000000000004">
      <c r="A74" s="74">
        <v>71</v>
      </c>
      <c r="B74" s="75">
        <v>90</v>
      </c>
      <c r="C74" s="76">
        <v>1.7</v>
      </c>
      <c r="D74" s="76">
        <v>2.4</v>
      </c>
      <c r="E74" s="1">
        <v>15</v>
      </c>
      <c r="F74" s="76">
        <v>20</v>
      </c>
      <c r="G74" s="76">
        <v>120</v>
      </c>
      <c r="H74" s="1">
        <v>40</v>
      </c>
      <c r="I74" s="76">
        <v>4700</v>
      </c>
      <c r="J74" s="1">
        <v>350</v>
      </c>
      <c r="K74" s="1">
        <v>8</v>
      </c>
      <c r="L74" s="1">
        <v>1000</v>
      </c>
      <c r="M74" s="1">
        <v>30</v>
      </c>
      <c r="N74" s="1">
        <v>250</v>
      </c>
    </row>
    <row r="75" spans="1:14" x14ac:dyDescent="0.55000000000000004">
      <c r="A75" s="74">
        <v>72</v>
      </c>
      <c r="B75" s="75">
        <v>90</v>
      </c>
      <c r="C75" s="76">
        <v>1.7</v>
      </c>
      <c r="D75" s="76">
        <v>2.4</v>
      </c>
      <c r="E75" s="1">
        <v>15</v>
      </c>
      <c r="F75" s="76">
        <v>20</v>
      </c>
      <c r="G75" s="76">
        <v>120</v>
      </c>
      <c r="H75" s="1">
        <v>40</v>
      </c>
      <c r="I75" s="76">
        <v>4700</v>
      </c>
      <c r="J75" s="1">
        <v>350</v>
      </c>
      <c r="K75" s="1">
        <v>8</v>
      </c>
      <c r="L75" s="1">
        <v>1000</v>
      </c>
      <c r="M75" s="1">
        <v>30</v>
      </c>
      <c r="N75" s="1">
        <v>250</v>
      </c>
    </row>
    <row r="76" spans="1:14" x14ac:dyDescent="0.55000000000000004">
      <c r="A76" s="74">
        <v>73</v>
      </c>
      <c r="B76" s="75">
        <v>90</v>
      </c>
      <c r="C76" s="76">
        <v>1.7</v>
      </c>
      <c r="D76" s="76">
        <v>2.4</v>
      </c>
      <c r="E76" s="1">
        <v>15</v>
      </c>
      <c r="F76" s="76">
        <v>20</v>
      </c>
      <c r="G76" s="76">
        <v>120</v>
      </c>
      <c r="H76" s="1">
        <v>40</v>
      </c>
      <c r="I76" s="76">
        <v>4700</v>
      </c>
      <c r="J76" s="1">
        <v>350</v>
      </c>
      <c r="K76" s="1">
        <v>8</v>
      </c>
      <c r="L76" s="1">
        <v>1000</v>
      </c>
      <c r="M76" s="1">
        <v>30</v>
      </c>
      <c r="N76" s="1">
        <v>250</v>
      </c>
    </row>
    <row r="77" spans="1:14" x14ac:dyDescent="0.55000000000000004">
      <c r="A77" s="74">
        <v>74</v>
      </c>
      <c r="B77" s="75">
        <v>90</v>
      </c>
      <c r="C77" s="76">
        <v>1.7</v>
      </c>
      <c r="D77" s="76">
        <v>2.4</v>
      </c>
      <c r="E77" s="1">
        <v>15</v>
      </c>
      <c r="F77" s="76">
        <v>20</v>
      </c>
      <c r="G77" s="76">
        <v>120</v>
      </c>
      <c r="H77" s="1">
        <v>40</v>
      </c>
      <c r="I77" s="76">
        <v>4700</v>
      </c>
      <c r="J77" s="1">
        <v>350</v>
      </c>
      <c r="K77" s="1">
        <v>8</v>
      </c>
      <c r="L77" s="1">
        <v>1000</v>
      </c>
      <c r="M77" s="1">
        <v>30</v>
      </c>
      <c r="N77" s="1">
        <v>250</v>
      </c>
    </row>
    <row r="78" spans="1:14" x14ac:dyDescent="0.55000000000000004">
      <c r="A78" s="74">
        <v>75</v>
      </c>
      <c r="B78" s="75">
        <v>90</v>
      </c>
      <c r="C78" s="76">
        <v>1.7</v>
      </c>
      <c r="D78" s="76">
        <v>2.4</v>
      </c>
      <c r="E78" s="1">
        <v>15</v>
      </c>
      <c r="F78" s="76">
        <v>20</v>
      </c>
      <c r="G78" s="76">
        <v>120</v>
      </c>
      <c r="H78" s="1">
        <v>40</v>
      </c>
      <c r="I78" s="76">
        <v>4700</v>
      </c>
      <c r="J78" s="1">
        <v>350</v>
      </c>
      <c r="K78" s="1">
        <v>8</v>
      </c>
      <c r="L78" s="1">
        <v>1000</v>
      </c>
      <c r="M78" s="1">
        <v>30</v>
      </c>
      <c r="N78" s="1">
        <v>250</v>
      </c>
    </row>
    <row r="79" spans="1:14" x14ac:dyDescent="0.55000000000000004">
      <c r="A79" s="74">
        <v>76</v>
      </c>
      <c r="B79" s="75">
        <v>90</v>
      </c>
      <c r="C79" s="76">
        <v>1.7</v>
      </c>
      <c r="D79" s="76">
        <v>2.4</v>
      </c>
      <c r="E79" s="1">
        <v>15</v>
      </c>
      <c r="F79" s="76">
        <v>20</v>
      </c>
      <c r="G79" s="76">
        <v>120</v>
      </c>
      <c r="H79" s="1">
        <v>40</v>
      </c>
      <c r="I79" s="76">
        <v>4700</v>
      </c>
      <c r="J79" s="1">
        <v>350</v>
      </c>
      <c r="K79" s="1">
        <v>8</v>
      </c>
      <c r="L79" s="1">
        <v>1000</v>
      </c>
      <c r="M79" s="1">
        <v>30</v>
      </c>
      <c r="N79" s="1">
        <v>250</v>
      </c>
    </row>
    <row r="80" spans="1:14" x14ac:dyDescent="0.55000000000000004">
      <c r="A80" s="74">
        <v>77</v>
      </c>
      <c r="B80" s="75">
        <v>90</v>
      </c>
      <c r="C80" s="76">
        <v>1.7</v>
      </c>
      <c r="D80" s="76">
        <v>2.4</v>
      </c>
      <c r="E80" s="1">
        <v>15</v>
      </c>
      <c r="F80" s="76">
        <v>20</v>
      </c>
      <c r="G80" s="76">
        <v>120</v>
      </c>
      <c r="H80" s="1">
        <v>40</v>
      </c>
      <c r="I80" s="76">
        <v>4700</v>
      </c>
      <c r="J80" s="1">
        <v>350</v>
      </c>
      <c r="K80" s="1">
        <v>8</v>
      </c>
      <c r="L80" s="1">
        <v>1000</v>
      </c>
      <c r="M80" s="1">
        <v>30</v>
      </c>
      <c r="N80" s="1">
        <v>250</v>
      </c>
    </row>
    <row r="81" spans="1:14" x14ac:dyDescent="0.55000000000000004">
      <c r="A81" s="74">
        <v>78</v>
      </c>
      <c r="B81" s="75">
        <v>90</v>
      </c>
      <c r="C81" s="76">
        <v>1.7</v>
      </c>
      <c r="D81" s="76">
        <v>2.4</v>
      </c>
      <c r="E81" s="1">
        <v>15</v>
      </c>
      <c r="F81" s="76">
        <v>20</v>
      </c>
      <c r="G81" s="76">
        <v>120</v>
      </c>
      <c r="H81" s="1">
        <v>40</v>
      </c>
      <c r="I81" s="76">
        <v>4700</v>
      </c>
      <c r="J81" s="1">
        <v>350</v>
      </c>
      <c r="K81" s="1">
        <v>8</v>
      </c>
      <c r="L81" s="1">
        <v>1000</v>
      </c>
      <c r="M81" s="1">
        <v>30</v>
      </c>
      <c r="N81" s="1">
        <v>250</v>
      </c>
    </row>
    <row r="82" spans="1:14" x14ac:dyDescent="0.55000000000000004">
      <c r="A82" s="74">
        <v>79</v>
      </c>
      <c r="B82" s="75">
        <v>90</v>
      </c>
      <c r="C82" s="76">
        <v>1.7</v>
      </c>
      <c r="D82" s="76">
        <v>2.4</v>
      </c>
      <c r="E82" s="1">
        <v>15</v>
      </c>
      <c r="F82" s="76">
        <v>20</v>
      </c>
      <c r="G82" s="76">
        <v>120</v>
      </c>
      <c r="H82" s="1">
        <v>40</v>
      </c>
      <c r="I82" s="76">
        <v>4700</v>
      </c>
      <c r="J82" s="1">
        <v>350</v>
      </c>
      <c r="K82" s="1">
        <v>8</v>
      </c>
      <c r="L82" s="1">
        <v>1000</v>
      </c>
      <c r="M82" s="1">
        <v>30</v>
      </c>
      <c r="N82" s="1">
        <v>250</v>
      </c>
    </row>
    <row r="83" spans="1:14" x14ac:dyDescent="0.55000000000000004">
      <c r="A83" s="74">
        <v>80</v>
      </c>
      <c r="B83" s="75">
        <v>90</v>
      </c>
      <c r="C83" s="76">
        <v>1.7</v>
      </c>
      <c r="D83" s="76">
        <v>2.4</v>
      </c>
      <c r="E83" s="1">
        <v>15</v>
      </c>
      <c r="F83" s="76">
        <v>20</v>
      </c>
      <c r="G83" s="76">
        <v>120</v>
      </c>
      <c r="H83" s="1">
        <v>40</v>
      </c>
      <c r="I83" s="76">
        <v>4700</v>
      </c>
      <c r="J83" s="1">
        <v>350</v>
      </c>
      <c r="K83" s="1">
        <v>8</v>
      </c>
      <c r="L83" s="1">
        <v>1000</v>
      </c>
      <c r="M83" s="1">
        <v>30</v>
      </c>
      <c r="N83" s="1">
        <v>250</v>
      </c>
    </row>
    <row r="84" spans="1:14" x14ac:dyDescent="0.55000000000000004">
      <c r="A84" s="74">
        <v>81</v>
      </c>
      <c r="B84" s="75">
        <v>90</v>
      </c>
      <c r="C84" s="76">
        <v>1.7</v>
      </c>
      <c r="D84" s="76">
        <v>2.4</v>
      </c>
      <c r="E84" s="1">
        <v>15</v>
      </c>
      <c r="F84" s="76">
        <v>20</v>
      </c>
      <c r="G84" s="76">
        <v>120</v>
      </c>
      <c r="H84" s="1">
        <v>40</v>
      </c>
      <c r="I84" s="76">
        <v>4700</v>
      </c>
      <c r="J84" s="1">
        <v>350</v>
      </c>
      <c r="K84" s="1">
        <v>8</v>
      </c>
      <c r="L84" s="1">
        <v>1000</v>
      </c>
      <c r="M84" s="1">
        <v>30</v>
      </c>
      <c r="N84" s="1">
        <v>250</v>
      </c>
    </row>
    <row r="85" spans="1:14" x14ac:dyDescent="0.55000000000000004">
      <c r="A85" s="74">
        <v>82</v>
      </c>
      <c r="B85" s="75">
        <v>90</v>
      </c>
      <c r="C85" s="76">
        <v>1.7</v>
      </c>
      <c r="D85" s="76">
        <v>2.4</v>
      </c>
      <c r="E85" s="1">
        <v>15</v>
      </c>
      <c r="F85" s="76">
        <v>20</v>
      </c>
      <c r="G85" s="76">
        <v>120</v>
      </c>
      <c r="H85" s="1">
        <v>40</v>
      </c>
      <c r="I85" s="76">
        <v>4700</v>
      </c>
      <c r="J85" s="1">
        <v>350</v>
      </c>
      <c r="K85" s="1">
        <v>8</v>
      </c>
      <c r="L85" s="1">
        <v>1000</v>
      </c>
      <c r="M85" s="1">
        <v>30</v>
      </c>
      <c r="N85" s="1">
        <v>250</v>
      </c>
    </row>
    <row r="86" spans="1:14" x14ac:dyDescent="0.55000000000000004">
      <c r="A86" s="74">
        <v>83</v>
      </c>
      <c r="B86" s="75">
        <v>90</v>
      </c>
      <c r="C86" s="76">
        <v>1.7</v>
      </c>
      <c r="D86" s="76">
        <v>2.4</v>
      </c>
      <c r="E86" s="1">
        <v>15</v>
      </c>
      <c r="F86" s="76">
        <v>20</v>
      </c>
      <c r="G86" s="76">
        <v>120</v>
      </c>
      <c r="H86" s="1">
        <v>40</v>
      </c>
      <c r="I86" s="76">
        <v>4700</v>
      </c>
      <c r="J86" s="1">
        <v>350</v>
      </c>
      <c r="K86" s="1">
        <v>8</v>
      </c>
      <c r="L86" s="1">
        <v>1000</v>
      </c>
      <c r="M86" s="1">
        <v>30</v>
      </c>
      <c r="N86" s="1">
        <v>250</v>
      </c>
    </row>
    <row r="87" spans="1:14" x14ac:dyDescent="0.55000000000000004">
      <c r="A87" s="74">
        <v>84</v>
      </c>
      <c r="B87" s="75">
        <v>90</v>
      </c>
      <c r="C87" s="76">
        <v>1.7</v>
      </c>
      <c r="D87" s="76">
        <v>2.4</v>
      </c>
      <c r="E87" s="1">
        <v>15</v>
      </c>
      <c r="F87" s="76">
        <v>20</v>
      </c>
      <c r="G87" s="76">
        <v>120</v>
      </c>
      <c r="H87" s="1">
        <v>40</v>
      </c>
      <c r="I87" s="76">
        <v>4700</v>
      </c>
      <c r="J87" s="1">
        <v>350</v>
      </c>
      <c r="K87" s="1">
        <v>8</v>
      </c>
      <c r="L87" s="1">
        <v>1000</v>
      </c>
      <c r="M87" s="1">
        <v>30</v>
      </c>
      <c r="N87" s="1">
        <v>250</v>
      </c>
    </row>
    <row r="88" spans="1:14" x14ac:dyDescent="0.55000000000000004">
      <c r="A88" s="74">
        <v>85</v>
      </c>
      <c r="B88" s="75">
        <v>90</v>
      </c>
      <c r="C88" s="76">
        <v>1.7</v>
      </c>
      <c r="D88" s="76">
        <v>2.4</v>
      </c>
      <c r="E88" s="1">
        <v>15</v>
      </c>
      <c r="F88" s="76">
        <v>20</v>
      </c>
      <c r="G88" s="76">
        <v>120</v>
      </c>
      <c r="H88" s="1">
        <v>40</v>
      </c>
      <c r="I88" s="76">
        <v>4700</v>
      </c>
      <c r="J88" s="1">
        <v>350</v>
      </c>
      <c r="K88" s="1">
        <v>8</v>
      </c>
      <c r="L88" s="1">
        <v>1000</v>
      </c>
      <c r="M88" s="1">
        <v>30</v>
      </c>
      <c r="N88" s="1">
        <v>250</v>
      </c>
    </row>
    <row r="89" spans="1:14" x14ac:dyDescent="0.55000000000000004">
      <c r="A89" s="74">
        <v>86</v>
      </c>
      <c r="B89" s="75">
        <v>90</v>
      </c>
      <c r="C89" s="76">
        <v>1.7</v>
      </c>
      <c r="D89" s="76">
        <v>2.4</v>
      </c>
      <c r="E89" s="1">
        <v>15</v>
      </c>
      <c r="F89" s="76">
        <v>20</v>
      </c>
      <c r="G89" s="76">
        <v>120</v>
      </c>
      <c r="H89" s="1">
        <v>40</v>
      </c>
      <c r="I89" s="76">
        <v>4700</v>
      </c>
      <c r="J89" s="1">
        <v>350</v>
      </c>
      <c r="K89" s="1">
        <v>8</v>
      </c>
      <c r="L89" s="1">
        <v>1000</v>
      </c>
      <c r="M89" s="1">
        <v>30</v>
      </c>
      <c r="N89" s="1">
        <v>250</v>
      </c>
    </row>
    <row r="90" spans="1:14" x14ac:dyDescent="0.55000000000000004">
      <c r="A90" s="74">
        <v>87</v>
      </c>
      <c r="B90" s="75">
        <v>90</v>
      </c>
      <c r="C90" s="76">
        <v>1.7</v>
      </c>
      <c r="D90" s="76">
        <v>2.4</v>
      </c>
      <c r="E90" s="1">
        <v>15</v>
      </c>
      <c r="F90" s="76">
        <v>20</v>
      </c>
      <c r="G90" s="76">
        <v>120</v>
      </c>
      <c r="H90" s="1">
        <v>40</v>
      </c>
      <c r="I90" s="76">
        <v>4700</v>
      </c>
      <c r="J90" s="1">
        <v>350</v>
      </c>
      <c r="K90" s="1">
        <v>8</v>
      </c>
      <c r="L90" s="1">
        <v>1000</v>
      </c>
      <c r="M90" s="1">
        <v>30</v>
      </c>
      <c r="N90" s="1">
        <v>250</v>
      </c>
    </row>
    <row r="91" spans="1:14" x14ac:dyDescent="0.55000000000000004">
      <c r="A91" s="74">
        <v>88</v>
      </c>
      <c r="B91" s="75">
        <v>90</v>
      </c>
      <c r="C91" s="76">
        <v>1.7</v>
      </c>
      <c r="D91" s="76">
        <v>2.4</v>
      </c>
      <c r="E91" s="1">
        <v>15</v>
      </c>
      <c r="F91" s="76">
        <v>20</v>
      </c>
      <c r="G91" s="76">
        <v>120</v>
      </c>
      <c r="H91" s="1">
        <v>40</v>
      </c>
      <c r="I91" s="76">
        <v>4700</v>
      </c>
      <c r="J91" s="1">
        <v>350</v>
      </c>
      <c r="K91" s="1">
        <v>8</v>
      </c>
      <c r="L91" s="1">
        <v>1000</v>
      </c>
      <c r="M91" s="1">
        <v>30</v>
      </c>
      <c r="N91" s="1">
        <v>250</v>
      </c>
    </row>
    <row r="92" spans="1:14" x14ac:dyDescent="0.55000000000000004">
      <c r="A92" s="74">
        <v>89</v>
      </c>
      <c r="B92" s="75">
        <v>90</v>
      </c>
      <c r="C92" s="76">
        <v>1.7</v>
      </c>
      <c r="D92" s="76">
        <v>2.4</v>
      </c>
      <c r="E92" s="1">
        <v>15</v>
      </c>
      <c r="F92" s="76">
        <v>20</v>
      </c>
      <c r="G92" s="76">
        <v>120</v>
      </c>
      <c r="H92" s="1">
        <v>40</v>
      </c>
      <c r="I92" s="76">
        <v>4700</v>
      </c>
      <c r="J92" s="1">
        <v>350</v>
      </c>
      <c r="K92" s="1">
        <v>8</v>
      </c>
      <c r="L92" s="1">
        <v>1000</v>
      </c>
      <c r="M92" s="1">
        <v>30</v>
      </c>
      <c r="N92" s="1">
        <v>250</v>
      </c>
    </row>
    <row r="93" spans="1:14" x14ac:dyDescent="0.55000000000000004">
      <c r="A93" s="74">
        <v>90</v>
      </c>
      <c r="B93" s="75">
        <v>90</v>
      </c>
      <c r="C93" s="76">
        <v>1.7</v>
      </c>
      <c r="D93" s="76">
        <v>2.4</v>
      </c>
      <c r="E93" s="1">
        <v>15</v>
      </c>
      <c r="F93" s="76">
        <v>20</v>
      </c>
      <c r="G93" s="76">
        <v>120</v>
      </c>
      <c r="H93" s="1">
        <v>40</v>
      </c>
      <c r="I93" s="76">
        <v>4700</v>
      </c>
      <c r="J93" s="1">
        <v>350</v>
      </c>
      <c r="K93" s="1">
        <v>8</v>
      </c>
      <c r="L93" s="1">
        <v>1000</v>
      </c>
      <c r="M93" s="1">
        <v>30</v>
      </c>
      <c r="N93" s="1">
        <v>250</v>
      </c>
    </row>
    <row r="94" spans="1:14" x14ac:dyDescent="0.55000000000000004">
      <c r="A94" s="74">
        <v>91</v>
      </c>
      <c r="B94" s="75">
        <v>90</v>
      </c>
      <c r="C94" s="76">
        <v>1.7</v>
      </c>
      <c r="D94" s="76">
        <v>2.4</v>
      </c>
      <c r="E94" s="1">
        <v>15</v>
      </c>
      <c r="F94" s="76">
        <v>20</v>
      </c>
      <c r="G94" s="76">
        <v>120</v>
      </c>
      <c r="H94" s="1">
        <v>40</v>
      </c>
      <c r="I94" s="76">
        <v>4700</v>
      </c>
      <c r="J94" s="1">
        <v>350</v>
      </c>
      <c r="K94" s="1">
        <v>8</v>
      </c>
      <c r="L94" s="1">
        <v>1000</v>
      </c>
      <c r="M94" s="1">
        <v>30</v>
      </c>
      <c r="N94" s="1">
        <v>250</v>
      </c>
    </row>
    <row r="95" spans="1:14" x14ac:dyDescent="0.55000000000000004">
      <c r="A95" s="74">
        <v>92</v>
      </c>
      <c r="B95" s="75">
        <v>90</v>
      </c>
      <c r="C95" s="76">
        <v>1.7</v>
      </c>
      <c r="D95" s="76">
        <v>2.4</v>
      </c>
      <c r="E95" s="1">
        <v>15</v>
      </c>
      <c r="F95" s="76">
        <v>20</v>
      </c>
      <c r="G95" s="76">
        <v>120</v>
      </c>
      <c r="H95" s="1">
        <v>40</v>
      </c>
      <c r="I95" s="76">
        <v>4700</v>
      </c>
      <c r="J95" s="1">
        <v>350</v>
      </c>
      <c r="K95" s="1">
        <v>8</v>
      </c>
      <c r="L95" s="1">
        <v>1000</v>
      </c>
      <c r="M95" s="1">
        <v>30</v>
      </c>
      <c r="N95" s="1">
        <v>250</v>
      </c>
    </row>
    <row r="96" spans="1:14" x14ac:dyDescent="0.55000000000000004">
      <c r="A96" s="74">
        <v>93</v>
      </c>
      <c r="B96" s="75">
        <v>90</v>
      </c>
      <c r="C96" s="76">
        <v>1.7</v>
      </c>
      <c r="D96" s="76">
        <v>2.4</v>
      </c>
      <c r="E96" s="1">
        <v>15</v>
      </c>
      <c r="F96" s="76">
        <v>20</v>
      </c>
      <c r="G96" s="76">
        <v>120</v>
      </c>
      <c r="H96" s="1">
        <v>40</v>
      </c>
      <c r="I96" s="76">
        <v>4700</v>
      </c>
      <c r="J96" s="1">
        <v>350</v>
      </c>
      <c r="K96" s="1">
        <v>8</v>
      </c>
      <c r="L96" s="1">
        <v>1000</v>
      </c>
      <c r="M96" s="1">
        <v>30</v>
      </c>
      <c r="N96" s="1">
        <v>250</v>
      </c>
    </row>
    <row r="97" spans="1:14" x14ac:dyDescent="0.55000000000000004">
      <c r="A97" s="74">
        <v>94</v>
      </c>
      <c r="B97" s="75">
        <v>90</v>
      </c>
      <c r="C97" s="76">
        <v>1.7</v>
      </c>
      <c r="D97" s="76">
        <v>2.4</v>
      </c>
      <c r="E97" s="1">
        <v>15</v>
      </c>
      <c r="F97" s="76">
        <v>20</v>
      </c>
      <c r="G97" s="76">
        <v>120</v>
      </c>
      <c r="H97" s="1">
        <v>40</v>
      </c>
      <c r="I97" s="76">
        <v>4700</v>
      </c>
      <c r="J97" s="1">
        <v>350</v>
      </c>
      <c r="K97" s="1">
        <v>8</v>
      </c>
      <c r="L97" s="1">
        <v>1000</v>
      </c>
      <c r="M97" s="1">
        <v>30</v>
      </c>
      <c r="N97" s="1">
        <v>250</v>
      </c>
    </row>
    <row r="98" spans="1:14" x14ac:dyDescent="0.55000000000000004">
      <c r="A98" s="74">
        <v>95</v>
      </c>
      <c r="B98" s="75">
        <v>90</v>
      </c>
      <c r="C98" s="76">
        <v>1.7</v>
      </c>
      <c r="D98" s="76">
        <v>2.4</v>
      </c>
      <c r="E98" s="1">
        <v>15</v>
      </c>
      <c r="F98" s="76">
        <v>20</v>
      </c>
      <c r="G98" s="76">
        <v>120</v>
      </c>
      <c r="H98" s="1">
        <v>40</v>
      </c>
      <c r="I98" s="76">
        <v>4700</v>
      </c>
      <c r="J98" s="1">
        <v>350</v>
      </c>
      <c r="K98" s="1">
        <v>8</v>
      </c>
      <c r="L98" s="1">
        <v>1000</v>
      </c>
      <c r="M98" s="1">
        <v>30</v>
      </c>
      <c r="N98" s="1">
        <v>250</v>
      </c>
    </row>
    <row r="99" spans="1:14" x14ac:dyDescent="0.55000000000000004">
      <c r="A99" s="74">
        <v>96</v>
      </c>
      <c r="B99" s="75">
        <v>90</v>
      </c>
      <c r="C99" s="76">
        <v>1.7</v>
      </c>
      <c r="D99" s="76">
        <v>2.4</v>
      </c>
      <c r="E99" s="1">
        <v>15</v>
      </c>
      <c r="F99" s="76">
        <v>20</v>
      </c>
      <c r="G99" s="76">
        <v>120</v>
      </c>
      <c r="H99" s="1">
        <v>40</v>
      </c>
      <c r="I99" s="76">
        <v>4700</v>
      </c>
      <c r="J99" s="1">
        <v>350</v>
      </c>
      <c r="K99" s="1">
        <v>8</v>
      </c>
      <c r="L99" s="1">
        <v>1000</v>
      </c>
      <c r="M99" s="1">
        <v>30</v>
      </c>
      <c r="N99" s="1">
        <v>250</v>
      </c>
    </row>
    <row r="100" spans="1:14" x14ac:dyDescent="0.55000000000000004">
      <c r="A100" s="74">
        <v>97</v>
      </c>
      <c r="B100" s="75">
        <v>90</v>
      </c>
      <c r="C100" s="76">
        <v>1.7</v>
      </c>
      <c r="D100" s="76">
        <v>2.4</v>
      </c>
      <c r="E100" s="1">
        <v>15</v>
      </c>
      <c r="F100" s="76">
        <v>20</v>
      </c>
      <c r="G100" s="76">
        <v>120</v>
      </c>
      <c r="H100" s="1">
        <v>40</v>
      </c>
      <c r="I100" s="76">
        <v>4700</v>
      </c>
      <c r="J100" s="1">
        <v>350</v>
      </c>
      <c r="K100" s="1">
        <v>8</v>
      </c>
      <c r="L100" s="1">
        <v>1000</v>
      </c>
      <c r="M100" s="1">
        <v>30</v>
      </c>
      <c r="N100" s="1">
        <v>250</v>
      </c>
    </row>
    <row r="101" spans="1:14" x14ac:dyDescent="0.55000000000000004">
      <c r="A101" s="74">
        <v>98</v>
      </c>
      <c r="B101" s="75">
        <v>90</v>
      </c>
      <c r="C101" s="76">
        <v>1.7</v>
      </c>
      <c r="D101" s="76">
        <v>2.4</v>
      </c>
      <c r="E101" s="1">
        <v>15</v>
      </c>
      <c r="F101" s="76">
        <v>20</v>
      </c>
      <c r="G101" s="76">
        <v>120</v>
      </c>
      <c r="H101" s="1">
        <v>40</v>
      </c>
      <c r="I101" s="76">
        <v>4700</v>
      </c>
      <c r="J101" s="1">
        <v>350</v>
      </c>
      <c r="K101" s="1">
        <v>8</v>
      </c>
      <c r="L101" s="1">
        <v>1000</v>
      </c>
      <c r="M101" s="1">
        <v>30</v>
      </c>
      <c r="N101" s="1">
        <v>250</v>
      </c>
    </row>
    <row r="102" spans="1:14" x14ac:dyDescent="0.55000000000000004">
      <c r="A102" s="74">
        <v>99</v>
      </c>
      <c r="B102" s="75">
        <v>90</v>
      </c>
      <c r="C102" s="76">
        <v>1.7</v>
      </c>
      <c r="D102" s="76">
        <v>2.4</v>
      </c>
      <c r="E102" s="1">
        <v>15</v>
      </c>
      <c r="F102" s="76">
        <v>20</v>
      </c>
      <c r="G102" s="76">
        <v>120</v>
      </c>
      <c r="H102" s="1">
        <v>40</v>
      </c>
      <c r="I102" s="76">
        <v>4700</v>
      </c>
      <c r="J102" s="1">
        <v>350</v>
      </c>
      <c r="K102" s="1">
        <v>8</v>
      </c>
      <c r="L102" s="1">
        <v>1000</v>
      </c>
      <c r="M102" s="1">
        <v>30</v>
      </c>
      <c r="N102" s="1">
        <v>250</v>
      </c>
    </row>
    <row r="103" spans="1:14" x14ac:dyDescent="0.55000000000000004">
      <c r="A103" s="74">
        <v>100</v>
      </c>
      <c r="B103" s="75">
        <v>90</v>
      </c>
      <c r="C103" s="76">
        <v>1.7</v>
      </c>
      <c r="D103" s="76">
        <v>2.4</v>
      </c>
      <c r="E103" s="1">
        <v>15</v>
      </c>
      <c r="F103" s="76">
        <v>20</v>
      </c>
      <c r="G103" s="76">
        <v>120</v>
      </c>
      <c r="H103" s="1">
        <v>40</v>
      </c>
      <c r="I103" s="76">
        <v>4700</v>
      </c>
      <c r="J103" s="1">
        <v>350</v>
      </c>
      <c r="K103" s="1">
        <v>8</v>
      </c>
      <c r="L103" s="1">
        <v>1000</v>
      </c>
      <c r="M103" s="1">
        <v>30</v>
      </c>
      <c r="N103" s="1">
        <v>250</v>
      </c>
    </row>
    <row r="104" spans="1:14" x14ac:dyDescent="0.55000000000000004">
      <c r="A104" s="78" t="s">
        <v>297</v>
      </c>
    </row>
    <row r="105" spans="1:14" x14ac:dyDescent="0.55000000000000004">
      <c r="A105" s="74">
        <v>1</v>
      </c>
      <c r="B105" s="75">
        <v>15</v>
      </c>
      <c r="C105" s="76">
        <v>0.5</v>
      </c>
      <c r="D105" s="76">
        <v>0.9</v>
      </c>
      <c r="E105" s="1">
        <v>6</v>
      </c>
      <c r="F105" s="76">
        <v>15</v>
      </c>
      <c r="G105" s="76">
        <v>30</v>
      </c>
      <c r="H105" s="1">
        <v>7</v>
      </c>
      <c r="I105" s="76">
        <v>3000</v>
      </c>
      <c r="J105" s="1">
        <v>65</v>
      </c>
      <c r="K105" s="1">
        <v>7</v>
      </c>
      <c r="L105" s="1">
        <v>700</v>
      </c>
      <c r="M105" s="1">
        <v>19</v>
      </c>
      <c r="N105" s="1">
        <v>250</v>
      </c>
    </row>
    <row r="106" spans="1:14" x14ac:dyDescent="0.55000000000000004">
      <c r="A106" s="74">
        <v>2</v>
      </c>
      <c r="B106" s="75">
        <v>15</v>
      </c>
      <c r="C106" s="76">
        <v>0.5</v>
      </c>
      <c r="D106" s="76">
        <v>0.9</v>
      </c>
      <c r="E106" s="1">
        <v>6</v>
      </c>
      <c r="F106" s="76">
        <v>15</v>
      </c>
      <c r="G106" s="76">
        <v>30</v>
      </c>
      <c r="H106" s="1">
        <v>7</v>
      </c>
      <c r="I106" s="76">
        <v>3000</v>
      </c>
      <c r="J106" s="1">
        <v>65</v>
      </c>
      <c r="K106" s="1">
        <v>7</v>
      </c>
      <c r="L106" s="1">
        <v>700</v>
      </c>
      <c r="M106" s="1">
        <v>19</v>
      </c>
      <c r="N106" s="1">
        <v>250</v>
      </c>
    </row>
    <row r="107" spans="1:14" x14ac:dyDescent="0.55000000000000004">
      <c r="A107" s="74">
        <v>3</v>
      </c>
      <c r="B107" s="75">
        <v>15</v>
      </c>
      <c r="C107" s="76">
        <v>0.5</v>
      </c>
      <c r="D107" s="76">
        <v>0.9</v>
      </c>
      <c r="E107" s="1">
        <v>6</v>
      </c>
      <c r="F107" s="76">
        <v>15</v>
      </c>
      <c r="G107" s="76">
        <v>30</v>
      </c>
      <c r="H107" s="1">
        <v>7</v>
      </c>
      <c r="I107" s="76">
        <v>3000</v>
      </c>
      <c r="J107" s="1">
        <v>65</v>
      </c>
      <c r="K107" s="1">
        <v>7</v>
      </c>
      <c r="L107" s="1">
        <v>700</v>
      </c>
      <c r="M107" s="1">
        <v>19</v>
      </c>
      <c r="N107" s="1">
        <v>250</v>
      </c>
    </row>
    <row r="108" spans="1:14" x14ac:dyDescent="0.55000000000000004">
      <c r="A108" s="74">
        <v>4</v>
      </c>
      <c r="B108" s="75">
        <v>25</v>
      </c>
      <c r="C108" s="76">
        <v>0.6</v>
      </c>
      <c r="D108" s="76">
        <v>1.2</v>
      </c>
      <c r="E108" s="1">
        <v>7</v>
      </c>
      <c r="F108" s="76">
        <v>15</v>
      </c>
      <c r="G108" s="76">
        <v>55</v>
      </c>
      <c r="H108" s="1">
        <v>12</v>
      </c>
      <c r="I108" s="76">
        <v>3800</v>
      </c>
      <c r="J108" s="1">
        <v>110</v>
      </c>
      <c r="K108" s="1">
        <v>10</v>
      </c>
      <c r="L108" s="1">
        <v>1000</v>
      </c>
      <c r="M108" s="1">
        <v>25</v>
      </c>
      <c r="N108" s="1">
        <v>250</v>
      </c>
    </row>
    <row r="109" spans="1:14" x14ac:dyDescent="0.55000000000000004">
      <c r="A109" s="74">
        <v>5</v>
      </c>
      <c r="B109" s="75">
        <v>25</v>
      </c>
      <c r="C109" s="76">
        <v>0.6</v>
      </c>
      <c r="D109" s="76">
        <v>1.2</v>
      </c>
      <c r="E109" s="1">
        <v>7</v>
      </c>
      <c r="F109" s="76">
        <v>15</v>
      </c>
      <c r="G109" s="76">
        <v>55</v>
      </c>
      <c r="H109" s="1">
        <v>12</v>
      </c>
      <c r="I109" s="76">
        <v>3800</v>
      </c>
      <c r="J109" s="1">
        <v>110</v>
      </c>
      <c r="K109" s="1">
        <v>10</v>
      </c>
      <c r="L109" s="1">
        <v>1000</v>
      </c>
      <c r="M109" s="1">
        <v>25</v>
      </c>
      <c r="N109" s="1">
        <v>250</v>
      </c>
    </row>
    <row r="110" spans="1:14" x14ac:dyDescent="0.55000000000000004">
      <c r="A110" s="74">
        <v>6</v>
      </c>
      <c r="B110" s="75">
        <v>25</v>
      </c>
      <c r="C110" s="76">
        <v>0.6</v>
      </c>
      <c r="D110" s="76">
        <v>1.2</v>
      </c>
      <c r="E110" s="1">
        <v>7</v>
      </c>
      <c r="F110" s="76">
        <v>15</v>
      </c>
      <c r="G110" s="76">
        <v>55</v>
      </c>
      <c r="H110" s="1">
        <v>12</v>
      </c>
      <c r="I110" s="76">
        <v>3800</v>
      </c>
      <c r="J110" s="1">
        <v>110</v>
      </c>
      <c r="K110" s="1">
        <v>10</v>
      </c>
      <c r="L110" s="1">
        <v>1000</v>
      </c>
      <c r="M110" s="1">
        <v>25</v>
      </c>
      <c r="N110" s="1">
        <v>250</v>
      </c>
    </row>
    <row r="111" spans="1:14" x14ac:dyDescent="0.55000000000000004">
      <c r="A111" s="74">
        <v>7</v>
      </c>
      <c r="B111" s="75">
        <v>25</v>
      </c>
      <c r="C111" s="76">
        <v>0.6</v>
      </c>
      <c r="D111" s="76">
        <v>1.2</v>
      </c>
      <c r="E111" s="1">
        <v>7</v>
      </c>
      <c r="F111" s="76">
        <v>15</v>
      </c>
      <c r="G111" s="76">
        <v>55</v>
      </c>
      <c r="H111" s="1">
        <v>12</v>
      </c>
      <c r="I111" s="76">
        <v>3800</v>
      </c>
      <c r="J111" s="1">
        <v>110</v>
      </c>
      <c r="K111" s="1">
        <v>10</v>
      </c>
      <c r="L111" s="1">
        <v>1000</v>
      </c>
      <c r="M111" s="1">
        <v>25</v>
      </c>
      <c r="N111" s="1">
        <v>250</v>
      </c>
    </row>
    <row r="112" spans="1:14" x14ac:dyDescent="0.55000000000000004">
      <c r="A112" s="74">
        <v>8</v>
      </c>
      <c r="B112" s="75">
        <v>25</v>
      </c>
      <c r="C112" s="76">
        <v>0.6</v>
      </c>
      <c r="D112" s="76">
        <v>1.2</v>
      </c>
      <c r="E112" s="1">
        <v>7</v>
      </c>
      <c r="F112" s="76">
        <v>15</v>
      </c>
      <c r="G112" s="76">
        <v>55</v>
      </c>
      <c r="H112" s="1">
        <v>12</v>
      </c>
      <c r="I112" s="76">
        <v>3800</v>
      </c>
      <c r="J112" s="1">
        <v>110</v>
      </c>
      <c r="K112" s="1">
        <v>10</v>
      </c>
      <c r="L112" s="1">
        <v>1000</v>
      </c>
      <c r="M112" s="1">
        <v>25</v>
      </c>
      <c r="N112" s="1">
        <v>250</v>
      </c>
    </row>
    <row r="113" spans="1:14" x14ac:dyDescent="0.55000000000000004">
      <c r="A113" s="74">
        <v>9</v>
      </c>
      <c r="B113" s="75">
        <v>45</v>
      </c>
      <c r="C113" s="76">
        <v>1</v>
      </c>
      <c r="D113" s="76">
        <v>1.8</v>
      </c>
      <c r="E113" s="1">
        <v>11</v>
      </c>
      <c r="F113" s="76">
        <v>15</v>
      </c>
      <c r="G113" s="76">
        <v>60</v>
      </c>
      <c r="H113" s="1">
        <v>23</v>
      </c>
      <c r="I113" s="76">
        <v>4500</v>
      </c>
      <c r="J113" s="1">
        <v>350</v>
      </c>
      <c r="K113" s="1">
        <v>8</v>
      </c>
      <c r="L113" s="1">
        <v>1300</v>
      </c>
      <c r="M113" s="1">
        <v>25</v>
      </c>
      <c r="N113" s="1">
        <v>250</v>
      </c>
    </row>
    <row r="114" spans="1:14" x14ac:dyDescent="0.55000000000000004">
      <c r="A114" s="74">
        <v>10</v>
      </c>
      <c r="B114" s="75">
        <v>45</v>
      </c>
      <c r="C114" s="76">
        <v>1</v>
      </c>
      <c r="D114" s="76">
        <v>1.8</v>
      </c>
      <c r="E114" s="1">
        <v>11</v>
      </c>
      <c r="F114" s="76">
        <v>15</v>
      </c>
      <c r="G114" s="76">
        <v>60</v>
      </c>
      <c r="H114" s="1">
        <v>23</v>
      </c>
      <c r="I114" s="76">
        <v>4500</v>
      </c>
      <c r="J114" s="1">
        <v>350</v>
      </c>
      <c r="K114" s="1">
        <v>8</v>
      </c>
      <c r="L114" s="1">
        <v>1300</v>
      </c>
      <c r="M114" s="1">
        <v>25</v>
      </c>
      <c r="N114" s="1">
        <v>250</v>
      </c>
    </row>
    <row r="115" spans="1:14" x14ac:dyDescent="0.55000000000000004">
      <c r="A115" s="74">
        <v>11</v>
      </c>
      <c r="B115" s="75">
        <v>45</v>
      </c>
      <c r="C115" s="76">
        <v>1</v>
      </c>
      <c r="D115" s="76">
        <v>1.8</v>
      </c>
      <c r="E115" s="1">
        <v>11</v>
      </c>
      <c r="F115" s="76">
        <v>15</v>
      </c>
      <c r="G115" s="76">
        <v>60</v>
      </c>
      <c r="H115" s="1">
        <v>23</v>
      </c>
      <c r="I115" s="76">
        <v>4500</v>
      </c>
      <c r="J115" s="1">
        <v>350</v>
      </c>
      <c r="K115" s="1">
        <v>8</v>
      </c>
      <c r="L115" s="1">
        <v>1300</v>
      </c>
      <c r="M115" s="1">
        <v>25</v>
      </c>
      <c r="N115" s="1">
        <v>250</v>
      </c>
    </row>
    <row r="116" spans="1:14" x14ac:dyDescent="0.55000000000000004">
      <c r="A116" s="74">
        <v>12</v>
      </c>
      <c r="B116" s="75">
        <v>45</v>
      </c>
      <c r="C116" s="76">
        <v>1</v>
      </c>
      <c r="D116" s="76">
        <v>1.8</v>
      </c>
      <c r="E116" s="1">
        <v>11</v>
      </c>
      <c r="F116" s="76">
        <v>15</v>
      </c>
      <c r="G116" s="76">
        <v>60</v>
      </c>
      <c r="H116" s="1">
        <v>23</v>
      </c>
      <c r="I116" s="76">
        <v>4500</v>
      </c>
      <c r="J116" s="1">
        <v>350</v>
      </c>
      <c r="K116" s="1">
        <v>8</v>
      </c>
      <c r="L116" s="1">
        <v>1300</v>
      </c>
      <c r="M116" s="1">
        <v>25</v>
      </c>
      <c r="N116" s="1">
        <v>250</v>
      </c>
    </row>
    <row r="117" spans="1:14" x14ac:dyDescent="0.55000000000000004">
      <c r="A117" s="74">
        <v>13</v>
      </c>
      <c r="B117" s="75">
        <v>45</v>
      </c>
      <c r="C117" s="76">
        <v>1</v>
      </c>
      <c r="D117" s="76">
        <v>1.8</v>
      </c>
      <c r="E117" s="1">
        <v>11</v>
      </c>
      <c r="F117" s="76">
        <v>15</v>
      </c>
      <c r="G117" s="76">
        <v>60</v>
      </c>
      <c r="H117" s="1">
        <v>23</v>
      </c>
      <c r="I117" s="76">
        <v>4500</v>
      </c>
      <c r="J117" s="1">
        <v>350</v>
      </c>
      <c r="K117" s="1">
        <v>8</v>
      </c>
      <c r="L117" s="1">
        <v>1300</v>
      </c>
      <c r="M117" s="1">
        <v>25</v>
      </c>
      <c r="N117" s="1">
        <v>250</v>
      </c>
    </row>
    <row r="118" spans="1:14" x14ac:dyDescent="0.55000000000000004">
      <c r="A118" s="74">
        <v>14</v>
      </c>
      <c r="B118" s="75">
        <v>65</v>
      </c>
      <c r="C118" s="76">
        <v>1.3</v>
      </c>
      <c r="D118" s="76">
        <v>2.4</v>
      </c>
      <c r="E118" s="1">
        <v>15</v>
      </c>
      <c r="F118" s="76">
        <v>15</v>
      </c>
      <c r="G118" s="76">
        <v>75</v>
      </c>
      <c r="H118" s="1">
        <v>34</v>
      </c>
      <c r="I118" s="76">
        <v>4700</v>
      </c>
      <c r="J118" s="1">
        <v>350</v>
      </c>
      <c r="K118" s="1">
        <v>15</v>
      </c>
      <c r="L118" s="1">
        <v>1300</v>
      </c>
      <c r="M118" s="1">
        <v>21</v>
      </c>
      <c r="N118" s="1">
        <v>250</v>
      </c>
    </row>
    <row r="119" spans="1:14" x14ac:dyDescent="0.55000000000000004">
      <c r="A119" s="74">
        <v>15</v>
      </c>
      <c r="B119" s="75">
        <v>65</v>
      </c>
      <c r="C119" s="76">
        <v>1.3</v>
      </c>
      <c r="D119" s="76">
        <v>2.4</v>
      </c>
      <c r="E119" s="1">
        <v>15</v>
      </c>
      <c r="F119" s="76">
        <v>15</v>
      </c>
      <c r="G119" s="76">
        <v>75</v>
      </c>
      <c r="H119" s="1">
        <v>34</v>
      </c>
      <c r="I119" s="76">
        <v>4700</v>
      </c>
      <c r="J119" s="1">
        <v>350</v>
      </c>
      <c r="K119" s="1">
        <v>15</v>
      </c>
      <c r="L119" s="1">
        <v>1300</v>
      </c>
      <c r="M119" s="1">
        <v>21</v>
      </c>
      <c r="N119" s="1">
        <v>250</v>
      </c>
    </row>
    <row r="120" spans="1:14" x14ac:dyDescent="0.55000000000000004">
      <c r="A120" s="74">
        <v>16</v>
      </c>
      <c r="B120" s="75">
        <v>65</v>
      </c>
      <c r="C120" s="76">
        <v>1.3</v>
      </c>
      <c r="D120" s="76">
        <v>2.4</v>
      </c>
      <c r="E120" s="1">
        <v>15</v>
      </c>
      <c r="F120" s="76">
        <v>15</v>
      </c>
      <c r="G120" s="76">
        <v>75</v>
      </c>
      <c r="H120" s="1">
        <v>34</v>
      </c>
      <c r="I120" s="76">
        <v>4700</v>
      </c>
      <c r="J120" s="1">
        <v>350</v>
      </c>
      <c r="K120" s="1">
        <v>15</v>
      </c>
      <c r="L120" s="1">
        <v>1300</v>
      </c>
      <c r="M120" s="1">
        <v>21</v>
      </c>
      <c r="N120" s="1">
        <v>250</v>
      </c>
    </row>
    <row r="121" spans="1:14" x14ac:dyDescent="0.55000000000000004">
      <c r="A121" s="74">
        <v>17</v>
      </c>
      <c r="B121" s="75">
        <v>65</v>
      </c>
      <c r="C121" s="76">
        <v>1.3</v>
      </c>
      <c r="D121" s="76">
        <v>2.4</v>
      </c>
      <c r="E121" s="1">
        <v>15</v>
      </c>
      <c r="F121" s="76">
        <v>15</v>
      </c>
      <c r="G121" s="76">
        <v>75</v>
      </c>
      <c r="H121" s="1">
        <v>34</v>
      </c>
      <c r="I121" s="76">
        <v>4700</v>
      </c>
      <c r="J121" s="1">
        <v>350</v>
      </c>
      <c r="K121" s="1">
        <v>15</v>
      </c>
      <c r="L121" s="1">
        <v>1300</v>
      </c>
      <c r="M121" s="1">
        <v>21</v>
      </c>
      <c r="N121" s="1">
        <v>250</v>
      </c>
    </row>
    <row r="122" spans="1:14" x14ac:dyDescent="0.55000000000000004">
      <c r="A122" s="74">
        <v>18</v>
      </c>
      <c r="B122" s="75">
        <v>65</v>
      </c>
      <c r="C122" s="76">
        <v>1.3</v>
      </c>
      <c r="D122" s="76">
        <v>2.4</v>
      </c>
      <c r="E122" s="1">
        <v>15</v>
      </c>
      <c r="F122" s="76">
        <v>15</v>
      </c>
      <c r="G122" s="76">
        <v>75</v>
      </c>
      <c r="H122" s="1">
        <v>34</v>
      </c>
      <c r="I122" s="76">
        <v>4700</v>
      </c>
      <c r="J122" s="1">
        <v>350</v>
      </c>
      <c r="K122" s="1">
        <v>15</v>
      </c>
      <c r="L122" s="1">
        <v>1300</v>
      </c>
      <c r="M122" s="1">
        <v>21</v>
      </c>
      <c r="N122" s="1">
        <v>250</v>
      </c>
    </row>
    <row r="123" spans="1:14" x14ac:dyDescent="0.55000000000000004">
      <c r="A123" s="74">
        <v>19</v>
      </c>
      <c r="B123" s="75">
        <v>75</v>
      </c>
      <c r="C123" s="76">
        <v>1.5</v>
      </c>
      <c r="D123" s="76">
        <v>2.4</v>
      </c>
      <c r="E123" s="1">
        <v>15</v>
      </c>
      <c r="F123" s="76">
        <v>20</v>
      </c>
      <c r="G123" s="76">
        <v>90</v>
      </c>
      <c r="H123" s="1">
        <v>40</v>
      </c>
      <c r="I123" s="76">
        <v>4700</v>
      </c>
      <c r="J123" s="1">
        <v>350</v>
      </c>
      <c r="K123" s="1">
        <v>18</v>
      </c>
      <c r="L123" s="1">
        <v>1000</v>
      </c>
      <c r="M123" s="1">
        <v>21</v>
      </c>
      <c r="N123" s="1">
        <v>250</v>
      </c>
    </row>
    <row r="124" spans="1:14" x14ac:dyDescent="0.55000000000000004">
      <c r="A124" s="74">
        <v>20</v>
      </c>
      <c r="B124" s="75">
        <v>75</v>
      </c>
      <c r="C124" s="76">
        <v>1.5</v>
      </c>
      <c r="D124" s="76">
        <v>2.4</v>
      </c>
      <c r="E124" s="1">
        <v>15</v>
      </c>
      <c r="F124" s="76">
        <v>20</v>
      </c>
      <c r="G124" s="76">
        <v>90</v>
      </c>
      <c r="H124" s="1">
        <v>40</v>
      </c>
      <c r="I124" s="76">
        <v>4700</v>
      </c>
      <c r="J124" s="1">
        <v>350</v>
      </c>
      <c r="K124" s="1">
        <v>18</v>
      </c>
      <c r="L124" s="1">
        <v>1000</v>
      </c>
      <c r="M124" s="1">
        <v>21</v>
      </c>
      <c r="N124" s="1">
        <v>250</v>
      </c>
    </row>
    <row r="125" spans="1:14" x14ac:dyDescent="0.55000000000000004">
      <c r="A125" s="74">
        <v>21</v>
      </c>
      <c r="B125" s="75">
        <v>75</v>
      </c>
      <c r="C125" s="76">
        <v>1.5</v>
      </c>
      <c r="D125" s="76">
        <v>2.4</v>
      </c>
      <c r="E125" s="1">
        <v>15</v>
      </c>
      <c r="F125" s="76">
        <v>20</v>
      </c>
      <c r="G125" s="76">
        <v>90</v>
      </c>
      <c r="H125" s="1">
        <v>40</v>
      </c>
      <c r="I125" s="76">
        <v>4700</v>
      </c>
      <c r="J125" s="1">
        <v>350</v>
      </c>
      <c r="K125" s="1">
        <v>18</v>
      </c>
      <c r="L125" s="1">
        <v>1000</v>
      </c>
      <c r="M125" s="1">
        <v>21</v>
      </c>
      <c r="N125" s="1">
        <v>250</v>
      </c>
    </row>
    <row r="126" spans="1:14" x14ac:dyDescent="0.55000000000000004">
      <c r="A126" s="74">
        <v>22</v>
      </c>
      <c r="B126" s="75">
        <v>75</v>
      </c>
      <c r="C126" s="76">
        <v>1.5</v>
      </c>
      <c r="D126" s="76">
        <v>2.4</v>
      </c>
      <c r="E126" s="1">
        <v>15</v>
      </c>
      <c r="F126" s="76">
        <v>20</v>
      </c>
      <c r="G126" s="76">
        <v>90</v>
      </c>
      <c r="H126" s="1">
        <v>40</v>
      </c>
      <c r="I126" s="76">
        <v>4700</v>
      </c>
      <c r="J126" s="1">
        <v>350</v>
      </c>
      <c r="K126" s="1">
        <v>18</v>
      </c>
      <c r="L126" s="1">
        <v>1000</v>
      </c>
      <c r="M126" s="1">
        <v>21</v>
      </c>
      <c r="N126" s="1">
        <v>250</v>
      </c>
    </row>
    <row r="127" spans="1:14" x14ac:dyDescent="0.55000000000000004">
      <c r="A127" s="74">
        <v>23</v>
      </c>
      <c r="B127" s="75">
        <v>75</v>
      </c>
      <c r="C127" s="76">
        <v>1.5</v>
      </c>
      <c r="D127" s="76">
        <v>2.4</v>
      </c>
      <c r="E127" s="1">
        <v>15</v>
      </c>
      <c r="F127" s="76">
        <v>20</v>
      </c>
      <c r="G127" s="76">
        <v>90</v>
      </c>
      <c r="H127" s="1">
        <v>40</v>
      </c>
      <c r="I127" s="76">
        <v>4700</v>
      </c>
      <c r="J127" s="1">
        <v>350</v>
      </c>
      <c r="K127" s="1">
        <v>18</v>
      </c>
      <c r="L127" s="1">
        <v>1000</v>
      </c>
      <c r="M127" s="1">
        <v>21</v>
      </c>
      <c r="N127" s="1">
        <v>250</v>
      </c>
    </row>
    <row r="128" spans="1:14" x14ac:dyDescent="0.55000000000000004">
      <c r="A128" s="74">
        <v>24</v>
      </c>
      <c r="B128" s="75">
        <v>75</v>
      </c>
      <c r="C128" s="76">
        <v>1.5</v>
      </c>
      <c r="D128" s="76">
        <v>2.4</v>
      </c>
      <c r="E128" s="1">
        <v>15</v>
      </c>
      <c r="F128" s="76">
        <v>20</v>
      </c>
      <c r="G128" s="76">
        <v>90</v>
      </c>
      <c r="H128" s="1">
        <v>40</v>
      </c>
      <c r="I128" s="76">
        <v>4700</v>
      </c>
      <c r="J128" s="1">
        <v>350</v>
      </c>
      <c r="K128" s="1">
        <v>18</v>
      </c>
      <c r="L128" s="1">
        <v>1000</v>
      </c>
      <c r="M128" s="1">
        <v>21</v>
      </c>
      <c r="N128" s="1">
        <v>250</v>
      </c>
    </row>
    <row r="129" spans="1:14" x14ac:dyDescent="0.55000000000000004">
      <c r="A129" s="74">
        <v>25</v>
      </c>
      <c r="B129" s="75">
        <v>75</v>
      </c>
      <c r="C129" s="76">
        <v>1.5</v>
      </c>
      <c r="D129" s="76">
        <v>2.4</v>
      </c>
      <c r="E129" s="1">
        <v>15</v>
      </c>
      <c r="F129" s="76">
        <v>20</v>
      </c>
      <c r="G129" s="76">
        <v>90</v>
      </c>
      <c r="H129" s="1">
        <v>40</v>
      </c>
      <c r="I129" s="76">
        <v>4700</v>
      </c>
      <c r="J129" s="1">
        <v>350</v>
      </c>
      <c r="K129" s="1">
        <v>18</v>
      </c>
      <c r="L129" s="1">
        <v>1000</v>
      </c>
      <c r="M129" s="1">
        <v>21</v>
      </c>
      <c r="N129" s="1">
        <v>250</v>
      </c>
    </row>
    <row r="130" spans="1:14" x14ac:dyDescent="0.55000000000000004">
      <c r="A130" s="74">
        <v>26</v>
      </c>
      <c r="B130" s="75">
        <v>75</v>
      </c>
      <c r="C130" s="76">
        <v>1.5</v>
      </c>
      <c r="D130" s="76">
        <v>2.4</v>
      </c>
      <c r="E130" s="1">
        <v>15</v>
      </c>
      <c r="F130" s="76">
        <v>20</v>
      </c>
      <c r="G130" s="76">
        <v>90</v>
      </c>
      <c r="H130" s="1">
        <v>40</v>
      </c>
      <c r="I130" s="76">
        <v>4700</v>
      </c>
      <c r="J130" s="1">
        <v>350</v>
      </c>
      <c r="K130" s="1">
        <v>18</v>
      </c>
      <c r="L130" s="1">
        <v>1000</v>
      </c>
      <c r="M130" s="1">
        <v>21</v>
      </c>
      <c r="N130" s="1">
        <v>250</v>
      </c>
    </row>
    <row r="131" spans="1:14" x14ac:dyDescent="0.55000000000000004">
      <c r="A131" s="74">
        <v>27</v>
      </c>
      <c r="B131" s="75">
        <v>75</v>
      </c>
      <c r="C131" s="76">
        <v>1.5</v>
      </c>
      <c r="D131" s="76">
        <v>2.4</v>
      </c>
      <c r="E131" s="1">
        <v>15</v>
      </c>
      <c r="F131" s="76">
        <v>20</v>
      </c>
      <c r="G131" s="76">
        <v>90</v>
      </c>
      <c r="H131" s="1">
        <v>40</v>
      </c>
      <c r="I131" s="76">
        <v>4700</v>
      </c>
      <c r="J131" s="1">
        <v>350</v>
      </c>
      <c r="K131" s="1">
        <v>18</v>
      </c>
      <c r="L131" s="1">
        <v>1000</v>
      </c>
      <c r="M131" s="1">
        <v>21</v>
      </c>
      <c r="N131" s="1">
        <v>250</v>
      </c>
    </row>
    <row r="132" spans="1:14" x14ac:dyDescent="0.55000000000000004">
      <c r="A132" s="74">
        <v>28</v>
      </c>
      <c r="B132" s="75">
        <v>75</v>
      </c>
      <c r="C132" s="76">
        <v>1.5</v>
      </c>
      <c r="D132" s="76">
        <v>2.4</v>
      </c>
      <c r="E132" s="1">
        <v>15</v>
      </c>
      <c r="F132" s="76">
        <v>20</v>
      </c>
      <c r="G132" s="76">
        <v>90</v>
      </c>
      <c r="H132" s="1">
        <v>40</v>
      </c>
      <c r="I132" s="76">
        <v>4700</v>
      </c>
      <c r="J132" s="1">
        <v>350</v>
      </c>
      <c r="K132" s="1">
        <v>18</v>
      </c>
      <c r="L132" s="1">
        <v>1000</v>
      </c>
      <c r="M132" s="1">
        <v>21</v>
      </c>
      <c r="N132" s="1">
        <v>250</v>
      </c>
    </row>
    <row r="133" spans="1:14" x14ac:dyDescent="0.55000000000000004">
      <c r="A133" s="74">
        <v>29</v>
      </c>
      <c r="B133" s="75">
        <v>75</v>
      </c>
      <c r="C133" s="76">
        <v>1.5</v>
      </c>
      <c r="D133" s="76">
        <v>2.4</v>
      </c>
      <c r="E133" s="1">
        <v>15</v>
      </c>
      <c r="F133" s="76">
        <v>20</v>
      </c>
      <c r="G133" s="76">
        <v>90</v>
      </c>
      <c r="H133" s="1">
        <v>40</v>
      </c>
      <c r="I133" s="76">
        <v>4700</v>
      </c>
      <c r="J133" s="1">
        <v>350</v>
      </c>
      <c r="K133" s="1">
        <v>18</v>
      </c>
      <c r="L133" s="1">
        <v>1000</v>
      </c>
      <c r="M133" s="1">
        <v>21</v>
      </c>
      <c r="N133" s="1">
        <v>250</v>
      </c>
    </row>
    <row r="134" spans="1:14" x14ac:dyDescent="0.55000000000000004">
      <c r="A134" s="74">
        <v>30</v>
      </c>
      <c r="B134" s="75">
        <v>75</v>
      </c>
      <c r="C134" s="76">
        <v>1.5</v>
      </c>
      <c r="D134" s="76">
        <v>2.4</v>
      </c>
      <c r="E134" s="1">
        <v>15</v>
      </c>
      <c r="F134" s="76">
        <v>20</v>
      </c>
      <c r="G134" s="76">
        <v>90</v>
      </c>
      <c r="H134" s="1">
        <v>40</v>
      </c>
      <c r="I134" s="76">
        <v>4700</v>
      </c>
      <c r="J134" s="1">
        <v>350</v>
      </c>
      <c r="K134" s="1">
        <v>18</v>
      </c>
      <c r="L134" s="1">
        <v>1000</v>
      </c>
      <c r="M134" s="1">
        <v>21</v>
      </c>
      <c r="N134" s="1">
        <v>250</v>
      </c>
    </row>
    <row r="135" spans="1:14" x14ac:dyDescent="0.55000000000000004">
      <c r="A135" s="74">
        <v>31</v>
      </c>
      <c r="B135" s="75">
        <v>75</v>
      </c>
      <c r="C135" s="76">
        <v>1.5</v>
      </c>
      <c r="D135" s="76">
        <v>2.4</v>
      </c>
      <c r="E135" s="1">
        <v>15</v>
      </c>
      <c r="F135" s="76">
        <v>20</v>
      </c>
      <c r="G135" s="76">
        <v>90</v>
      </c>
      <c r="H135" s="1">
        <v>40</v>
      </c>
      <c r="I135" s="76">
        <v>4700</v>
      </c>
      <c r="J135" s="1">
        <v>350</v>
      </c>
      <c r="K135" s="1">
        <v>18</v>
      </c>
      <c r="L135" s="1">
        <v>1000</v>
      </c>
      <c r="M135" s="1">
        <v>21</v>
      </c>
      <c r="N135" s="1">
        <v>250</v>
      </c>
    </row>
    <row r="136" spans="1:14" x14ac:dyDescent="0.55000000000000004">
      <c r="A136" s="74">
        <v>32</v>
      </c>
      <c r="B136" s="75">
        <v>75</v>
      </c>
      <c r="C136" s="76">
        <v>1.5</v>
      </c>
      <c r="D136" s="76">
        <v>2.4</v>
      </c>
      <c r="E136" s="1">
        <v>15</v>
      </c>
      <c r="F136" s="76">
        <v>20</v>
      </c>
      <c r="G136" s="76">
        <v>90</v>
      </c>
      <c r="H136" s="1">
        <v>40</v>
      </c>
      <c r="I136" s="76">
        <v>4700</v>
      </c>
      <c r="J136" s="1">
        <v>350</v>
      </c>
      <c r="K136" s="1">
        <v>18</v>
      </c>
      <c r="L136" s="1">
        <v>1000</v>
      </c>
      <c r="M136" s="1">
        <v>21</v>
      </c>
      <c r="N136" s="1">
        <v>250</v>
      </c>
    </row>
    <row r="137" spans="1:14" x14ac:dyDescent="0.55000000000000004">
      <c r="A137" s="74">
        <v>33</v>
      </c>
      <c r="B137" s="75">
        <v>75</v>
      </c>
      <c r="C137" s="76">
        <v>1.5</v>
      </c>
      <c r="D137" s="76">
        <v>2.4</v>
      </c>
      <c r="E137" s="1">
        <v>15</v>
      </c>
      <c r="F137" s="76">
        <v>20</v>
      </c>
      <c r="G137" s="76">
        <v>90</v>
      </c>
      <c r="H137" s="1">
        <v>40</v>
      </c>
      <c r="I137" s="76">
        <v>4700</v>
      </c>
      <c r="J137" s="1">
        <v>350</v>
      </c>
      <c r="K137" s="1">
        <v>18</v>
      </c>
      <c r="L137" s="1">
        <v>1000</v>
      </c>
      <c r="M137" s="1">
        <v>21</v>
      </c>
      <c r="N137" s="1">
        <v>250</v>
      </c>
    </row>
    <row r="138" spans="1:14" x14ac:dyDescent="0.55000000000000004">
      <c r="A138" s="74">
        <v>34</v>
      </c>
      <c r="B138" s="75">
        <v>75</v>
      </c>
      <c r="C138" s="76">
        <v>1.5</v>
      </c>
      <c r="D138" s="76">
        <v>2.4</v>
      </c>
      <c r="E138" s="1">
        <v>15</v>
      </c>
      <c r="F138" s="76">
        <v>20</v>
      </c>
      <c r="G138" s="76">
        <v>90</v>
      </c>
      <c r="H138" s="1">
        <v>40</v>
      </c>
      <c r="I138" s="76">
        <v>4700</v>
      </c>
      <c r="J138" s="1">
        <v>350</v>
      </c>
      <c r="K138" s="1">
        <v>18</v>
      </c>
      <c r="L138" s="1">
        <v>1000</v>
      </c>
      <c r="M138" s="1">
        <v>21</v>
      </c>
      <c r="N138" s="1">
        <v>250</v>
      </c>
    </row>
    <row r="139" spans="1:14" x14ac:dyDescent="0.55000000000000004">
      <c r="A139" s="74">
        <v>35</v>
      </c>
      <c r="B139" s="75">
        <v>75</v>
      </c>
      <c r="C139" s="76">
        <v>1.5</v>
      </c>
      <c r="D139" s="76">
        <v>2.4</v>
      </c>
      <c r="E139" s="1">
        <v>15</v>
      </c>
      <c r="F139" s="76">
        <v>20</v>
      </c>
      <c r="G139" s="76">
        <v>90</v>
      </c>
      <c r="H139" s="1">
        <v>40</v>
      </c>
      <c r="I139" s="76">
        <v>4700</v>
      </c>
      <c r="J139" s="1">
        <v>350</v>
      </c>
      <c r="K139" s="1">
        <v>18</v>
      </c>
      <c r="L139" s="1">
        <v>1000</v>
      </c>
      <c r="M139" s="1">
        <v>21</v>
      </c>
      <c r="N139" s="1">
        <v>250</v>
      </c>
    </row>
    <row r="140" spans="1:14" x14ac:dyDescent="0.55000000000000004">
      <c r="A140" s="74">
        <v>36</v>
      </c>
      <c r="B140" s="75">
        <v>75</v>
      </c>
      <c r="C140" s="76">
        <v>1.5</v>
      </c>
      <c r="D140" s="76">
        <v>2.4</v>
      </c>
      <c r="E140" s="1">
        <v>15</v>
      </c>
      <c r="F140" s="76">
        <v>20</v>
      </c>
      <c r="G140" s="76">
        <v>90</v>
      </c>
      <c r="H140" s="1">
        <v>40</v>
      </c>
      <c r="I140" s="76">
        <v>4700</v>
      </c>
      <c r="J140" s="1">
        <v>350</v>
      </c>
      <c r="K140" s="1">
        <v>18</v>
      </c>
      <c r="L140" s="1">
        <v>1000</v>
      </c>
      <c r="M140" s="1">
        <v>21</v>
      </c>
      <c r="N140" s="1">
        <v>250</v>
      </c>
    </row>
    <row r="141" spans="1:14" x14ac:dyDescent="0.55000000000000004">
      <c r="A141" s="74">
        <v>37</v>
      </c>
      <c r="B141" s="75">
        <v>75</v>
      </c>
      <c r="C141" s="76">
        <v>1.5</v>
      </c>
      <c r="D141" s="76">
        <v>2.4</v>
      </c>
      <c r="E141" s="1">
        <v>15</v>
      </c>
      <c r="F141" s="76">
        <v>20</v>
      </c>
      <c r="G141" s="76">
        <v>90</v>
      </c>
      <c r="H141" s="1">
        <v>40</v>
      </c>
      <c r="I141" s="76">
        <v>4700</v>
      </c>
      <c r="J141" s="1">
        <v>350</v>
      </c>
      <c r="K141" s="1">
        <v>18</v>
      </c>
      <c r="L141" s="1">
        <v>1000</v>
      </c>
      <c r="M141" s="1">
        <v>21</v>
      </c>
      <c r="N141" s="1">
        <v>250</v>
      </c>
    </row>
    <row r="142" spans="1:14" x14ac:dyDescent="0.55000000000000004">
      <c r="A142" s="74">
        <v>38</v>
      </c>
      <c r="B142" s="75">
        <v>75</v>
      </c>
      <c r="C142" s="76">
        <v>1.5</v>
      </c>
      <c r="D142" s="76">
        <v>2.4</v>
      </c>
      <c r="E142" s="1">
        <v>15</v>
      </c>
      <c r="F142" s="76">
        <v>20</v>
      </c>
      <c r="G142" s="76">
        <v>90</v>
      </c>
      <c r="H142" s="1">
        <v>40</v>
      </c>
      <c r="I142" s="76">
        <v>4700</v>
      </c>
      <c r="J142" s="1">
        <v>350</v>
      </c>
      <c r="K142" s="1">
        <v>18</v>
      </c>
      <c r="L142" s="1">
        <v>1000</v>
      </c>
      <c r="M142" s="1">
        <v>21</v>
      </c>
      <c r="N142" s="1">
        <v>250</v>
      </c>
    </row>
    <row r="143" spans="1:14" x14ac:dyDescent="0.55000000000000004">
      <c r="A143" s="74">
        <v>39</v>
      </c>
      <c r="B143" s="75">
        <v>75</v>
      </c>
      <c r="C143" s="76">
        <v>1.5</v>
      </c>
      <c r="D143" s="76">
        <v>2.4</v>
      </c>
      <c r="E143" s="1">
        <v>15</v>
      </c>
      <c r="F143" s="76">
        <v>20</v>
      </c>
      <c r="G143" s="76">
        <v>90</v>
      </c>
      <c r="H143" s="1">
        <v>40</v>
      </c>
      <c r="I143" s="76">
        <v>4700</v>
      </c>
      <c r="J143" s="1">
        <v>350</v>
      </c>
      <c r="K143" s="1">
        <v>18</v>
      </c>
      <c r="L143" s="1">
        <v>1000</v>
      </c>
      <c r="M143" s="1">
        <v>21</v>
      </c>
      <c r="N143" s="1">
        <v>250</v>
      </c>
    </row>
    <row r="144" spans="1:14" x14ac:dyDescent="0.55000000000000004">
      <c r="A144" s="74">
        <v>40</v>
      </c>
      <c r="B144" s="75">
        <v>75</v>
      </c>
      <c r="C144" s="76">
        <v>1.5</v>
      </c>
      <c r="D144" s="76">
        <v>2.4</v>
      </c>
      <c r="E144" s="1">
        <v>15</v>
      </c>
      <c r="F144" s="76">
        <v>20</v>
      </c>
      <c r="G144" s="76">
        <v>90</v>
      </c>
      <c r="H144" s="1">
        <v>40</v>
      </c>
      <c r="I144" s="76">
        <v>4700</v>
      </c>
      <c r="J144" s="1">
        <v>350</v>
      </c>
      <c r="K144" s="1">
        <v>18</v>
      </c>
      <c r="L144" s="1">
        <v>1000</v>
      </c>
      <c r="M144" s="1">
        <v>21</v>
      </c>
      <c r="N144" s="1">
        <v>250</v>
      </c>
    </row>
    <row r="145" spans="1:14" x14ac:dyDescent="0.55000000000000004">
      <c r="A145" s="74">
        <v>41</v>
      </c>
      <c r="B145" s="75">
        <v>75</v>
      </c>
      <c r="C145" s="76">
        <v>1.5</v>
      </c>
      <c r="D145" s="76">
        <v>2.4</v>
      </c>
      <c r="E145" s="1">
        <v>15</v>
      </c>
      <c r="F145" s="76">
        <v>20</v>
      </c>
      <c r="G145" s="76">
        <v>90</v>
      </c>
      <c r="H145" s="1">
        <v>40</v>
      </c>
      <c r="I145" s="76">
        <v>4700</v>
      </c>
      <c r="J145" s="1">
        <v>350</v>
      </c>
      <c r="K145" s="1">
        <v>18</v>
      </c>
      <c r="L145" s="1">
        <v>1000</v>
      </c>
      <c r="M145" s="1">
        <v>21</v>
      </c>
      <c r="N145" s="1">
        <v>250</v>
      </c>
    </row>
    <row r="146" spans="1:14" x14ac:dyDescent="0.55000000000000004">
      <c r="A146" s="74">
        <v>42</v>
      </c>
      <c r="B146" s="75">
        <v>75</v>
      </c>
      <c r="C146" s="76">
        <v>1.5</v>
      </c>
      <c r="D146" s="76">
        <v>2.4</v>
      </c>
      <c r="E146" s="1">
        <v>15</v>
      </c>
      <c r="F146" s="76">
        <v>20</v>
      </c>
      <c r="G146" s="76">
        <v>90</v>
      </c>
      <c r="H146" s="1">
        <v>40</v>
      </c>
      <c r="I146" s="76">
        <v>4700</v>
      </c>
      <c r="J146" s="1">
        <v>350</v>
      </c>
      <c r="K146" s="1">
        <v>18</v>
      </c>
      <c r="L146" s="1">
        <v>1000</v>
      </c>
      <c r="M146" s="1">
        <v>21</v>
      </c>
      <c r="N146" s="1">
        <v>250</v>
      </c>
    </row>
    <row r="147" spans="1:14" x14ac:dyDescent="0.55000000000000004">
      <c r="A147" s="74">
        <v>43</v>
      </c>
      <c r="B147" s="75">
        <v>75</v>
      </c>
      <c r="C147" s="76">
        <v>1.5</v>
      </c>
      <c r="D147" s="76">
        <v>2.4</v>
      </c>
      <c r="E147" s="1">
        <v>15</v>
      </c>
      <c r="F147" s="76">
        <v>20</v>
      </c>
      <c r="G147" s="76">
        <v>90</v>
      </c>
      <c r="H147" s="1">
        <v>40</v>
      </c>
      <c r="I147" s="76">
        <v>4700</v>
      </c>
      <c r="J147" s="1">
        <v>350</v>
      </c>
      <c r="K147" s="1">
        <v>18</v>
      </c>
      <c r="L147" s="1">
        <v>1000</v>
      </c>
      <c r="M147" s="1">
        <v>21</v>
      </c>
      <c r="N147" s="1">
        <v>250</v>
      </c>
    </row>
    <row r="148" spans="1:14" x14ac:dyDescent="0.55000000000000004">
      <c r="A148" s="74">
        <v>44</v>
      </c>
      <c r="B148" s="75">
        <v>75</v>
      </c>
      <c r="C148" s="76">
        <v>1.5</v>
      </c>
      <c r="D148" s="76">
        <v>2.4</v>
      </c>
      <c r="E148" s="1">
        <v>15</v>
      </c>
      <c r="F148" s="76">
        <v>20</v>
      </c>
      <c r="G148" s="76">
        <v>90</v>
      </c>
      <c r="H148" s="1">
        <v>40</v>
      </c>
      <c r="I148" s="76">
        <v>4700</v>
      </c>
      <c r="J148" s="1">
        <v>350</v>
      </c>
      <c r="K148" s="1">
        <v>18</v>
      </c>
      <c r="L148" s="1">
        <v>1000</v>
      </c>
      <c r="M148" s="1">
        <v>21</v>
      </c>
      <c r="N148" s="1">
        <v>250</v>
      </c>
    </row>
    <row r="149" spans="1:14" x14ac:dyDescent="0.55000000000000004">
      <c r="A149" s="74">
        <v>45</v>
      </c>
      <c r="B149" s="75">
        <v>75</v>
      </c>
      <c r="C149" s="76">
        <v>1.5</v>
      </c>
      <c r="D149" s="76">
        <v>2.4</v>
      </c>
      <c r="E149" s="1">
        <v>15</v>
      </c>
      <c r="F149" s="76">
        <v>20</v>
      </c>
      <c r="G149" s="76">
        <v>90</v>
      </c>
      <c r="H149" s="1">
        <v>40</v>
      </c>
      <c r="I149" s="76">
        <v>4700</v>
      </c>
      <c r="J149" s="1">
        <v>350</v>
      </c>
      <c r="K149" s="1">
        <v>18</v>
      </c>
      <c r="L149" s="1">
        <v>1000</v>
      </c>
      <c r="M149" s="1">
        <v>21</v>
      </c>
      <c r="N149" s="1">
        <v>250</v>
      </c>
    </row>
    <row r="150" spans="1:14" x14ac:dyDescent="0.55000000000000004">
      <c r="A150" s="74">
        <v>46</v>
      </c>
      <c r="B150" s="75">
        <v>75</v>
      </c>
      <c r="C150" s="76">
        <v>1.5</v>
      </c>
      <c r="D150" s="76">
        <v>2.4</v>
      </c>
      <c r="E150" s="1">
        <v>15</v>
      </c>
      <c r="F150" s="76">
        <v>20</v>
      </c>
      <c r="G150" s="76">
        <v>90</v>
      </c>
      <c r="H150" s="1">
        <v>40</v>
      </c>
      <c r="I150" s="76">
        <v>4700</v>
      </c>
      <c r="J150" s="1">
        <v>350</v>
      </c>
      <c r="K150" s="1">
        <v>18</v>
      </c>
      <c r="L150" s="1">
        <v>1000</v>
      </c>
      <c r="M150" s="1">
        <v>21</v>
      </c>
      <c r="N150" s="1">
        <v>250</v>
      </c>
    </row>
    <row r="151" spans="1:14" x14ac:dyDescent="0.55000000000000004">
      <c r="A151" s="74">
        <v>47</v>
      </c>
      <c r="B151" s="75">
        <v>75</v>
      </c>
      <c r="C151" s="76">
        <v>1.5</v>
      </c>
      <c r="D151" s="76">
        <v>2.4</v>
      </c>
      <c r="E151" s="1">
        <v>15</v>
      </c>
      <c r="F151" s="76">
        <v>20</v>
      </c>
      <c r="G151" s="76">
        <v>90</v>
      </c>
      <c r="H151" s="1">
        <v>40</v>
      </c>
      <c r="I151" s="76">
        <v>4700</v>
      </c>
      <c r="J151" s="1">
        <v>350</v>
      </c>
      <c r="K151" s="1">
        <v>18</v>
      </c>
      <c r="L151" s="1">
        <v>1000</v>
      </c>
      <c r="M151" s="1">
        <v>21</v>
      </c>
      <c r="N151" s="1">
        <v>250</v>
      </c>
    </row>
    <row r="152" spans="1:14" x14ac:dyDescent="0.55000000000000004">
      <c r="A152" s="74">
        <v>48</v>
      </c>
      <c r="B152" s="75">
        <v>75</v>
      </c>
      <c r="C152" s="76">
        <v>1.5</v>
      </c>
      <c r="D152" s="76">
        <v>2.4</v>
      </c>
      <c r="E152" s="1">
        <v>15</v>
      </c>
      <c r="F152" s="76">
        <v>20</v>
      </c>
      <c r="G152" s="76">
        <v>90</v>
      </c>
      <c r="H152" s="1">
        <v>40</v>
      </c>
      <c r="I152" s="76">
        <v>4700</v>
      </c>
      <c r="J152" s="1">
        <v>350</v>
      </c>
      <c r="K152" s="1">
        <v>18</v>
      </c>
      <c r="L152" s="1">
        <v>1000</v>
      </c>
      <c r="M152" s="1">
        <v>21</v>
      </c>
      <c r="N152" s="1">
        <v>250</v>
      </c>
    </row>
    <row r="153" spans="1:14" x14ac:dyDescent="0.55000000000000004">
      <c r="A153" s="74">
        <v>49</v>
      </c>
      <c r="B153" s="75">
        <v>75</v>
      </c>
      <c r="C153" s="76">
        <v>1.5</v>
      </c>
      <c r="D153" s="76">
        <v>2.4</v>
      </c>
      <c r="E153" s="1">
        <v>15</v>
      </c>
      <c r="F153" s="76">
        <v>20</v>
      </c>
      <c r="G153" s="76">
        <v>90</v>
      </c>
      <c r="H153" s="1">
        <v>40</v>
      </c>
      <c r="I153" s="76">
        <v>4700</v>
      </c>
      <c r="J153" s="1">
        <v>350</v>
      </c>
      <c r="K153" s="1">
        <v>18</v>
      </c>
      <c r="L153" s="1">
        <v>1000</v>
      </c>
      <c r="M153" s="1">
        <v>21</v>
      </c>
      <c r="N153" s="1">
        <v>250</v>
      </c>
    </row>
    <row r="154" spans="1:14" x14ac:dyDescent="0.55000000000000004">
      <c r="A154" s="74">
        <v>50</v>
      </c>
      <c r="B154" s="75">
        <v>75</v>
      </c>
      <c r="C154" s="76">
        <v>1.5</v>
      </c>
      <c r="D154" s="76">
        <v>2.4</v>
      </c>
      <c r="E154" s="1">
        <v>15</v>
      </c>
      <c r="F154" s="76">
        <v>20</v>
      </c>
      <c r="G154" s="76">
        <v>90</v>
      </c>
      <c r="H154" s="1">
        <v>40</v>
      </c>
      <c r="I154" s="76">
        <v>4700</v>
      </c>
      <c r="J154" s="1">
        <v>350</v>
      </c>
      <c r="K154" s="1">
        <v>18</v>
      </c>
      <c r="L154" s="1">
        <v>1000</v>
      </c>
      <c r="M154" s="1">
        <v>21</v>
      </c>
      <c r="N154" s="1">
        <v>250</v>
      </c>
    </row>
    <row r="155" spans="1:14" x14ac:dyDescent="0.55000000000000004">
      <c r="A155" s="74">
        <v>51</v>
      </c>
      <c r="B155" s="75">
        <v>75</v>
      </c>
      <c r="C155" s="76">
        <v>1.5</v>
      </c>
      <c r="D155" s="76">
        <v>2.4</v>
      </c>
      <c r="E155" s="1">
        <v>15</v>
      </c>
      <c r="F155" s="76">
        <v>20</v>
      </c>
      <c r="G155" s="76">
        <v>90</v>
      </c>
      <c r="H155" s="1">
        <v>40</v>
      </c>
      <c r="I155" s="76">
        <v>4700</v>
      </c>
      <c r="J155" s="1">
        <v>350</v>
      </c>
      <c r="K155" s="1">
        <v>18</v>
      </c>
      <c r="L155" s="1">
        <v>1000</v>
      </c>
      <c r="M155" s="1">
        <v>21</v>
      </c>
      <c r="N155" s="1">
        <v>250</v>
      </c>
    </row>
    <row r="156" spans="1:14" x14ac:dyDescent="0.55000000000000004">
      <c r="A156" s="74">
        <v>52</v>
      </c>
      <c r="B156" s="75">
        <v>75</v>
      </c>
      <c r="C156" s="76">
        <v>1.5</v>
      </c>
      <c r="D156" s="76">
        <v>2.4</v>
      </c>
      <c r="E156" s="1">
        <v>15</v>
      </c>
      <c r="F156" s="76">
        <v>20</v>
      </c>
      <c r="G156" s="76">
        <v>90</v>
      </c>
      <c r="H156" s="1">
        <v>40</v>
      </c>
      <c r="I156" s="76">
        <v>4700</v>
      </c>
      <c r="J156" s="1">
        <v>350</v>
      </c>
      <c r="K156" s="1">
        <v>18</v>
      </c>
      <c r="L156" s="1">
        <v>1000</v>
      </c>
      <c r="M156" s="1">
        <v>21</v>
      </c>
      <c r="N156" s="1">
        <v>250</v>
      </c>
    </row>
    <row r="157" spans="1:14" x14ac:dyDescent="0.55000000000000004">
      <c r="A157" s="74">
        <v>53</v>
      </c>
      <c r="B157" s="75">
        <v>75</v>
      </c>
      <c r="C157" s="76">
        <v>1.5</v>
      </c>
      <c r="D157" s="76">
        <v>2.4</v>
      </c>
      <c r="E157" s="1">
        <v>15</v>
      </c>
      <c r="F157" s="76">
        <v>20</v>
      </c>
      <c r="G157" s="76">
        <v>90</v>
      </c>
      <c r="H157" s="1">
        <v>40</v>
      </c>
      <c r="I157" s="76">
        <v>4700</v>
      </c>
      <c r="J157" s="1">
        <v>350</v>
      </c>
      <c r="K157" s="1">
        <v>18</v>
      </c>
      <c r="L157" s="1">
        <v>1000</v>
      </c>
      <c r="M157" s="1">
        <v>21</v>
      </c>
      <c r="N157" s="1">
        <v>250</v>
      </c>
    </row>
    <row r="158" spans="1:14" x14ac:dyDescent="0.55000000000000004">
      <c r="A158" s="74">
        <v>54</v>
      </c>
      <c r="B158" s="75">
        <v>75</v>
      </c>
      <c r="C158" s="76">
        <v>1.5</v>
      </c>
      <c r="D158" s="76">
        <v>2.4</v>
      </c>
      <c r="E158" s="1">
        <v>15</v>
      </c>
      <c r="F158" s="76">
        <v>20</v>
      </c>
      <c r="G158" s="76">
        <v>90</v>
      </c>
      <c r="H158" s="1">
        <v>40</v>
      </c>
      <c r="I158" s="76">
        <v>4700</v>
      </c>
      <c r="J158" s="1">
        <v>350</v>
      </c>
      <c r="K158" s="1">
        <v>18</v>
      </c>
      <c r="L158" s="1">
        <v>1000</v>
      </c>
      <c r="M158" s="1">
        <v>21</v>
      </c>
      <c r="N158" s="1">
        <v>250</v>
      </c>
    </row>
    <row r="159" spans="1:14" x14ac:dyDescent="0.55000000000000004">
      <c r="A159" s="74">
        <v>55</v>
      </c>
      <c r="B159" s="75">
        <v>75</v>
      </c>
      <c r="C159" s="76">
        <v>1.5</v>
      </c>
      <c r="D159" s="76">
        <v>2.4</v>
      </c>
      <c r="E159" s="1">
        <v>15</v>
      </c>
      <c r="F159" s="76">
        <v>20</v>
      </c>
      <c r="G159" s="76">
        <v>90</v>
      </c>
      <c r="H159" s="1">
        <v>40</v>
      </c>
      <c r="I159" s="76">
        <v>4700</v>
      </c>
      <c r="J159" s="1">
        <v>350</v>
      </c>
      <c r="K159" s="1">
        <v>18</v>
      </c>
      <c r="L159" s="1">
        <v>1000</v>
      </c>
      <c r="M159" s="1">
        <v>21</v>
      </c>
      <c r="N159" s="1">
        <v>250</v>
      </c>
    </row>
    <row r="160" spans="1:14" x14ac:dyDescent="0.55000000000000004">
      <c r="A160" s="74">
        <v>56</v>
      </c>
      <c r="B160" s="75">
        <v>75</v>
      </c>
      <c r="C160" s="76">
        <v>1.5</v>
      </c>
      <c r="D160" s="76">
        <v>2.4</v>
      </c>
      <c r="E160" s="1">
        <v>15</v>
      </c>
      <c r="F160" s="76">
        <v>20</v>
      </c>
      <c r="G160" s="76">
        <v>90</v>
      </c>
      <c r="H160" s="1">
        <v>40</v>
      </c>
      <c r="I160" s="76">
        <v>4700</v>
      </c>
      <c r="J160" s="1">
        <v>350</v>
      </c>
      <c r="K160" s="1">
        <v>18</v>
      </c>
      <c r="L160" s="1">
        <v>1000</v>
      </c>
      <c r="M160" s="1">
        <v>21</v>
      </c>
      <c r="N160" s="1">
        <v>250</v>
      </c>
    </row>
    <row r="161" spans="1:14" x14ac:dyDescent="0.55000000000000004">
      <c r="A161" s="74">
        <v>57</v>
      </c>
      <c r="B161" s="75">
        <v>75</v>
      </c>
      <c r="C161" s="76">
        <v>1.5</v>
      </c>
      <c r="D161" s="76">
        <v>2.4</v>
      </c>
      <c r="E161" s="1">
        <v>15</v>
      </c>
      <c r="F161" s="76">
        <v>20</v>
      </c>
      <c r="G161" s="76">
        <v>90</v>
      </c>
      <c r="H161" s="1">
        <v>40</v>
      </c>
      <c r="I161" s="76">
        <v>4700</v>
      </c>
      <c r="J161" s="1">
        <v>350</v>
      </c>
      <c r="K161" s="1">
        <v>18</v>
      </c>
      <c r="L161" s="1">
        <v>1000</v>
      </c>
      <c r="M161" s="1">
        <v>21</v>
      </c>
      <c r="N161" s="1">
        <v>250</v>
      </c>
    </row>
    <row r="162" spans="1:14" x14ac:dyDescent="0.55000000000000004">
      <c r="A162" s="74">
        <v>58</v>
      </c>
      <c r="B162" s="75">
        <v>75</v>
      </c>
      <c r="C162" s="76">
        <v>1.5</v>
      </c>
      <c r="D162" s="76">
        <v>2.4</v>
      </c>
      <c r="E162" s="1">
        <v>15</v>
      </c>
      <c r="F162" s="76">
        <v>20</v>
      </c>
      <c r="G162" s="76">
        <v>90</v>
      </c>
      <c r="H162" s="1">
        <v>40</v>
      </c>
      <c r="I162" s="76">
        <v>4700</v>
      </c>
      <c r="J162" s="1">
        <v>350</v>
      </c>
      <c r="K162" s="1">
        <v>18</v>
      </c>
      <c r="L162" s="1">
        <v>1000</v>
      </c>
      <c r="M162" s="1">
        <v>21</v>
      </c>
      <c r="N162" s="1">
        <v>250</v>
      </c>
    </row>
    <row r="163" spans="1:14" x14ac:dyDescent="0.55000000000000004">
      <c r="A163" s="74">
        <v>59</v>
      </c>
      <c r="B163" s="75">
        <v>75</v>
      </c>
      <c r="C163" s="76">
        <v>1.5</v>
      </c>
      <c r="D163" s="76">
        <v>2.4</v>
      </c>
      <c r="E163" s="1">
        <v>15</v>
      </c>
      <c r="F163" s="76">
        <v>20</v>
      </c>
      <c r="G163" s="76">
        <v>90</v>
      </c>
      <c r="H163" s="1">
        <v>40</v>
      </c>
      <c r="I163" s="76">
        <v>4700</v>
      </c>
      <c r="J163" s="1">
        <v>350</v>
      </c>
      <c r="K163" s="1">
        <v>18</v>
      </c>
      <c r="L163" s="1">
        <v>1000</v>
      </c>
      <c r="M163" s="1">
        <v>21</v>
      </c>
      <c r="N163" s="1">
        <v>250</v>
      </c>
    </row>
    <row r="164" spans="1:14" x14ac:dyDescent="0.55000000000000004">
      <c r="A164" s="74">
        <v>60</v>
      </c>
      <c r="B164" s="75">
        <v>75</v>
      </c>
      <c r="C164" s="76">
        <v>1.5</v>
      </c>
      <c r="D164" s="76">
        <v>2.4</v>
      </c>
      <c r="E164" s="1">
        <v>15</v>
      </c>
      <c r="F164" s="76">
        <v>20</v>
      </c>
      <c r="G164" s="76">
        <v>90</v>
      </c>
      <c r="H164" s="1">
        <v>40</v>
      </c>
      <c r="I164" s="76">
        <v>4700</v>
      </c>
      <c r="J164" s="1">
        <v>350</v>
      </c>
      <c r="K164" s="1">
        <v>18</v>
      </c>
      <c r="L164" s="1">
        <v>1000</v>
      </c>
      <c r="M164" s="1">
        <v>21</v>
      </c>
      <c r="N164" s="1">
        <v>250</v>
      </c>
    </row>
    <row r="165" spans="1:14" x14ac:dyDescent="0.55000000000000004">
      <c r="A165" s="74">
        <v>61</v>
      </c>
      <c r="B165" s="75">
        <v>75</v>
      </c>
      <c r="C165" s="76">
        <v>1.5</v>
      </c>
      <c r="D165" s="76">
        <v>2.4</v>
      </c>
      <c r="E165" s="1">
        <v>15</v>
      </c>
      <c r="F165" s="76">
        <v>20</v>
      </c>
      <c r="G165" s="76">
        <v>90</v>
      </c>
      <c r="H165" s="1">
        <v>40</v>
      </c>
      <c r="I165" s="76">
        <v>4700</v>
      </c>
      <c r="J165" s="1">
        <v>350</v>
      </c>
      <c r="K165" s="1">
        <v>18</v>
      </c>
      <c r="L165" s="1">
        <v>1000</v>
      </c>
      <c r="M165" s="1">
        <v>21</v>
      </c>
      <c r="N165" s="1">
        <v>250</v>
      </c>
    </row>
    <row r="166" spans="1:14" x14ac:dyDescent="0.55000000000000004">
      <c r="A166" s="74">
        <v>62</v>
      </c>
      <c r="B166" s="75">
        <v>75</v>
      </c>
      <c r="C166" s="76">
        <v>1.5</v>
      </c>
      <c r="D166" s="76">
        <v>2.4</v>
      </c>
      <c r="E166" s="1">
        <v>15</v>
      </c>
      <c r="F166" s="76">
        <v>20</v>
      </c>
      <c r="G166" s="76">
        <v>90</v>
      </c>
      <c r="H166" s="1">
        <v>40</v>
      </c>
      <c r="I166" s="76">
        <v>4700</v>
      </c>
      <c r="J166" s="1">
        <v>350</v>
      </c>
      <c r="K166" s="1">
        <v>18</v>
      </c>
      <c r="L166" s="1">
        <v>1000</v>
      </c>
      <c r="M166" s="1">
        <v>21</v>
      </c>
      <c r="N166" s="1">
        <v>250</v>
      </c>
    </row>
    <row r="167" spans="1:14" x14ac:dyDescent="0.55000000000000004">
      <c r="A167" s="74">
        <v>63</v>
      </c>
      <c r="B167" s="75">
        <v>75</v>
      </c>
      <c r="C167" s="76">
        <v>1.5</v>
      </c>
      <c r="D167" s="76">
        <v>2.4</v>
      </c>
      <c r="E167" s="1">
        <v>15</v>
      </c>
      <c r="F167" s="76">
        <v>20</v>
      </c>
      <c r="G167" s="76">
        <v>90</v>
      </c>
      <c r="H167" s="1">
        <v>40</v>
      </c>
      <c r="I167" s="76">
        <v>4700</v>
      </c>
      <c r="J167" s="1">
        <v>350</v>
      </c>
      <c r="K167" s="1">
        <v>18</v>
      </c>
      <c r="L167" s="1">
        <v>1000</v>
      </c>
      <c r="M167" s="1">
        <v>21</v>
      </c>
      <c r="N167" s="1">
        <v>250</v>
      </c>
    </row>
    <row r="168" spans="1:14" x14ac:dyDescent="0.55000000000000004">
      <c r="A168" s="74">
        <v>64</v>
      </c>
      <c r="B168" s="75">
        <v>75</v>
      </c>
      <c r="C168" s="76">
        <v>1.5</v>
      </c>
      <c r="D168" s="76">
        <v>2.4</v>
      </c>
      <c r="E168" s="1">
        <v>15</v>
      </c>
      <c r="F168" s="76">
        <v>20</v>
      </c>
      <c r="G168" s="76">
        <v>90</v>
      </c>
      <c r="H168" s="1">
        <v>40</v>
      </c>
      <c r="I168" s="76">
        <v>4700</v>
      </c>
      <c r="J168" s="1">
        <v>350</v>
      </c>
      <c r="K168" s="1">
        <v>18</v>
      </c>
      <c r="L168" s="1">
        <v>1000</v>
      </c>
      <c r="M168" s="1">
        <v>21</v>
      </c>
      <c r="N168" s="1">
        <v>250</v>
      </c>
    </row>
    <row r="169" spans="1:14" x14ac:dyDescent="0.55000000000000004">
      <c r="A169" s="74">
        <v>65</v>
      </c>
      <c r="B169" s="75">
        <v>75</v>
      </c>
      <c r="C169" s="76">
        <v>1.5</v>
      </c>
      <c r="D169" s="76">
        <v>2.4</v>
      </c>
      <c r="E169" s="1">
        <v>15</v>
      </c>
      <c r="F169" s="76">
        <v>20</v>
      </c>
      <c r="G169" s="76">
        <v>90</v>
      </c>
      <c r="H169" s="1">
        <v>40</v>
      </c>
      <c r="I169" s="76">
        <v>4700</v>
      </c>
      <c r="J169" s="1">
        <v>350</v>
      </c>
      <c r="K169" s="1">
        <v>18</v>
      </c>
      <c r="L169" s="1">
        <v>1000</v>
      </c>
      <c r="M169" s="1">
        <v>21</v>
      </c>
      <c r="N169" s="1">
        <v>250</v>
      </c>
    </row>
    <row r="170" spans="1:14" x14ac:dyDescent="0.55000000000000004">
      <c r="A170" s="74">
        <v>66</v>
      </c>
      <c r="B170" s="75">
        <v>75</v>
      </c>
      <c r="C170" s="76">
        <v>1.5</v>
      </c>
      <c r="D170" s="76">
        <v>2.4</v>
      </c>
      <c r="E170" s="1">
        <v>15</v>
      </c>
      <c r="F170" s="76">
        <v>20</v>
      </c>
      <c r="G170" s="76">
        <v>90</v>
      </c>
      <c r="H170" s="1">
        <v>40</v>
      </c>
      <c r="I170" s="76">
        <v>4700</v>
      </c>
      <c r="J170" s="1">
        <v>350</v>
      </c>
      <c r="K170" s="1">
        <v>18</v>
      </c>
      <c r="L170" s="1">
        <v>1000</v>
      </c>
      <c r="M170" s="1">
        <v>21</v>
      </c>
      <c r="N170" s="1">
        <v>250</v>
      </c>
    </row>
    <row r="171" spans="1:14" x14ac:dyDescent="0.55000000000000004">
      <c r="A171" s="74">
        <v>67</v>
      </c>
      <c r="B171" s="75">
        <v>75</v>
      </c>
      <c r="C171" s="76">
        <v>1.5</v>
      </c>
      <c r="D171" s="76">
        <v>2.4</v>
      </c>
      <c r="E171" s="1">
        <v>15</v>
      </c>
      <c r="F171" s="76">
        <v>20</v>
      </c>
      <c r="G171" s="76">
        <v>90</v>
      </c>
      <c r="H171" s="1">
        <v>40</v>
      </c>
      <c r="I171" s="76">
        <v>4700</v>
      </c>
      <c r="J171" s="1">
        <v>350</v>
      </c>
      <c r="K171" s="1">
        <v>18</v>
      </c>
      <c r="L171" s="1">
        <v>1000</v>
      </c>
      <c r="M171" s="1">
        <v>21</v>
      </c>
      <c r="N171" s="1">
        <v>250</v>
      </c>
    </row>
    <row r="172" spans="1:14" x14ac:dyDescent="0.55000000000000004">
      <c r="A172" s="74">
        <v>68</v>
      </c>
      <c r="B172" s="75">
        <v>75</v>
      </c>
      <c r="C172" s="76">
        <v>1.5</v>
      </c>
      <c r="D172" s="76">
        <v>2.4</v>
      </c>
      <c r="E172" s="1">
        <v>15</v>
      </c>
      <c r="F172" s="76">
        <v>20</v>
      </c>
      <c r="G172" s="76">
        <v>90</v>
      </c>
      <c r="H172" s="1">
        <v>40</v>
      </c>
      <c r="I172" s="76">
        <v>4700</v>
      </c>
      <c r="J172" s="1">
        <v>350</v>
      </c>
      <c r="K172" s="1">
        <v>18</v>
      </c>
      <c r="L172" s="1">
        <v>1000</v>
      </c>
      <c r="M172" s="1">
        <v>21</v>
      </c>
      <c r="N172" s="1">
        <v>250</v>
      </c>
    </row>
    <row r="173" spans="1:14" x14ac:dyDescent="0.55000000000000004">
      <c r="A173" s="74">
        <v>69</v>
      </c>
      <c r="B173" s="75">
        <v>75</v>
      </c>
      <c r="C173" s="76">
        <v>1.5</v>
      </c>
      <c r="D173" s="76">
        <v>2.4</v>
      </c>
      <c r="E173" s="1">
        <v>15</v>
      </c>
      <c r="F173" s="76">
        <v>20</v>
      </c>
      <c r="G173" s="76">
        <v>90</v>
      </c>
      <c r="H173" s="1">
        <v>40</v>
      </c>
      <c r="I173" s="76">
        <v>4700</v>
      </c>
      <c r="J173" s="1">
        <v>350</v>
      </c>
      <c r="K173" s="1">
        <v>18</v>
      </c>
      <c r="L173" s="1">
        <v>1000</v>
      </c>
      <c r="M173" s="1">
        <v>21</v>
      </c>
      <c r="N173" s="1">
        <v>250</v>
      </c>
    </row>
    <row r="174" spans="1:14" x14ac:dyDescent="0.55000000000000004">
      <c r="A174" s="74">
        <v>70</v>
      </c>
      <c r="B174" s="75">
        <v>75</v>
      </c>
      <c r="C174" s="76">
        <v>1.5</v>
      </c>
      <c r="D174" s="76">
        <v>2.4</v>
      </c>
      <c r="E174" s="1">
        <v>15</v>
      </c>
      <c r="F174" s="76">
        <v>20</v>
      </c>
      <c r="G174" s="76">
        <v>90</v>
      </c>
      <c r="H174" s="1">
        <v>40</v>
      </c>
      <c r="I174" s="76">
        <v>4700</v>
      </c>
      <c r="J174" s="1">
        <v>350</v>
      </c>
      <c r="K174" s="1">
        <v>18</v>
      </c>
      <c r="L174" s="1">
        <v>1000</v>
      </c>
      <c r="M174" s="1">
        <v>21</v>
      </c>
      <c r="N174" s="1">
        <v>250</v>
      </c>
    </row>
    <row r="175" spans="1:14" x14ac:dyDescent="0.55000000000000004">
      <c r="A175" s="74">
        <v>71</v>
      </c>
      <c r="B175" s="75">
        <v>75</v>
      </c>
      <c r="C175" s="76">
        <v>1.5</v>
      </c>
      <c r="D175" s="76">
        <v>2.4</v>
      </c>
      <c r="E175" s="1">
        <v>15</v>
      </c>
      <c r="F175" s="76">
        <v>20</v>
      </c>
      <c r="G175" s="76">
        <v>90</v>
      </c>
      <c r="H175" s="1">
        <v>40</v>
      </c>
      <c r="I175" s="76">
        <v>4700</v>
      </c>
      <c r="J175" s="1">
        <v>350</v>
      </c>
      <c r="K175" s="1">
        <v>18</v>
      </c>
      <c r="L175" s="1">
        <v>1000</v>
      </c>
      <c r="M175" s="1">
        <v>21</v>
      </c>
      <c r="N175" s="1">
        <v>250</v>
      </c>
    </row>
    <row r="176" spans="1:14" x14ac:dyDescent="0.55000000000000004">
      <c r="A176" s="74">
        <v>72</v>
      </c>
      <c r="B176" s="75">
        <v>75</v>
      </c>
      <c r="C176" s="76">
        <v>1.5</v>
      </c>
      <c r="D176" s="76">
        <v>2.4</v>
      </c>
      <c r="E176" s="1">
        <v>15</v>
      </c>
      <c r="F176" s="76">
        <v>20</v>
      </c>
      <c r="G176" s="76">
        <v>90</v>
      </c>
      <c r="H176" s="1">
        <v>40</v>
      </c>
      <c r="I176" s="76">
        <v>4700</v>
      </c>
      <c r="J176" s="1">
        <v>350</v>
      </c>
      <c r="K176" s="1">
        <v>18</v>
      </c>
      <c r="L176" s="1">
        <v>1000</v>
      </c>
      <c r="M176" s="1">
        <v>21</v>
      </c>
      <c r="N176" s="1">
        <v>250</v>
      </c>
    </row>
    <row r="177" spans="1:14" x14ac:dyDescent="0.55000000000000004">
      <c r="A177" s="74">
        <v>73</v>
      </c>
      <c r="B177" s="75">
        <v>75</v>
      </c>
      <c r="C177" s="76">
        <v>1.5</v>
      </c>
      <c r="D177" s="76">
        <v>2.4</v>
      </c>
      <c r="E177" s="1">
        <v>15</v>
      </c>
      <c r="F177" s="76">
        <v>20</v>
      </c>
      <c r="G177" s="76">
        <v>90</v>
      </c>
      <c r="H177" s="1">
        <v>40</v>
      </c>
      <c r="I177" s="76">
        <v>4700</v>
      </c>
      <c r="J177" s="1">
        <v>350</v>
      </c>
      <c r="K177" s="1">
        <v>18</v>
      </c>
      <c r="L177" s="1">
        <v>1000</v>
      </c>
      <c r="M177" s="1">
        <v>21</v>
      </c>
      <c r="N177" s="1">
        <v>250</v>
      </c>
    </row>
    <row r="178" spans="1:14" x14ac:dyDescent="0.55000000000000004">
      <c r="A178" s="74">
        <v>74</v>
      </c>
      <c r="B178" s="75">
        <v>75</v>
      </c>
      <c r="C178" s="76">
        <v>1.5</v>
      </c>
      <c r="D178" s="76">
        <v>2.4</v>
      </c>
      <c r="E178" s="1">
        <v>15</v>
      </c>
      <c r="F178" s="76">
        <v>20</v>
      </c>
      <c r="G178" s="76">
        <v>90</v>
      </c>
      <c r="H178" s="1">
        <v>40</v>
      </c>
      <c r="I178" s="76">
        <v>4700</v>
      </c>
      <c r="J178" s="1">
        <v>350</v>
      </c>
      <c r="K178" s="1">
        <v>18</v>
      </c>
      <c r="L178" s="1">
        <v>1000</v>
      </c>
      <c r="M178" s="1">
        <v>21</v>
      </c>
      <c r="N178" s="1">
        <v>250</v>
      </c>
    </row>
    <row r="179" spans="1:14" x14ac:dyDescent="0.55000000000000004">
      <c r="A179" s="74">
        <v>75</v>
      </c>
      <c r="B179" s="75">
        <v>75</v>
      </c>
      <c r="C179" s="76">
        <v>1.5</v>
      </c>
      <c r="D179" s="76">
        <v>2.4</v>
      </c>
      <c r="E179" s="1">
        <v>15</v>
      </c>
      <c r="F179" s="76">
        <v>20</v>
      </c>
      <c r="G179" s="76">
        <v>90</v>
      </c>
      <c r="H179" s="1">
        <v>40</v>
      </c>
      <c r="I179" s="76">
        <v>4700</v>
      </c>
      <c r="J179" s="1">
        <v>350</v>
      </c>
      <c r="K179" s="1">
        <v>18</v>
      </c>
      <c r="L179" s="1">
        <v>1000</v>
      </c>
      <c r="M179" s="1">
        <v>21</v>
      </c>
      <c r="N179" s="1">
        <v>250</v>
      </c>
    </row>
    <row r="180" spans="1:14" x14ac:dyDescent="0.55000000000000004">
      <c r="A180" s="74">
        <v>76</v>
      </c>
      <c r="B180" s="75">
        <v>75</v>
      </c>
      <c r="C180" s="76">
        <v>1.5</v>
      </c>
      <c r="D180" s="76">
        <v>2.4</v>
      </c>
      <c r="E180" s="1">
        <v>15</v>
      </c>
      <c r="F180" s="76">
        <v>20</v>
      </c>
      <c r="G180" s="76">
        <v>90</v>
      </c>
      <c r="H180" s="1">
        <v>40</v>
      </c>
      <c r="I180" s="76">
        <v>4700</v>
      </c>
      <c r="J180" s="1">
        <v>350</v>
      </c>
      <c r="K180" s="1">
        <v>18</v>
      </c>
      <c r="L180" s="1">
        <v>1000</v>
      </c>
      <c r="M180" s="1">
        <v>21</v>
      </c>
      <c r="N180" s="1">
        <v>250</v>
      </c>
    </row>
    <row r="181" spans="1:14" x14ac:dyDescent="0.55000000000000004">
      <c r="A181" s="74">
        <v>77</v>
      </c>
      <c r="B181" s="75">
        <v>75</v>
      </c>
      <c r="C181" s="76">
        <v>1.5</v>
      </c>
      <c r="D181" s="76">
        <v>2.4</v>
      </c>
      <c r="E181" s="1">
        <v>15</v>
      </c>
      <c r="F181" s="76">
        <v>20</v>
      </c>
      <c r="G181" s="76">
        <v>90</v>
      </c>
      <c r="H181" s="1">
        <v>40</v>
      </c>
      <c r="I181" s="76">
        <v>4700</v>
      </c>
      <c r="J181" s="1">
        <v>350</v>
      </c>
      <c r="K181" s="1">
        <v>18</v>
      </c>
      <c r="L181" s="1">
        <v>1000</v>
      </c>
      <c r="M181" s="1">
        <v>21</v>
      </c>
      <c r="N181" s="1">
        <v>250</v>
      </c>
    </row>
    <row r="182" spans="1:14" x14ac:dyDescent="0.55000000000000004">
      <c r="A182" s="74">
        <v>78</v>
      </c>
      <c r="B182" s="75">
        <v>75</v>
      </c>
      <c r="C182" s="76">
        <v>1.5</v>
      </c>
      <c r="D182" s="76">
        <v>2.4</v>
      </c>
      <c r="E182" s="1">
        <v>15</v>
      </c>
      <c r="F182" s="76">
        <v>20</v>
      </c>
      <c r="G182" s="76">
        <v>90</v>
      </c>
      <c r="H182" s="1">
        <v>40</v>
      </c>
      <c r="I182" s="76">
        <v>4700</v>
      </c>
      <c r="J182" s="1">
        <v>350</v>
      </c>
      <c r="K182" s="1">
        <v>18</v>
      </c>
      <c r="L182" s="1">
        <v>1000</v>
      </c>
      <c r="M182" s="1">
        <v>21</v>
      </c>
      <c r="N182" s="1">
        <v>250</v>
      </c>
    </row>
    <row r="183" spans="1:14" x14ac:dyDescent="0.55000000000000004">
      <c r="A183" s="74">
        <v>79</v>
      </c>
      <c r="B183" s="75">
        <v>75</v>
      </c>
      <c r="C183" s="76">
        <v>1.5</v>
      </c>
      <c r="D183" s="76">
        <v>2.4</v>
      </c>
      <c r="E183" s="1">
        <v>15</v>
      </c>
      <c r="F183" s="76">
        <v>20</v>
      </c>
      <c r="G183" s="76">
        <v>90</v>
      </c>
      <c r="H183" s="1">
        <v>40</v>
      </c>
      <c r="I183" s="76">
        <v>4700</v>
      </c>
      <c r="J183" s="1">
        <v>350</v>
      </c>
      <c r="K183" s="1">
        <v>18</v>
      </c>
      <c r="L183" s="1">
        <v>1000</v>
      </c>
      <c r="M183" s="1">
        <v>21</v>
      </c>
      <c r="N183" s="1">
        <v>250</v>
      </c>
    </row>
    <row r="184" spans="1:14" x14ac:dyDescent="0.55000000000000004">
      <c r="A184" s="74">
        <v>80</v>
      </c>
      <c r="B184" s="75">
        <v>75</v>
      </c>
      <c r="C184" s="76">
        <v>1.5</v>
      </c>
      <c r="D184" s="76">
        <v>2.4</v>
      </c>
      <c r="E184" s="1">
        <v>15</v>
      </c>
      <c r="F184" s="76">
        <v>20</v>
      </c>
      <c r="G184" s="76">
        <v>90</v>
      </c>
      <c r="H184" s="1">
        <v>40</v>
      </c>
      <c r="I184" s="76">
        <v>4700</v>
      </c>
      <c r="J184" s="1">
        <v>350</v>
      </c>
      <c r="K184" s="1">
        <v>18</v>
      </c>
      <c r="L184" s="1">
        <v>1000</v>
      </c>
      <c r="M184" s="1">
        <v>21</v>
      </c>
      <c r="N184" s="1">
        <v>250</v>
      </c>
    </row>
    <row r="185" spans="1:14" x14ac:dyDescent="0.55000000000000004">
      <c r="A185" s="74">
        <v>81</v>
      </c>
      <c r="B185" s="75">
        <v>75</v>
      </c>
      <c r="C185" s="76">
        <v>1.5</v>
      </c>
      <c r="D185" s="76">
        <v>2.4</v>
      </c>
      <c r="E185" s="1">
        <v>15</v>
      </c>
      <c r="F185" s="76">
        <v>20</v>
      </c>
      <c r="G185" s="76">
        <v>90</v>
      </c>
      <c r="H185" s="1">
        <v>40</v>
      </c>
      <c r="I185" s="76">
        <v>4700</v>
      </c>
      <c r="J185" s="1">
        <v>350</v>
      </c>
      <c r="K185" s="1">
        <v>18</v>
      </c>
      <c r="L185" s="1">
        <v>1000</v>
      </c>
      <c r="M185" s="1">
        <v>21</v>
      </c>
      <c r="N185" s="1">
        <v>250</v>
      </c>
    </row>
    <row r="186" spans="1:14" x14ac:dyDescent="0.55000000000000004">
      <c r="A186" s="74">
        <v>82</v>
      </c>
      <c r="B186" s="75">
        <v>75</v>
      </c>
      <c r="C186" s="76">
        <v>1.5</v>
      </c>
      <c r="D186" s="76">
        <v>2.4</v>
      </c>
      <c r="E186" s="1">
        <v>15</v>
      </c>
      <c r="F186" s="76">
        <v>20</v>
      </c>
      <c r="G186" s="76">
        <v>90</v>
      </c>
      <c r="H186" s="1">
        <v>40</v>
      </c>
      <c r="I186" s="76">
        <v>4700</v>
      </c>
      <c r="J186" s="1">
        <v>350</v>
      </c>
      <c r="K186" s="1">
        <v>18</v>
      </c>
      <c r="L186" s="1">
        <v>1000</v>
      </c>
      <c r="M186" s="1">
        <v>21</v>
      </c>
      <c r="N186" s="1">
        <v>250</v>
      </c>
    </row>
    <row r="187" spans="1:14" x14ac:dyDescent="0.55000000000000004">
      <c r="A187" s="74">
        <v>83</v>
      </c>
      <c r="B187" s="75">
        <v>75</v>
      </c>
      <c r="C187" s="76">
        <v>1.5</v>
      </c>
      <c r="D187" s="76">
        <v>2.4</v>
      </c>
      <c r="E187" s="1">
        <v>15</v>
      </c>
      <c r="F187" s="76">
        <v>20</v>
      </c>
      <c r="G187" s="76">
        <v>90</v>
      </c>
      <c r="H187" s="1">
        <v>40</v>
      </c>
      <c r="I187" s="76">
        <v>4700</v>
      </c>
      <c r="J187" s="1">
        <v>350</v>
      </c>
      <c r="K187" s="1">
        <v>18</v>
      </c>
      <c r="L187" s="1">
        <v>1000</v>
      </c>
      <c r="M187" s="1">
        <v>21</v>
      </c>
      <c r="N187" s="1">
        <v>250</v>
      </c>
    </row>
    <row r="188" spans="1:14" x14ac:dyDescent="0.55000000000000004">
      <c r="A188" s="74">
        <v>84</v>
      </c>
      <c r="B188" s="75">
        <v>75</v>
      </c>
      <c r="C188" s="76">
        <v>1.5</v>
      </c>
      <c r="D188" s="76">
        <v>2.4</v>
      </c>
      <c r="E188" s="1">
        <v>15</v>
      </c>
      <c r="F188" s="76">
        <v>20</v>
      </c>
      <c r="G188" s="76">
        <v>90</v>
      </c>
      <c r="H188" s="1">
        <v>40</v>
      </c>
      <c r="I188" s="76">
        <v>4700</v>
      </c>
      <c r="J188" s="1">
        <v>350</v>
      </c>
      <c r="K188" s="1">
        <v>18</v>
      </c>
      <c r="L188" s="1">
        <v>1000</v>
      </c>
      <c r="M188" s="1">
        <v>21</v>
      </c>
      <c r="N188" s="1">
        <v>250</v>
      </c>
    </row>
    <row r="189" spans="1:14" x14ac:dyDescent="0.55000000000000004">
      <c r="A189" s="74">
        <v>85</v>
      </c>
      <c r="B189" s="75">
        <v>75</v>
      </c>
      <c r="C189" s="76">
        <v>1.5</v>
      </c>
      <c r="D189" s="76">
        <v>2.4</v>
      </c>
      <c r="E189" s="1">
        <v>15</v>
      </c>
      <c r="F189" s="76">
        <v>20</v>
      </c>
      <c r="G189" s="76">
        <v>90</v>
      </c>
      <c r="H189" s="1">
        <v>40</v>
      </c>
      <c r="I189" s="76">
        <v>4700</v>
      </c>
      <c r="J189" s="1">
        <v>350</v>
      </c>
      <c r="K189" s="1">
        <v>18</v>
      </c>
      <c r="L189" s="1">
        <v>1000</v>
      </c>
      <c r="M189" s="1">
        <v>21</v>
      </c>
      <c r="N189" s="1">
        <v>250</v>
      </c>
    </row>
    <row r="190" spans="1:14" x14ac:dyDescent="0.55000000000000004">
      <c r="A190" s="74">
        <v>86</v>
      </c>
      <c r="B190" s="75">
        <v>75</v>
      </c>
      <c r="C190" s="76">
        <v>1.5</v>
      </c>
      <c r="D190" s="76">
        <v>2.4</v>
      </c>
      <c r="E190" s="1">
        <v>15</v>
      </c>
      <c r="F190" s="76">
        <v>20</v>
      </c>
      <c r="G190" s="76">
        <v>90</v>
      </c>
      <c r="H190" s="1">
        <v>40</v>
      </c>
      <c r="I190" s="76">
        <v>4700</v>
      </c>
      <c r="J190" s="1">
        <v>350</v>
      </c>
      <c r="K190" s="1">
        <v>18</v>
      </c>
      <c r="L190" s="1">
        <v>1000</v>
      </c>
      <c r="M190" s="1">
        <v>21</v>
      </c>
      <c r="N190" s="1">
        <v>250</v>
      </c>
    </row>
    <row r="191" spans="1:14" x14ac:dyDescent="0.55000000000000004">
      <c r="A191" s="74">
        <v>87</v>
      </c>
      <c r="B191" s="75">
        <v>75</v>
      </c>
      <c r="C191" s="76">
        <v>1.5</v>
      </c>
      <c r="D191" s="76">
        <v>2.4</v>
      </c>
      <c r="E191" s="1">
        <v>15</v>
      </c>
      <c r="F191" s="76">
        <v>20</v>
      </c>
      <c r="G191" s="76">
        <v>90</v>
      </c>
      <c r="H191" s="1">
        <v>40</v>
      </c>
      <c r="I191" s="76">
        <v>4700</v>
      </c>
      <c r="J191" s="1">
        <v>350</v>
      </c>
      <c r="K191" s="1">
        <v>18</v>
      </c>
      <c r="L191" s="1">
        <v>1000</v>
      </c>
      <c r="M191" s="1">
        <v>21</v>
      </c>
      <c r="N191" s="1">
        <v>250</v>
      </c>
    </row>
    <row r="192" spans="1:14" x14ac:dyDescent="0.55000000000000004">
      <c r="A192" s="74">
        <v>88</v>
      </c>
      <c r="B192" s="75">
        <v>75</v>
      </c>
      <c r="C192" s="76">
        <v>1.5</v>
      </c>
      <c r="D192" s="76">
        <v>2.4</v>
      </c>
      <c r="E192" s="1">
        <v>15</v>
      </c>
      <c r="F192" s="76">
        <v>20</v>
      </c>
      <c r="G192" s="76">
        <v>90</v>
      </c>
      <c r="H192" s="1">
        <v>40</v>
      </c>
      <c r="I192" s="76">
        <v>4700</v>
      </c>
      <c r="J192" s="1">
        <v>350</v>
      </c>
      <c r="K192" s="1">
        <v>18</v>
      </c>
      <c r="L192" s="1">
        <v>1000</v>
      </c>
      <c r="M192" s="1">
        <v>21</v>
      </c>
      <c r="N192" s="1">
        <v>250</v>
      </c>
    </row>
    <row r="193" spans="1:14" x14ac:dyDescent="0.55000000000000004">
      <c r="A193" s="74">
        <v>89</v>
      </c>
      <c r="B193" s="75">
        <v>75</v>
      </c>
      <c r="C193" s="76">
        <v>1.5</v>
      </c>
      <c r="D193" s="76">
        <v>2.4</v>
      </c>
      <c r="E193" s="1">
        <v>15</v>
      </c>
      <c r="F193" s="76">
        <v>20</v>
      </c>
      <c r="G193" s="76">
        <v>90</v>
      </c>
      <c r="H193" s="1">
        <v>40</v>
      </c>
      <c r="I193" s="76">
        <v>4700</v>
      </c>
      <c r="J193" s="1">
        <v>350</v>
      </c>
      <c r="K193" s="1">
        <v>18</v>
      </c>
      <c r="L193" s="1">
        <v>1000</v>
      </c>
      <c r="M193" s="1">
        <v>21</v>
      </c>
      <c r="N193" s="1">
        <v>250</v>
      </c>
    </row>
    <row r="194" spans="1:14" x14ac:dyDescent="0.55000000000000004">
      <c r="A194" s="74">
        <v>90</v>
      </c>
      <c r="B194" s="75">
        <v>75</v>
      </c>
      <c r="C194" s="76">
        <v>1.5</v>
      </c>
      <c r="D194" s="76">
        <v>2.4</v>
      </c>
      <c r="E194" s="1">
        <v>15</v>
      </c>
      <c r="F194" s="76">
        <v>20</v>
      </c>
      <c r="G194" s="76">
        <v>90</v>
      </c>
      <c r="H194" s="1">
        <v>40</v>
      </c>
      <c r="I194" s="76">
        <v>4700</v>
      </c>
      <c r="J194" s="1">
        <v>350</v>
      </c>
      <c r="K194" s="1">
        <v>18</v>
      </c>
      <c r="L194" s="1">
        <v>1000</v>
      </c>
      <c r="M194" s="1">
        <v>21</v>
      </c>
      <c r="N194" s="1">
        <v>250</v>
      </c>
    </row>
    <row r="195" spans="1:14" x14ac:dyDescent="0.55000000000000004">
      <c r="A195" s="74">
        <v>91</v>
      </c>
      <c r="B195" s="75">
        <v>75</v>
      </c>
      <c r="C195" s="76">
        <v>1.5</v>
      </c>
      <c r="D195" s="76">
        <v>2.4</v>
      </c>
      <c r="E195" s="1">
        <v>15</v>
      </c>
      <c r="F195" s="76">
        <v>20</v>
      </c>
      <c r="G195" s="76">
        <v>90</v>
      </c>
      <c r="H195" s="1">
        <v>40</v>
      </c>
      <c r="I195" s="76">
        <v>4700</v>
      </c>
      <c r="J195" s="1">
        <v>350</v>
      </c>
      <c r="K195" s="1">
        <v>18</v>
      </c>
      <c r="L195" s="1">
        <v>1000</v>
      </c>
      <c r="M195" s="1">
        <v>21</v>
      </c>
      <c r="N195" s="1">
        <v>250</v>
      </c>
    </row>
    <row r="196" spans="1:14" x14ac:dyDescent="0.55000000000000004">
      <c r="A196" s="74">
        <v>92</v>
      </c>
      <c r="B196" s="75">
        <v>75</v>
      </c>
      <c r="C196" s="76">
        <v>1.5</v>
      </c>
      <c r="D196" s="76">
        <v>2.4</v>
      </c>
      <c r="E196" s="1">
        <v>15</v>
      </c>
      <c r="F196" s="76">
        <v>20</v>
      </c>
      <c r="G196" s="76">
        <v>90</v>
      </c>
      <c r="H196" s="1">
        <v>40</v>
      </c>
      <c r="I196" s="76">
        <v>4700</v>
      </c>
      <c r="J196" s="1">
        <v>350</v>
      </c>
      <c r="K196" s="1">
        <v>18</v>
      </c>
      <c r="L196" s="1">
        <v>1000</v>
      </c>
      <c r="M196" s="1">
        <v>21</v>
      </c>
      <c r="N196" s="1">
        <v>250</v>
      </c>
    </row>
    <row r="197" spans="1:14" x14ac:dyDescent="0.55000000000000004">
      <c r="A197" s="74">
        <v>93</v>
      </c>
      <c r="B197" s="75">
        <v>75</v>
      </c>
      <c r="C197" s="76">
        <v>1.5</v>
      </c>
      <c r="D197" s="76">
        <v>2.4</v>
      </c>
      <c r="E197" s="1">
        <v>15</v>
      </c>
      <c r="F197" s="76">
        <v>20</v>
      </c>
      <c r="G197" s="76">
        <v>90</v>
      </c>
      <c r="H197" s="1">
        <v>40</v>
      </c>
      <c r="I197" s="76">
        <v>4700</v>
      </c>
      <c r="J197" s="1">
        <v>350</v>
      </c>
      <c r="K197" s="1">
        <v>18</v>
      </c>
      <c r="L197" s="1">
        <v>1000</v>
      </c>
      <c r="M197" s="1">
        <v>21</v>
      </c>
      <c r="N197" s="1">
        <v>250</v>
      </c>
    </row>
    <row r="198" spans="1:14" x14ac:dyDescent="0.55000000000000004">
      <c r="A198" s="74">
        <v>94</v>
      </c>
      <c r="B198" s="75">
        <v>75</v>
      </c>
      <c r="C198" s="76">
        <v>1.5</v>
      </c>
      <c r="D198" s="76">
        <v>2.4</v>
      </c>
      <c r="E198" s="1">
        <v>15</v>
      </c>
      <c r="F198" s="76">
        <v>20</v>
      </c>
      <c r="G198" s="76">
        <v>90</v>
      </c>
      <c r="H198" s="1">
        <v>40</v>
      </c>
      <c r="I198" s="76">
        <v>4700</v>
      </c>
      <c r="J198" s="1">
        <v>350</v>
      </c>
      <c r="K198" s="1">
        <v>18</v>
      </c>
      <c r="L198" s="1">
        <v>1000</v>
      </c>
      <c r="M198" s="1">
        <v>21</v>
      </c>
      <c r="N198" s="1">
        <v>250</v>
      </c>
    </row>
    <row r="199" spans="1:14" x14ac:dyDescent="0.55000000000000004">
      <c r="A199" s="74">
        <v>95</v>
      </c>
      <c r="B199" s="75">
        <v>75</v>
      </c>
      <c r="C199" s="76">
        <v>1.5</v>
      </c>
      <c r="D199" s="76">
        <v>2.4</v>
      </c>
      <c r="E199" s="1">
        <v>15</v>
      </c>
      <c r="F199" s="76">
        <v>20</v>
      </c>
      <c r="G199" s="76">
        <v>90</v>
      </c>
      <c r="H199" s="1">
        <v>40</v>
      </c>
      <c r="I199" s="76">
        <v>4700</v>
      </c>
      <c r="J199" s="1">
        <v>350</v>
      </c>
      <c r="K199" s="1">
        <v>18</v>
      </c>
      <c r="L199" s="1">
        <v>1000</v>
      </c>
      <c r="M199" s="1">
        <v>21</v>
      </c>
      <c r="N199" s="1">
        <v>250</v>
      </c>
    </row>
    <row r="200" spans="1:14" x14ac:dyDescent="0.55000000000000004">
      <c r="A200" s="74">
        <v>96</v>
      </c>
      <c r="B200" s="75">
        <v>75</v>
      </c>
      <c r="C200" s="76">
        <v>1.5</v>
      </c>
      <c r="D200" s="76">
        <v>2.4</v>
      </c>
      <c r="E200" s="1">
        <v>15</v>
      </c>
      <c r="F200" s="76">
        <v>20</v>
      </c>
      <c r="G200" s="76">
        <v>90</v>
      </c>
      <c r="H200" s="1">
        <v>40</v>
      </c>
      <c r="I200" s="76">
        <v>4700</v>
      </c>
      <c r="J200" s="1">
        <v>350</v>
      </c>
      <c r="K200" s="1">
        <v>18</v>
      </c>
      <c r="L200" s="1">
        <v>1000</v>
      </c>
      <c r="M200" s="1">
        <v>21</v>
      </c>
      <c r="N200" s="1">
        <v>250</v>
      </c>
    </row>
    <row r="201" spans="1:14" x14ac:dyDescent="0.55000000000000004">
      <c r="A201" s="74">
        <v>97</v>
      </c>
      <c r="B201" s="75">
        <v>75</v>
      </c>
      <c r="C201" s="76">
        <v>1.5</v>
      </c>
      <c r="D201" s="76">
        <v>2.4</v>
      </c>
      <c r="E201" s="1">
        <v>15</v>
      </c>
      <c r="F201" s="76">
        <v>20</v>
      </c>
      <c r="G201" s="76">
        <v>90</v>
      </c>
      <c r="H201" s="1">
        <v>40</v>
      </c>
      <c r="I201" s="76">
        <v>4700</v>
      </c>
      <c r="J201" s="1">
        <v>350</v>
      </c>
      <c r="K201" s="1">
        <v>18</v>
      </c>
      <c r="L201" s="1">
        <v>1000</v>
      </c>
      <c r="M201" s="1">
        <v>21</v>
      </c>
      <c r="N201" s="1">
        <v>250</v>
      </c>
    </row>
    <row r="202" spans="1:14" x14ac:dyDescent="0.55000000000000004">
      <c r="A202" s="74">
        <v>98</v>
      </c>
      <c r="B202" s="75">
        <v>75</v>
      </c>
      <c r="C202" s="76">
        <v>1.5</v>
      </c>
      <c r="D202" s="76">
        <v>2.4</v>
      </c>
      <c r="E202" s="1">
        <v>15</v>
      </c>
      <c r="F202" s="76">
        <v>20</v>
      </c>
      <c r="G202" s="76">
        <v>90</v>
      </c>
      <c r="H202" s="1">
        <v>40</v>
      </c>
      <c r="I202" s="76">
        <v>4700</v>
      </c>
      <c r="J202" s="1">
        <v>350</v>
      </c>
      <c r="K202" s="1">
        <v>18</v>
      </c>
      <c r="L202" s="1">
        <v>1000</v>
      </c>
      <c r="M202" s="1">
        <v>21</v>
      </c>
      <c r="N202" s="1">
        <v>250</v>
      </c>
    </row>
    <row r="203" spans="1:14" x14ac:dyDescent="0.55000000000000004">
      <c r="A203" s="74">
        <v>99</v>
      </c>
      <c r="B203" s="75">
        <v>75</v>
      </c>
      <c r="C203" s="76">
        <v>1.5</v>
      </c>
      <c r="D203" s="76">
        <v>2.4</v>
      </c>
      <c r="E203" s="1">
        <v>15</v>
      </c>
      <c r="F203" s="76">
        <v>20</v>
      </c>
      <c r="G203" s="76">
        <v>90</v>
      </c>
      <c r="H203" s="1">
        <v>40</v>
      </c>
      <c r="I203" s="76">
        <v>4700</v>
      </c>
      <c r="J203" s="1">
        <v>350</v>
      </c>
      <c r="K203" s="1">
        <v>18</v>
      </c>
      <c r="L203" s="1">
        <v>1000</v>
      </c>
      <c r="M203" s="1">
        <v>21</v>
      </c>
      <c r="N203" s="1">
        <v>250</v>
      </c>
    </row>
    <row r="204" spans="1:14" x14ac:dyDescent="0.55000000000000004">
      <c r="A204" s="74">
        <v>100</v>
      </c>
      <c r="B204" s="75">
        <v>75</v>
      </c>
      <c r="C204" s="76">
        <v>1.5</v>
      </c>
      <c r="D204" s="76">
        <v>2.4</v>
      </c>
      <c r="E204" s="1">
        <v>15</v>
      </c>
      <c r="F204" s="76">
        <v>20</v>
      </c>
      <c r="G204" s="76">
        <v>90</v>
      </c>
      <c r="H204" s="1">
        <v>40</v>
      </c>
      <c r="I204" s="76">
        <v>4700</v>
      </c>
      <c r="J204" s="1">
        <v>350</v>
      </c>
      <c r="K204" s="1">
        <v>18</v>
      </c>
      <c r="L204" s="1">
        <v>1000</v>
      </c>
      <c r="M204" s="1">
        <v>21</v>
      </c>
      <c r="N204" s="1">
        <v>250</v>
      </c>
    </row>
    <row r="205" spans="1:14" x14ac:dyDescent="0.55000000000000004">
      <c r="A205" s="78" t="s">
        <v>325</v>
      </c>
    </row>
    <row r="206" spans="1:14" x14ac:dyDescent="0.55000000000000004">
      <c r="A206" s="74">
        <v>1</v>
      </c>
      <c r="B206" s="75">
        <v>80</v>
      </c>
      <c r="C206" s="76">
        <v>1.9</v>
      </c>
      <c r="D206" s="76">
        <v>2.6</v>
      </c>
      <c r="E206" s="1">
        <v>15</v>
      </c>
      <c r="F206" s="76">
        <v>15</v>
      </c>
      <c r="G206" s="76">
        <v>75</v>
      </c>
      <c r="H206" s="1">
        <v>34</v>
      </c>
      <c r="I206" s="76">
        <v>4700</v>
      </c>
      <c r="J206" s="1">
        <v>350</v>
      </c>
      <c r="K206" s="1">
        <v>27</v>
      </c>
      <c r="L206" s="1">
        <v>1300</v>
      </c>
      <c r="M206" s="1">
        <v>28</v>
      </c>
      <c r="N206" s="1">
        <v>250</v>
      </c>
    </row>
    <row r="207" spans="1:14" x14ac:dyDescent="0.55000000000000004">
      <c r="A207" s="74">
        <v>2</v>
      </c>
      <c r="B207" s="75">
        <v>80</v>
      </c>
      <c r="C207" s="76">
        <v>1.9</v>
      </c>
      <c r="D207" s="76">
        <v>2.6</v>
      </c>
      <c r="E207" s="1">
        <v>15</v>
      </c>
      <c r="F207" s="76">
        <v>15</v>
      </c>
      <c r="G207" s="76">
        <v>75</v>
      </c>
      <c r="H207" s="1">
        <v>34</v>
      </c>
      <c r="I207" s="76">
        <v>4700</v>
      </c>
      <c r="J207" s="1">
        <v>350</v>
      </c>
      <c r="K207" s="1">
        <v>27</v>
      </c>
      <c r="L207" s="1">
        <v>1300</v>
      </c>
      <c r="M207" s="1">
        <v>28</v>
      </c>
      <c r="N207" s="1">
        <v>250</v>
      </c>
    </row>
    <row r="208" spans="1:14" x14ac:dyDescent="0.55000000000000004">
      <c r="A208" s="74">
        <v>3</v>
      </c>
      <c r="B208" s="75">
        <v>80</v>
      </c>
      <c r="C208" s="76">
        <v>1.9</v>
      </c>
      <c r="D208" s="76">
        <v>2.6</v>
      </c>
      <c r="E208" s="1">
        <v>15</v>
      </c>
      <c r="F208" s="76">
        <v>15</v>
      </c>
      <c r="G208" s="76">
        <v>75</v>
      </c>
      <c r="H208" s="1">
        <v>34</v>
      </c>
      <c r="I208" s="76">
        <v>4700</v>
      </c>
      <c r="J208" s="1">
        <v>350</v>
      </c>
      <c r="K208" s="1">
        <v>27</v>
      </c>
      <c r="L208" s="1">
        <v>1300</v>
      </c>
      <c r="M208" s="1">
        <v>28</v>
      </c>
      <c r="N208" s="1">
        <v>250</v>
      </c>
    </row>
    <row r="209" spans="1:14" x14ac:dyDescent="0.55000000000000004">
      <c r="A209" s="74">
        <v>4</v>
      </c>
      <c r="B209" s="75">
        <v>80</v>
      </c>
      <c r="C209" s="76">
        <v>1.9</v>
      </c>
      <c r="D209" s="76">
        <v>2.6</v>
      </c>
      <c r="E209" s="1">
        <v>15</v>
      </c>
      <c r="F209" s="76">
        <v>15</v>
      </c>
      <c r="G209" s="76">
        <v>75</v>
      </c>
      <c r="H209" s="1">
        <v>34</v>
      </c>
      <c r="I209" s="76">
        <v>4700</v>
      </c>
      <c r="J209" s="1">
        <v>350</v>
      </c>
      <c r="K209" s="1">
        <v>27</v>
      </c>
      <c r="L209" s="1">
        <v>1300</v>
      </c>
      <c r="M209" s="1">
        <v>28</v>
      </c>
      <c r="N209" s="1">
        <v>250</v>
      </c>
    </row>
    <row r="210" spans="1:14" x14ac:dyDescent="0.55000000000000004">
      <c r="A210" s="74">
        <v>5</v>
      </c>
      <c r="B210" s="75">
        <v>80</v>
      </c>
      <c r="C210" s="76">
        <v>1.9</v>
      </c>
      <c r="D210" s="76">
        <v>2.6</v>
      </c>
      <c r="E210" s="1">
        <v>15</v>
      </c>
      <c r="F210" s="76">
        <v>15</v>
      </c>
      <c r="G210" s="76">
        <v>75</v>
      </c>
      <c r="H210" s="1">
        <v>34</v>
      </c>
      <c r="I210" s="76">
        <v>4700</v>
      </c>
      <c r="J210" s="1">
        <v>350</v>
      </c>
      <c r="K210" s="1">
        <v>27</v>
      </c>
      <c r="L210" s="1">
        <v>1300</v>
      </c>
      <c r="M210" s="1">
        <v>28</v>
      </c>
      <c r="N210" s="1">
        <v>250</v>
      </c>
    </row>
    <row r="211" spans="1:14" x14ac:dyDescent="0.55000000000000004">
      <c r="A211" s="74">
        <v>6</v>
      </c>
      <c r="B211" s="75">
        <v>80</v>
      </c>
      <c r="C211" s="76">
        <v>1.9</v>
      </c>
      <c r="D211" s="76">
        <v>2.6</v>
      </c>
      <c r="E211" s="1">
        <v>15</v>
      </c>
      <c r="F211" s="76">
        <v>15</v>
      </c>
      <c r="G211" s="76">
        <v>75</v>
      </c>
      <c r="H211" s="1">
        <v>34</v>
      </c>
      <c r="I211" s="76">
        <v>4700</v>
      </c>
      <c r="J211" s="1">
        <v>350</v>
      </c>
      <c r="K211" s="1">
        <v>27</v>
      </c>
      <c r="L211" s="1">
        <v>1300</v>
      </c>
      <c r="M211" s="1">
        <v>28</v>
      </c>
      <c r="N211" s="1">
        <v>250</v>
      </c>
    </row>
    <row r="212" spans="1:14" x14ac:dyDescent="0.55000000000000004">
      <c r="A212" s="74">
        <v>7</v>
      </c>
      <c r="B212" s="75">
        <v>80</v>
      </c>
      <c r="C212" s="76">
        <v>1.9</v>
      </c>
      <c r="D212" s="76">
        <v>2.6</v>
      </c>
      <c r="E212" s="1">
        <v>15</v>
      </c>
      <c r="F212" s="76">
        <v>15</v>
      </c>
      <c r="G212" s="76">
        <v>75</v>
      </c>
      <c r="H212" s="1">
        <v>34</v>
      </c>
      <c r="I212" s="76">
        <v>4700</v>
      </c>
      <c r="J212" s="1">
        <v>350</v>
      </c>
      <c r="K212" s="1">
        <v>27</v>
      </c>
      <c r="L212" s="1">
        <v>1300</v>
      </c>
      <c r="M212" s="1">
        <v>28</v>
      </c>
      <c r="N212" s="1">
        <v>250</v>
      </c>
    </row>
    <row r="213" spans="1:14" x14ac:dyDescent="0.55000000000000004">
      <c r="A213" s="74">
        <v>8</v>
      </c>
      <c r="B213" s="75">
        <v>80</v>
      </c>
      <c r="C213" s="76">
        <v>1.9</v>
      </c>
      <c r="D213" s="76">
        <v>2.6</v>
      </c>
      <c r="E213" s="1">
        <v>15</v>
      </c>
      <c r="F213" s="76">
        <v>15</v>
      </c>
      <c r="G213" s="76">
        <v>75</v>
      </c>
      <c r="H213" s="1">
        <v>34</v>
      </c>
      <c r="I213" s="76">
        <v>4700</v>
      </c>
      <c r="J213" s="1">
        <v>350</v>
      </c>
      <c r="K213" s="1">
        <v>27</v>
      </c>
      <c r="L213" s="1">
        <v>1300</v>
      </c>
      <c r="M213" s="1">
        <v>28</v>
      </c>
      <c r="N213" s="1">
        <v>250</v>
      </c>
    </row>
    <row r="214" spans="1:14" x14ac:dyDescent="0.55000000000000004">
      <c r="A214" s="74">
        <v>9</v>
      </c>
      <c r="B214" s="75">
        <v>80</v>
      </c>
      <c r="C214" s="76">
        <v>1.9</v>
      </c>
      <c r="D214" s="76">
        <v>2.6</v>
      </c>
      <c r="E214" s="1">
        <v>15</v>
      </c>
      <c r="F214" s="76">
        <v>15</v>
      </c>
      <c r="G214" s="76">
        <v>75</v>
      </c>
      <c r="H214" s="1">
        <v>34</v>
      </c>
      <c r="I214" s="76">
        <v>4700</v>
      </c>
      <c r="J214" s="1">
        <v>350</v>
      </c>
      <c r="K214" s="1">
        <v>27</v>
      </c>
      <c r="L214" s="1">
        <v>1300</v>
      </c>
      <c r="M214" s="1">
        <v>28</v>
      </c>
      <c r="N214" s="1">
        <v>250</v>
      </c>
    </row>
    <row r="215" spans="1:14" x14ac:dyDescent="0.55000000000000004">
      <c r="A215" s="74">
        <v>10</v>
      </c>
      <c r="B215" s="75">
        <v>80</v>
      </c>
      <c r="C215" s="76">
        <v>1.9</v>
      </c>
      <c r="D215" s="76">
        <v>2.6</v>
      </c>
      <c r="E215" s="1">
        <v>15</v>
      </c>
      <c r="F215" s="76">
        <v>15</v>
      </c>
      <c r="G215" s="76">
        <v>75</v>
      </c>
      <c r="H215" s="1">
        <v>34</v>
      </c>
      <c r="I215" s="76">
        <v>4700</v>
      </c>
      <c r="J215" s="1">
        <v>350</v>
      </c>
      <c r="K215" s="1">
        <v>27</v>
      </c>
      <c r="L215" s="1">
        <v>1300</v>
      </c>
      <c r="M215" s="1">
        <v>28</v>
      </c>
      <c r="N215" s="1">
        <v>250</v>
      </c>
    </row>
    <row r="216" spans="1:14" x14ac:dyDescent="0.55000000000000004">
      <c r="A216" s="74">
        <v>11</v>
      </c>
      <c r="B216" s="75">
        <v>80</v>
      </c>
      <c r="C216" s="76">
        <v>1.9</v>
      </c>
      <c r="D216" s="76">
        <v>2.6</v>
      </c>
      <c r="E216" s="1">
        <v>15</v>
      </c>
      <c r="F216" s="76">
        <v>15</v>
      </c>
      <c r="G216" s="76">
        <v>75</v>
      </c>
      <c r="H216" s="1">
        <v>34</v>
      </c>
      <c r="I216" s="76">
        <v>4700</v>
      </c>
      <c r="J216" s="1">
        <v>350</v>
      </c>
      <c r="K216" s="1">
        <v>27</v>
      </c>
      <c r="L216" s="1">
        <v>1300</v>
      </c>
      <c r="M216" s="1">
        <v>28</v>
      </c>
      <c r="N216" s="1">
        <v>250</v>
      </c>
    </row>
    <row r="217" spans="1:14" x14ac:dyDescent="0.55000000000000004">
      <c r="A217" s="74">
        <v>12</v>
      </c>
      <c r="B217" s="75">
        <v>80</v>
      </c>
      <c r="C217" s="76">
        <v>1.9</v>
      </c>
      <c r="D217" s="76">
        <v>2.6</v>
      </c>
      <c r="E217" s="1">
        <v>15</v>
      </c>
      <c r="F217" s="76">
        <v>15</v>
      </c>
      <c r="G217" s="76">
        <v>75</v>
      </c>
      <c r="H217" s="1">
        <v>34</v>
      </c>
      <c r="I217" s="76">
        <v>4700</v>
      </c>
      <c r="J217" s="1">
        <v>350</v>
      </c>
      <c r="K217" s="1">
        <v>27</v>
      </c>
      <c r="L217" s="1">
        <v>1300</v>
      </c>
      <c r="M217" s="1">
        <v>28</v>
      </c>
      <c r="N217" s="1">
        <v>250</v>
      </c>
    </row>
    <row r="218" spans="1:14" x14ac:dyDescent="0.55000000000000004">
      <c r="A218" s="74">
        <v>13</v>
      </c>
      <c r="B218" s="75">
        <v>80</v>
      </c>
      <c r="C218" s="76">
        <v>1.9</v>
      </c>
      <c r="D218" s="76">
        <v>2.6</v>
      </c>
      <c r="E218" s="1">
        <v>15</v>
      </c>
      <c r="F218" s="76">
        <v>15</v>
      </c>
      <c r="G218" s="76">
        <v>75</v>
      </c>
      <c r="H218" s="1">
        <v>34</v>
      </c>
      <c r="I218" s="76">
        <v>4700</v>
      </c>
      <c r="J218" s="1">
        <v>350</v>
      </c>
      <c r="K218" s="1">
        <v>27</v>
      </c>
      <c r="L218" s="1">
        <v>1300</v>
      </c>
      <c r="M218" s="1">
        <v>28</v>
      </c>
      <c r="N218" s="1">
        <v>250</v>
      </c>
    </row>
    <row r="219" spans="1:14" x14ac:dyDescent="0.55000000000000004">
      <c r="A219" s="74">
        <v>14</v>
      </c>
      <c r="B219" s="75">
        <v>80</v>
      </c>
      <c r="C219" s="76">
        <v>1.9</v>
      </c>
      <c r="D219" s="76">
        <v>2.6</v>
      </c>
      <c r="E219" s="1">
        <v>15</v>
      </c>
      <c r="F219" s="76">
        <v>15</v>
      </c>
      <c r="G219" s="76">
        <v>75</v>
      </c>
      <c r="H219" s="1">
        <v>34</v>
      </c>
      <c r="I219" s="76">
        <v>4700</v>
      </c>
      <c r="J219" s="1">
        <v>350</v>
      </c>
      <c r="K219" s="1">
        <v>27</v>
      </c>
      <c r="L219" s="1">
        <v>1300</v>
      </c>
      <c r="M219" s="1">
        <v>28</v>
      </c>
      <c r="N219" s="1">
        <v>250</v>
      </c>
    </row>
    <row r="220" spans="1:14" x14ac:dyDescent="0.55000000000000004">
      <c r="A220" s="74">
        <v>15</v>
      </c>
      <c r="B220" s="75">
        <v>80</v>
      </c>
      <c r="C220" s="76">
        <v>1.9</v>
      </c>
      <c r="D220" s="76">
        <v>2.6</v>
      </c>
      <c r="E220" s="1">
        <v>15</v>
      </c>
      <c r="F220" s="76">
        <v>15</v>
      </c>
      <c r="G220" s="76">
        <v>75</v>
      </c>
      <c r="H220" s="1">
        <v>34</v>
      </c>
      <c r="I220" s="76">
        <v>4700</v>
      </c>
      <c r="J220" s="1">
        <v>350</v>
      </c>
      <c r="K220" s="1">
        <v>27</v>
      </c>
      <c r="L220" s="1">
        <v>1300</v>
      </c>
      <c r="M220" s="1">
        <v>28</v>
      </c>
      <c r="N220" s="1">
        <v>250</v>
      </c>
    </row>
    <row r="221" spans="1:14" x14ac:dyDescent="0.55000000000000004">
      <c r="A221" s="74">
        <v>16</v>
      </c>
      <c r="B221" s="75">
        <v>80</v>
      </c>
      <c r="C221" s="76">
        <v>1.9</v>
      </c>
      <c r="D221" s="76">
        <v>2.6</v>
      </c>
      <c r="E221" s="1">
        <v>15</v>
      </c>
      <c r="F221" s="76">
        <v>15</v>
      </c>
      <c r="G221" s="76">
        <v>75</v>
      </c>
      <c r="H221" s="1">
        <v>34</v>
      </c>
      <c r="I221" s="76">
        <v>4700</v>
      </c>
      <c r="J221" s="1">
        <v>350</v>
      </c>
      <c r="K221" s="1">
        <v>27</v>
      </c>
      <c r="L221" s="1">
        <v>1300</v>
      </c>
      <c r="M221" s="1">
        <v>28</v>
      </c>
      <c r="N221" s="1">
        <v>250</v>
      </c>
    </row>
    <row r="222" spans="1:14" x14ac:dyDescent="0.55000000000000004">
      <c r="A222" s="74">
        <v>17</v>
      </c>
      <c r="B222" s="75">
        <v>80</v>
      </c>
      <c r="C222" s="76">
        <v>1.9</v>
      </c>
      <c r="D222" s="76">
        <v>2.6</v>
      </c>
      <c r="E222" s="1">
        <v>15</v>
      </c>
      <c r="F222" s="76">
        <v>15</v>
      </c>
      <c r="G222" s="76">
        <v>75</v>
      </c>
      <c r="H222" s="1">
        <v>34</v>
      </c>
      <c r="I222" s="76">
        <v>4700</v>
      </c>
      <c r="J222" s="1">
        <v>350</v>
      </c>
      <c r="K222" s="1">
        <v>27</v>
      </c>
      <c r="L222" s="1">
        <v>1300</v>
      </c>
      <c r="M222" s="1">
        <v>28</v>
      </c>
      <c r="N222" s="1">
        <v>250</v>
      </c>
    </row>
    <row r="223" spans="1:14" x14ac:dyDescent="0.55000000000000004">
      <c r="A223" s="74">
        <v>18</v>
      </c>
      <c r="B223" s="75">
        <v>80</v>
      </c>
      <c r="C223" s="76">
        <v>1.9</v>
      </c>
      <c r="D223" s="76">
        <v>2.6</v>
      </c>
      <c r="E223" s="1">
        <v>15</v>
      </c>
      <c r="F223" s="76">
        <v>15</v>
      </c>
      <c r="G223" s="76">
        <v>75</v>
      </c>
      <c r="H223" s="1">
        <v>34</v>
      </c>
      <c r="I223" s="76">
        <v>4700</v>
      </c>
      <c r="J223" s="1">
        <v>350</v>
      </c>
      <c r="K223" s="1">
        <v>27</v>
      </c>
      <c r="L223" s="1">
        <v>1300</v>
      </c>
      <c r="M223" s="1">
        <v>28</v>
      </c>
      <c r="N223" s="1">
        <v>250</v>
      </c>
    </row>
    <row r="224" spans="1:14" x14ac:dyDescent="0.55000000000000004">
      <c r="A224" s="74">
        <v>19</v>
      </c>
      <c r="B224" s="75">
        <v>85</v>
      </c>
      <c r="C224" s="76">
        <v>1.9</v>
      </c>
      <c r="D224" s="76">
        <v>2.6</v>
      </c>
      <c r="E224" s="1">
        <v>15</v>
      </c>
      <c r="F224" s="76">
        <v>15</v>
      </c>
      <c r="G224" s="76">
        <v>90</v>
      </c>
      <c r="H224" s="1">
        <v>40</v>
      </c>
      <c r="I224" s="76">
        <v>4700</v>
      </c>
      <c r="J224" s="1">
        <v>350</v>
      </c>
      <c r="K224" s="1">
        <v>27</v>
      </c>
      <c r="L224" s="1">
        <v>1000</v>
      </c>
      <c r="M224" s="1">
        <v>28</v>
      </c>
      <c r="N224" s="1">
        <v>250</v>
      </c>
    </row>
    <row r="225" spans="1:14" x14ac:dyDescent="0.55000000000000004">
      <c r="A225" s="74">
        <v>20</v>
      </c>
      <c r="B225" s="75">
        <v>85</v>
      </c>
      <c r="C225" s="76">
        <v>1.9</v>
      </c>
      <c r="D225" s="76">
        <v>2.6</v>
      </c>
      <c r="E225" s="1">
        <v>15</v>
      </c>
      <c r="F225" s="76">
        <v>15</v>
      </c>
      <c r="G225" s="76">
        <v>90</v>
      </c>
      <c r="H225" s="1">
        <v>40</v>
      </c>
      <c r="I225" s="76">
        <v>4700</v>
      </c>
      <c r="J225" s="1">
        <v>350</v>
      </c>
      <c r="K225" s="1">
        <v>27</v>
      </c>
      <c r="L225" s="1">
        <v>1000</v>
      </c>
      <c r="M225" s="1">
        <v>28</v>
      </c>
      <c r="N225" s="1">
        <v>250</v>
      </c>
    </row>
    <row r="226" spans="1:14" x14ac:dyDescent="0.55000000000000004">
      <c r="A226" s="74">
        <v>21</v>
      </c>
      <c r="B226" s="75">
        <v>85</v>
      </c>
      <c r="C226" s="76">
        <v>1.9</v>
      </c>
      <c r="D226" s="76">
        <v>2.6</v>
      </c>
      <c r="E226" s="1">
        <v>15</v>
      </c>
      <c r="F226" s="76">
        <v>15</v>
      </c>
      <c r="G226" s="76">
        <v>90</v>
      </c>
      <c r="H226" s="1">
        <v>40</v>
      </c>
      <c r="I226" s="76">
        <v>4700</v>
      </c>
      <c r="J226" s="1">
        <v>350</v>
      </c>
      <c r="K226" s="1">
        <v>27</v>
      </c>
      <c r="L226" s="1">
        <v>1000</v>
      </c>
      <c r="M226" s="1">
        <v>28</v>
      </c>
      <c r="N226" s="1">
        <v>250</v>
      </c>
    </row>
    <row r="227" spans="1:14" x14ac:dyDescent="0.55000000000000004">
      <c r="A227" s="74">
        <v>22</v>
      </c>
      <c r="B227" s="75">
        <v>85</v>
      </c>
      <c r="C227" s="76">
        <v>1.9</v>
      </c>
      <c r="D227" s="76">
        <v>2.6</v>
      </c>
      <c r="E227" s="1">
        <v>15</v>
      </c>
      <c r="F227" s="76">
        <v>15</v>
      </c>
      <c r="G227" s="76">
        <v>90</v>
      </c>
      <c r="H227" s="1">
        <v>40</v>
      </c>
      <c r="I227" s="76">
        <v>4700</v>
      </c>
      <c r="J227" s="1">
        <v>350</v>
      </c>
      <c r="K227" s="1">
        <v>27</v>
      </c>
      <c r="L227" s="1">
        <v>1000</v>
      </c>
      <c r="M227" s="1">
        <v>28</v>
      </c>
      <c r="N227" s="1">
        <v>250</v>
      </c>
    </row>
    <row r="228" spans="1:14" x14ac:dyDescent="0.55000000000000004">
      <c r="A228" s="74">
        <v>23</v>
      </c>
      <c r="B228" s="75">
        <v>85</v>
      </c>
      <c r="C228" s="76">
        <v>1.9</v>
      </c>
      <c r="D228" s="76">
        <v>2.6</v>
      </c>
      <c r="E228" s="1">
        <v>15</v>
      </c>
      <c r="F228" s="76">
        <v>15</v>
      </c>
      <c r="G228" s="76">
        <v>90</v>
      </c>
      <c r="H228" s="1">
        <v>40</v>
      </c>
      <c r="I228" s="76">
        <v>4700</v>
      </c>
      <c r="J228" s="1">
        <v>350</v>
      </c>
      <c r="K228" s="1">
        <v>27</v>
      </c>
      <c r="L228" s="1">
        <v>1000</v>
      </c>
      <c r="M228" s="1">
        <v>28</v>
      </c>
      <c r="N228" s="1">
        <v>250</v>
      </c>
    </row>
    <row r="229" spans="1:14" x14ac:dyDescent="0.55000000000000004">
      <c r="A229" s="74">
        <v>24</v>
      </c>
      <c r="B229" s="75">
        <v>85</v>
      </c>
      <c r="C229" s="76">
        <v>1.9</v>
      </c>
      <c r="D229" s="76">
        <v>2.6</v>
      </c>
      <c r="E229" s="1">
        <v>15</v>
      </c>
      <c r="F229" s="76">
        <v>15</v>
      </c>
      <c r="G229" s="76">
        <v>90</v>
      </c>
      <c r="H229" s="1">
        <v>40</v>
      </c>
      <c r="I229" s="76">
        <v>4700</v>
      </c>
      <c r="J229" s="1">
        <v>350</v>
      </c>
      <c r="K229" s="1">
        <v>27</v>
      </c>
      <c r="L229" s="1">
        <v>1000</v>
      </c>
      <c r="M229" s="1">
        <v>28</v>
      </c>
      <c r="N229" s="1">
        <v>250</v>
      </c>
    </row>
    <row r="230" spans="1:14" x14ac:dyDescent="0.55000000000000004">
      <c r="A230" s="74">
        <v>25</v>
      </c>
      <c r="B230" s="75">
        <v>85</v>
      </c>
      <c r="C230" s="76">
        <v>1.9</v>
      </c>
      <c r="D230" s="76">
        <v>2.6</v>
      </c>
      <c r="E230" s="1">
        <v>15</v>
      </c>
      <c r="F230" s="76">
        <v>15</v>
      </c>
      <c r="G230" s="76">
        <v>90</v>
      </c>
      <c r="H230" s="1">
        <v>40</v>
      </c>
      <c r="I230" s="76">
        <v>4700</v>
      </c>
      <c r="J230" s="1">
        <v>350</v>
      </c>
      <c r="K230" s="1">
        <v>27</v>
      </c>
      <c r="L230" s="1">
        <v>1000</v>
      </c>
      <c r="M230" s="1">
        <v>28</v>
      </c>
      <c r="N230" s="1">
        <v>250</v>
      </c>
    </row>
    <row r="231" spans="1:14" x14ac:dyDescent="0.55000000000000004">
      <c r="A231" s="74">
        <v>26</v>
      </c>
      <c r="B231" s="75">
        <v>85</v>
      </c>
      <c r="C231" s="76">
        <v>1.9</v>
      </c>
      <c r="D231" s="76">
        <v>2.6</v>
      </c>
      <c r="E231" s="1">
        <v>15</v>
      </c>
      <c r="F231" s="76">
        <v>15</v>
      </c>
      <c r="G231" s="76">
        <v>90</v>
      </c>
      <c r="H231" s="1">
        <v>40</v>
      </c>
      <c r="I231" s="76">
        <v>4700</v>
      </c>
      <c r="J231" s="1">
        <v>350</v>
      </c>
      <c r="K231" s="1">
        <v>27</v>
      </c>
      <c r="L231" s="1">
        <v>1000</v>
      </c>
      <c r="M231" s="1">
        <v>28</v>
      </c>
      <c r="N231" s="1">
        <v>250</v>
      </c>
    </row>
    <row r="232" spans="1:14" x14ac:dyDescent="0.55000000000000004">
      <c r="A232" s="74">
        <v>27</v>
      </c>
      <c r="B232" s="75">
        <v>85</v>
      </c>
      <c r="C232" s="76">
        <v>1.9</v>
      </c>
      <c r="D232" s="76">
        <v>2.6</v>
      </c>
      <c r="E232" s="1">
        <v>15</v>
      </c>
      <c r="F232" s="76">
        <v>15</v>
      </c>
      <c r="G232" s="76">
        <v>90</v>
      </c>
      <c r="H232" s="1">
        <v>40</v>
      </c>
      <c r="I232" s="76">
        <v>4700</v>
      </c>
      <c r="J232" s="1">
        <v>350</v>
      </c>
      <c r="K232" s="1">
        <v>27</v>
      </c>
      <c r="L232" s="1">
        <v>1000</v>
      </c>
      <c r="M232" s="1">
        <v>28</v>
      </c>
      <c r="N232" s="1">
        <v>250</v>
      </c>
    </row>
    <row r="233" spans="1:14" x14ac:dyDescent="0.55000000000000004">
      <c r="A233" s="74">
        <v>28</v>
      </c>
      <c r="B233" s="75">
        <v>85</v>
      </c>
      <c r="C233" s="76">
        <v>1.9</v>
      </c>
      <c r="D233" s="76">
        <v>2.6</v>
      </c>
      <c r="E233" s="1">
        <v>15</v>
      </c>
      <c r="F233" s="76">
        <v>15</v>
      </c>
      <c r="G233" s="76">
        <v>90</v>
      </c>
      <c r="H233" s="1">
        <v>40</v>
      </c>
      <c r="I233" s="76">
        <v>4700</v>
      </c>
      <c r="J233" s="1">
        <v>350</v>
      </c>
      <c r="K233" s="1">
        <v>27</v>
      </c>
      <c r="L233" s="1">
        <v>1000</v>
      </c>
      <c r="M233" s="1">
        <v>28</v>
      </c>
      <c r="N233" s="1">
        <v>250</v>
      </c>
    </row>
    <row r="234" spans="1:14" x14ac:dyDescent="0.55000000000000004">
      <c r="A234" s="74">
        <v>29</v>
      </c>
      <c r="B234" s="75">
        <v>85</v>
      </c>
      <c r="C234" s="76">
        <v>1.9</v>
      </c>
      <c r="D234" s="76">
        <v>2.6</v>
      </c>
      <c r="E234" s="1">
        <v>15</v>
      </c>
      <c r="F234" s="76">
        <v>15</v>
      </c>
      <c r="G234" s="76">
        <v>90</v>
      </c>
      <c r="H234" s="1">
        <v>40</v>
      </c>
      <c r="I234" s="76">
        <v>4700</v>
      </c>
      <c r="J234" s="1">
        <v>350</v>
      </c>
      <c r="K234" s="1">
        <v>27</v>
      </c>
      <c r="L234" s="1">
        <v>1000</v>
      </c>
      <c r="M234" s="1">
        <v>28</v>
      </c>
      <c r="N234" s="1">
        <v>250</v>
      </c>
    </row>
    <row r="235" spans="1:14" x14ac:dyDescent="0.55000000000000004">
      <c r="A235" s="74">
        <v>30</v>
      </c>
      <c r="B235" s="75">
        <v>85</v>
      </c>
      <c r="C235" s="76">
        <v>1.9</v>
      </c>
      <c r="D235" s="76">
        <v>2.6</v>
      </c>
      <c r="E235" s="1">
        <v>15</v>
      </c>
      <c r="F235" s="76">
        <v>15</v>
      </c>
      <c r="G235" s="76">
        <v>90</v>
      </c>
      <c r="H235" s="1">
        <v>40</v>
      </c>
      <c r="I235" s="76">
        <v>4700</v>
      </c>
      <c r="J235" s="1">
        <v>350</v>
      </c>
      <c r="K235" s="1">
        <v>27</v>
      </c>
      <c r="L235" s="1">
        <v>1000</v>
      </c>
      <c r="M235" s="1">
        <v>28</v>
      </c>
      <c r="N235" s="1">
        <v>250</v>
      </c>
    </row>
    <row r="236" spans="1:14" x14ac:dyDescent="0.55000000000000004">
      <c r="A236" s="74">
        <v>31</v>
      </c>
      <c r="B236" s="75">
        <v>85</v>
      </c>
      <c r="C236" s="76">
        <v>1.9</v>
      </c>
      <c r="D236" s="76">
        <v>2.6</v>
      </c>
      <c r="E236" s="1">
        <v>15</v>
      </c>
      <c r="F236" s="76">
        <v>15</v>
      </c>
      <c r="G236" s="76">
        <v>90</v>
      </c>
      <c r="H236" s="1">
        <v>40</v>
      </c>
      <c r="I236" s="76">
        <v>4700</v>
      </c>
      <c r="J236" s="1">
        <v>350</v>
      </c>
      <c r="K236" s="1">
        <v>27</v>
      </c>
      <c r="L236" s="1">
        <v>1000</v>
      </c>
      <c r="M236" s="1">
        <v>28</v>
      </c>
      <c r="N236" s="1">
        <v>250</v>
      </c>
    </row>
    <row r="237" spans="1:14" x14ac:dyDescent="0.55000000000000004">
      <c r="A237" s="74">
        <v>32</v>
      </c>
      <c r="B237" s="75">
        <v>85</v>
      </c>
      <c r="C237" s="76">
        <v>1.9</v>
      </c>
      <c r="D237" s="76">
        <v>2.6</v>
      </c>
      <c r="E237" s="1">
        <v>15</v>
      </c>
      <c r="F237" s="76">
        <v>15</v>
      </c>
      <c r="G237" s="76">
        <v>90</v>
      </c>
      <c r="H237" s="1">
        <v>40</v>
      </c>
      <c r="I237" s="76">
        <v>4700</v>
      </c>
      <c r="J237" s="1">
        <v>350</v>
      </c>
      <c r="K237" s="1">
        <v>27</v>
      </c>
      <c r="L237" s="1">
        <v>1000</v>
      </c>
      <c r="M237" s="1">
        <v>28</v>
      </c>
      <c r="N237" s="1">
        <v>250</v>
      </c>
    </row>
    <row r="238" spans="1:14" x14ac:dyDescent="0.55000000000000004">
      <c r="A238" s="74">
        <v>33</v>
      </c>
      <c r="B238" s="75">
        <v>85</v>
      </c>
      <c r="C238" s="76">
        <v>1.9</v>
      </c>
      <c r="D238" s="76">
        <v>2.6</v>
      </c>
      <c r="E238" s="1">
        <v>15</v>
      </c>
      <c r="F238" s="76">
        <v>15</v>
      </c>
      <c r="G238" s="76">
        <v>90</v>
      </c>
      <c r="H238" s="1">
        <v>40</v>
      </c>
      <c r="I238" s="76">
        <v>4700</v>
      </c>
      <c r="J238" s="1">
        <v>350</v>
      </c>
      <c r="K238" s="1">
        <v>27</v>
      </c>
      <c r="L238" s="1">
        <v>1000</v>
      </c>
      <c r="M238" s="1">
        <v>28</v>
      </c>
      <c r="N238" s="1">
        <v>250</v>
      </c>
    </row>
    <row r="239" spans="1:14" x14ac:dyDescent="0.55000000000000004">
      <c r="A239" s="74">
        <v>34</v>
      </c>
      <c r="B239" s="75">
        <v>85</v>
      </c>
      <c r="C239" s="76">
        <v>1.9</v>
      </c>
      <c r="D239" s="76">
        <v>2.6</v>
      </c>
      <c r="E239" s="1">
        <v>15</v>
      </c>
      <c r="F239" s="76">
        <v>15</v>
      </c>
      <c r="G239" s="76">
        <v>90</v>
      </c>
      <c r="H239" s="1">
        <v>40</v>
      </c>
      <c r="I239" s="76">
        <v>4700</v>
      </c>
      <c r="J239" s="1">
        <v>350</v>
      </c>
      <c r="K239" s="1">
        <v>27</v>
      </c>
      <c r="L239" s="1">
        <v>1000</v>
      </c>
      <c r="M239" s="1">
        <v>28</v>
      </c>
      <c r="N239" s="1">
        <v>250</v>
      </c>
    </row>
    <row r="240" spans="1:14" x14ac:dyDescent="0.55000000000000004">
      <c r="A240" s="74">
        <v>35</v>
      </c>
      <c r="B240" s="75">
        <v>85</v>
      </c>
      <c r="C240" s="76">
        <v>1.9</v>
      </c>
      <c r="D240" s="76">
        <v>2.6</v>
      </c>
      <c r="E240" s="1">
        <v>15</v>
      </c>
      <c r="F240" s="76">
        <v>15</v>
      </c>
      <c r="G240" s="76">
        <v>90</v>
      </c>
      <c r="H240" s="1">
        <v>40</v>
      </c>
      <c r="I240" s="76">
        <v>4700</v>
      </c>
      <c r="J240" s="1">
        <v>350</v>
      </c>
      <c r="K240" s="1">
        <v>27</v>
      </c>
      <c r="L240" s="1">
        <v>1000</v>
      </c>
      <c r="M240" s="1">
        <v>28</v>
      </c>
      <c r="N240" s="1">
        <v>250</v>
      </c>
    </row>
    <row r="241" spans="1:14" x14ac:dyDescent="0.55000000000000004">
      <c r="A241" s="74">
        <v>36</v>
      </c>
      <c r="B241" s="75">
        <v>85</v>
      </c>
      <c r="C241" s="76">
        <v>1.9</v>
      </c>
      <c r="D241" s="76">
        <v>2.6</v>
      </c>
      <c r="E241" s="1">
        <v>15</v>
      </c>
      <c r="F241" s="76">
        <v>15</v>
      </c>
      <c r="G241" s="76">
        <v>90</v>
      </c>
      <c r="H241" s="1">
        <v>40</v>
      </c>
      <c r="I241" s="76">
        <v>4700</v>
      </c>
      <c r="J241" s="1">
        <v>350</v>
      </c>
      <c r="K241" s="1">
        <v>27</v>
      </c>
      <c r="L241" s="1">
        <v>1000</v>
      </c>
      <c r="M241" s="1">
        <v>28</v>
      </c>
      <c r="N241" s="1">
        <v>250</v>
      </c>
    </row>
    <row r="242" spans="1:14" x14ac:dyDescent="0.55000000000000004">
      <c r="A242" s="74">
        <v>37</v>
      </c>
      <c r="B242" s="75">
        <v>85</v>
      </c>
      <c r="C242" s="76">
        <v>1.9</v>
      </c>
      <c r="D242" s="76">
        <v>2.6</v>
      </c>
      <c r="E242" s="1">
        <v>15</v>
      </c>
      <c r="F242" s="76">
        <v>15</v>
      </c>
      <c r="G242" s="76">
        <v>90</v>
      </c>
      <c r="H242" s="1">
        <v>40</v>
      </c>
      <c r="I242" s="76">
        <v>4700</v>
      </c>
      <c r="J242" s="1">
        <v>350</v>
      </c>
      <c r="K242" s="1">
        <v>27</v>
      </c>
      <c r="L242" s="1">
        <v>1000</v>
      </c>
      <c r="M242" s="1">
        <v>28</v>
      </c>
      <c r="N242" s="1">
        <v>250</v>
      </c>
    </row>
    <row r="243" spans="1:14" x14ac:dyDescent="0.55000000000000004">
      <c r="A243" s="74">
        <v>38</v>
      </c>
      <c r="B243" s="75">
        <v>85</v>
      </c>
      <c r="C243" s="76">
        <v>1.9</v>
      </c>
      <c r="D243" s="76">
        <v>2.6</v>
      </c>
      <c r="E243" s="1">
        <v>15</v>
      </c>
      <c r="F243" s="76">
        <v>15</v>
      </c>
      <c r="G243" s="76">
        <v>90</v>
      </c>
      <c r="H243" s="1">
        <v>40</v>
      </c>
      <c r="I243" s="76">
        <v>4700</v>
      </c>
      <c r="J243" s="1">
        <v>350</v>
      </c>
      <c r="K243" s="1">
        <v>27</v>
      </c>
      <c r="L243" s="1">
        <v>1000</v>
      </c>
      <c r="M243" s="1">
        <v>28</v>
      </c>
      <c r="N243" s="1">
        <v>250</v>
      </c>
    </row>
    <row r="244" spans="1:14" x14ac:dyDescent="0.55000000000000004">
      <c r="A244" s="74">
        <v>39</v>
      </c>
      <c r="B244" s="75">
        <v>85</v>
      </c>
      <c r="C244" s="76">
        <v>1.9</v>
      </c>
      <c r="D244" s="76">
        <v>2.6</v>
      </c>
      <c r="E244" s="1">
        <v>15</v>
      </c>
      <c r="F244" s="76">
        <v>15</v>
      </c>
      <c r="G244" s="76">
        <v>90</v>
      </c>
      <c r="H244" s="1">
        <v>40</v>
      </c>
      <c r="I244" s="76">
        <v>4700</v>
      </c>
      <c r="J244" s="1">
        <v>350</v>
      </c>
      <c r="K244" s="1">
        <v>27</v>
      </c>
      <c r="L244" s="1">
        <v>1000</v>
      </c>
      <c r="M244" s="1">
        <v>28</v>
      </c>
      <c r="N244" s="1">
        <v>250</v>
      </c>
    </row>
    <row r="245" spans="1:14" x14ac:dyDescent="0.55000000000000004">
      <c r="A245" s="74">
        <v>40</v>
      </c>
      <c r="B245" s="75">
        <v>85</v>
      </c>
      <c r="C245" s="76">
        <v>1.9</v>
      </c>
      <c r="D245" s="76">
        <v>2.6</v>
      </c>
      <c r="E245" s="1">
        <v>15</v>
      </c>
      <c r="F245" s="76">
        <v>15</v>
      </c>
      <c r="G245" s="76">
        <v>90</v>
      </c>
      <c r="H245" s="1">
        <v>40</v>
      </c>
      <c r="I245" s="76">
        <v>4700</v>
      </c>
      <c r="J245" s="1">
        <v>350</v>
      </c>
      <c r="K245" s="1">
        <v>27</v>
      </c>
      <c r="L245" s="1">
        <v>1000</v>
      </c>
      <c r="M245" s="1">
        <v>28</v>
      </c>
      <c r="N245" s="1">
        <v>250</v>
      </c>
    </row>
    <row r="246" spans="1:14" x14ac:dyDescent="0.55000000000000004">
      <c r="A246" s="74">
        <v>41</v>
      </c>
      <c r="B246" s="75">
        <v>85</v>
      </c>
      <c r="C246" s="76">
        <v>1.9</v>
      </c>
      <c r="D246" s="76">
        <v>2.6</v>
      </c>
      <c r="E246" s="1">
        <v>15</v>
      </c>
      <c r="F246" s="76">
        <v>15</v>
      </c>
      <c r="G246" s="76">
        <v>90</v>
      </c>
      <c r="H246" s="1">
        <v>40</v>
      </c>
      <c r="I246" s="76">
        <v>4700</v>
      </c>
      <c r="J246" s="1">
        <v>350</v>
      </c>
      <c r="K246" s="1">
        <v>27</v>
      </c>
      <c r="L246" s="1">
        <v>1000</v>
      </c>
      <c r="M246" s="1">
        <v>28</v>
      </c>
      <c r="N246" s="1">
        <v>250</v>
      </c>
    </row>
    <row r="247" spans="1:14" x14ac:dyDescent="0.55000000000000004">
      <c r="A247" s="74">
        <v>42</v>
      </c>
      <c r="B247" s="75">
        <v>85</v>
      </c>
      <c r="C247" s="76">
        <v>1.9</v>
      </c>
      <c r="D247" s="76">
        <v>2.6</v>
      </c>
      <c r="E247" s="1">
        <v>15</v>
      </c>
      <c r="F247" s="76">
        <v>15</v>
      </c>
      <c r="G247" s="76">
        <v>90</v>
      </c>
      <c r="H247" s="1">
        <v>40</v>
      </c>
      <c r="I247" s="76">
        <v>4700</v>
      </c>
      <c r="J247" s="1">
        <v>350</v>
      </c>
      <c r="K247" s="1">
        <v>27</v>
      </c>
      <c r="L247" s="1">
        <v>1000</v>
      </c>
      <c r="M247" s="1">
        <v>28</v>
      </c>
      <c r="N247" s="1">
        <v>250</v>
      </c>
    </row>
    <row r="248" spans="1:14" x14ac:dyDescent="0.55000000000000004">
      <c r="A248" s="74">
        <v>43</v>
      </c>
      <c r="B248" s="75">
        <v>85</v>
      </c>
      <c r="C248" s="76">
        <v>1.9</v>
      </c>
      <c r="D248" s="76">
        <v>2.6</v>
      </c>
      <c r="E248" s="1">
        <v>15</v>
      </c>
      <c r="F248" s="76">
        <v>15</v>
      </c>
      <c r="G248" s="76">
        <v>90</v>
      </c>
      <c r="H248" s="1">
        <v>40</v>
      </c>
      <c r="I248" s="76">
        <v>4700</v>
      </c>
      <c r="J248" s="1">
        <v>350</v>
      </c>
      <c r="K248" s="1">
        <v>27</v>
      </c>
      <c r="L248" s="1">
        <v>1000</v>
      </c>
      <c r="M248" s="1">
        <v>28</v>
      </c>
      <c r="N248" s="1">
        <v>250</v>
      </c>
    </row>
    <row r="249" spans="1:14" x14ac:dyDescent="0.55000000000000004">
      <c r="A249" s="74">
        <v>44</v>
      </c>
      <c r="B249" s="75">
        <v>85</v>
      </c>
      <c r="C249" s="76">
        <v>1.9</v>
      </c>
      <c r="D249" s="76">
        <v>2.6</v>
      </c>
      <c r="E249" s="1">
        <v>15</v>
      </c>
      <c r="F249" s="76">
        <v>15</v>
      </c>
      <c r="G249" s="76">
        <v>90</v>
      </c>
      <c r="H249" s="1">
        <v>40</v>
      </c>
      <c r="I249" s="76">
        <v>4700</v>
      </c>
      <c r="J249" s="1">
        <v>350</v>
      </c>
      <c r="K249" s="1">
        <v>27</v>
      </c>
      <c r="L249" s="1">
        <v>1000</v>
      </c>
      <c r="M249" s="1">
        <v>28</v>
      </c>
      <c r="N249" s="1">
        <v>250</v>
      </c>
    </row>
    <row r="250" spans="1:14" x14ac:dyDescent="0.55000000000000004">
      <c r="A250" s="74">
        <v>45</v>
      </c>
      <c r="B250" s="75">
        <v>85</v>
      </c>
      <c r="C250" s="76">
        <v>1.9</v>
      </c>
      <c r="D250" s="76">
        <v>2.6</v>
      </c>
      <c r="E250" s="1">
        <v>15</v>
      </c>
      <c r="F250" s="76">
        <v>15</v>
      </c>
      <c r="G250" s="76">
        <v>90</v>
      </c>
      <c r="H250" s="1">
        <v>40</v>
      </c>
      <c r="I250" s="76">
        <v>4700</v>
      </c>
      <c r="J250" s="1">
        <v>350</v>
      </c>
      <c r="K250" s="1">
        <v>27</v>
      </c>
      <c r="L250" s="1">
        <v>1000</v>
      </c>
      <c r="M250" s="1">
        <v>28</v>
      </c>
      <c r="N250" s="1">
        <v>250</v>
      </c>
    </row>
    <row r="251" spans="1:14" x14ac:dyDescent="0.55000000000000004">
      <c r="A251" s="74">
        <v>46</v>
      </c>
      <c r="B251" s="75">
        <v>85</v>
      </c>
      <c r="C251" s="76">
        <v>1.9</v>
      </c>
      <c r="D251" s="76">
        <v>2.6</v>
      </c>
      <c r="E251" s="1">
        <v>15</v>
      </c>
      <c r="F251" s="76">
        <v>15</v>
      </c>
      <c r="G251" s="76">
        <v>90</v>
      </c>
      <c r="H251" s="1">
        <v>40</v>
      </c>
      <c r="I251" s="76">
        <v>4700</v>
      </c>
      <c r="J251" s="1">
        <v>350</v>
      </c>
      <c r="K251" s="1">
        <v>27</v>
      </c>
      <c r="L251" s="1">
        <v>1000</v>
      </c>
      <c r="M251" s="1">
        <v>28</v>
      </c>
      <c r="N251" s="1">
        <v>250</v>
      </c>
    </row>
    <row r="252" spans="1:14" x14ac:dyDescent="0.55000000000000004">
      <c r="A252" s="74">
        <v>47</v>
      </c>
      <c r="B252" s="75">
        <v>85</v>
      </c>
      <c r="C252" s="76">
        <v>1.9</v>
      </c>
      <c r="D252" s="76">
        <v>2.6</v>
      </c>
      <c r="E252" s="1">
        <v>15</v>
      </c>
      <c r="F252" s="76">
        <v>15</v>
      </c>
      <c r="G252" s="76">
        <v>90</v>
      </c>
      <c r="H252" s="1">
        <v>40</v>
      </c>
      <c r="I252" s="76">
        <v>4700</v>
      </c>
      <c r="J252" s="1">
        <v>350</v>
      </c>
      <c r="K252" s="1">
        <v>27</v>
      </c>
      <c r="L252" s="1">
        <v>1000</v>
      </c>
      <c r="M252" s="1">
        <v>28</v>
      </c>
      <c r="N252" s="1">
        <v>250</v>
      </c>
    </row>
    <row r="253" spans="1:14" x14ac:dyDescent="0.55000000000000004">
      <c r="A253" s="74">
        <v>48</v>
      </c>
      <c r="B253" s="75">
        <v>85</v>
      </c>
      <c r="C253" s="76">
        <v>1.9</v>
      </c>
      <c r="D253" s="76">
        <v>2.6</v>
      </c>
      <c r="E253" s="1">
        <v>15</v>
      </c>
      <c r="F253" s="76">
        <v>15</v>
      </c>
      <c r="G253" s="76">
        <v>90</v>
      </c>
      <c r="H253" s="1">
        <v>40</v>
      </c>
      <c r="I253" s="76">
        <v>4700</v>
      </c>
      <c r="J253" s="1">
        <v>350</v>
      </c>
      <c r="K253" s="1">
        <v>27</v>
      </c>
      <c r="L253" s="1">
        <v>1000</v>
      </c>
      <c r="M253" s="1">
        <v>28</v>
      </c>
      <c r="N253" s="1">
        <v>250</v>
      </c>
    </row>
    <row r="254" spans="1:14" x14ac:dyDescent="0.55000000000000004">
      <c r="A254" s="74">
        <v>49</v>
      </c>
      <c r="B254" s="75">
        <v>85</v>
      </c>
      <c r="C254" s="76">
        <v>1.9</v>
      </c>
      <c r="D254" s="76">
        <v>2.6</v>
      </c>
      <c r="E254" s="1">
        <v>15</v>
      </c>
      <c r="F254" s="76">
        <v>15</v>
      </c>
      <c r="G254" s="76">
        <v>90</v>
      </c>
      <c r="H254" s="1">
        <v>40</v>
      </c>
      <c r="I254" s="76">
        <v>4700</v>
      </c>
      <c r="J254" s="1">
        <v>350</v>
      </c>
      <c r="K254" s="1">
        <v>27</v>
      </c>
      <c r="L254" s="1">
        <v>1000</v>
      </c>
      <c r="M254" s="1">
        <v>28</v>
      </c>
      <c r="N254" s="1">
        <v>250</v>
      </c>
    </row>
    <row r="255" spans="1:14" x14ac:dyDescent="0.55000000000000004">
      <c r="A255" s="74">
        <v>50</v>
      </c>
      <c r="B255" s="75">
        <v>85</v>
      </c>
      <c r="C255" s="76">
        <v>1.9</v>
      </c>
      <c r="D255" s="76">
        <v>2.6</v>
      </c>
      <c r="E255" s="1">
        <v>15</v>
      </c>
      <c r="F255" s="76">
        <v>15</v>
      </c>
      <c r="G255" s="76">
        <v>90</v>
      </c>
      <c r="H255" s="1">
        <v>40</v>
      </c>
      <c r="I255" s="76">
        <v>4700</v>
      </c>
      <c r="J255" s="1">
        <v>350</v>
      </c>
      <c r="K255" s="1">
        <v>27</v>
      </c>
      <c r="L255" s="1">
        <v>1000</v>
      </c>
      <c r="M255" s="1">
        <v>28</v>
      </c>
      <c r="N255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Inputs</vt:lpstr>
      <vt:lpstr>PLANNER</vt:lpstr>
      <vt:lpstr>Sheet1</vt:lpstr>
      <vt:lpstr>SUMMARY</vt:lpstr>
      <vt:lpstr>Lists</vt:lpstr>
      <vt:lpstr>DailyIntakeChart</vt:lpstr>
      <vt:lpstr>All</vt:lpstr>
      <vt:lpstr>amount</vt:lpstr>
      <vt:lpstr>bertha</vt:lpstr>
      <vt:lpstr>Build</vt:lpstr>
      <vt:lpstr>description</vt:lpstr>
      <vt:lpstr>intamount</vt:lpstr>
      <vt:lpstr>LoseWeight</vt:lpstr>
      <vt:lpstr>Maintain</vt:lpstr>
      <vt:lpstr>refno</vt:lpstr>
    </vt:vector>
  </TitlesOfParts>
  <Company>Empire 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Wies</dc:creator>
  <cp:lastModifiedBy>Mike</cp:lastModifiedBy>
  <cp:lastPrinted>2014-05-12T15:51:25Z</cp:lastPrinted>
  <dcterms:created xsi:type="dcterms:W3CDTF">2014-05-08T18:39:40Z</dcterms:created>
  <dcterms:modified xsi:type="dcterms:W3CDTF">2017-07-20T00:39:48Z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ac31b68c-3083-47c4-8d2e-75cbfd45935c</vt:lpwstr>
  </property>
</Properties>
</file>