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ke\Projects\pathfinder\data\"/>
    </mc:Choice>
  </mc:AlternateContent>
  <xr:revisionPtr revIDLastSave="0" documentId="13_ncr:1_{0DA124DD-3BF5-4C76-9A40-3094D942FD9C}" xr6:coauthVersionLast="47" xr6:coauthVersionMax="47" xr10:uidLastSave="{00000000-0000-0000-0000-000000000000}"/>
  <bookViews>
    <workbookView xWindow="-28920" yWindow="-120" windowWidth="29040" windowHeight="15990" xr2:uid="{00000000-000D-0000-FFFF-FFFF00000000}"/>
  </bookViews>
  <sheets>
    <sheet name="расчет" sheetId="1" r:id="rId1"/>
    <sheet name="Лист1" sheetId="2" r:id="rId2"/>
  </sheets>
  <definedNames>
    <definedName name="_scenchg_count" localSheetId="0" hidden="1">4</definedName>
    <definedName name="_scenchg1" localSheetId="0" hidden="1">расчет!$E$9</definedName>
    <definedName name="_scenchg2" localSheetId="0" hidden="1">расчет!$E$10</definedName>
    <definedName name="_scenchg3" localSheetId="0" hidden="1">расчет!$E$11</definedName>
    <definedName name="_scenchg4" localSheetId="0" hidden="1">расчет!$E$7</definedName>
    <definedName name="ACTSPEED" localSheetId="0">расчет!$D$24:$L$24</definedName>
    <definedName name="ACTUALPOWER" localSheetId="0">расчет!$D$29:$L$29</definedName>
    <definedName name="ACwvu.BSPRACT." localSheetId="0" hidden="1">расчет!$A$47</definedName>
    <definedName name="ACwvu.BSTHEOR." localSheetId="0" hidden="1">расчет!$A$58</definedName>
    <definedName name="ALTER" localSheetId="0">расчет!$A$59</definedName>
    <definedName name="AVAILPOWER" localSheetId="0">расчет!$D$30:$L$30</definedName>
    <definedName name="AVREDN" localSheetId="0">расчет!$L$4</definedName>
    <definedName name="BKDIA" localSheetId="0">расчет!$N$21:$W$29</definedName>
    <definedName name="BLKBEFRDIE" localSheetId="0">расчет!$L$6</definedName>
    <definedName name="BTM" localSheetId="0">расчет!$A$48:$M$89</definedName>
    <definedName name="FINSIZE" localSheetId="0">расчет!$E$5</definedName>
    <definedName name="FINSPD" localSheetId="0">расчет!$E$9</definedName>
    <definedName name="INSIZE" localSheetId="0">расчет!$E$4</definedName>
    <definedName name="MAXSPD" localSheetId="0">расчет!$N$43:$W$62</definedName>
    <definedName name="MAXSPEED" localSheetId="0">расчет!$D$26:$L$26</definedName>
    <definedName name="MINSPD" localSheetId="0">расчет!$N$32:$W$39</definedName>
    <definedName name="NoDIES" localSheetId="0">расчет!$E$7</definedName>
    <definedName name="POWER" localSheetId="0">расчет!$N$6:$W$17</definedName>
    <definedName name="RODSIZE" localSheetId="0">расчет!$E$3</definedName>
    <definedName name="RODTYPE" localSheetId="0">расчет!$E$3</definedName>
    <definedName name="scen_change" localSheetId="0" hidden="1">расчет!$E$9:$E$11,расчет!$E$7</definedName>
    <definedName name="scen_date1" localSheetId="0" hidden="1">33912.4748842593</definedName>
    <definedName name="scen_name1" localSheetId="0" hidden="1">"maxspeed"</definedName>
    <definedName name="scen_num" localSheetId="0" hidden="1">1</definedName>
    <definedName name="scen_result" localSheetId="0" hidden="1">расчет!$L$10</definedName>
    <definedName name="scen_user1" localSheetId="0" hidden="1">"FLASH"</definedName>
    <definedName name="scen_value1" localSheetId="0" hidden="1">{"12";"1";"1";"9"}</definedName>
    <definedName name="solver_adj" localSheetId="0" hidden="1">расчет!$E$9,расчет!$E$10,расчет!$E$11,расчет!$E$7</definedName>
    <definedName name="solver_lhs1" localSheetId="0" hidden="1">расчет!$E$9</definedName>
    <definedName name="solver_lhs2" localSheetId="0" hidden="1">расчет!$D$29:$K$29</definedName>
    <definedName name="solver_lhs3" localSheetId="0" hidden="1">расчет!$E$11</definedName>
    <definedName name="solver_lhs4" localSheetId="0" hidden="1">расчет!$E$11</definedName>
    <definedName name="solver_lhs5" localSheetId="0" hidden="1">расчет!$E$11</definedName>
    <definedName name="solver_lhs6" localSheetId="0" hidden="1">расчет!$E$7</definedName>
    <definedName name="solver_lhs7" localSheetId="0" hidden="1">расчет!$E$7</definedName>
    <definedName name="solver_lhs8" localSheetId="0" hidden="1">расчет!$E$7</definedName>
    <definedName name="solver_lin" localSheetId="0" hidden="1">0</definedName>
    <definedName name="solver_num" localSheetId="0" hidden="1">8</definedName>
    <definedName name="solver_opt" localSheetId="0" hidden="1">расчет!$L$10</definedName>
    <definedName name="solver_rel1" localSheetId="0" hidden="1">3</definedName>
    <definedName name="solver_rel2" localSheetId="0" hidden="1">1</definedName>
    <definedName name="solver_rel3" localSheetId="0" hidden="1">4</definedName>
    <definedName name="solver_rel4" localSheetId="0" hidden="1">3</definedName>
    <definedName name="solver_rel5" localSheetId="0" hidden="1">1</definedName>
    <definedName name="solver_rel6" localSheetId="0" hidden="1">1</definedName>
    <definedName name="solver_rel7" localSheetId="0" hidden="1">3</definedName>
    <definedName name="solver_rel8" localSheetId="0" hidden="1">4</definedName>
    <definedName name="solver_rhs1" localSheetId="0" hidden="1">0</definedName>
    <definedName name="solver_rhs2" localSheetId="0" hidden="1">45</definedName>
    <definedName name="solver_rhs3" localSheetId="0" hidden="1">[0]!integer</definedName>
    <definedName name="solver_rhs4" localSheetId="0" hidden="1">0</definedName>
    <definedName name="solver_rhs5" localSheetId="0" hidden="1">4</definedName>
    <definedName name="solver_rhs6" localSheetId="0" hidden="1">9</definedName>
    <definedName name="solver_rhs7" localSheetId="0" hidden="1">6</definedName>
    <definedName name="solver_rhs8" localSheetId="0" hidden="1">[0]!integer</definedName>
    <definedName name="solver_tmp" localSheetId="0" hidden="1">6</definedName>
    <definedName name="solver_typ" localSheetId="0" hidden="1">1</definedName>
    <definedName name="solver_val" localSheetId="0" hidden="1">0</definedName>
    <definedName name="STRTBLK" localSheetId="0">расчет!$E$10</definedName>
    <definedName name="Swvu.BSPRACT." localSheetId="0" hidden="1">расчет!$A$47</definedName>
    <definedName name="Swvu.BSTHEOR." localSheetId="0" hidden="1">расчет!$A$58</definedName>
    <definedName name="TAPER" localSheetId="0">расчет!$E$11</definedName>
    <definedName name="TOP" localSheetId="0">расчет!$A$1:$M$43</definedName>
    <definedName name="UTS" localSheetId="0">расчет!$A$93:$H$111</definedName>
    <definedName name="wvu.BSPRACT." localSheetId="0" hidden="1">{TRUE,TRUE,-1.25,-15.5,484.5,279.75,FALSE,FALSE,TRUE,TRUE,0,1,#N/A,44,#N/A,11.171875,18.2941176470588,1,FALSE,FALSE,3,TRUE,1,FALSE,100,"Swvu.BSPRACT.","ACwvu.BSPRACT.",1,FALSE,FALSE,0.75,0.75,1,1,1,"","",FALSE,FALSE,FALSE,FALSE,1,100,#N/A,#N/A,"=R44C1:R78C11",FALSE,#N/A,#N/A,FALSE,FALSE}</definedName>
    <definedName name="wvu.BSTHEOR." localSheetId="0" hidden="1">{TRUE,TRUE,-1.25,-15.5,484.5,279.75,FALSE,FALSE,TRUE,TRUE,0,1,#N/A,1,#N/A,11.171875,17.8235294117647,1,FALSE,FALSE,3,TRUE,1,FALSE,100,"Swvu.BSTHEOR.","ACwvu.BSTHEOR.",1,FALSE,FALSE,0.75,0.75,1,1,1,"","",FALSE,FALSE,FALSE,FALSE,1,100,#N/A,#N/A,"=R1C1:R43C11",FALSE,#N/A,#N/A,FALSE,FALSE}</definedName>
    <definedName name="_xlnm.Print_Area" localSheetId="0">расчет!$A$1:$O$126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1" i="1" l="1"/>
  <c r="L8" i="1"/>
  <c r="E11" i="1"/>
  <c r="E8" i="1"/>
  <c r="G13" i="1" l="1"/>
  <c r="F13" i="1"/>
  <c r="L4" i="1" l="1"/>
  <c r="M116" i="1" l="1"/>
  <c r="L116" i="1"/>
  <c r="K116" i="1"/>
  <c r="J116" i="1"/>
  <c r="I116" i="1"/>
  <c r="H116" i="1"/>
  <c r="G116" i="1"/>
  <c r="F116" i="1"/>
  <c r="E116" i="1"/>
  <c r="D116" i="1"/>
  <c r="M113" i="1"/>
  <c r="L113" i="1"/>
  <c r="K113" i="1"/>
  <c r="J113" i="1"/>
  <c r="I113" i="1"/>
  <c r="H113" i="1"/>
  <c r="G113" i="1"/>
  <c r="F113" i="1"/>
  <c r="E113" i="1"/>
  <c r="D113" i="1"/>
  <c r="L81" i="1"/>
  <c r="L80" i="1"/>
  <c r="K79" i="1"/>
  <c r="J79" i="1"/>
  <c r="I79" i="1"/>
  <c r="H79" i="1"/>
  <c r="G79" i="1"/>
  <c r="F79" i="1"/>
  <c r="E79" i="1"/>
  <c r="D79" i="1"/>
  <c r="L78" i="1"/>
  <c r="K78" i="1"/>
  <c r="J78" i="1"/>
  <c r="I78" i="1"/>
  <c r="H78" i="1"/>
  <c r="G78" i="1"/>
  <c r="F78" i="1"/>
  <c r="E78" i="1"/>
  <c r="D78" i="1"/>
  <c r="L77" i="1"/>
  <c r="L66" i="1" s="1"/>
  <c r="K77" i="1"/>
  <c r="K66" i="1" s="1"/>
  <c r="J77" i="1"/>
  <c r="J66" i="1" s="1"/>
  <c r="I77" i="1"/>
  <c r="I66" i="1" s="1"/>
  <c r="H77" i="1"/>
  <c r="H66" i="1" s="1"/>
  <c r="G77" i="1"/>
  <c r="G66" i="1" s="1"/>
  <c r="F77" i="1"/>
  <c r="F66" i="1" s="1"/>
  <c r="E77" i="1"/>
  <c r="E66" i="1" s="1"/>
  <c r="D77" i="1"/>
  <c r="D66" i="1" s="1"/>
  <c r="L74" i="1"/>
  <c r="I71" i="1"/>
  <c r="H71" i="1"/>
  <c r="G71" i="1"/>
  <c r="F71" i="1"/>
  <c r="E71" i="1"/>
  <c r="D71" i="1"/>
  <c r="K70" i="1"/>
  <c r="J70" i="1"/>
  <c r="I70" i="1"/>
  <c r="H70" i="1"/>
  <c r="G70" i="1"/>
  <c r="F70" i="1"/>
  <c r="E70" i="1"/>
  <c r="D70" i="1"/>
  <c r="K68" i="1"/>
  <c r="K81" i="1" s="1"/>
  <c r="J68" i="1"/>
  <c r="I68" i="1"/>
  <c r="I80" i="1" s="1"/>
  <c r="H68" i="1"/>
  <c r="H80" i="1" s="1"/>
  <c r="G68" i="1"/>
  <c r="F68" i="1"/>
  <c r="F80" i="1" s="1"/>
  <c r="E68" i="1"/>
  <c r="E80" i="1" s="1"/>
  <c r="D68" i="1"/>
  <c r="D80" i="1" s="1"/>
  <c r="M62" i="1"/>
  <c r="L62" i="1"/>
  <c r="K62" i="1"/>
  <c r="J62" i="1"/>
  <c r="I62" i="1"/>
  <c r="H62" i="1"/>
  <c r="G62" i="1"/>
  <c r="F62" i="1"/>
  <c r="E62" i="1"/>
  <c r="D62" i="1"/>
  <c r="M61" i="1"/>
  <c r="L61" i="1"/>
  <c r="K61" i="1"/>
  <c r="J61" i="1"/>
  <c r="I61" i="1"/>
  <c r="H61" i="1"/>
  <c r="G61" i="1"/>
  <c r="F61" i="1"/>
  <c r="E61" i="1"/>
  <c r="D61" i="1"/>
  <c r="K56" i="1"/>
  <c r="K57" i="1" s="1"/>
  <c r="E56" i="1"/>
  <c r="K54" i="1"/>
  <c r="E53" i="1"/>
  <c r="K51" i="1"/>
  <c r="K50" i="1"/>
  <c r="E50" i="1"/>
  <c r="K35" i="1"/>
  <c r="J35" i="1"/>
  <c r="I35" i="1"/>
  <c r="H35" i="1"/>
  <c r="G35" i="1"/>
  <c r="F35" i="1"/>
  <c r="E35" i="1"/>
  <c r="D35" i="1"/>
  <c r="L24" i="1"/>
  <c r="L30" i="1" s="1"/>
  <c r="C21" i="1"/>
  <c r="B21" i="1"/>
  <c r="C20" i="1"/>
  <c r="B20" i="1"/>
  <c r="N19" i="1"/>
  <c r="N17" i="1" s="1"/>
  <c r="C19" i="1"/>
  <c r="B19" i="1"/>
  <c r="A15" i="1"/>
  <c r="K10" i="1"/>
  <c r="E55" i="1"/>
  <c r="L3" i="1"/>
  <c r="E84" i="1" s="1"/>
  <c r="L2" i="1"/>
  <c r="L7" i="1" s="1"/>
  <c r="K1" i="1"/>
  <c r="G81" i="1" l="1"/>
  <c r="J81" i="1"/>
  <c r="E40" i="1"/>
  <c r="E81" i="1"/>
  <c r="E74" i="1"/>
  <c r="I81" i="1"/>
  <c r="D73" i="1"/>
  <c r="H73" i="1"/>
  <c r="I74" i="1"/>
  <c r="L73" i="1"/>
  <c r="E73" i="1"/>
  <c r="I73" i="1"/>
  <c r="K73" i="1"/>
  <c r="J73" i="1"/>
  <c r="D74" i="1"/>
  <c r="H74" i="1"/>
  <c r="D81" i="1"/>
  <c r="H81" i="1"/>
  <c r="F73" i="1"/>
  <c r="G73" i="1" s="1"/>
  <c r="J80" i="1"/>
  <c r="F74" i="1"/>
  <c r="G80" i="1"/>
  <c r="K80" i="1"/>
  <c r="F81" i="1"/>
  <c r="G74" i="1"/>
  <c r="G18" i="1" l="1"/>
  <c r="M18" i="1"/>
  <c r="H18" i="1"/>
  <c r="E57" i="1"/>
  <c r="D18" i="1"/>
  <c r="D28" i="1" s="1"/>
  <c r="J18" i="1"/>
  <c r="J26" i="1" s="1"/>
  <c r="J71" i="1" s="1"/>
  <c r="J74" i="1" s="1"/>
  <c r="E18" i="1"/>
  <c r="K18" i="1"/>
  <c r="L18" i="1"/>
  <c r="F18" i="1"/>
  <c r="I18" i="1"/>
  <c r="K84" i="1"/>
  <c r="D19" i="1" l="1"/>
  <c r="D34" i="1" s="1"/>
  <c r="D17" i="1" l="1"/>
  <c r="D20" i="1" s="1"/>
  <c r="D27" i="1"/>
  <c r="D24" i="1"/>
  <c r="D36" i="1" s="1"/>
  <c r="D29" i="1" s="1"/>
  <c r="D33" i="1"/>
  <c r="D22" i="1" s="1"/>
  <c r="E19" i="1"/>
  <c r="E34" i="1" s="1"/>
  <c r="E17" i="1" l="1"/>
  <c r="E20" i="1" s="1"/>
  <c r="D30" i="1"/>
  <c r="D21" i="1"/>
  <c r="D64" i="1"/>
  <c r="E64" i="1" s="1"/>
  <c r="F64" i="1" s="1"/>
  <c r="G64" i="1" s="1"/>
  <c r="H64" i="1" s="1"/>
  <c r="I64" i="1" s="1"/>
  <c r="J64" i="1" s="1"/>
  <c r="K64" i="1" s="1"/>
  <c r="D65" i="1"/>
  <c r="E65" i="1" s="1"/>
  <c r="F65" i="1" s="1"/>
  <c r="G65" i="1" s="1"/>
  <c r="H65" i="1" s="1"/>
  <c r="I65" i="1" s="1"/>
  <c r="J65" i="1" s="1"/>
  <c r="K65" i="1" s="1"/>
  <c r="L65" i="1" s="1"/>
  <c r="M65" i="1" s="1"/>
  <c r="D37" i="1"/>
  <c r="E24" i="1"/>
  <c r="E37" i="1" s="1"/>
  <c r="F19" i="1"/>
  <c r="F24" i="1" s="1"/>
  <c r="E33" i="1"/>
  <c r="E22" i="1" s="1"/>
  <c r="E27" i="1"/>
  <c r="E28" i="1"/>
  <c r="D31" i="1"/>
  <c r="D32" i="1" s="1"/>
  <c r="L64" i="1" l="1"/>
  <c r="M64" i="1" s="1"/>
  <c r="E21" i="1"/>
  <c r="E36" i="1"/>
  <c r="E29" i="1" s="1"/>
  <c r="F34" i="1"/>
  <c r="F28" i="1" s="1"/>
  <c r="F33" i="1"/>
  <c r="F22" i="1" s="1"/>
  <c r="G19" i="1"/>
  <c r="G33" i="1" s="1"/>
  <c r="G22" i="1" s="1"/>
  <c r="E30" i="1"/>
  <c r="F27" i="1"/>
  <c r="F30" i="1" s="1"/>
  <c r="F17" i="1"/>
  <c r="F20" i="1" s="1"/>
  <c r="F36" i="1"/>
  <c r="F37" i="1"/>
  <c r="G34" i="1" l="1"/>
  <c r="G28" i="1" s="1"/>
  <c r="G17" i="1"/>
  <c r="G20" i="1" s="1"/>
  <c r="H19" i="1"/>
  <c r="H17" i="1" s="1"/>
  <c r="G24" i="1"/>
  <c r="G37" i="1" s="1"/>
  <c r="G27" i="1"/>
  <c r="F29" i="1"/>
  <c r="E31" i="1"/>
  <c r="E32" i="1" s="1"/>
  <c r="F21" i="1"/>
  <c r="F31" i="1" l="1"/>
  <c r="F32" i="1" s="1"/>
  <c r="I19" i="1"/>
  <c r="I33" i="1" s="1"/>
  <c r="I22" i="1" s="1"/>
  <c r="G21" i="1"/>
  <c r="H21" i="1" s="1"/>
  <c r="G36" i="1"/>
  <c r="G29" i="1" s="1"/>
  <c r="H33" i="1"/>
  <c r="H22" i="1" s="1"/>
  <c r="H27" i="1"/>
  <c r="H24" i="1"/>
  <c r="H36" i="1" s="1"/>
  <c r="H34" i="1"/>
  <c r="H28" i="1" s="1"/>
  <c r="G30" i="1"/>
  <c r="H20" i="1"/>
  <c r="I34" i="1" l="1"/>
  <c r="I28" i="1" s="1"/>
  <c r="J19" i="1"/>
  <c r="K19" i="1" s="1"/>
  <c r="K26" i="1" s="1"/>
  <c r="K71" i="1" s="1"/>
  <c r="K74" i="1" s="1"/>
  <c r="K85" i="1" s="1"/>
  <c r="I27" i="1"/>
  <c r="I24" i="1"/>
  <c r="I37" i="1" s="1"/>
  <c r="I17" i="1"/>
  <c r="I21" i="1" s="1"/>
  <c r="G31" i="1"/>
  <c r="G32" i="1" s="1"/>
  <c r="H29" i="1"/>
  <c r="H37" i="1"/>
  <c r="H30" i="1"/>
  <c r="L34" i="1" l="1"/>
  <c r="L29" i="1" s="1"/>
  <c r="H31" i="1"/>
  <c r="H32" i="1" s="1"/>
  <c r="J34" i="1"/>
  <c r="J28" i="1" s="1"/>
  <c r="K24" i="1"/>
  <c r="K36" i="1" s="1"/>
  <c r="J27" i="1"/>
  <c r="K33" i="1"/>
  <c r="K22" i="1" s="1"/>
  <c r="K34" i="1"/>
  <c r="L19" i="1"/>
  <c r="M34" i="1" s="1"/>
  <c r="J33" i="1"/>
  <c r="J22" i="1" s="1"/>
  <c r="K17" i="1"/>
  <c r="J17" i="1"/>
  <c r="J21" i="1" s="1"/>
  <c r="J24" i="1"/>
  <c r="J36" i="1" s="1"/>
  <c r="I30" i="1"/>
  <c r="I36" i="1"/>
  <c r="I29" i="1" s="1"/>
  <c r="I20" i="1"/>
  <c r="K27" i="1"/>
  <c r="I31" i="1" l="1"/>
  <c r="I32" i="1" s="1"/>
  <c r="L28" i="1"/>
  <c r="L31" i="1" s="1"/>
  <c r="L32" i="1" s="1"/>
  <c r="L36" i="1"/>
  <c r="M19" i="1"/>
  <c r="M17" i="1" s="1"/>
  <c r="J20" i="1"/>
  <c r="K20" i="1" s="1"/>
  <c r="J31" i="1"/>
  <c r="J32" i="1" s="1"/>
  <c r="K30" i="1"/>
  <c r="J30" i="1"/>
  <c r="J29" i="1"/>
  <c r="K21" i="1"/>
  <c r="K28" i="1"/>
  <c r="K29" i="1" s="1"/>
  <c r="L37" i="1"/>
  <c r="L17" i="1"/>
  <c r="L33" i="1"/>
  <c r="L22" i="1" s="1"/>
  <c r="J37" i="1"/>
  <c r="N18" i="1" l="1"/>
  <c r="N20" i="1" s="1"/>
  <c r="O20" i="1" s="1"/>
  <c r="K41" i="1"/>
  <c r="K40" i="1"/>
  <c r="J1" i="1" s="1"/>
  <c r="L21" i="1"/>
  <c r="M21" i="1" s="1"/>
  <c r="L20" i="1"/>
  <c r="M20" i="1" s="1"/>
  <c r="K31" i="1"/>
  <c r="K32" i="1" s="1"/>
  <c r="N21" i="1" l="1"/>
  <c r="O21" i="1" s="1"/>
</calcChain>
</file>

<file path=xl/sharedStrings.xml><?xml version="1.0" encoding="utf-8"?>
<sst xmlns="http://schemas.openxmlformats.org/spreadsheetml/2006/main" count="128" uniqueCount="92">
  <si>
    <t>тип заготовки</t>
  </si>
  <si>
    <t>k85</t>
  </si>
  <si>
    <t>Суммарное обжатие</t>
  </si>
  <si>
    <t>диаметр заготовки</t>
  </si>
  <si>
    <t>ср.велич.единичного обжатия</t>
  </si>
  <si>
    <t>диаметр готовой проволоки</t>
  </si>
  <si>
    <t>Обжатие в последней волоке</t>
  </si>
  <si>
    <t>`</t>
  </si>
  <si>
    <t>1 ед. обжатие</t>
  </si>
  <si>
    <t>№ блока перед намоткой</t>
  </si>
  <si>
    <t>количество переходов</t>
  </si>
  <si>
    <t>№ блока со средним обжатием</t>
  </si>
  <si>
    <r>
      <t>σ</t>
    </r>
    <r>
      <rPr>
        <b/>
        <vertAlign val="subscript"/>
        <sz val="12"/>
        <rFont val="Helv"/>
        <charset val="204"/>
      </rPr>
      <t>в</t>
    </r>
    <r>
      <rPr>
        <b/>
        <sz val="12"/>
        <rFont val="Helv"/>
        <charset val="204"/>
      </rPr>
      <t xml:space="preserve"> Н/мм</t>
    </r>
    <r>
      <rPr>
        <b/>
        <vertAlign val="superscript"/>
        <sz val="12"/>
        <rFont val="Helv"/>
        <charset val="204"/>
      </rPr>
      <t>2</t>
    </r>
  </si>
  <si>
    <t>Входная скорость</t>
  </si>
  <si>
    <t>скорость волочения, м/с</t>
  </si>
  <si>
    <t xml:space="preserve">начать с блока № </t>
  </si>
  <si>
    <t>KG / HOUR</t>
  </si>
  <si>
    <t>Коэф.распр. отн.обж. по переходам</t>
  </si>
  <si>
    <t>TONNES / 8 HR (75% UTILZN.)</t>
  </si>
  <si>
    <t>содержание углерода,%</t>
  </si>
  <si>
    <r>
      <t>σ</t>
    </r>
    <r>
      <rPr>
        <b/>
        <vertAlign val="subscript"/>
        <sz val="12"/>
        <rFont val="Helv"/>
        <charset val="204"/>
      </rPr>
      <t>в</t>
    </r>
    <r>
      <rPr>
        <b/>
        <sz val="8"/>
        <rFont val="Helv"/>
      </rPr>
      <t xml:space="preserve"> кгс/мм</t>
    </r>
    <r>
      <rPr>
        <b/>
        <vertAlign val="superscript"/>
        <sz val="8"/>
        <rFont val="Helv"/>
      </rPr>
      <t>2</t>
    </r>
    <r>
      <rPr>
        <b/>
        <sz val="8"/>
        <rFont val="Helv"/>
      </rPr>
      <t>патен.загот</t>
    </r>
  </si>
  <si>
    <t xml:space="preserve">BLOCK </t>
  </si>
  <si>
    <t>общее обжатие,%</t>
  </si>
  <si>
    <t>ед обжатие</t>
  </si>
  <si>
    <t>диаметр по переходам, мм</t>
  </si>
  <si>
    <t>σв кгс/мм²</t>
  </si>
  <si>
    <t>скорость по блокам</t>
  </si>
  <si>
    <t>MAX скорость</t>
  </si>
  <si>
    <t>MIN скорость</t>
  </si>
  <si>
    <t>? Усилие волочение Н</t>
  </si>
  <si>
    <t>мощность</t>
  </si>
  <si>
    <t>полезная мощность</t>
  </si>
  <si>
    <t>temp rise 'F</t>
  </si>
  <si>
    <t>temp rise 'C</t>
  </si>
  <si>
    <t>STRAIN (напряжение</t>
  </si>
  <si>
    <t>Площадь поперечного сечения до входа в волоку mm²</t>
  </si>
  <si>
    <t>диаметр блока mm</t>
  </si>
  <si>
    <t>BLOCK RPM (мощность)</t>
  </si>
  <si>
    <t>MOTOR RPM (мощность)</t>
  </si>
  <si>
    <t>WIRE ELONGN.</t>
  </si>
  <si>
    <t>POWER REQ (Kw)</t>
  </si>
  <si>
    <t>POWER AVAILABLE (Kw)</t>
  </si>
  <si>
    <t>Проверочный расчет</t>
  </si>
  <si>
    <t>ALTERNATIVE DIE SIZES MAY BE ENTERED IN THIS TABLE</t>
  </si>
  <si>
    <t>ROD TYPE</t>
  </si>
  <si>
    <t>TOTAL R in AREA</t>
  </si>
  <si>
    <t>ROD SIZE</t>
  </si>
  <si>
    <t>AVERAGE REDN.</t>
  </si>
  <si>
    <t>FINAL SIZE</t>
  </si>
  <si>
    <t>1st  DIE REDN.(OPT)</t>
  </si>
  <si>
    <t>No OF DIES</t>
  </si>
  <si>
    <t>INLET SPEED</t>
  </si>
  <si>
    <t>INITIAL TENSILE</t>
  </si>
  <si>
    <t>M/C SPEED</t>
  </si>
  <si>
    <t>TAPER</t>
  </si>
  <si>
    <t>R/DIE</t>
  </si>
  <si>
    <t>TENSILE N/mm²</t>
  </si>
  <si>
    <t>ACT. BLK SPD</t>
  </si>
  <si>
    <t>MAX BLK SPD</t>
  </si>
  <si>
    <t>MIN BLK SPD</t>
  </si>
  <si>
    <t>POWER REQ</t>
  </si>
  <si>
    <t>POWER AVAIL</t>
  </si>
  <si>
    <t>STRAIN</t>
  </si>
  <si>
    <t>DIE AREA mm²</t>
  </si>
  <si>
    <t>BLOCK DIA mm</t>
  </si>
  <si>
    <t>BLOCK RPM</t>
  </si>
  <si>
    <t>MOTOR RPM</t>
  </si>
  <si>
    <t>INIT. TENS. &amp; STRAIN FACTORS</t>
  </si>
  <si>
    <t>QUALITY</t>
  </si>
  <si>
    <t>INIT</t>
  </si>
  <si>
    <t>CONST</t>
  </si>
  <si>
    <t>D8-2</t>
  </si>
  <si>
    <t>FM5</t>
  </si>
  <si>
    <t>K07</t>
  </si>
  <si>
    <t>K20</t>
  </si>
  <si>
    <t>K25</t>
  </si>
  <si>
    <t>K30</t>
  </si>
  <si>
    <t>K35</t>
  </si>
  <si>
    <t>K40</t>
  </si>
  <si>
    <t>K45</t>
  </si>
  <si>
    <t>K50</t>
  </si>
  <si>
    <t>K55</t>
  </si>
  <si>
    <t>K60</t>
  </si>
  <si>
    <t>K65</t>
  </si>
  <si>
    <t>K70</t>
  </si>
  <si>
    <t>K75</t>
  </si>
  <si>
    <t>K80</t>
  </si>
  <si>
    <t>K85</t>
  </si>
  <si>
    <t>KR06</t>
  </si>
  <si>
    <t>R09</t>
  </si>
  <si>
    <t>блок</t>
  </si>
  <si>
    <t>ВСР ГП, Н/мм2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</si>
</sst>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&quot;£&quot;#,##0.00;&quot;-&quot;&quot;£&quot;#,##0.00"/>
    <numFmt numFmtId="165" formatCode="0.00&quot; mm dia&quot;"/>
    <numFmt numFmtId="166" formatCode=";&quot;No. &quot;0.0;"/>
    <numFmt numFmtId="167" formatCode="0.0%"/>
    <numFmt numFmtId="168" formatCode="&quot;No. &quot;0"/>
    <numFmt numFmtId="169" formatCode="0.0&quot; m/s&quot;"/>
    <numFmt numFmtId="170" formatCode="0.0"/>
    <numFmt numFmtId="171" formatCode=";0;"/>
  </numFmts>
  <fonts count="24" x14ac:knownFonts="1">
    <font>
      <sz val="10"/>
      <name val="MS Sans Serif"/>
    </font>
    <font>
      <sz val="10"/>
      <name val="Helv"/>
    </font>
    <font>
      <b/>
      <sz val="12"/>
      <name val="Helv"/>
    </font>
    <font>
      <b/>
      <sz val="8"/>
      <name val="Helv"/>
    </font>
    <font>
      <sz val="10"/>
      <color indexed="8"/>
      <name val="Helv"/>
      <charset val="204"/>
    </font>
    <font>
      <b/>
      <u/>
      <sz val="8"/>
      <color indexed="48"/>
      <name val="Helv"/>
      <charset val="204"/>
    </font>
    <font>
      <b/>
      <sz val="10"/>
      <color indexed="10"/>
      <name val="Helv"/>
      <charset val="204"/>
    </font>
    <font>
      <b/>
      <sz val="9"/>
      <name val="Helv"/>
      <charset val="204"/>
    </font>
    <font>
      <sz val="10"/>
      <name val="MS Sans Serif"/>
      <family val="2"/>
      <charset val="204"/>
    </font>
    <font>
      <b/>
      <sz val="8"/>
      <color indexed="10"/>
      <name val="Helv"/>
      <charset val="204"/>
    </font>
    <font>
      <b/>
      <vertAlign val="subscript"/>
      <sz val="12"/>
      <name val="Helv"/>
      <charset val="204"/>
    </font>
    <font>
      <b/>
      <sz val="12"/>
      <name val="Helv"/>
      <charset val="204"/>
    </font>
    <font>
      <b/>
      <vertAlign val="superscript"/>
      <sz val="12"/>
      <name val="Helv"/>
      <charset val="204"/>
    </font>
    <font>
      <b/>
      <vertAlign val="superscript"/>
      <sz val="8"/>
      <name val="Helv"/>
    </font>
    <font>
      <b/>
      <sz val="8"/>
      <name val="Helv"/>
      <charset val="204"/>
    </font>
    <font>
      <sz val="8"/>
      <name val="Helv"/>
    </font>
    <font>
      <b/>
      <sz val="10"/>
      <name val="Helv"/>
      <charset val="204"/>
    </font>
    <font>
      <b/>
      <u/>
      <sz val="8"/>
      <name val="Helv"/>
    </font>
    <font>
      <b/>
      <sz val="10"/>
      <name val="Helv"/>
    </font>
    <font>
      <sz val="9"/>
      <name val="Helv"/>
    </font>
    <font>
      <sz val="9"/>
      <name val="Arial"/>
      <family val="2"/>
      <charset val="204"/>
    </font>
    <font>
      <sz val="10"/>
      <name val="Arial"/>
      <family val="2"/>
      <charset val="204"/>
    </font>
    <font>
      <b/>
      <sz val="8"/>
      <name val="Arial"/>
      <family val="2"/>
      <charset val="204"/>
    </font>
    <font>
      <b/>
      <sz val="10"/>
      <color rgb="FFFF0000"/>
      <name val="Helv"/>
      <charset val="204"/>
    </font>
  </fonts>
  <fills count="14">
    <fill>
      <patternFill patternType="none"/>
    </fill>
    <fill>
      <patternFill patternType="gray125"/>
    </fill>
    <fill>
      <patternFill patternType="solid">
        <fgColor indexed="22"/>
        <bgColor indexed="22"/>
      </patternFill>
    </fill>
    <fill>
      <patternFill patternType="solid">
        <fgColor indexed="22"/>
      </patternFill>
    </fill>
    <fill>
      <patternFill patternType="solid">
        <fgColor indexed="15"/>
      </patternFill>
    </fill>
    <fill>
      <patternFill patternType="solid">
        <fgColor indexed="45"/>
        <bgColor indexed="64"/>
      </patternFill>
    </fill>
    <fill>
      <patternFill patternType="solid">
        <fgColor indexed="11"/>
      </patternFill>
    </fill>
    <fill>
      <patternFill patternType="solid">
        <fgColor indexed="19"/>
      </patternFill>
    </fill>
    <fill>
      <patternFill patternType="solid">
        <fgColor indexed="9"/>
      </patternFill>
    </fill>
    <fill>
      <patternFill patternType="solid">
        <fgColor indexed="13"/>
      </patternFill>
    </fill>
    <fill>
      <patternFill patternType="lightGray">
        <fgColor indexed="22"/>
      </patternFill>
    </fill>
    <fill>
      <patternFill patternType="solid">
        <fgColor indexed="17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9" fontId="8" fillId="0" borderId="0" applyFont="0" applyFill="0" applyBorder="0" applyAlignment="0" applyProtection="0"/>
    <xf numFmtId="0" fontId="1" fillId="0" borderId="0"/>
  </cellStyleXfs>
  <cellXfs count="169">
    <xf numFmtId="0" fontId="0" fillId="0" borderId="0" xfId="0"/>
    <xf numFmtId="0" fontId="2" fillId="2" borderId="1" xfId="2" applyNumberFormat="1" applyFont="1" applyFill="1" applyBorder="1"/>
    <xf numFmtId="0" fontId="2" fillId="2" borderId="2" xfId="2" applyNumberFormat="1" applyFont="1" applyFill="1" applyBorder="1"/>
    <xf numFmtId="0" fontId="2" fillId="2" borderId="3" xfId="2" applyNumberFormat="1" applyFont="1" applyFill="1" applyBorder="1" applyProtection="1">
      <protection locked="0"/>
    </xf>
    <xf numFmtId="0" fontId="3" fillId="0" borderId="0" xfId="2" applyFont="1"/>
    <xf numFmtId="0" fontId="1" fillId="0" borderId="0" xfId="2"/>
    <xf numFmtId="164" fontId="1" fillId="0" borderId="0" xfId="2" applyNumberFormat="1"/>
    <xf numFmtId="165" fontId="2" fillId="3" borderId="4" xfId="2" applyNumberFormat="1" applyFont="1" applyFill="1" applyBorder="1"/>
    <xf numFmtId="0" fontId="2" fillId="3" borderId="5" xfId="2" applyNumberFormat="1" applyFont="1" applyFill="1" applyBorder="1"/>
    <xf numFmtId="0" fontId="2" fillId="0" borderId="0" xfId="2" applyNumberFormat="1" applyFont="1"/>
    <xf numFmtId="0" fontId="2" fillId="2" borderId="6" xfId="2" applyNumberFormat="1" applyFont="1" applyFill="1" applyBorder="1"/>
    <xf numFmtId="0" fontId="2" fillId="2" borderId="7" xfId="2" applyNumberFormat="1" applyFont="1" applyFill="1" applyBorder="1"/>
    <xf numFmtId="0" fontId="2" fillId="2" borderId="8" xfId="2" applyNumberFormat="1" applyFont="1" applyFill="1" applyBorder="1"/>
    <xf numFmtId="0" fontId="2" fillId="0" borderId="0" xfId="2" applyNumberFormat="1" applyFont="1" applyBorder="1"/>
    <xf numFmtId="165" fontId="2" fillId="0" borderId="0" xfId="2" applyNumberFormat="1" applyFont="1" applyBorder="1"/>
    <xf numFmtId="166" fontId="4" fillId="0" borderId="0" xfId="2" applyNumberFormat="1" applyFont="1" applyFill="1"/>
    <xf numFmtId="0" fontId="3" fillId="0" borderId="0" xfId="2" applyNumberFormat="1" applyFont="1"/>
    <xf numFmtId="0" fontId="1" fillId="0" borderId="0" xfId="2" applyNumberFormat="1" applyFont="1" applyAlignment="1" applyProtection="1">
      <alignment horizontal="right"/>
      <protection locked="0"/>
    </xf>
    <xf numFmtId="167" fontId="5" fillId="0" borderId="0" xfId="2" applyNumberFormat="1" applyFont="1" applyFill="1"/>
    <xf numFmtId="0" fontId="6" fillId="0" borderId="0" xfId="2" applyNumberFormat="1" applyFont="1" applyProtection="1">
      <protection locked="0"/>
    </xf>
    <xf numFmtId="10" fontId="5" fillId="0" borderId="0" xfId="2" applyNumberFormat="1" applyFont="1" applyFill="1"/>
    <xf numFmtId="2" fontId="6" fillId="0" borderId="0" xfId="2" applyNumberFormat="1" applyFont="1" applyProtection="1">
      <protection locked="0"/>
    </xf>
    <xf numFmtId="0" fontId="7" fillId="0" borderId="0" xfId="2" applyFont="1"/>
    <xf numFmtId="10" fontId="9" fillId="0" borderId="0" xfId="1" applyNumberFormat="1" applyFont="1"/>
    <xf numFmtId="0" fontId="1" fillId="0" borderId="0" xfId="2" applyNumberFormat="1"/>
    <xf numFmtId="0" fontId="1" fillId="0" borderId="0" xfId="2" applyNumberFormat="1" applyFont="1"/>
    <xf numFmtId="10" fontId="1" fillId="0" borderId="0" xfId="2" applyNumberFormat="1" applyProtection="1">
      <protection locked="0"/>
    </xf>
    <xf numFmtId="168" fontId="6" fillId="0" borderId="0" xfId="2" applyNumberFormat="1" applyFont="1"/>
    <xf numFmtId="0" fontId="3" fillId="0" borderId="0" xfId="2" applyFont="1" applyAlignment="1">
      <alignment horizontal="center"/>
    </xf>
    <xf numFmtId="0" fontId="1" fillId="0" borderId="0" xfId="2" applyAlignment="1">
      <alignment horizontal="right"/>
    </xf>
    <xf numFmtId="0" fontId="1" fillId="0" borderId="0" xfId="2" applyFont="1"/>
    <xf numFmtId="0" fontId="1" fillId="0" borderId="0" xfId="2" applyNumberFormat="1" applyProtection="1"/>
    <xf numFmtId="169" fontId="1" fillId="0" borderId="0" xfId="2" applyNumberFormat="1"/>
    <xf numFmtId="2" fontId="1" fillId="0" borderId="0" xfId="2" applyNumberFormat="1" applyProtection="1">
      <protection locked="0"/>
    </xf>
    <xf numFmtId="168" fontId="1" fillId="0" borderId="0" xfId="2" applyNumberFormat="1" applyProtection="1">
      <protection locked="0"/>
    </xf>
    <xf numFmtId="0" fontId="3" fillId="0" borderId="1" xfId="2" applyNumberFormat="1" applyFont="1" applyBorder="1"/>
    <xf numFmtId="0" fontId="1" fillId="0" borderId="2" xfId="2" applyBorder="1"/>
    <xf numFmtId="1" fontId="1" fillId="0" borderId="3" xfId="2" applyNumberFormat="1" applyBorder="1"/>
    <xf numFmtId="0" fontId="3" fillId="0" borderId="0" xfId="2" applyNumberFormat="1" applyFont="1" applyAlignment="1">
      <alignment wrapText="1"/>
    </xf>
    <xf numFmtId="0" fontId="3" fillId="0" borderId="6" xfId="2" applyNumberFormat="1" applyFont="1" applyBorder="1"/>
    <xf numFmtId="0" fontId="1" fillId="0" borderId="7" xfId="2" applyBorder="1"/>
    <xf numFmtId="170" fontId="1" fillId="0" borderId="8" xfId="2" applyNumberFormat="1" applyBorder="1"/>
    <xf numFmtId="0" fontId="6" fillId="0" borderId="0" xfId="2" applyFont="1"/>
    <xf numFmtId="0" fontId="6" fillId="0" borderId="0" xfId="2" applyNumberFormat="1" applyFont="1" applyAlignment="1">
      <alignment horizontal="left"/>
    </xf>
    <xf numFmtId="0" fontId="3" fillId="0" borderId="0" xfId="2" applyNumberFormat="1" applyFont="1" applyBorder="1"/>
    <xf numFmtId="0" fontId="1" fillId="0" borderId="0" xfId="2" applyBorder="1"/>
    <xf numFmtId="170" fontId="1" fillId="0" borderId="0" xfId="2" applyNumberFormat="1" applyBorder="1"/>
    <xf numFmtId="0" fontId="11" fillId="0" borderId="0" xfId="2" applyNumberFormat="1" applyFont="1" applyAlignment="1">
      <alignment wrapText="1"/>
    </xf>
    <xf numFmtId="171" fontId="1" fillId="0" borderId="0" xfId="2" applyNumberFormat="1" applyFont="1"/>
    <xf numFmtId="171" fontId="1" fillId="3" borderId="1" xfId="2" applyNumberFormat="1" applyFill="1" applyBorder="1"/>
    <xf numFmtId="171" fontId="1" fillId="3" borderId="2" xfId="2" applyNumberFormat="1" applyFill="1" applyBorder="1"/>
    <xf numFmtId="171" fontId="1" fillId="3" borderId="3" xfId="2" applyNumberFormat="1" applyFill="1" applyBorder="1"/>
    <xf numFmtId="0" fontId="3" fillId="3" borderId="3" xfId="2" applyNumberFormat="1" applyFont="1" applyFill="1" applyBorder="1" applyAlignment="1">
      <alignment horizontal="center"/>
    </xf>
    <xf numFmtId="0" fontId="3" fillId="3" borderId="9" xfId="2" applyNumberFormat="1" applyFont="1" applyFill="1" applyBorder="1" applyAlignment="1">
      <alignment horizontal="center"/>
    </xf>
    <xf numFmtId="0" fontId="1" fillId="3" borderId="6" xfId="2" applyNumberFormat="1" applyFill="1" applyBorder="1"/>
    <xf numFmtId="0" fontId="1" fillId="3" borderId="7" xfId="2" applyNumberFormat="1" applyFill="1" applyBorder="1"/>
    <xf numFmtId="0" fontId="1" fillId="3" borderId="8" xfId="2" applyNumberFormat="1" applyFill="1" applyBorder="1"/>
    <xf numFmtId="0" fontId="3" fillId="3" borderId="8" xfId="2" applyNumberFormat="1" applyFont="1" applyFill="1" applyBorder="1" applyAlignment="1">
      <alignment horizontal="center"/>
    </xf>
    <xf numFmtId="0" fontId="3" fillId="3" borderId="10" xfId="2" applyNumberFormat="1" applyFont="1" applyFill="1" applyBorder="1" applyAlignment="1">
      <alignment horizontal="center"/>
    </xf>
    <xf numFmtId="0" fontId="3" fillId="3" borderId="6" xfId="2" applyNumberFormat="1" applyFont="1" applyFill="1" applyBorder="1" applyAlignment="1">
      <alignment horizontal="center"/>
    </xf>
    <xf numFmtId="10" fontId="15" fillId="0" borderId="12" xfId="1" applyNumberFormat="1" applyFont="1" applyBorder="1" applyAlignment="1">
      <alignment horizontal="center"/>
    </xf>
    <xf numFmtId="167" fontId="15" fillId="0" borderId="12" xfId="2" applyNumberFormat="1" applyFont="1" applyBorder="1" applyAlignment="1">
      <alignment horizontal="center"/>
    </xf>
    <xf numFmtId="167" fontId="15" fillId="0" borderId="13" xfId="2" applyNumberFormat="1" applyFont="1" applyBorder="1" applyAlignment="1">
      <alignment horizontal="center"/>
    </xf>
    <xf numFmtId="0" fontId="3" fillId="3" borderId="14" xfId="2" applyNumberFormat="1" applyFont="1" applyFill="1" applyBorder="1" applyAlignment="1">
      <alignment wrapText="1"/>
    </xf>
    <xf numFmtId="0" fontId="14" fillId="3" borderId="14" xfId="2" applyNumberFormat="1" applyFont="1" applyFill="1" applyBorder="1" applyAlignment="1">
      <alignment wrapText="1"/>
    </xf>
    <xf numFmtId="2" fontId="1" fillId="4" borderId="12" xfId="2" applyNumberFormat="1" applyFill="1" applyBorder="1" applyAlignment="1">
      <alignment horizontal="center"/>
    </xf>
    <xf numFmtId="2" fontId="1" fillId="4" borderId="13" xfId="2" applyNumberFormat="1" applyFill="1" applyBorder="1" applyAlignment="1">
      <alignment horizontal="center"/>
    </xf>
    <xf numFmtId="2" fontId="1" fillId="5" borderId="12" xfId="2" applyNumberFormat="1" applyFill="1" applyBorder="1" applyAlignment="1">
      <alignment horizontal="center"/>
    </xf>
    <xf numFmtId="170" fontId="16" fillId="5" borderId="12" xfId="2" applyNumberFormat="1" applyFont="1" applyFill="1" applyBorder="1" applyAlignment="1">
      <alignment horizontal="center"/>
    </xf>
    <xf numFmtId="170" fontId="16" fillId="4" borderId="12" xfId="2" applyNumberFormat="1" applyFont="1" applyFill="1" applyBorder="1" applyAlignment="1">
      <alignment horizontal="center"/>
    </xf>
    <xf numFmtId="1" fontId="1" fillId="6" borderId="12" xfId="2" applyNumberFormat="1" applyFill="1" applyBorder="1" applyAlignment="1">
      <alignment horizontal="center"/>
    </xf>
    <xf numFmtId="0" fontId="1" fillId="3" borderId="12" xfId="2" applyFill="1" applyBorder="1"/>
    <xf numFmtId="0" fontId="3" fillId="3" borderId="12" xfId="2" applyNumberFormat="1" applyFont="1" applyFill="1" applyBorder="1" applyAlignment="1">
      <alignment wrapText="1"/>
    </xf>
    <xf numFmtId="0" fontId="1" fillId="0" borderId="12" xfId="2" applyNumberFormat="1" applyBorder="1" applyAlignment="1">
      <alignment horizontal="center"/>
    </xf>
    <xf numFmtId="0" fontId="1" fillId="0" borderId="13" xfId="2" applyNumberFormat="1" applyBorder="1" applyAlignment="1">
      <alignment horizontal="center"/>
    </xf>
    <xf numFmtId="2" fontId="1" fillId="7" borderId="12" xfId="2" applyNumberFormat="1" applyFill="1" applyBorder="1" applyAlignment="1">
      <alignment horizontal="center"/>
    </xf>
    <xf numFmtId="2" fontId="1" fillId="7" borderId="13" xfId="2" applyNumberFormat="1" applyFill="1" applyBorder="1" applyAlignment="1">
      <alignment horizontal="center"/>
    </xf>
    <xf numFmtId="2" fontId="1" fillId="8" borderId="12" xfId="2" applyNumberFormat="1" applyFill="1" applyBorder="1" applyAlignment="1">
      <alignment horizontal="center"/>
    </xf>
    <xf numFmtId="2" fontId="1" fillId="0" borderId="12" xfId="2" applyNumberFormat="1" applyBorder="1" applyAlignment="1">
      <alignment horizontal="center"/>
    </xf>
    <xf numFmtId="1" fontId="1" fillId="9" borderId="12" xfId="2" applyNumberFormat="1" applyFill="1" applyBorder="1" applyAlignment="1">
      <alignment horizontal="center"/>
    </xf>
    <xf numFmtId="1" fontId="1" fillId="0" borderId="12" xfId="2" applyNumberFormat="1" applyBorder="1"/>
    <xf numFmtId="2" fontId="1" fillId="10" borderId="12" xfId="2" applyNumberFormat="1" applyFill="1" applyBorder="1" applyAlignment="1">
      <alignment horizontal="center"/>
    </xf>
    <xf numFmtId="170" fontId="1" fillId="10" borderId="12" xfId="2" applyNumberFormat="1" applyFill="1" applyBorder="1" applyAlignment="1">
      <alignment horizontal="center"/>
    </xf>
    <xf numFmtId="170" fontId="1" fillId="10" borderId="13" xfId="2" applyNumberFormat="1" applyFill="1" applyBorder="1" applyAlignment="1">
      <alignment horizontal="center"/>
    </xf>
    <xf numFmtId="170" fontId="1" fillId="10" borderId="13" xfId="2" applyNumberFormat="1" applyFill="1" applyBorder="1" applyAlignment="1" applyProtection="1">
      <alignment horizontal="center"/>
      <protection hidden="1"/>
    </xf>
    <xf numFmtId="1" fontId="1" fillId="10" borderId="12" xfId="2" applyNumberFormat="1" applyFill="1" applyBorder="1" applyAlignment="1">
      <alignment horizontal="center"/>
    </xf>
    <xf numFmtId="0" fontId="17" fillId="3" borderId="12" xfId="2" applyNumberFormat="1" applyFont="1" applyFill="1" applyBorder="1" applyAlignment="1">
      <alignment wrapText="1"/>
    </xf>
    <xf numFmtId="1" fontId="1" fillId="10" borderId="10" xfId="2" applyNumberFormat="1" applyFill="1" applyBorder="1" applyAlignment="1">
      <alignment horizontal="center"/>
    </xf>
    <xf numFmtId="1" fontId="1" fillId="10" borderId="10" xfId="2" applyNumberFormat="1" applyFont="1" applyFill="1" applyBorder="1" applyAlignment="1">
      <alignment horizontal="center"/>
    </xf>
    <xf numFmtId="0" fontId="1" fillId="3" borderId="6" xfId="2" applyFill="1" applyBorder="1"/>
    <xf numFmtId="0" fontId="1" fillId="3" borderId="7" xfId="2" applyFill="1" applyBorder="1"/>
    <xf numFmtId="0" fontId="1" fillId="3" borderId="8" xfId="2" applyFill="1" applyBorder="1"/>
    <xf numFmtId="9" fontId="1" fillId="0" borderId="0" xfId="2" applyNumberFormat="1"/>
    <xf numFmtId="1" fontId="1" fillId="0" borderId="0" xfId="2" applyNumberFormat="1"/>
    <xf numFmtId="167" fontId="1" fillId="0" borderId="0" xfId="2" applyNumberFormat="1"/>
    <xf numFmtId="0" fontId="18" fillId="0" borderId="0" xfId="2" applyFont="1"/>
    <xf numFmtId="0" fontId="18" fillId="0" borderId="0" xfId="2" applyNumberFormat="1" applyFont="1"/>
    <xf numFmtId="170" fontId="1" fillId="0" borderId="0" xfId="2" applyNumberFormat="1"/>
    <xf numFmtId="0" fontId="2" fillId="11" borderId="0" xfId="2" applyNumberFormat="1" applyFont="1" applyFill="1"/>
    <xf numFmtId="0" fontId="1" fillId="11" borderId="0" xfId="2" applyFill="1"/>
    <xf numFmtId="0" fontId="1" fillId="0" borderId="0" xfId="2" applyNumberFormat="1" applyAlignment="1" applyProtection="1">
      <alignment horizontal="right"/>
      <protection locked="0"/>
    </xf>
    <xf numFmtId="167" fontId="15" fillId="0" borderId="0" xfId="2" applyNumberFormat="1" applyFont="1"/>
    <xf numFmtId="10" fontId="15" fillId="0" borderId="0" xfId="2" applyNumberFormat="1" applyFont="1"/>
    <xf numFmtId="169" fontId="1" fillId="0" borderId="0" xfId="2" applyNumberFormat="1" applyAlignment="1">
      <alignment horizontal="right"/>
    </xf>
    <xf numFmtId="0" fontId="1" fillId="0" borderId="0" xfId="2" applyNumberFormat="1" applyProtection="1">
      <protection locked="0"/>
    </xf>
    <xf numFmtId="169" fontId="15" fillId="0" borderId="0" xfId="2" applyNumberFormat="1" applyFont="1" applyProtection="1">
      <protection locked="0"/>
    </xf>
    <xf numFmtId="0" fontId="3" fillId="0" borderId="15" xfId="2" applyNumberFormat="1" applyFont="1" applyBorder="1"/>
    <xf numFmtId="0" fontId="1" fillId="0" borderId="16" xfId="2" applyBorder="1"/>
    <xf numFmtId="1" fontId="1" fillId="0" borderId="17" xfId="2" applyNumberFormat="1" applyBorder="1"/>
    <xf numFmtId="0" fontId="3" fillId="0" borderId="18" xfId="2" applyNumberFormat="1" applyFont="1" applyBorder="1"/>
    <xf numFmtId="0" fontId="1" fillId="0" borderId="19" xfId="2" applyBorder="1"/>
    <xf numFmtId="170" fontId="1" fillId="0" borderId="20" xfId="2" applyNumberFormat="1" applyBorder="1"/>
    <xf numFmtId="2" fontId="18" fillId="0" borderId="0" xfId="2" applyNumberFormat="1" applyFont="1"/>
    <xf numFmtId="0" fontId="1" fillId="11" borderId="1" xfId="2" applyNumberFormat="1" applyFill="1" applyBorder="1"/>
    <xf numFmtId="0" fontId="3" fillId="11" borderId="9" xfId="2" applyNumberFormat="1" applyFont="1" applyFill="1" applyBorder="1" applyAlignment="1">
      <alignment horizontal="center"/>
    </xf>
    <xf numFmtId="0" fontId="1" fillId="11" borderId="3" xfId="2" applyFill="1" applyBorder="1"/>
    <xf numFmtId="0" fontId="1" fillId="11" borderId="12" xfId="2" applyNumberFormat="1" applyFill="1" applyBorder="1"/>
    <xf numFmtId="0" fontId="3" fillId="11" borderId="10" xfId="2" applyNumberFormat="1" applyFont="1" applyFill="1" applyBorder="1" applyAlignment="1">
      <alignment horizontal="center"/>
    </xf>
    <xf numFmtId="0" fontId="1" fillId="11" borderId="13" xfId="2" applyFill="1" applyBorder="1"/>
    <xf numFmtId="10" fontId="19" fillId="0" borderId="12" xfId="1" applyNumberFormat="1" applyFont="1" applyBorder="1"/>
    <xf numFmtId="167" fontId="1" fillId="0" borderId="14" xfId="2" applyNumberFormat="1" applyFont="1" applyFill="1" applyBorder="1" applyAlignment="1">
      <alignment horizontal="center"/>
    </xf>
    <xf numFmtId="167" fontId="1" fillId="0" borderId="13" xfId="2" applyNumberFormat="1" applyFont="1" applyBorder="1" applyAlignment="1">
      <alignment horizontal="center"/>
    </xf>
    <xf numFmtId="10" fontId="15" fillId="0" borderId="12" xfId="2" applyNumberFormat="1" applyFont="1" applyBorder="1" applyAlignment="1">
      <alignment horizontal="center"/>
    </xf>
    <xf numFmtId="0" fontId="20" fillId="12" borderId="21" xfId="0" applyFont="1" applyFill="1" applyBorder="1" applyAlignment="1">
      <alignment horizontal="center" wrapText="1"/>
    </xf>
    <xf numFmtId="0" fontId="20" fillId="12" borderId="22" xfId="0" applyFont="1" applyFill="1" applyBorder="1" applyAlignment="1">
      <alignment horizontal="center" wrapText="1"/>
    </xf>
    <xf numFmtId="2" fontId="21" fillId="0" borderId="22" xfId="0" applyNumberFormat="1" applyFont="1" applyFill="1" applyBorder="1" applyAlignment="1">
      <alignment horizontal="center"/>
    </xf>
    <xf numFmtId="2" fontId="6" fillId="13" borderId="7" xfId="2" applyNumberFormat="1" applyFont="1" applyFill="1" applyBorder="1" applyAlignment="1" applyProtection="1">
      <alignment horizontal="center"/>
      <protection locked="0"/>
    </xf>
    <xf numFmtId="0" fontId="3" fillId="11" borderId="23" xfId="2" applyNumberFormat="1" applyFont="1" applyFill="1" applyBorder="1"/>
    <xf numFmtId="1" fontId="1" fillId="0" borderId="12" xfId="2" applyNumberFormat="1" applyBorder="1" applyAlignment="1">
      <alignment horizontal="center"/>
    </xf>
    <xf numFmtId="1" fontId="1" fillId="0" borderId="0" xfId="2" applyNumberFormat="1" applyBorder="1" applyAlignment="1">
      <alignment horizontal="center"/>
    </xf>
    <xf numFmtId="0" fontId="1" fillId="0" borderId="0" xfId="2" applyNumberFormat="1" applyBorder="1" applyAlignment="1">
      <alignment horizontal="center"/>
    </xf>
    <xf numFmtId="2" fontId="1" fillId="0" borderId="0" xfId="2" applyNumberFormat="1" applyBorder="1" applyAlignment="1" applyProtection="1">
      <alignment horizontal="center"/>
      <protection locked="0"/>
    </xf>
    <xf numFmtId="0" fontId="1" fillId="0" borderId="0" xfId="2" applyNumberFormat="1" applyBorder="1"/>
    <xf numFmtId="0" fontId="1" fillId="0" borderId="12" xfId="2" applyNumberFormat="1" applyBorder="1"/>
    <xf numFmtId="2" fontId="1" fillId="0" borderId="0" xfId="2" applyNumberFormat="1" applyBorder="1" applyAlignment="1">
      <alignment horizontal="center"/>
    </xf>
    <xf numFmtId="170" fontId="1" fillId="0" borderId="12" xfId="2" applyNumberFormat="1" applyBorder="1" applyAlignment="1">
      <alignment horizontal="center"/>
    </xf>
    <xf numFmtId="170" fontId="1" fillId="0" borderId="0" xfId="2" applyNumberFormat="1" applyBorder="1" applyAlignment="1">
      <alignment horizontal="center"/>
    </xf>
    <xf numFmtId="1" fontId="1" fillId="0" borderId="10" xfId="2" applyNumberFormat="1" applyBorder="1" applyAlignment="1">
      <alignment horizontal="center"/>
    </xf>
    <xf numFmtId="1" fontId="1" fillId="0" borderId="7" xfId="2" applyNumberFormat="1" applyBorder="1" applyAlignment="1">
      <alignment horizontal="center"/>
    </xf>
    <xf numFmtId="0" fontId="1" fillId="11" borderId="7" xfId="2" applyFill="1" applyBorder="1"/>
    <xf numFmtId="0" fontId="1" fillId="11" borderId="8" xfId="2" applyFill="1" applyBorder="1"/>
    <xf numFmtId="1" fontId="1" fillId="0" borderId="0" xfId="2" applyNumberFormat="1" applyBorder="1"/>
    <xf numFmtId="0" fontId="21" fillId="12" borderId="21" xfId="0" applyFont="1" applyFill="1" applyBorder="1" applyAlignment="1">
      <alignment horizontal="center" wrapText="1"/>
    </xf>
    <xf numFmtId="0" fontId="21" fillId="12" borderId="22" xfId="0" applyFont="1" applyFill="1" applyBorder="1" applyAlignment="1">
      <alignment horizontal="center" wrapText="1"/>
    </xf>
    <xf numFmtId="0" fontId="21" fillId="0" borderId="22" xfId="0" applyFont="1" applyFill="1" applyBorder="1" applyAlignment="1">
      <alignment horizontal="center"/>
    </xf>
    <xf numFmtId="0" fontId="22" fillId="12" borderId="26" xfId="0" applyFont="1" applyFill="1" applyBorder="1" applyAlignment="1">
      <alignment horizontal="center" wrapText="1"/>
    </xf>
    <xf numFmtId="0" fontId="22" fillId="12" borderId="28" xfId="0" applyFont="1" applyFill="1" applyBorder="1" applyAlignment="1">
      <alignment horizontal="center" wrapText="1"/>
    </xf>
    <xf numFmtId="170" fontId="23" fillId="0" borderId="14" xfId="2" applyNumberFormat="1" applyFont="1" applyBorder="1"/>
    <xf numFmtId="1" fontId="3" fillId="0" borderId="14" xfId="2" applyNumberFormat="1" applyFont="1" applyBorder="1"/>
    <xf numFmtId="0" fontId="22" fillId="12" borderId="25" xfId="0" applyFont="1" applyFill="1" applyBorder="1" applyAlignment="1">
      <alignment horizontal="center" wrapText="1"/>
    </xf>
    <xf numFmtId="0" fontId="22" fillId="12" borderId="27" xfId="0" applyFont="1" applyFill="1" applyBorder="1" applyAlignment="1">
      <alignment horizontal="center" wrapText="1"/>
    </xf>
    <xf numFmtId="0" fontId="3" fillId="3" borderId="4" xfId="2" applyNumberFormat="1" applyFont="1" applyFill="1" applyBorder="1" applyAlignment="1">
      <alignment horizontal="left" wrapText="1"/>
    </xf>
    <xf numFmtId="0" fontId="3" fillId="3" borderId="11" xfId="2" applyNumberFormat="1" applyFont="1" applyFill="1" applyBorder="1" applyAlignment="1">
      <alignment horizontal="left" wrapText="1"/>
    </xf>
    <xf numFmtId="0" fontId="3" fillId="3" borderId="5" xfId="2" applyNumberFormat="1" applyFont="1" applyFill="1" applyBorder="1" applyAlignment="1">
      <alignment horizontal="left" wrapText="1"/>
    </xf>
    <xf numFmtId="0" fontId="3" fillId="3" borderId="1" xfId="2" applyNumberFormat="1" applyFont="1" applyFill="1" applyBorder="1" applyAlignment="1">
      <alignment wrapText="1"/>
    </xf>
    <xf numFmtId="0" fontId="3" fillId="3" borderId="2" xfId="2" applyNumberFormat="1" applyFont="1" applyFill="1" applyBorder="1" applyAlignment="1">
      <alignment wrapText="1"/>
    </xf>
    <xf numFmtId="0" fontId="3" fillId="3" borderId="24" xfId="2" applyNumberFormat="1" applyFont="1" applyFill="1" applyBorder="1" applyAlignment="1">
      <alignment wrapText="1"/>
    </xf>
    <xf numFmtId="0" fontId="1" fillId="0" borderId="23" xfId="2" applyNumberFormat="1" applyBorder="1" applyAlignment="1">
      <alignment horizontal="center" wrapText="1"/>
    </xf>
    <xf numFmtId="0" fontId="3" fillId="3" borderId="23" xfId="2" applyNumberFormat="1" applyFont="1" applyFill="1" applyBorder="1" applyAlignment="1">
      <alignment wrapText="1"/>
    </xf>
    <xf numFmtId="0" fontId="3" fillId="3" borderId="0" xfId="2" applyNumberFormat="1" applyFont="1" applyFill="1" applyBorder="1" applyAlignment="1">
      <alignment wrapText="1"/>
    </xf>
    <xf numFmtId="0" fontId="3" fillId="3" borderId="13" xfId="2" applyNumberFormat="1" applyFont="1" applyFill="1" applyBorder="1" applyAlignment="1">
      <alignment wrapText="1"/>
    </xf>
    <xf numFmtId="0" fontId="14" fillId="3" borderId="4" xfId="2" applyNumberFormat="1" applyFont="1" applyFill="1" applyBorder="1" applyAlignment="1">
      <alignment horizontal="left"/>
    </xf>
    <xf numFmtId="0" fontId="14" fillId="3" borderId="11" xfId="2" applyNumberFormat="1" applyFont="1" applyFill="1" applyBorder="1" applyAlignment="1">
      <alignment horizontal="left"/>
    </xf>
    <xf numFmtId="0" fontId="14" fillId="3" borderId="5" xfId="2" applyNumberFormat="1" applyFont="1" applyFill="1" applyBorder="1" applyAlignment="1">
      <alignment horizontal="left"/>
    </xf>
    <xf numFmtId="0" fontId="14" fillId="3" borderId="1" xfId="2" applyNumberFormat="1" applyFont="1" applyFill="1" applyBorder="1" applyAlignment="1">
      <alignment horizontal="left"/>
    </xf>
    <xf numFmtId="0" fontId="14" fillId="3" borderId="2" xfId="2" applyNumberFormat="1" applyFont="1" applyFill="1" applyBorder="1" applyAlignment="1">
      <alignment horizontal="left"/>
    </xf>
    <xf numFmtId="0" fontId="14" fillId="3" borderId="3" xfId="2" applyNumberFormat="1" applyFont="1" applyFill="1" applyBorder="1" applyAlignment="1">
      <alignment horizontal="left"/>
    </xf>
    <xf numFmtId="0" fontId="3" fillId="0" borderId="14" xfId="2" applyNumberFormat="1" applyFont="1" applyFill="1" applyBorder="1" applyAlignment="1">
      <alignment horizontal="left" wrapText="1"/>
    </xf>
    <xf numFmtId="0" fontId="3" fillId="0" borderId="14" xfId="2" applyNumberFormat="1" applyFont="1" applyFill="1" applyBorder="1" applyAlignment="1">
      <alignment wrapText="1"/>
    </xf>
  </cellXfs>
  <cellStyles count="3">
    <cellStyle name="Normal_NEW  B &amp; S  MACHINE" xfId="2" xr:uid="{00000000-0005-0000-0000-000000000000}"/>
    <cellStyle name="Обычный" xfId="0" builtinId="0"/>
    <cellStyle name="Процентный" xfId="1" builtinId="5"/>
  </cellStyles>
  <dxfs count="22">
    <dxf>
      <font>
        <condense val="0"/>
        <extend val="0"/>
      </font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55</xdr:row>
      <xdr:rowOff>0</xdr:rowOff>
    </xdr:from>
    <xdr:to>
      <xdr:col>11</xdr:col>
      <xdr:colOff>0</xdr:colOff>
      <xdr:row>57</xdr:row>
      <xdr:rowOff>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rrowheads="1"/>
        </xdr:cNvSpPr>
      </xdr:nvSpPr>
      <xdr:spPr bwMode="auto">
        <a:xfrm>
          <a:off x="3886200" y="6477000"/>
          <a:ext cx="2905125" cy="3429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6</xdr:col>
      <xdr:colOff>0</xdr:colOff>
      <xdr:row>9</xdr:row>
      <xdr:rowOff>0</xdr:rowOff>
    </xdr:from>
    <xdr:to>
      <xdr:col>11</xdr:col>
      <xdr:colOff>0</xdr:colOff>
      <xdr:row>11</xdr:row>
      <xdr:rowOff>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Arrowheads="1"/>
        </xdr:cNvSpPr>
      </xdr:nvSpPr>
      <xdr:spPr bwMode="auto">
        <a:xfrm>
          <a:off x="3886200" y="1647825"/>
          <a:ext cx="2905125" cy="4381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/>
        <a:lstStyle/>
        <a:p>
          <a:endParaRPr lang="ru-RU"/>
        </a:p>
      </xdr:txBody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7"/>
  <dimension ref="A1:W123"/>
  <sheetViews>
    <sheetView showGridLines="0" tabSelected="1" view="pageBreakPreview" zoomScaleNormal="100" zoomScaleSheetLayoutView="100" workbookViewId="0">
      <selection activeCell="K11" sqref="K11"/>
    </sheetView>
  </sheetViews>
  <sheetFormatPr defaultColWidth="8.85546875" defaultRowHeight="12.75" x14ac:dyDescent="0.2"/>
  <cols>
    <col min="1" max="1" width="18.28515625" style="5" customWidth="1"/>
    <col min="2" max="3" width="5.28515625" style="5" customWidth="1"/>
    <col min="4" max="4" width="8.28515625" style="5" customWidth="1"/>
    <col min="5" max="5" width="7.7109375" style="5" customWidth="1"/>
    <col min="6" max="6" width="8.42578125" style="5" customWidth="1"/>
    <col min="7" max="7" width="7.5703125" style="5" customWidth="1"/>
    <col min="8" max="8" width="8.7109375" style="5" customWidth="1"/>
    <col min="9" max="10" width="7.7109375" style="5" customWidth="1"/>
    <col min="11" max="11" width="8.85546875" style="5" customWidth="1"/>
    <col min="12" max="12" width="10.28515625" style="5" bestFit="1" customWidth="1"/>
    <col min="13" max="13" width="7.42578125" style="5" customWidth="1"/>
    <col min="14" max="14" width="9.7109375" style="5" customWidth="1"/>
    <col min="15" max="15" width="8" style="5" customWidth="1"/>
    <col min="16" max="23" width="5.7109375" style="5" customWidth="1"/>
    <col min="24" max="16384" width="8.85546875" style="5"/>
  </cols>
  <sheetData>
    <row r="1" spans="1:23" s="9" customFormat="1" ht="15.75" x14ac:dyDescent="0.25">
      <c r="A1" s="1"/>
      <c r="B1" s="2"/>
      <c r="C1" s="2"/>
      <c r="D1" s="2"/>
      <c r="E1" s="3"/>
      <c r="F1" s="4"/>
      <c r="G1" s="5"/>
      <c r="H1" s="5"/>
      <c r="I1" s="5"/>
      <c r="J1" s="6" t="e">
        <f>(K40+10)*0.045/(($K$10/1000)*0.94)</f>
        <v>#REF!</v>
      </c>
      <c r="K1" s="7" t="e">
        <f>TEXT(FINSIZE,"0.00")&amp;" mm dia"</f>
        <v>#VALUE!</v>
      </c>
      <c r="L1" s="8"/>
      <c r="M1" s="8"/>
    </row>
    <row r="2" spans="1:23" s="9" customFormat="1" ht="15.75" x14ac:dyDescent="0.25">
      <c r="A2" s="10"/>
      <c r="B2" s="11"/>
      <c r="C2" s="11"/>
      <c r="D2" s="11"/>
      <c r="E2" s="12"/>
      <c r="F2" s="5"/>
      <c r="G2" s="13"/>
      <c r="H2" s="13"/>
      <c r="I2" s="13"/>
      <c r="K2" s="14"/>
      <c r="L2" s="15">
        <f>(NoDIES)/2-0.5+STRTBLK</f>
        <v>5</v>
      </c>
    </row>
    <row r="3" spans="1:23" s="9" customFormat="1" ht="15.75" x14ac:dyDescent="0.25">
      <c r="A3" s="16" t="s">
        <v>0</v>
      </c>
      <c r="B3" s="16"/>
      <c r="C3" s="16"/>
      <c r="D3" s="5"/>
      <c r="E3" s="17" t="s">
        <v>1</v>
      </c>
      <c r="G3" s="16" t="s">
        <v>2</v>
      </c>
      <c r="H3" s="5"/>
      <c r="I3" s="5"/>
      <c r="J3" s="5"/>
      <c r="K3" s="5"/>
      <c r="L3" s="18">
        <f>1-(FINSIZE/INSIZE)^2</f>
        <v>0.89437500000000003</v>
      </c>
    </row>
    <row r="4" spans="1:23" x14ac:dyDescent="0.2">
      <c r="A4" s="16" t="s">
        <v>3</v>
      </c>
      <c r="B4" s="16"/>
      <c r="C4" s="16"/>
      <c r="E4" s="19">
        <v>4</v>
      </c>
      <c r="G4" s="16" t="s">
        <v>4</v>
      </c>
      <c r="L4" s="20">
        <f>1-(FINSIZE/INSIZE)^2^(1/NoDIES)</f>
        <v>0.22101403012259779</v>
      </c>
    </row>
    <row r="5" spans="1:23" x14ac:dyDescent="0.2">
      <c r="A5" s="16" t="s">
        <v>5</v>
      </c>
      <c r="B5" s="16"/>
      <c r="C5" s="16"/>
      <c r="E5" s="21">
        <v>1.3</v>
      </c>
      <c r="G5" s="22" t="s">
        <v>6</v>
      </c>
      <c r="L5" s="23">
        <v>0.2</v>
      </c>
      <c r="N5" s="24"/>
      <c r="O5" s="24"/>
      <c r="P5" s="24"/>
      <c r="Q5" s="24"/>
      <c r="R5" s="24"/>
      <c r="S5" s="24"/>
      <c r="T5" s="24"/>
      <c r="U5" s="25" t="s">
        <v>7</v>
      </c>
      <c r="V5" s="24"/>
      <c r="W5" s="24"/>
    </row>
    <row r="6" spans="1:23" x14ac:dyDescent="0.2">
      <c r="A6" s="16" t="s">
        <v>8</v>
      </c>
      <c r="B6" s="16"/>
      <c r="C6" s="16"/>
      <c r="E6" s="26">
        <v>0</v>
      </c>
      <c r="G6" s="16" t="s">
        <v>9</v>
      </c>
      <c r="L6" s="27">
        <v>9</v>
      </c>
      <c r="N6" s="24"/>
    </row>
    <row r="7" spans="1:23" x14ac:dyDescent="0.2">
      <c r="A7" s="16" t="s">
        <v>10</v>
      </c>
      <c r="B7" s="16"/>
      <c r="C7" s="16"/>
      <c r="E7" s="19">
        <v>9</v>
      </c>
      <c r="G7" s="16" t="s">
        <v>11</v>
      </c>
      <c r="I7" s="28"/>
      <c r="L7" s="29" t="str">
        <f>IF(MOD(L2,1)=0,"No.  "&amp;L2,"No.'s  "&amp;(L2-0.5)&amp;"  &amp;  "&amp;(L2+0.5))</f>
        <v>No.  5</v>
      </c>
      <c r="N7" s="25"/>
      <c r="R7" s="30"/>
    </row>
    <row r="8" spans="1:23" ht="18.75" x14ac:dyDescent="0.3">
      <c r="A8" s="9" t="s">
        <v>12</v>
      </c>
      <c r="B8" s="9"/>
      <c r="C8" s="9"/>
      <c r="E8" s="31">
        <f>VLOOKUP(RODTYPE,UTS,3)</f>
        <v>0</v>
      </c>
      <c r="G8" s="16" t="s">
        <v>13</v>
      </c>
      <c r="L8" s="32">
        <f>FINSIZE^2*FINSPD/INSIZE^2</f>
        <v>0.95062500000000005</v>
      </c>
      <c r="N8" s="24"/>
    </row>
    <row r="9" spans="1:23" x14ac:dyDescent="0.2">
      <c r="A9" s="16" t="s">
        <v>14</v>
      </c>
      <c r="B9" s="16"/>
      <c r="C9" s="16"/>
      <c r="E9" s="33">
        <v>9</v>
      </c>
      <c r="N9" s="24"/>
    </row>
    <row r="10" spans="1:23" x14ac:dyDescent="0.2">
      <c r="A10" s="16" t="s">
        <v>15</v>
      </c>
      <c r="B10" s="16"/>
      <c r="C10" s="16"/>
      <c r="E10" s="34">
        <v>1</v>
      </c>
      <c r="G10" s="35" t="s">
        <v>16</v>
      </c>
      <c r="H10" s="36"/>
      <c r="I10" s="36"/>
      <c r="J10" s="36"/>
      <c r="K10" s="37">
        <f>(FINSIZE)^2*22.2112*FINSPD</f>
        <v>337.83235200000001</v>
      </c>
      <c r="N10" s="24"/>
      <c r="O10" s="24"/>
      <c r="P10" s="24"/>
      <c r="Q10" s="24"/>
      <c r="R10" s="24"/>
      <c r="S10" s="24"/>
      <c r="T10" s="24"/>
      <c r="U10" s="24"/>
      <c r="V10" s="24"/>
      <c r="W10" s="24"/>
    </row>
    <row r="11" spans="1:23" ht="32.25" x14ac:dyDescent="0.2">
      <c r="A11" s="38" t="s">
        <v>17</v>
      </c>
      <c r="B11" s="38"/>
      <c r="C11" s="38"/>
      <c r="E11" s="24">
        <f>(AVREDN*100-L5*100)/((NoDIES-1)/2)</f>
        <v>0.52535075306494505</v>
      </c>
      <c r="G11" s="39" t="s">
        <v>18</v>
      </c>
      <c r="H11" s="40"/>
      <c r="I11" s="40"/>
      <c r="J11" s="40"/>
      <c r="K11" s="41">
        <f>K10*12*0.75/1000</f>
        <v>3.040491168</v>
      </c>
    </row>
    <row r="12" spans="1:23" ht="21.75" x14ac:dyDescent="0.2">
      <c r="A12" s="38" t="s">
        <v>19</v>
      </c>
      <c r="B12" s="38"/>
      <c r="C12" s="38"/>
      <c r="D12" s="42">
        <v>0.75</v>
      </c>
      <c r="E12" s="43">
        <v>0.85</v>
      </c>
      <c r="G12" s="44"/>
      <c r="H12" s="45"/>
      <c r="I12" s="45"/>
      <c r="J12" s="45"/>
      <c r="K12" s="46"/>
    </row>
    <row r="13" spans="1:23" ht="20.45" customHeight="1" x14ac:dyDescent="0.25">
      <c r="A13" s="47" t="s">
        <v>20</v>
      </c>
      <c r="B13" s="47"/>
      <c r="C13" s="47"/>
      <c r="D13" s="42">
        <v>130</v>
      </c>
      <c r="E13" s="43">
        <v>133</v>
      </c>
      <c r="F13" s="148">
        <f>D13*9.81</f>
        <v>1275.3</v>
      </c>
      <c r="G13" s="148">
        <f>E13*9.81</f>
        <v>1304.73</v>
      </c>
      <c r="H13" s="45"/>
      <c r="I13" s="45"/>
      <c r="J13" s="45"/>
      <c r="K13" s="46"/>
    </row>
    <row r="14" spans="1:23" x14ac:dyDescent="0.2">
      <c r="A14" s="48"/>
      <c r="B14" s="48"/>
      <c r="C14" s="48"/>
      <c r="N14" s="24"/>
      <c r="O14" s="24"/>
      <c r="P14" s="24"/>
      <c r="Q14" s="24"/>
      <c r="R14" s="24"/>
      <c r="S14" s="24"/>
      <c r="T14" s="24"/>
      <c r="U14" s="24"/>
      <c r="V14" s="24"/>
      <c r="W14" s="24"/>
    </row>
    <row r="15" spans="1:23" x14ac:dyDescent="0.2">
      <c r="A15" s="49">
        <f>E7+E10</f>
        <v>10</v>
      </c>
      <c r="B15" s="50"/>
      <c r="C15" s="51"/>
      <c r="D15" s="52" t="s">
        <v>90</v>
      </c>
      <c r="E15" s="52" t="s">
        <v>90</v>
      </c>
      <c r="F15" s="52" t="s">
        <v>90</v>
      </c>
      <c r="G15" s="52" t="s">
        <v>90</v>
      </c>
      <c r="H15" s="52" t="s">
        <v>90</v>
      </c>
      <c r="I15" s="52" t="s">
        <v>90</v>
      </c>
      <c r="J15" s="52" t="s">
        <v>90</v>
      </c>
      <c r="K15" s="52" t="s">
        <v>90</v>
      </c>
      <c r="L15" s="52" t="s">
        <v>90</v>
      </c>
      <c r="M15" s="52" t="s">
        <v>90</v>
      </c>
      <c r="N15" s="53" t="s">
        <v>21</v>
      </c>
      <c r="O15" s="157" t="s">
        <v>91</v>
      </c>
      <c r="P15" s="24"/>
      <c r="Q15" s="24"/>
      <c r="R15" s="24"/>
      <c r="S15" s="24"/>
      <c r="T15" s="24"/>
      <c r="U15" s="24"/>
      <c r="V15" s="24"/>
      <c r="W15" s="24"/>
    </row>
    <row r="16" spans="1:23" x14ac:dyDescent="0.2">
      <c r="A16" s="54"/>
      <c r="B16" s="55"/>
      <c r="C16" s="56"/>
      <c r="D16" s="57">
        <v>1</v>
      </c>
      <c r="E16" s="58">
        <v>2</v>
      </c>
      <c r="F16" s="58">
        <v>3</v>
      </c>
      <c r="G16" s="58">
        <v>4</v>
      </c>
      <c r="H16" s="58">
        <v>5</v>
      </c>
      <c r="I16" s="58">
        <v>6</v>
      </c>
      <c r="J16" s="58">
        <v>7</v>
      </c>
      <c r="K16" s="58">
        <v>8</v>
      </c>
      <c r="L16" s="59">
        <v>9</v>
      </c>
      <c r="M16" s="58">
        <v>10</v>
      </c>
      <c r="N16" s="58">
        <v>11</v>
      </c>
      <c r="O16" s="157"/>
    </row>
    <row r="17" spans="1:23" ht="16.899999999999999" customHeight="1" x14ac:dyDescent="0.2">
      <c r="A17" s="161" t="s">
        <v>22</v>
      </c>
      <c r="B17" s="162"/>
      <c r="C17" s="163"/>
      <c r="D17" s="60">
        <f t="shared" ref="D17:K17" si="0">(INSIZE^2-D19^2)/(INSIZE^2)</f>
        <v>0.24202806024519563</v>
      </c>
      <c r="E17" s="60">
        <f t="shared" si="0"/>
        <v>0.42149652725081632</v>
      </c>
      <c r="F17" s="60">
        <f t="shared" si="0"/>
        <v>0.55543225590422129</v>
      </c>
      <c r="G17" s="60">
        <f t="shared" si="0"/>
        <v>0.65602350468083215</v>
      </c>
      <c r="H17" s="60">
        <f t="shared" si="0"/>
        <v>0.73204713617876838</v>
      </c>
      <c r="I17" s="60">
        <f t="shared" si="0"/>
        <v>0.78986078610684651</v>
      </c>
      <c r="J17" s="60">
        <f t="shared" si="0"/>
        <v>0.83409656477082206</v>
      </c>
      <c r="K17" s="60">
        <f t="shared" si="0"/>
        <v>0.86814882676299476</v>
      </c>
      <c r="L17" s="60">
        <f>IF(L16&gt;BLKBEFRDIE,"OMIT",(INSIZE^2-L19^2)/(INSIZE^2))</f>
        <v>0.89451906141039572</v>
      </c>
      <c r="M17" s="60" t="str">
        <f>IF(M$16&gt;BLKBEFRDIE,"OMIT",(INSIZE^2-M19^2)/(INSIZE^2))</f>
        <v>OMIT</v>
      </c>
      <c r="N17" s="60">
        <f>(INSIZE^2-N19^2)/(INSIZE^2)</f>
        <v>0.89437500000000003</v>
      </c>
      <c r="O17" s="24"/>
      <c r="P17" s="24"/>
      <c r="Q17" s="24"/>
      <c r="R17" s="24"/>
      <c r="S17" s="24"/>
      <c r="T17" s="24"/>
      <c r="U17" s="24"/>
      <c r="V17" s="24"/>
      <c r="W17" s="24"/>
    </row>
    <row r="18" spans="1:23" ht="17.649999999999999" customHeight="1" x14ac:dyDescent="0.2">
      <c r="A18" s="151" t="s">
        <v>23</v>
      </c>
      <c r="B18" s="152"/>
      <c r="C18" s="153"/>
      <c r="D18" s="61">
        <f>IF(D$16&lt;STRTBLK,"OMIT",IF(E6&gt;0,E6,(TAPER*($L$2-D$16)/100+AVREDN)))</f>
        <v>0.2420280602451956</v>
      </c>
      <c r="E18" s="61">
        <f>IF(E16&lt;STRTBLK,"OMIT",IF(AND(E16=STRTBLK,E6&gt;0),E6,(TAPER*($L$2-E16)/100+AVREDN)))</f>
        <v>0.23677455271454614</v>
      </c>
      <c r="F18" s="61">
        <f>IF(F$16&lt;STRTBLK,"OMIT",IF(AND(F$16=STRTBLK,E6&gt;0),E6,(TAPER*($L$2-F$16)/100+AVREDN)))</f>
        <v>0.23152104518389668</v>
      </c>
      <c r="G18" s="61">
        <f>IF(G$16&gt;BLKBEFRDIE,"OMIT",AVREDN+(TAPER*($L$2-G$16)/100))</f>
        <v>0.22626753765324725</v>
      </c>
      <c r="H18" s="61">
        <f>IF(H$16&gt;BLKBEFRDIE,"OMIT",AVREDN+(TAPER*($L$2-H$16)/100))</f>
        <v>0.22101403012259779</v>
      </c>
      <c r="I18" s="61">
        <f>IF(I$16&gt;BLKBEFRDIE,"OMIT",AVREDN+(TAPER*($L$2-I$16)/100))</f>
        <v>0.21576052259194833</v>
      </c>
      <c r="J18" s="61">
        <f>IF(J16&gt;BLKBEFRDIE,"OMIT",AVREDN+(TAPER*($L$2-J16)/100))</f>
        <v>0.2105070150612989</v>
      </c>
      <c r="K18" s="61">
        <f>IF(K$16&gt;BLKBEFRDIE,"OMIT",AVREDN+(TAPER*($L$2-K$16)/100))</f>
        <v>0.20525350753064944</v>
      </c>
      <c r="L18" s="61">
        <f>IF(L$16&gt;BLKBEFRDIE,"OMIT",AVREDN+(TAPER*($L$2-L$16)/100))</f>
        <v>0.19999999999999998</v>
      </c>
      <c r="M18" s="61" t="str">
        <f>IF(M$16&gt;BLKBEFRDIE,"OMIT",AVREDN+(TAPER*($L$2-M$16)/100))</f>
        <v>OMIT</v>
      </c>
      <c r="N18" s="62">
        <f>1-((N$19/INDEX(D$19:M$19,1,(NoDIES-1),1))^2)</f>
        <v>0.1989073937921142</v>
      </c>
      <c r="R18" s="24"/>
    </row>
    <row r="19" spans="1:23" ht="21.75" x14ac:dyDescent="0.2">
      <c r="A19" s="63" t="s">
        <v>24</v>
      </c>
      <c r="B19" s="64">
        <f>INSIZE</f>
        <v>4</v>
      </c>
      <c r="C19" s="64">
        <f>FINSIZE</f>
        <v>1.3</v>
      </c>
      <c r="D19" s="65">
        <f>IF(D$16&lt;STRTBLK,"OMIT",(((INSIZE)^2)*(1-D$18))^0.5)</f>
        <v>3.4824633574636317</v>
      </c>
      <c r="E19" s="65">
        <f>IF(E$16&lt;STRTBLK,"OMIT",IF(E$16=STRTBLK,(((INSIZE)^2)*(1-E$18))^0.5,(((D$19)^2)*(1-E$18))^0.5))</f>
        <v>3.042376630857353</v>
      </c>
      <c r="F19" s="65">
        <f>IF(F$16&lt;STRTBLK,"OMIT",IF(F$16=STRTBLK,(((INSIZE)^2)*(1-F$18))^0.5,(((E$19)^2)*(1-F$18))^0.5))</f>
        <v>2.6670365399694957</v>
      </c>
      <c r="G19" s="65">
        <f>IF(G$16&lt;STRTBLK,"OMIT",IF(G$16=STRTBLK,(((INSIZE)^2)*(1-G$18))^0.5,(((F$19)^2)*(1-G$18))^0.5))</f>
        <v>2.3459803761128706</v>
      </c>
      <c r="H19" s="65">
        <f>IF(H$16&gt;BLKBEFRDIE,"OMIT",(((G$19)^2)*(1-H$18))^0.5)</f>
        <v>2.0705665459336742</v>
      </c>
      <c r="I19" s="65">
        <f>IF(I$16&gt;BLKBEFRDIE,"OMIT",(((H$19)^2)*(1-I$18))^0.5)</f>
        <v>1.8336377565621995</v>
      </c>
      <c r="J19" s="65">
        <f>IF(J$16&gt;BLKBEFRDIE,"OMIT",(((I$19)^2)*(1-J$18))^0.5)</f>
        <v>1.629249816224279</v>
      </c>
      <c r="K19" s="65">
        <f>IF(K$16&gt;BLKBEFRDIE,"OMIT",(((J$19)^2)*(1-K$18))^0.5)</f>
        <v>1.4524526745447111</v>
      </c>
      <c r="L19" s="65">
        <f>IF(L$16&gt;BLKBEFRDIE,"OMIT",(((K$19)^2)*(1-L$18))^0.5)</f>
        <v>1.299113165753341</v>
      </c>
      <c r="M19" s="65" t="str">
        <f>IF(M$16&gt;BLKBEFRDIE,"OMIT",(((INDEX(D$19:M$19,1,BLKBEFRDIE-1,1))^2)*(1-M$18))^0.5)</f>
        <v>OMIT</v>
      </c>
      <c r="N19" s="66">
        <f>FINSIZE</f>
        <v>1.3</v>
      </c>
      <c r="O19" s="24"/>
      <c r="P19" s="24"/>
      <c r="Q19" s="24"/>
      <c r="R19" s="24"/>
      <c r="S19" s="24"/>
      <c r="T19" s="24"/>
      <c r="U19" s="24"/>
      <c r="V19" s="24"/>
      <c r="W19" s="24"/>
    </row>
    <row r="20" spans="1:23" x14ac:dyDescent="0.2">
      <c r="A20" s="63" t="s">
        <v>25</v>
      </c>
      <c r="B20" s="64">
        <f>D12</f>
        <v>0.75</v>
      </c>
      <c r="C20" s="64">
        <f>D13</f>
        <v>130</v>
      </c>
      <c r="D20" s="67">
        <f>SUM(D13+(SUM(0.6*($D$12+(INSIZE/40)+D18)*(D$17*100))/(SUM((LOG(100-D$17*100))/2)+0.0005*D$17*100)))</f>
        <v>146.65891384275042</v>
      </c>
      <c r="E20" s="67">
        <f t="shared" ref="E20:K20" si="1">(SUM(D20+(SUM(0.6*($D$12+(INSIZE/40)+E18)*(E$17*100)))/(SUM((LOG(100-E$17*100))/2)+0.0005*E$17*100)))-(SUM(0.6*($D$12+(INSIZE/40)+D$18)*(D$17*100))/(SUM((LOG(100-D$17*100))/2)+0.0005*D$17*100))</f>
        <v>160.46270757873734</v>
      </c>
      <c r="F20" s="67">
        <f t="shared" si="1"/>
        <v>172.31652333351335</v>
      </c>
      <c r="G20" s="67">
        <f t="shared" si="1"/>
        <v>182.88382162029518</v>
      </c>
      <c r="H20" s="67">
        <f t="shared" si="1"/>
        <v>192.66984739887278</v>
      </c>
      <c r="I20" s="67">
        <f t="shared" si="1"/>
        <v>202.07762021715595</v>
      </c>
      <c r="J20" s="67">
        <f t="shared" si="1"/>
        <v>211.44761665195108</v>
      </c>
      <c r="K20" s="67">
        <f t="shared" si="1"/>
        <v>221.08803815063692</v>
      </c>
      <c r="L20" s="67">
        <f>IF(L16&gt;BLKBEFRDIE,"OMIT",(SUM(K20+(SUM(0.6*($D$12+(INSIZE/40)+L18)*(L$17*100)))/(SUM((LOG(100-L$17*100))/2)+0.0005*L$17*100)))-(SUM(0.6*($D$12+(INSIZE/40)+K$18)*(K$17*100))/(SUM((LOG(100-K$17*100))/2)+0.0005*K$17*100)))</f>
        <v>231.30035852748722</v>
      </c>
      <c r="M20" s="67" t="str">
        <f>IF(M$16&gt;BLKBEFRDIE,"OMIT",(SUM(L20+(SUM(0.6*($D$12+(INSIZE/40)+M18)*(M$17*100)))/(SUM((LOG(100-M$17*100))/2)+0.0005*M$17*100)))-(SUM(0.6*($D$12+(INSIZE/40)+L$18)*(L$17*100))/(SUM((LOG(100-L$17*100))/2)+0.0005*L$17*100)))</f>
        <v>OMIT</v>
      </c>
      <c r="N20" s="68">
        <f>(SUM(D13+(SUM(0.6*($D$12+(INSIZE/40)+N18)*(N$17*100)))/(SUM((LOG(100-N$17*100))/2)+0.0005*N$17*100)))</f>
        <v>231.12608613786892</v>
      </c>
      <c r="O20" s="147">
        <f>(N20-5)*9.81</f>
        <v>2218.2969050124943</v>
      </c>
      <c r="P20" s="24"/>
      <c r="Q20" s="24"/>
      <c r="R20" s="24"/>
      <c r="S20" s="24"/>
      <c r="T20" s="24"/>
      <c r="U20" s="24"/>
      <c r="V20" s="24"/>
      <c r="W20" s="24"/>
    </row>
    <row r="21" spans="1:23" ht="15.6" customHeight="1" x14ac:dyDescent="0.2">
      <c r="A21" s="63"/>
      <c r="B21" s="64">
        <f>E12</f>
        <v>0.85</v>
      </c>
      <c r="C21" s="64">
        <f>E13</f>
        <v>133</v>
      </c>
      <c r="D21" s="65">
        <f>SUM(E13+(SUM(0.6*($E$12+(INSIZE/40)+D18)*(D$17*100))/(SUM((LOG(100-D$17*100))/2)+0.0005*D$17*100)))</f>
        <v>151.18441620383535</v>
      </c>
      <c r="E21" s="65">
        <f t="shared" ref="E21:K21" si="2">(SUM(D21+(SUM(0.6*($E$12+(INSIZE/40)+E$18)*(E$17*100)))/(SUM((LOG(100-E$17*100))/2)+0.0005*E$17*100)))-(SUM(0.6*($E$12+(INSIZE/40)+D$18)*(D$17*100))/(SUM((LOG(100-D$17*100))/2)+0.0005*D$17*100))</f>
        <v>166.26574593684461</v>
      </c>
      <c r="F21" s="65">
        <f t="shared" si="2"/>
        <v>179.2292094085511</v>
      </c>
      <c r="G21" s="65">
        <f t="shared" si="2"/>
        <v>190.79745320074827</v>
      </c>
      <c r="H21" s="65">
        <f t="shared" si="2"/>
        <v>201.52129711253326</v>
      </c>
      <c r="I21" s="65">
        <f t="shared" si="2"/>
        <v>211.84064236793535</v>
      </c>
      <c r="J21" s="65">
        <f t="shared" si="2"/>
        <v>222.12768057375769</v>
      </c>
      <c r="K21" s="65">
        <f t="shared" si="2"/>
        <v>232.71990125278259</v>
      </c>
      <c r="L21" s="65">
        <f>IF(L16&gt;BLKBEFRDIE,"OMIT",(SUM(K21+(SUM(0.6*($E$12+(INSIZE/40)+L$18)*(L$17*100)))/(SUM((LOG(100-L$17*100))/2)+0.0005*L$17*100)))-(SUM(0.6*($E$12+(INSIZE/40)+K$18)*(K$17*100))/(SUM((LOG(100-K$17*100))/2)+0.0005*K$17*100)))</f>
        <v>243.94801172058115</v>
      </c>
      <c r="M21" s="65" t="str">
        <f>IF(M$16&gt;BLKBEFRDIE,"OMIT",(SUM(L21+(SUM(0.6*($E$12+(INSIZE/40)+M$18)*(M$17*100)))/(SUM((LOG(100-M$17*100))/2)+0.0005*M$17*100)))-(SUM(0.6*($E$12+(INSIZE/40)+L$18)*(L$17*100))/(SUM((LOG(100-L$17*100))/2)+0.0005*L$17*100)))</f>
        <v>OMIT</v>
      </c>
      <c r="N21" s="69">
        <f>(SUM(E13+(SUM(0.6*($E$12+(INSIZE/40)+N$18)*(N$17*100)))/(SUM((LOG(100-N$17*100))/2)+0.0005*N$17*100)))</f>
        <v>243.76717425836236</v>
      </c>
      <c r="O21" s="147">
        <f>(N21-5)*9.81</f>
        <v>2342.305979474535</v>
      </c>
    </row>
    <row r="22" spans="1:23" x14ac:dyDescent="0.2">
      <c r="A22" s="63" t="s">
        <v>25</v>
      </c>
      <c r="B22" s="63"/>
      <c r="C22" s="63"/>
      <c r="D22" s="70">
        <f t="shared" ref="D22:K22" si="3">IF(D19="OMIT","OMIT",VLOOKUP(RODTYPE,UTS,6)+VLOOKUP(RODTYPE,UTS,4)*D33)</f>
        <v>411.8</v>
      </c>
      <c r="E22" s="70">
        <f t="shared" si="3"/>
        <v>411.8</v>
      </c>
      <c r="F22" s="70">
        <f t="shared" si="3"/>
        <v>411.8</v>
      </c>
      <c r="G22" s="70">
        <f t="shared" si="3"/>
        <v>411.8</v>
      </c>
      <c r="H22" s="70">
        <f t="shared" si="3"/>
        <v>411.8</v>
      </c>
      <c r="I22" s="70">
        <f t="shared" si="3"/>
        <v>411.8</v>
      </c>
      <c r="J22" s="70">
        <f t="shared" si="3"/>
        <v>411.8</v>
      </c>
      <c r="K22" s="70">
        <f t="shared" si="3"/>
        <v>411.8</v>
      </c>
      <c r="L22" s="70">
        <f>VLOOKUP(RODTYPE,UTS,6)+VLOOKUP(RODTYPE,UTS,4)*L$33</f>
        <v>411.8</v>
      </c>
      <c r="M22" s="71"/>
      <c r="N22" s="24"/>
    </row>
    <row r="23" spans="1:23" x14ac:dyDescent="0.2">
      <c r="A23" s="72"/>
      <c r="B23" s="72"/>
      <c r="C23" s="72"/>
      <c r="D23" s="73"/>
      <c r="E23" s="73"/>
      <c r="F23" s="73"/>
      <c r="G23" s="73"/>
      <c r="H23" s="73"/>
      <c r="I23" s="73"/>
      <c r="J23" s="73"/>
      <c r="K23" s="73"/>
      <c r="L23" s="74"/>
      <c r="M23" s="71"/>
      <c r="N23" s="24"/>
    </row>
    <row r="24" spans="1:23" ht="21.75" x14ac:dyDescent="0.2">
      <c r="A24" s="72" t="s">
        <v>26</v>
      </c>
      <c r="B24" s="72"/>
      <c r="C24" s="72"/>
      <c r="D24" s="75">
        <f>IF(D19="OMIT",D19,FINSPD*(FINSIZE/D$19)^2)</f>
        <v>1.2541691191200517</v>
      </c>
      <c r="E24" s="75">
        <f>IF(E16&lt;STRTBLK,"OMIT",FINSPD*(FINSIZE/E19)^2)</f>
        <v>1.6432485625063025</v>
      </c>
      <c r="F24" s="75">
        <f>IF(F16&lt;STRTBLK,"OMIT",FINSPD*(FINSIZE/F19)^2)</f>
        <v>2.138313030185103</v>
      </c>
      <c r="G24" s="75">
        <f>IF(G16&lt;STRTBLK,"OMIT",FINSPD*(FINSIZE/G19)^2)</f>
        <v>2.7636335997840118</v>
      </c>
      <c r="H24" s="75">
        <f>IF(H19="OMIT",H19,FINSPD*(FINSIZE/H$19)^2)</f>
        <v>3.5477321885771014</v>
      </c>
      <c r="I24" s="75">
        <f>IF(I19="OMIT",I19,FINSPD*(FINSIZE/I$19)^2)</f>
        <v>4.5237867906146763</v>
      </c>
      <c r="J24" s="75">
        <f>IF(J19="OMIT",J19,FINSPD*(FINSIZE/J$19)^2)</f>
        <v>5.7299898503416324</v>
      </c>
      <c r="K24" s="75">
        <f>IF(K19="OMIT",K19,FINSPD*(FINSIZE/K$19)^2)</f>
        <v>7.2098334558709727</v>
      </c>
      <c r="L24" s="76">
        <f>$E$9</f>
        <v>9</v>
      </c>
      <c r="M24" s="71"/>
      <c r="N24" s="24"/>
    </row>
    <row r="25" spans="1:23" x14ac:dyDescent="0.2">
      <c r="A25" s="72"/>
      <c r="B25" s="72"/>
      <c r="C25" s="72"/>
      <c r="D25" s="73"/>
      <c r="E25" s="73"/>
      <c r="F25" s="73"/>
      <c r="G25" s="73"/>
      <c r="H25" s="73"/>
      <c r="I25" s="73"/>
      <c r="J25" s="73"/>
      <c r="K25" s="73"/>
      <c r="L25" s="74"/>
      <c r="M25" s="71"/>
      <c r="N25" s="24"/>
      <c r="O25" s="24"/>
      <c r="P25" s="24"/>
      <c r="Q25" s="24"/>
      <c r="R25" s="24"/>
      <c r="S25" s="24"/>
      <c r="T25" s="24"/>
      <c r="U25" s="24"/>
      <c r="V25" s="24"/>
      <c r="W25" s="24"/>
    </row>
    <row r="26" spans="1:23" x14ac:dyDescent="0.2">
      <c r="A26" s="72" t="s">
        <v>27</v>
      </c>
      <c r="B26" s="72"/>
      <c r="C26" s="72"/>
      <c r="D26" s="77">
        <v>1.6</v>
      </c>
      <c r="E26" s="77">
        <v>2.0099999999999998</v>
      </c>
      <c r="F26" s="77">
        <v>2.56</v>
      </c>
      <c r="G26" s="77">
        <v>3.18</v>
      </c>
      <c r="H26" s="77">
        <v>4.03</v>
      </c>
      <c r="I26" s="77">
        <v>4.97</v>
      </c>
      <c r="J26" s="77">
        <f>IF(J18="omit",J18,6.14)</f>
        <v>6.14</v>
      </c>
      <c r="K26" s="77">
        <f>IF(K19="omit",K19,7.75)</f>
        <v>7.75</v>
      </c>
      <c r="L26" s="77">
        <v>9.58</v>
      </c>
      <c r="M26" s="71"/>
      <c r="N26" s="24"/>
      <c r="O26" s="24"/>
      <c r="P26" s="24"/>
      <c r="Q26" s="24"/>
      <c r="R26" s="24"/>
      <c r="S26" s="24"/>
      <c r="T26" s="24"/>
      <c r="U26" s="24"/>
      <c r="V26" s="24"/>
      <c r="W26" s="24"/>
    </row>
    <row r="27" spans="1:23" x14ac:dyDescent="0.2">
      <c r="A27" s="72" t="s">
        <v>28</v>
      </c>
      <c r="B27" s="72"/>
      <c r="C27" s="72"/>
      <c r="D27" s="78">
        <f>IF(D19="OMIT",D19,D26/2)</f>
        <v>0.8</v>
      </c>
      <c r="E27" s="78">
        <f>IF(E19="OMIT",E19,E$26/2)</f>
        <v>1.0049999999999999</v>
      </c>
      <c r="F27" s="78">
        <f t="shared" ref="F27:K27" si="4">IF(F$19="OMIT",F$19,F$26/2)</f>
        <v>1.28</v>
      </c>
      <c r="G27" s="78">
        <f t="shared" si="4"/>
        <v>1.59</v>
      </c>
      <c r="H27" s="78">
        <f t="shared" si="4"/>
        <v>2.0150000000000001</v>
      </c>
      <c r="I27" s="78">
        <f t="shared" si="4"/>
        <v>2.4849999999999999</v>
      </c>
      <c r="J27" s="78">
        <f t="shared" si="4"/>
        <v>3.07</v>
      </c>
      <c r="K27" s="78">
        <f t="shared" si="4"/>
        <v>3.875</v>
      </c>
      <c r="L27" s="77">
        <v>4.79</v>
      </c>
      <c r="M27" s="71"/>
      <c r="N27" s="24"/>
      <c r="O27" s="24"/>
      <c r="P27" s="25" t="s">
        <v>7</v>
      </c>
      <c r="Q27" s="24"/>
      <c r="R27" s="24"/>
      <c r="S27" s="24"/>
      <c r="T27" s="24"/>
      <c r="U27" s="24"/>
      <c r="V27" s="24"/>
      <c r="W27" s="24"/>
    </row>
    <row r="28" spans="1:23" ht="21.75" x14ac:dyDescent="0.2">
      <c r="A28" s="72" t="s">
        <v>29</v>
      </c>
      <c r="B28" s="72"/>
      <c r="C28" s="72"/>
      <c r="D28" s="79">
        <f>IF(D18="OMIT",D18,((E4^2*3.142/4)*0.8)*(D18+0.3)*E8)</f>
        <v>0</v>
      </c>
      <c r="E28" s="79">
        <f t="shared" ref="E28:L28" si="5">IF(E18="OMIT",E18,(E34*0.8)*(E18+0.3)*IF(D18="OMIT",D8,D22))</f>
        <v>1684.5641277696036</v>
      </c>
      <c r="F28" s="79">
        <f t="shared" si="5"/>
        <v>1273.1188148623728</v>
      </c>
      <c r="G28" s="79">
        <f t="shared" si="5"/>
        <v>968.69494193714627</v>
      </c>
      <c r="H28" s="79">
        <f t="shared" si="5"/>
        <v>742.0286723157335</v>
      </c>
      <c r="I28" s="79">
        <f t="shared" si="5"/>
        <v>572.20151271490033</v>
      </c>
      <c r="J28" s="79">
        <f t="shared" si="5"/>
        <v>444.17214431417051</v>
      </c>
      <c r="K28" s="79">
        <f t="shared" si="5"/>
        <v>347.06212145998006</v>
      </c>
      <c r="L28" s="79" t="e">
        <f t="shared" si="5"/>
        <v>#REF!</v>
      </c>
      <c r="M28" s="71"/>
      <c r="N28" s="24"/>
    </row>
    <row r="29" spans="1:23" x14ac:dyDescent="0.2">
      <c r="A29" s="72" t="s">
        <v>30</v>
      </c>
      <c r="B29" s="72"/>
      <c r="C29" s="72"/>
      <c r="D29" s="79">
        <f t="shared" ref="D29:K29" si="6">IF(D19="OMIT",D19,(((D28*D35/2000))*D36)/9550)</f>
        <v>0</v>
      </c>
      <c r="E29" s="79">
        <f t="shared" si="6"/>
        <v>2.7654433499710023</v>
      </c>
      <c r="F29" s="79">
        <f t="shared" si="6"/>
        <v>2.719657257559756</v>
      </c>
      <c r="G29" s="79">
        <f t="shared" si="6"/>
        <v>2.6744929242008633</v>
      </c>
      <c r="H29" s="79">
        <f t="shared" si="6"/>
        <v>2.629937770402559</v>
      </c>
      <c r="I29" s="79">
        <f t="shared" si="6"/>
        <v>2.5859795537459105</v>
      </c>
      <c r="J29" s="79">
        <f t="shared" si="6"/>
        <v>2.5426063576699254</v>
      </c>
      <c r="K29" s="79">
        <f t="shared" si="6"/>
        <v>2.4998065807014749</v>
      </c>
      <c r="L29" s="79" t="e">
        <f>IF(L18="OMIT",L18,(L34*0.85*0.9*1.05)*(L18+0.3)*(INDEX(D22:K22,1,BLKBEFRDIE,1)*L24*0.746)/741)</f>
        <v>#REF!</v>
      </c>
      <c r="M29" s="71"/>
      <c r="N29" s="24"/>
    </row>
    <row r="30" spans="1:23" ht="21.75" x14ac:dyDescent="0.2">
      <c r="A30" s="72" t="s">
        <v>31</v>
      </c>
      <c r="B30" s="72"/>
      <c r="C30" s="72"/>
      <c r="D30" s="79">
        <f>IF(D16&lt;STRTBLK,"OMIT",IF(D24&gt;D27,103,103*D24/D27))</f>
        <v>103</v>
      </c>
      <c r="E30" s="79">
        <f>IF(E16&lt;STRTBLK,"OMIT",IF(E24&gt;E27,103,103*E24/E27))</f>
        <v>103</v>
      </c>
      <c r="F30" s="79">
        <f>IF(F16&lt;STRTBLK,"OMIT",IF(F24&gt;F27,103,103*F24/F27))</f>
        <v>103</v>
      </c>
      <c r="G30" s="79">
        <f>IF(G16&gt;BLKBEFRDIE,"OMIT",IF(G24&gt;G27,103,103*G24/G27))</f>
        <v>103</v>
      </c>
      <c r="H30" s="79">
        <f>IF(H16&gt;BLKBEFRDIE,"OMIT",IF(H24&gt;H27,103,103*H24/H27))</f>
        <v>103</v>
      </c>
      <c r="I30" s="79">
        <f>IF(I16&gt;BLKBEFRDIE,"OMIT",IF(I24&gt;I27,103,103*I24/I27))</f>
        <v>103</v>
      </c>
      <c r="J30" s="79">
        <f>IF(J16&gt;BLKBEFRDIE,"OMIT",IF(J24&gt;J27,103,103*J24/J27))</f>
        <v>103</v>
      </c>
      <c r="K30" s="79">
        <f>IF(K16&gt;BLKBEFRDIE,"OMIT",IF(K24&gt;K27,103,103*K24/K27))</f>
        <v>103</v>
      </c>
      <c r="L30" s="79">
        <f>IF(L24&gt;L27,103,103*L24/L27)</f>
        <v>103</v>
      </c>
      <c r="M30" s="71"/>
    </row>
    <row r="31" spans="1:23" x14ac:dyDescent="0.2">
      <c r="A31" s="72" t="s">
        <v>32</v>
      </c>
      <c r="B31" s="72"/>
      <c r="C31" s="72"/>
      <c r="D31" s="80">
        <f t="shared" ref="D31:L31" si="7">(((D28*4445.4)/E34)*1.069)/10000</f>
        <v>0</v>
      </c>
      <c r="E31" s="80">
        <f t="shared" si="7"/>
        <v>110.10421788189835</v>
      </c>
      <c r="F31" s="80">
        <f t="shared" si="7"/>
        <v>108.28127622053276</v>
      </c>
      <c r="G31" s="80">
        <f t="shared" si="7"/>
        <v>106.48308946661125</v>
      </c>
      <c r="H31" s="80">
        <f t="shared" si="7"/>
        <v>104.70915677635331</v>
      </c>
      <c r="I31" s="80">
        <f t="shared" si="7"/>
        <v>102.95899072630058</v>
      </c>
      <c r="J31" s="80">
        <f t="shared" si="7"/>
        <v>101.23211686680366</v>
      </c>
      <c r="K31" s="80" t="e">
        <f t="shared" si="7"/>
        <v>#REF!</v>
      </c>
      <c r="L31" s="80" t="e">
        <f t="shared" si="7"/>
        <v>#REF!</v>
      </c>
      <c r="M31" s="71"/>
      <c r="O31" s="30" t="s">
        <v>7</v>
      </c>
      <c r="R31" s="24"/>
    </row>
    <row r="32" spans="1:23" x14ac:dyDescent="0.2">
      <c r="A32" s="72" t="s">
        <v>33</v>
      </c>
      <c r="B32" s="72"/>
      <c r="C32" s="72"/>
      <c r="D32" s="80">
        <f t="shared" ref="D32:L32" si="8">(D31-32)*5/9</f>
        <v>-17.777777777777779</v>
      </c>
      <c r="E32" s="80">
        <f t="shared" si="8"/>
        <v>43.391232156610194</v>
      </c>
      <c r="F32" s="80">
        <f t="shared" si="8"/>
        <v>42.378486789184862</v>
      </c>
      <c r="G32" s="80">
        <f t="shared" si="8"/>
        <v>41.379494148117359</v>
      </c>
      <c r="H32" s="80">
        <f t="shared" si="8"/>
        <v>40.393975986862955</v>
      </c>
      <c r="I32" s="80">
        <f t="shared" si="8"/>
        <v>39.421661514611436</v>
      </c>
      <c r="J32" s="80">
        <f t="shared" si="8"/>
        <v>38.462287148224256</v>
      </c>
      <c r="K32" s="80" t="e">
        <f t="shared" si="8"/>
        <v>#REF!</v>
      </c>
      <c r="L32" s="80" t="e">
        <f t="shared" si="8"/>
        <v>#REF!</v>
      </c>
      <c r="M32" s="71"/>
      <c r="N32" s="24"/>
    </row>
    <row r="33" spans="1:23" ht="21.75" x14ac:dyDescent="0.2">
      <c r="A33" s="72" t="s">
        <v>34</v>
      </c>
      <c r="B33" s="72"/>
      <c r="C33" s="72"/>
      <c r="D33" s="81">
        <f t="shared" ref="D33:L33" si="9">IF(D$19="OMIT",D$19,2*(LN(INSIZE/D$19)))</f>
        <v>0.27710891281811206</v>
      </c>
      <c r="E33" s="81">
        <f t="shared" si="9"/>
        <v>0.54731072934277025</v>
      </c>
      <c r="F33" s="81">
        <f t="shared" si="9"/>
        <v>0.81065283047580861</v>
      </c>
      <c r="G33" s="81">
        <f t="shared" si="9"/>
        <v>1.0671819515037313</v>
      </c>
      <c r="H33" s="81">
        <f t="shared" si="9"/>
        <v>1.3169441952042649</v>
      </c>
      <c r="I33" s="81">
        <f t="shared" si="9"/>
        <v>1.5599850446005261</v>
      </c>
      <c r="J33" s="81">
        <f t="shared" si="9"/>
        <v>1.7963493753745723</v>
      </c>
      <c r="K33" s="81">
        <f t="shared" si="9"/>
        <v>2.0260814679516286</v>
      </c>
      <c r="L33" s="81">
        <f t="shared" si="9"/>
        <v>2.2492250192658383</v>
      </c>
      <c r="M33" s="71"/>
      <c r="N33" s="24"/>
      <c r="P33" s="30" t="s">
        <v>7</v>
      </c>
    </row>
    <row r="34" spans="1:23" ht="42.75" x14ac:dyDescent="0.2">
      <c r="A34" s="72" t="s">
        <v>35</v>
      </c>
      <c r="B34" s="72"/>
      <c r="C34" s="72"/>
      <c r="D34" s="82">
        <f>IF(D$19="OMIT",D$19,(INSIZE)^2*3.142/4)</f>
        <v>12.568</v>
      </c>
      <c r="E34" s="82">
        <f t="shared" ref="E34:J34" si="10">IF(E$19="OMIT",E$19,IF(E$16=STRTBLK,(INSIZE)^2*3.142/4,(D$19)^2*3.142/4))</f>
        <v>9.5261913388383803</v>
      </c>
      <c r="F34" s="82">
        <f t="shared" si="10"/>
        <v>7.2706316455117399</v>
      </c>
      <c r="G34" s="82">
        <f t="shared" si="10"/>
        <v>5.5873274077957467</v>
      </c>
      <c r="H34" s="82">
        <f t="shared" si="10"/>
        <v>4.323096593171301</v>
      </c>
      <c r="I34" s="82">
        <f t="shared" si="10"/>
        <v>3.3676315925052389</v>
      </c>
      <c r="J34" s="82">
        <f t="shared" si="10"/>
        <v>2.6410296402091533</v>
      </c>
      <c r="K34" s="82">
        <f>IF(K$19="OMIT",K$19,(J$19)^2*3.142/4)</f>
        <v>2.0850743739603081</v>
      </c>
      <c r="L34" s="83" t="e">
        <f>(INDEX(D$19:K$19,1,BLKBEFRDIE,1))^2*3.142/4</f>
        <v>#REF!</v>
      </c>
      <c r="M34" s="84" t="e">
        <f>(INDEX(E$19:L$19,1,BLKBEFRDIE,1))^2*3.142/4</f>
        <v>#REF!</v>
      </c>
      <c r="N34" s="24"/>
    </row>
    <row r="35" spans="1:23" x14ac:dyDescent="0.2">
      <c r="A35" s="72" t="s">
        <v>36</v>
      </c>
      <c r="B35" s="72"/>
      <c r="C35" s="72"/>
      <c r="D35" s="85">
        <f>IF(D$16&lt;STRTBLK,"OMIT",900)</f>
        <v>900</v>
      </c>
      <c r="E35" s="85">
        <f>IF(E$16&lt;STRTBLK,"OMIT",900)</f>
        <v>900</v>
      </c>
      <c r="F35" s="85">
        <f>IF(F$16&lt;STRTBLK,"OMIT",900)</f>
        <v>900</v>
      </c>
      <c r="G35" s="85">
        <f>IF(G$16&gt;BLKBEFRDIE,"OMIT",900)</f>
        <v>900</v>
      </c>
      <c r="H35" s="85">
        <f>IF(H$16&gt;BLKBEFRDIE,"OMIT",900)</f>
        <v>900</v>
      </c>
      <c r="I35" s="85">
        <f>IF(I$16&gt;BLKBEFRDIE,"OMIT",900)</f>
        <v>900</v>
      </c>
      <c r="J35" s="85">
        <f>IF(J$16&gt;BLKBEFRDIE,"OMIT",900)</f>
        <v>900</v>
      </c>
      <c r="K35" s="85">
        <f>IF(K$16&gt;BLKBEFRDIE,"OMIT",900)</f>
        <v>900</v>
      </c>
      <c r="L35" s="85">
        <v>900</v>
      </c>
      <c r="M35" s="71"/>
      <c r="N35" s="24"/>
      <c r="O35" s="24"/>
      <c r="P35" s="24"/>
      <c r="Q35" s="24"/>
      <c r="R35" s="24"/>
      <c r="S35" s="24"/>
      <c r="T35" s="24"/>
      <c r="U35" s="24"/>
      <c r="V35" s="24"/>
      <c r="W35" s="24"/>
    </row>
    <row r="36" spans="1:23" ht="21.75" x14ac:dyDescent="0.2">
      <c r="A36" s="72" t="s">
        <v>37</v>
      </c>
      <c r="B36" s="72"/>
      <c r="C36" s="72"/>
      <c r="D36" s="85">
        <f t="shared" ref="D36:L36" si="11">IF(D$19="OMIT",D$19,D$24*60/2.83)</f>
        <v>26.590158002545266</v>
      </c>
      <c r="E36" s="85">
        <f t="shared" si="11"/>
        <v>34.83919213794281</v>
      </c>
      <c r="F36" s="85">
        <f t="shared" si="11"/>
        <v>45.335258590496885</v>
      </c>
      <c r="G36" s="85">
        <f t="shared" si="11"/>
        <v>58.592938511321798</v>
      </c>
      <c r="H36" s="85">
        <f t="shared" si="11"/>
        <v>75.216936860291895</v>
      </c>
      <c r="I36" s="85">
        <f t="shared" si="11"/>
        <v>95.910674005964864</v>
      </c>
      <c r="J36" s="85">
        <f t="shared" si="11"/>
        <v>121.48388375282612</v>
      </c>
      <c r="K36" s="85">
        <f t="shared" si="11"/>
        <v>152.85865984178739</v>
      </c>
      <c r="L36" s="85">
        <f t="shared" si="11"/>
        <v>190.81272084805653</v>
      </c>
      <c r="M36" s="71"/>
      <c r="N36" s="24"/>
      <c r="O36" s="24"/>
      <c r="P36" s="24"/>
      <c r="Q36" s="24"/>
      <c r="R36" s="24"/>
      <c r="S36" s="24"/>
      <c r="T36" s="24"/>
      <c r="U36" s="24"/>
      <c r="V36" s="24"/>
      <c r="W36" s="24"/>
    </row>
    <row r="37" spans="1:23" ht="21.75" x14ac:dyDescent="0.2">
      <c r="A37" s="86" t="s">
        <v>38</v>
      </c>
      <c r="B37" s="86"/>
      <c r="C37" s="86"/>
      <c r="D37" s="87">
        <f t="shared" ref="D37:J37" si="12">IF(D$19="OMIT",D$19,(D$24/D$26)*1720)</f>
        <v>1348.2318030540555</v>
      </c>
      <c r="E37" s="87">
        <f t="shared" si="12"/>
        <v>1406.1629490103685</v>
      </c>
      <c r="F37" s="87">
        <f t="shared" si="12"/>
        <v>1436.6790671556159</v>
      </c>
      <c r="G37" s="87">
        <f t="shared" si="12"/>
        <v>1494.7955319586479</v>
      </c>
      <c r="H37" s="87">
        <f t="shared" si="12"/>
        <v>1514.1685767624351</v>
      </c>
      <c r="I37" s="87">
        <f t="shared" si="12"/>
        <v>1565.5761126473328</v>
      </c>
      <c r="J37" s="87">
        <f t="shared" si="12"/>
        <v>1605.1437365777863</v>
      </c>
      <c r="K37" s="88" t="s">
        <v>7</v>
      </c>
      <c r="L37" s="87">
        <f>IF(L$19="OMIT",L$19,(L$24/L$26)*1720)</f>
        <v>1615.8663883089771</v>
      </c>
      <c r="M37" s="71"/>
      <c r="N37" s="24"/>
      <c r="O37" s="24"/>
      <c r="P37" s="24"/>
      <c r="Q37" s="24"/>
      <c r="R37" s="24"/>
      <c r="S37" s="24"/>
      <c r="T37" s="24"/>
      <c r="U37" s="24"/>
      <c r="V37" s="24"/>
      <c r="W37" s="24"/>
    </row>
    <row r="38" spans="1:23" x14ac:dyDescent="0.2">
      <c r="A38" s="89"/>
      <c r="B38" s="90"/>
      <c r="C38" s="90"/>
      <c r="D38" s="90"/>
      <c r="E38" s="90"/>
      <c r="F38" s="90"/>
      <c r="G38" s="90"/>
      <c r="H38" s="90"/>
      <c r="I38" s="90"/>
      <c r="J38" s="90"/>
      <c r="K38" s="90"/>
      <c r="L38" s="90"/>
      <c r="M38" s="91"/>
      <c r="N38" s="24"/>
      <c r="O38" s="24"/>
      <c r="P38" s="24"/>
      <c r="Q38" s="24"/>
      <c r="R38" s="24"/>
      <c r="S38" s="24"/>
      <c r="T38" s="24"/>
      <c r="U38" s="24"/>
      <c r="V38" s="24"/>
      <c r="W38" s="24"/>
    </row>
    <row r="39" spans="1:23" x14ac:dyDescent="0.2">
      <c r="N39" s="24"/>
      <c r="O39" s="24"/>
      <c r="P39" s="24"/>
      <c r="Q39" s="24"/>
      <c r="R39" s="24"/>
      <c r="S39" s="24"/>
      <c r="T39" s="24"/>
      <c r="U39" s="24"/>
      <c r="V39" s="24"/>
      <c r="W39" s="24"/>
    </row>
    <row r="40" spans="1:23" x14ac:dyDescent="0.2">
      <c r="A40" s="16" t="s">
        <v>39</v>
      </c>
      <c r="B40" s="16"/>
      <c r="C40" s="16"/>
      <c r="E40" s="92">
        <f>L3/(1-L3)</f>
        <v>8.4674556213017773</v>
      </c>
      <c r="G40" s="16" t="s">
        <v>40</v>
      </c>
      <c r="K40" s="93" t="e">
        <f>SUM(D29:L29)</f>
        <v>#REF!</v>
      </c>
    </row>
    <row r="41" spans="1:23" x14ac:dyDescent="0.2">
      <c r="G41" s="16" t="s">
        <v>41</v>
      </c>
      <c r="K41" s="93">
        <f>SUM(D30:L30)</f>
        <v>927</v>
      </c>
      <c r="R41" s="24"/>
    </row>
    <row r="42" spans="1:23" x14ac:dyDescent="0.2">
      <c r="A42" s="16"/>
      <c r="B42" s="16"/>
      <c r="C42" s="16"/>
      <c r="E42" s="94"/>
      <c r="N42" s="24"/>
      <c r="O42" s="24"/>
      <c r="P42" s="24"/>
      <c r="Q42" s="24"/>
      <c r="R42" s="24"/>
      <c r="S42" s="24"/>
      <c r="T42" s="24"/>
      <c r="U42" s="24"/>
      <c r="V42" s="24"/>
      <c r="W42" s="24"/>
    </row>
    <row r="43" spans="1:23" x14ac:dyDescent="0.2">
      <c r="A43" s="95"/>
      <c r="B43" s="95"/>
      <c r="C43" s="95"/>
      <c r="N43" s="24"/>
    </row>
    <row r="44" spans="1:23" x14ac:dyDescent="0.2">
      <c r="A44" s="96"/>
      <c r="B44" s="96"/>
      <c r="C44" s="96"/>
      <c r="E44" s="24"/>
      <c r="G44" s="97"/>
      <c r="N44" s="24"/>
    </row>
    <row r="45" spans="1:23" x14ac:dyDescent="0.2">
      <c r="N45" s="24"/>
    </row>
    <row r="46" spans="1:23" x14ac:dyDescent="0.2">
      <c r="A46" s="96" t="s">
        <v>42</v>
      </c>
      <c r="B46" s="96"/>
      <c r="C46" s="96"/>
      <c r="E46" s="24"/>
      <c r="N46" s="24"/>
    </row>
    <row r="47" spans="1:23" x14ac:dyDescent="0.2">
      <c r="N47" s="24"/>
      <c r="O47" s="24"/>
      <c r="P47" s="24"/>
      <c r="Q47" s="24"/>
      <c r="R47" s="24"/>
      <c r="S47" s="24"/>
      <c r="T47" s="24"/>
      <c r="U47" s="24"/>
      <c r="V47" s="24"/>
      <c r="W47" s="24"/>
    </row>
    <row r="48" spans="1:23" ht="15.75" x14ac:dyDescent="0.25">
      <c r="A48" s="98" t="s">
        <v>43</v>
      </c>
      <c r="B48" s="98"/>
      <c r="C48" s="98"/>
      <c r="D48" s="99"/>
      <c r="E48" s="99"/>
      <c r="F48" s="99"/>
      <c r="G48" s="99"/>
      <c r="H48" s="99"/>
      <c r="I48" s="99"/>
      <c r="J48" s="99"/>
      <c r="K48" s="99"/>
      <c r="L48" s="99"/>
      <c r="M48" s="99"/>
      <c r="N48" s="24"/>
      <c r="O48" s="24"/>
      <c r="P48" s="24"/>
      <c r="Q48" s="24"/>
      <c r="R48" s="24"/>
      <c r="S48" s="24"/>
      <c r="T48" s="24"/>
      <c r="U48" s="24"/>
      <c r="V48" s="24"/>
      <c r="W48" s="24"/>
    </row>
    <row r="49" spans="1:23" x14ac:dyDescent="0.2">
      <c r="N49" s="24"/>
      <c r="O49" s="24"/>
      <c r="P49" s="24"/>
      <c r="Q49" s="24"/>
      <c r="R49" s="24"/>
      <c r="S49" s="24"/>
      <c r="T49" s="24"/>
      <c r="U49" s="24"/>
      <c r="V49" s="24"/>
      <c r="W49" s="24"/>
    </row>
    <row r="50" spans="1:23" x14ac:dyDescent="0.2">
      <c r="A50" s="16" t="s">
        <v>44</v>
      </c>
      <c r="B50" s="16"/>
      <c r="C50" s="16"/>
      <c r="E50" s="100" t="str">
        <f>$E$3</f>
        <v>k85</v>
      </c>
      <c r="G50" s="16" t="s">
        <v>45</v>
      </c>
      <c r="K50" s="101">
        <f>1-($E$5/$E$4)^2</f>
        <v>0.89437500000000003</v>
      </c>
      <c r="N50" s="24"/>
      <c r="O50" s="24"/>
      <c r="P50" s="24"/>
      <c r="Q50" s="24"/>
      <c r="R50" s="24"/>
      <c r="S50" s="24"/>
      <c r="T50" s="24"/>
      <c r="U50" s="24"/>
      <c r="V50" s="24"/>
      <c r="W50" s="24"/>
    </row>
    <row r="51" spans="1:23" x14ac:dyDescent="0.2">
      <c r="A51" s="16" t="s">
        <v>46</v>
      </c>
      <c r="B51" s="16"/>
      <c r="C51" s="16"/>
      <c r="E51" s="19">
        <v>9.8000000000000007</v>
      </c>
      <c r="G51" s="16" t="s">
        <v>47</v>
      </c>
      <c r="K51" s="102">
        <f>1-($E$5/$E$4)^2^(1/$E$7)</f>
        <v>0.22101403012259779</v>
      </c>
      <c r="N51" s="24"/>
      <c r="O51" s="24"/>
      <c r="P51" s="24"/>
      <c r="Q51" s="24"/>
      <c r="R51" s="24"/>
      <c r="S51" s="24"/>
      <c r="T51" s="24"/>
      <c r="U51" s="24"/>
      <c r="V51" s="24"/>
      <c r="W51" s="24"/>
    </row>
    <row r="52" spans="1:23" x14ac:dyDescent="0.2">
      <c r="A52" s="16" t="s">
        <v>48</v>
      </c>
      <c r="B52" s="16"/>
      <c r="C52" s="16"/>
      <c r="E52" s="21">
        <v>4.0999999999999996</v>
      </c>
      <c r="N52" s="24"/>
      <c r="O52" s="24"/>
      <c r="P52" s="24"/>
      <c r="Q52" s="24"/>
      <c r="R52" s="24"/>
      <c r="S52" s="24"/>
      <c r="T52" s="24"/>
      <c r="U52" s="24"/>
      <c r="V52" s="24"/>
      <c r="W52" s="24"/>
    </row>
    <row r="53" spans="1:23" x14ac:dyDescent="0.2">
      <c r="A53" s="16" t="s">
        <v>49</v>
      </c>
      <c r="B53" s="16"/>
      <c r="C53" s="16"/>
      <c r="E53" s="26">
        <f>$E$6</f>
        <v>0</v>
      </c>
      <c r="N53" s="24"/>
      <c r="O53" s="24"/>
      <c r="P53" s="24"/>
      <c r="Q53" s="24"/>
      <c r="R53" s="24"/>
      <c r="S53" s="24"/>
      <c r="T53" s="24"/>
      <c r="U53" s="24"/>
      <c r="V53" s="24"/>
      <c r="W53" s="24"/>
    </row>
    <row r="54" spans="1:23" x14ac:dyDescent="0.2">
      <c r="A54" s="16" t="s">
        <v>50</v>
      </c>
      <c r="B54" s="16"/>
      <c r="C54" s="16"/>
      <c r="E54" s="19">
        <v>8</v>
      </c>
      <c r="G54" s="16" t="s">
        <v>51</v>
      </c>
      <c r="K54" s="103">
        <f>$E$5^2*$E$9/$E$4^2</f>
        <v>0.95062500000000005</v>
      </c>
      <c r="N54" s="24"/>
      <c r="O54" s="24"/>
      <c r="P54" s="24"/>
      <c r="Q54" s="24"/>
      <c r="R54" s="24"/>
      <c r="S54" s="24"/>
      <c r="T54" s="24"/>
      <c r="U54" s="24"/>
      <c r="V54" s="24"/>
      <c r="W54" s="24"/>
    </row>
    <row r="55" spans="1:23" ht="13.5" thickBot="1" x14ac:dyDescent="0.25">
      <c r="A55" s="16" t="s">
        <v>52</v>
      </c>
      <c r="B55" s="16"/>
      <c r="C55" s="16"/>
      <c r="E55" s="104">
        <f>$E$8</f>
        <v>0</v>
      </c>
      <c r="N55" s="24"/>
      <c r="O55" s="24"/>
      <c r="P55" s="24"/>
      <c r="Q55" s="24"/>
      <c r="R55" s="24"/>
      <c r="S55" s="24"/>
      <c r="T55" s="24"/>
      <c r="U55" s="24"/>
      <c r="V55" s="24"/>
      <c r="W55" s="24"/>
    </row>
    <row r="56" spans="1:23" ht="13.5" thickTop="1" x14ac:dyDescent="0.2">
      <c r="A56" s="16" t="s">
        <v>53</v>
      </c>
      <c r="B56" s="16"/>
      <c r="C56" s="16"/>
      <c r="E56" s="105">
        <f>$E$9</f>
        <v>9</v>
      </c>
      <c r="G56" s="106" t="s">
        <v>16</v>
      </c>
      <c r="H56" s="107"/>
      <c r="I56" s="107"/>
      <c r="J56" s="107"/>
      <c r="K56" s="108">
        <f>(L63)^2*22.2112*$E$9</f>
        <v>0</v>
      </c>
      <c r="N56" s="24"/>
      <c r="O56" s="24"/>
      <c r="P56" s="24"/>
      <c r="Q56" s="24"/>
      <c r="R56" s="24"/>
      <c r="S56" s="24"/>
      <c r="T56" s="24"/>
      <c r="U56" s="24"/>
      <c r="V56" s="24"/>
      <c r="W56" s="24"/>
    </row>
    <row r="57" spans="1:23" ht="13.5" thickBot="1" x14ac:dyDescent="0.25">
      <c r="A57" s="16" t="s">
        <v>54</v>
      </c>
      <c r="B57" s="16"/>
      <c r="C57" s="16"/>
      <c r="E57" s="24">
        <f>$E$11</f>
        <v>0.52535075306494505</v>
      </c>
      <c r="G57" s="109" t="s">
        <v>18</v>
      </c>
      <c r="H57" s="110"/>
      <c r="I57" s="110"/>
      <c r="J57" s="110"/>
      <c r="K57" s="111">
        <f>K56*6/1000</f>
        <v>0</v>
      </c>
      <c r="N57" s="24"/>
      <c r="O57" s="24"/>
      <c r="P57" s="24"/>
      <c r="Q57" s="24"/>
      <c r="R57" s="24"/>
      <c r="S57" s="24"/>
      <c r="T57" s="24"/>
      <c r="U57" s="24"/>
      <c r="V57" s="24"/>
      <c r="W57" s="24"/>
    </row>
    <row r="58" spans="1:23" ht="13.5" thickTop="1" x14ac:dyDescent="0.2">
      <c r="A58" s="112"/>
      <c r="B58" s="112"/>
      <c r="C58" s="112"/>
      <c r="N58" s="24"/>
      <c r="O58" s="24"/>
      <c r="P58" s="24"/>
      <c r="Q58" s="24"/>
      <c r="R58" s="24"/>
      <c r="S58" s="24"/>
      <c r="T58" s="24"/>
      <c r="U58" s="24"/>
      <c r="V58" s="24"/>
      <c r="W58" s="24"/>
    </row>
    <row r="59" spans="1:23" x14ac:dyDescent="0.2">
      <c r="A59" s="113"/>
      <c r="B59" s="113"/>
      <c r="C59" s="113"/>
      <c r="D59" s="114" t="s">
        <v>21</v>
      </c>
      <c r="E59" s="114" t="s">
        <v>21</v>
      </c>
      <c r="F59" s="114" t="s">
        <v>21</v>
      </c>
      <c r="G59" s="114" t="s">
        <v>21</v>
      </c>
      <c r="H59" s="114" t="s">
        <v>21</v>
      </c>
      <c r="I59" s="114" t="s">
        <v>21</v>
      </c>
      <c r="J59" s="114" t="s">
        <v>21</v>
      </c>
      <c r="K59" s="114" t="s">
        <v>21</v>
      </c>
      <c r="L59" s="114" t="s">
        <v>55</v>
      </c>
      <c r="M59" s="115"/>
      <c r="N59" s="24"/>
      <c r="O59" s="24"/>
      <c r="P59" s="24"/>
      <c r="Q59" s="24"/>
      <c r="R59" s="24"/>
      <c r="S59" s="24"/>
      <c r="T59" s="24"/>
      <c r="U59" s="24"/>
      <c r="V59" s="24"/>
      <c r="W59" s="24"/>
    </row>
    <row r="60" spans="1:23" x14ac:dyDescent="0.2">
      <c r="A60" s="116"/>
      <c r="B60" s="116"/>
      <c r="C60" s="116"/>
      <c r="D60" s="117">
        <v>1</v>
      </c>
      <c r="E60" s="117">
        <v>2</v>
      </c>
      <c r="F60" s="117">
        <v>3</v>
      </c>
      <c r="G60" s="117">
        <v>4</v>
      </c>
      <c r="H60" s="117">
        <v>5</v>
      </c>
      <c r="I60" s="117">
        <v>6</v>
      </c>
      <c r="J60" s="117">
        <v>7</v>
      </c>
      <c r="K60" s="117">
        <v>8</v>
      </c>
      <c r="L60" s="117">
        <v>9</v>
      </c>
      <c r="M60" s="118"/>
      <c r="N60" s="24"/>
      <c r="O60" s="24"/>
      <c r="P60" s="24"/>
      <c r="Q60" s="24"/>
      <c r="R60" s="24"/>
      <c r="S60" s="24"/>
      <c r="T60" s="24"/>
      <c r="U60" s="24"/>
      <c r="V60" s="24"/>
      <c r="W60" s="24"/>
    </row>
    <row r="61" spans="1:23" x14ac:dyDescent="0.2">
      <c r="A61" s="164" t="s">
        <v>22</v>
      </c>
      <c r="B61" s="165"/>
      <c r="C61" s="166"/>
      <c r="D61" s="119">
        <f t="shared" ref="D61:M61" si="13">($E$51^2-D63^2)/$E$51^2</f>
        <v>0.66761245314452322</v>
      </c>
      <c r="E61" s="119">
        <f t="shared" si="13"/>
        <v>0.72917534360683067</v>
      </c>
      <c r="F61" s="119">
        <f t="shared" si="13"/>
        <v>0.77967513536026667</v>
      </c>
      <c r="G61" s="119">
        <f t="shared" si="13"/>
        <v>0.82067367763431909</v>
      </c>
      <c r="H61" s="119">
        <f t="shared" si="13"/>
        <v>0.85357663473552692</v>
      </c>
      <c r="I61" s="119">
        <f t="shared" si="13"/>
        <v>0.87963348604748026</v>
      </c>
      <c r="J61" s="119">
        <f t="shared" si="13"/>
        <v>0.9012244897959184</v>
      </c>
      <c r="K61" s="119">
        <f t="shared" si="13"/>
        <v>0.91836734693877553</v>
      </c>
      <c r="L61" s="119">
        <f t="shared" si="13"/>
        <v>1</v>
      </c>
      <c r="M61" s="119">
        <f t="shared" si="13"/>
        <v>1</v>
      </c>
      <c r="N61" s="24"/>
      <c r="O61" s="24"/>
      <c r="P61" s="24"/>
      <c r="Q61" s="24"/>
      <c r="R61" s="24"/>
      <c r="S61" s="24"/>
      <c r="T61" s="24"/>
      <c r="U61" s="24"/>
      <c r="V61" s="24"/>
      <c r="W61" s="24"/>
    </row>
    <row r="62" spans="1:23" ht="13.5" thickBot="1" x14ac:dyDescent="0.25">
      <c r="A62" s="167" t="s">
        <v>23</v>
      </c>
      <c r="B62" s="167"/>
      <c r="C62" s="167"/>
      <c r="D62" s="120">
        <f>IF(D63="OMIT",D63,1-(D63/INSIZE)^2)</f>
        <v>-0.99515625000000019</v>
      </c>
      <c r="E62" s="120">
        <f>IF(E63="OMIT",E63,IF(D63="OMIT",1-(E63/INSIZE)^2,1-(E63/D63)^2))</f>
        <v>0.18521419061790301</v>
      </c>
      <c r="F62" s="120">
        <f>IF(F63="OMIT",F63,IF(E63="OMIT",1-(F63/INSIZE)^2,1-(F63/E63)^2))</f>
        <v>0.18646674356016912</v>
      </c>
      <c r="G62" s="120">
        <f>IF(G63="OMIT",G63,IF(F63="OMIT",1-(G63/INSIZE)^2,1-(G63/F63)^2))</f>
        <v>0.18608223062381835</v>
      </c>
      <c r="H62" s="120">
        <f t="shared" ref="H62:M62" si="14">IF(H63="OMIT",H63,1-(H63/G63)^2)</f>
        <v>0.18348091159820024</v>
      </c>
      <c r="I62" s="120">
        <f t="shared" si="14"/>
        <v>0.17795555555555564</v>
      </c>
      <c r="J62" s="120">
        <f t="shared" si="14"/>
        <v>0.17937716262975778</v>
      </c>
      <c r="K62" s="121">
        <f>IF(K63="OMIT",K63,1-(K63/J63)^2)</f>
        <v>0.17355371900826455</v>
      </c>
      <c r="L62" s="122">
        <f t="shared" si="14"/>
        <v>1</v>
      </c>
      <c r="M62" s="122" t="e">
        <f t="shared" si="14"/>
        <v>#DIV/0!</v>
      </c>
      <c r="N62" s="24"/>
      <c r="O62" s="24"/>
      <c r="P62" s="24"/>
      <c r="Q62" s="24"/>
      <c r="R62" s="24"/>
      <c r="S62" s="24"/>
      <c r="T62" s="24"/>
      <c r="U62" s="24"/>
      <c r="V62" s="24"/>
      <c r="W62" s="24"/>
    </row>
    <row r="63" spans="1:23" ht="12.2" customHeight="1" thickBot="1" x14ac:dyDescent="0.25">
      <c r="A63" s="168" t="s">
        <v>24</v>
      </c>
      <c r="B63" s="168"/>
      <c r="C63" s="168"/>
      <c r="D63" s="123">
        <v>5.65</v>
      </c>
      <c r="E63" s="124">
        <v>5.0999999999999996</v>
      </c>
      <c r="F63" s="124">
        <v>4.5999999999999996</v>
      </c>
      <c r="G63" s="124">
        <v>4.1500000000000004</v>
      </c>
      <c r="H63" s="124">
        <v>3.75</v>
      </c>
      <c r="I63" s="124">
        <v>3.4</v>
      </c>
      <c r="J63" s="124">
        <v>3.08</v>
      </c>
      <c r="K63" s="125">
        <v>2.8</v>
      </c>
      <c r="L63" s="126"/>
      <c r="M63" s="126"/>
    </row>
    <row r="64" spans="1:23" x14ac:dyDescent="0.2">
      <c r="A64" s="158" t="s">
        <v>25</v>
      </c>
      <c r="B64" s="159"/>
      <c r="C64" s="160"/>
      <c r="D64" s="67">
        <f>SUM(D13+(SUM(0.6*($D$12+(INSIZE/40)+D62)*(D$17*100))/(SUM((LOG(100-D$17*100))/2)+0.0005*D$17*100)))</f>
        <v>127.78563797898765</v>
      </c>
      <c r="E64" s="67">
        <f t="shared" ref="E64:M64" si="15">(SUM(D64+(SUM(0.6*($D$12+($E$51/40)+E62)*(E$61*100)))/(SUM((LOG(100-E$61*100))/2)+0.0005*E$61*100)))-(SUM(0.6*($D$12+($E$51/40)+D$62)*(D$61*100))/(SUM((LOG(100-D$61*100))/2)+0.0005*D$61*100))</f>
        <v>196.3838329476693</v>
      </c>
      <c r="F64" s="67">
        <f t="shared" si="15"/>
        <v>205.58156636031217</v>
      </c>
      <c r="G64" s="67">
        <f t="shared" si="15"/>
        <v>214.87368499856007</v>
      </c>
      <c r="H64" s="67">
        <f t="shared" si="15"/>
        <v>224.28747205995936</v>
      </c>
      <c r="I64" s="67">
        <f t="shared" si="15"/>
        <v>233.75483625563987</v>
      </c>
      <c r="J64" s="67">
        <f t="shared" si="15"/>
        <v>244.87372229431224</v>
      </c>
      <c r="K64" s="67">
        <f t="shared" si="15"/>
        <v>256.09809828117238</v>
      </c>
      <c r="L64" s="67" t="e">
        <f>(SUM(K64+(SUM(0.6*($D$12+($E$51/40)+L62)*(L$61*100)))/(SUM((LOG(100-L$61*100))/2)+0.0005*L$61*100)))-(SUM(0.6*($D$12+($E$51/40)+K$62)*(K$61*100))/(SUM((LOG(100-K$61*100))/2)+0.0005*K$61*100))</f>
        <v>#NUM!</v>
      </c>
      <c r="M64" s="67" t="e">
        <f t="shared" si="15"/>
        <v>#NUM!</v>
      </c>
    </row>
    <row r="65" spans="1:13" x14ac:dyDescent="0.2">
      <c r="A65" s="127"/>
      <c r="B65" s="127"/>
      <c r="C65" s="127"/>
      <c r="D65" s="65">
        <f>SUM(E13+(SUM(0.6*($E$12+(INSIZE/40)+D62)*(D$17*100))/(SUM((LOG(100-D$17*100))/2)+0.0005*D$17*100)))</f>
        <v>132.31114034007257</v>
      </c>
      <c r="E65" s="65">
        <f t="shared" ref="E65:M65" si="16">(SUM(D65+(SUM(0.6*($E$12+($E$51/40)+E$62)*(E$61*100)))/(SUM((LOG(100-E$61*100))/2)+0.0005*E$61*100)))-(SUM(0.6*($E$12+($E$51/40)+D$62)*(D$61*100))/(SUM((LOG(100-D$61*100))/2)+0.0005*D$61*100))</f>
        <v>201.67737797047926</v>
      </c>
      <c r="F65" s="65">
        <f t="shared" si="16"/>
        <v>211.64745127747392</v>
      </c>
      <c r="G65" s="65">
        <f t="shared" si="16"/>
        <v>221.72845953057134</v>
      </c>
      <c r="H65" s="65">
        <f t="shared" si="16"/>
        <v>231.95732810561219</v>
      </c>
      <c r="I65" s="65">
        <f t="shared" si="16"/>
        <v>242.27040039338908</v>
      </c>
      <c r="J65" s="65">
        <f t="shared" si="16"/>
        <v>254.32514099666682</v>
      </c>
      <c r="K65" s="65">
        <f t="shared" si="16"/>
        <v>266.55973562738859</v>
      </c>
      <c r="L65" s="65" t="e">
        <f t="shared" si="16"/>
        <v>#NUM!</v>
      </c>
      <c r="M65" s="65" t="e">
        <f t="shared" si="16"/>
        <v>#NUM!</v>
      </c>
    </row>
    <row r="66" spans="1:13" x14ac:dyDescent="0.2">
      <c r="A66" s="127" t="s">
        <v>56</v>
      </c>
      <c r="B66" s="127"/>
      <c r="C66" s="127"/>
      <c r="D66" s="128">
        <f t="shared" ref="D66:K66" si="17">IF(D63="OMIT","OMIT",VLOOKUP($E$3,UTS,6)+VLOOKUP($E$3,UTS,4)*D77)</f>
        <v>411.8</v>
      </c>
      <c r="E66" s="128">
        <f t="shared" si="17"/>
        <v>411.8</v>
      </c>
      <c r="F66" s="128">
        <f t="shared" si="17"/>
        <v>411.8</v>
      </c>
      <c r="G66" s="128">
        <f t="shared" si="17"/>
        <v>411.8</v>
      </c>
      <c r="H66" s="128">
        <f t="shared" si="17"/>
        <v>411.8</v>
      </c>
      <c r="I66" s="128">
        <f t="shared" si="17"/>
        <v>411.8</v>
      </c>
      <c r="J66" s="128">
        <f t="shared" si="17"/>
        <v>411.8</v>
      </c>
      <c r="K66" s="128">
        <f t="shared" si="17"/>
        <v>411.8</v>
      </c>
      <c r="L66" s="129" t="e">
        <f>VLOOKUP($E$3,UTS,6)+VLOOKUP($E$3,UTS,4)*L77</f>
        <v>#DIV/0!</v>
      </c>
      <c r="M66" s="118"/>
    </row>
    <row r="67" spans="1:13" x14ac:dyDescent="0.2">
      <c r="A67" s="127"/>
      <c r="B67" s="127"/>
      <c r="C67" s="127"/>
      <c r="D67" s="73"/>
      <c r="E67" s="73"/>
      <c r="F67" s="73"/>
      <c r="G67" s="73"/>
      <c r="H67" s="73"/>
      <c r="I67" s="73"/>
      <c r="J67" s="73"/>
      <c r="K67" s="73"/>
      <c r="L67" s="130"/>
      <c r="M67" s="118"/>
    </row>
    <row r="68" spans="1:13" x14ac:dyDescent="0.2">
      <c r="A68" s="127" t="s">
        <v>57</v>
      </c>
      <c r="B68" s="127"/>
      <c r="C68" s="127"/>
      <c r="D68" s="78">
        <f t="shared" ref="D68:K68" si="18">IF(D63="OMIT",D63,$L68*(FINSIZE/D63)^2)</f>
        <v>1.0588143159213721</v>
      </c>
      <c r="E68" s="78">
        <f t="shared" si="18"/>
        <v>1.2995001922337566</v>
      </c>
      <c r="F68" s="78">
        <f t="shared" si="18"/>
        <v>1.5973534971644616</v>
      </c>
      <c r="G68" s="78">
        <f t="shared" si="18"/>
        <v>1.9625489911453042</v>
      </c>
      <c r="H68" s="78">
        <f t="shared" si="18"/>
        <v>2.4035555555555557</v>
      </c>
      <c r="I68" s="78">
        <f t="shared" si="18"/>
        <v>2.9238754325259517</v>
      </c>
      <c r="J68" s="78">
        <f t="shared" si="18"/>
        <v>3.5629954461123297</v>
      </c>
      <c r="K68" s="78">
        <f t="shared" si="18"/>
        <v>4.3112244897959195</v>
      </c>
      <c r="L68" s="131">
        <v>20</v>
      </c>
      <c r="M68" s="118"/>
    </row>
    <row r="69" spans="1:13" x14ac:dyDescent="0.2">
      <c r="A69" s="127"/>
      <c r="B69" s="127"/>
      <c r="C69" s="127"/>
      <c r="D69" s="73"/>
      <c r="E69" s="73"/>
      <c r="F69" s="73"/>
      <c r="G69" s="73"/>
      <c r="H69" s="73"/>
      <c r="I69" s="73"/>
      <c r="J69" s="73"/>
      <c r="K69" s="73"/>
      <c r="L69" s="130"/>
      <c r="M69" s="118"/>
    </row>
    <row r="70" spans="1:13" x14ac:dyDescent="0.2">
      <c r="A70" s="127" t="s">
        <v>58</v>
      </c>
      <c r="B70" s="127"/>
      <c r="C70" s="127"/>
      <c r="D70" s="77">
        <f>IF(D$63="OMIT",D$63,4.74)</f>
        <v>4.74</v>
      </c>
      <c r="E70" s="77">
        <f>IF(E$63="OMIT",E$63,6.22)</f>
        <v>6.22</v>
      </c>
      <c r="F70" s="77">
        <f>IF(F$63="OMIT",F$63,8)</f>
        <v>8</v>
      </c>
      <c r="G70" s="77">
        <f>IF(G$63="OMIT",G$63,10.08)</f>
        <v>10.08</v>
      </c>
      <c r="H70" s="77">
        <f>IF(H$63="OMIT",H$63,12.36)</f>
        <v>12.36</v>
      </c>
      <c r="I70" s="77">
        <f>IF(I$63="OMIT",I$63,15.1)</f>
        <v>15.1</v>
      </c>
      <c r="J70" s="77">
        <f>IF(J$63="OMIT",J$63,18.26)</f>
        <v>18.260000000000002</v>
      </c>
      <c r="K70" s="77">
        <f>IF(K$63="OMIT",K$63,19.64)</f>
        <v>19.64</v>
      </c>
      <c r="L70" s="77">
        <v>20</v>
      </c>
      <c r="M70" s="118"/>
    </row>
    <row r="71" spans="1:13" x14ac:dyDescent="0.2">
      <c r="A71" s="127" t="s">
        <v>59</v>
      </c>
      <c r="B71" s="127"/>
      <c r="C71" s="127"/>
      <c r="D71" s="78">
        <f t="shared" ref="D71:K71" si="19">IF(D$63="OMIT",D$63,D$26/2)</f>
        <v>0.8</v>
      </c>
      <c r="E71" s="78">
        <f t="shared" si="19"/>
        <v>1.0049999999999999</v>
      </c>
      <c r="F71" s="78">
        <f t="shared" si="19"/>
        <v>1.28</v>
      </c>
      <c r="G71" s="78">
        <f t="shared" si="19"/>
        <v>1.59</v>
      </c>
      <c r="H71" s="78">
        <f t="shared" si="19"/>
        <v>2.0150000000000001</v>
      </c>
      <c r="I71" s="78">
        <f t="shared" si="19"/>
        <v>2.4849999999999999</v>
      </c>
      <c r="J71" s="78">
        <f t="shared" si="19"/>
        <v>3.07</v>
      </c>
      <c r="K71" s="78">
        <f t="shared" si="19"/>
        <v>3.875</v>
      </c>
      <c r="L71" s="77">
        <v>6.67</v>
      </c>
      <c r="M71" s="118"/>
    </row>
    <row r="72" spans="1:13" x14ac:dyDescent="0.2">
      <c r="A72" s="127"/>
      <c r="B72" s="127"/>
      <c r="C72" s="127"/>
      <c r="D72" s="73"/>
      <c r="E72" s="73"/>
      <c r="F72" s="73"/>
      <c r="G72" s="73"/>
      <c r="H72" s="73"/>
      <c r="I72" s="73"/>
      <c r="J72" s="73"/>
      <c r="K72" s="73"/>
      <c r="L72" s="132"/>
      <c r="M72" s="118"/>
    </row>
    <row r="73" spans="1:13" x14ac:dyDescent="0.2">
      <c r="A73" s="127" t="s">
        <v>60</v>
      </c>
      <c r="B73" s="127"/>
      <c r="C73" s="127"/>
      <c r="D73" s="79">
        <f>IF(D63="OMIT",D63,(D78*0.85*0.9)*(D62+0.3)*(E8*D68*0.746)/741)</f>
        <v>0</v>
      </c>
      <c r="E73" s="79">
        <f>IF(E62="OMIT",E62,(E78*0.85*0.9)*(E62+0.3)*(E68*0.746)/741*IF(D62="OMIT",E8,D66))</f>
        <v>5.0144271222016403</v>
      </c>
      <c r="F73" s="79">
        <f>IF(F62="OMIT",F62,(F78*0.85*0.9)*(F62+0.3)*(F68*0.746)*IF(E62="OMIT",E8,E66)/741)</f>
        <v>5.0351119525192445</v>
      </c>
      <c r="G73" s="79">
        <f>IF(G63="OMIT",G63,(G78*0.85*0.9)*(G62+0.3)*(G68*0.746)/741*IF(F73="OMIT",E8,F66))</f>
        <v>5.0287552812435603</v>
      </c>
      <c r="H73" s="79">
        <f>IF(H63="OMIT",H63,(H78*0.85*0.9)*(H62+0.3)*(G66*H68*0.746)/741)</f>
        <v>4.9859081860774532</v>
      </c>
      <c r="I73" s="79">
        <f>IF(I63="OMIT",I63,(I78*0.85*0.9)*(I62+0.3)*(H66*I68*0.746)/741)</f>
        <v>4.8957981286356622</v>
      </c>
      <c r="J73" s="79">
        <f>IF(J63="OMIT",J63,(J78*0.85*0.9)*(J62+0.3)*(I66*J68*0.746)/741)</f>
        <v>4.9188664141118998</v>
      </c>
      <c r="K73" s="79">
        <f>IF(K62="OMIT",K62,(K78*0.85*0.9)*(K62+0.3)*(J66*K68*0.746)/741)</f>
        <v>4.824873246540033</v>
      </c>
      <c r="L73" s="79" t="e">
        <f>IF(L62="OMIT",L62,(L78*0.85*0.9*1.05)*(L62+0.3)*(INDEX(D66:K66,1,BLKBEFRDIE,1)*L68*0.746)/741)</f>
        <v>#REF!</v>
      </c>
      <c r="M73" s="118"/>
    </row>
    <row r="74" spans="1:13" x14ac:dyDescent="0.2">
      <c r="A74" s="127" t="s">
        <v>61</v>
      </c>
      <c r="B74" s="127"/>
      <c r="C74" s="127"/>
      <c r="D74" s="79">
        <f>IF(D60&lt;STRTBLK,"OMIT",IF(D68&gt;D71,45,45*D68/D71))</f>
        <v>45</v>
      </c>
      <c r="E74" s="79">
        <f>IF(E60&lt;STRTBLK,"OMIT",IF(E68&gt;E71,45,45*E68/E71))</f>
        <v>45</v>
      </c>
      <c r="F74" s="79">
        <f>IF(F60&lt;STRTBLK,"OMIT",IF(F68&gt;F71,45,45*F68/F71))</f>
        <v>45</v>
      </c>
      <c r="G74" s="79">
        <f>IF(G60&gt;BLKBEFRDIE,"OMIT",IF(G68&gt;G71,45,45*G68/G71))</f>
        <v>45</v>
      </c>
      <c r="H74" s="79">
        <f>IF(H60&gt;BLKBEFRDIE,"OMIT",IF(H68&gt;H71,45,45*H68/H71))</f>
        <v>45</v>
      </c>
      <c r="I74" s="79">
        <f>IF(I60&gt;BLKBEFRDIE,"OMIT",IF(I68&gt;I71,45,45*I68/I71))</f>
        <v>45</v>
      </c>
      <c r="J74" s="79">
        <f>IF(J60&gt;BLKBEFRDIE,"OMIT",IF(J68&gt;J71,45,45*J68/J71))</f>
        <v>45</v>
      </c>
      <c r="K74" s="79">
        <f>IF(K60&gt;BLKBEFRDIE,"OMIT",IF(K68&gt;K71,45,45*K68/K71))</f>
        <v>45</v>
      </c>
      <c r="L74" s="79">
        <f>IF(L68&gt;L71,45,45*L68/L71)</f>
        <v>45</v>
      </c>
      <c r="M74" s="118"/>
    </row>
    <row r="75" spans="1:13" x14ac:dyDescent="0.2">
      <c r="A75" s="127"/>
      <c r="B75" s="127"/>
      <c r="C75" s="127"/>
      <c r="D75" s="133"/>
      <c r="E75" s="133"/>
      <c r="F75" s="133"/>
      <c r="G75" s="133"/>
      <c r="H75" s="133"/>
      <c r="I75" s="133"/>
      <c r="J75" s="133"/>
      <c r="K75" s="133"/>
      <c r="L75" s="132"/>
      <c r="M75" s="118"/>
    </row>
    <row r="76" spans="1:13" x14ac:dyDescent="0.2">
      <c r="A76" s="127"/>
      <c r="B76" s="127"/>
      <c r="C76" s="127"/>
      <c r="D76" s="133"/>
      <c r="E76" s="133"/>
      <c r="F76" s="133"/>
      <c r="G76" s="133"/>
      <c r="H76" s="133"/>
      <c r="I76" s="133"/>
      <c r="J76" s="133"/>
      <c r="K76" s="133"/>
      <c r="L76" s="132"/>
      <c r="M76" s="118"/>
    </row>
    <row r="77" spans="1:13" x14ac:dyDescent="0.2">
      <c r="A77" s="127" t="s">
        <v>62</v>
      </c>
      <c r="B77" s="127"/>
      <c r="C77" s="127"/>
      <c r="D77" s="78">
        <f t="shared" ref="D77:L77" si="20">IF(D63="OMIT",D63,2*(LN(INSIZE/D63)))</f>
        <v>-0.69072236807691789</v>
      </c>
      <c r="E77" s="78">
        <f t="shared" si="20"/>
        <v>-0.48589235722077867</v>
      </c>
      <c r="F77" s="78">
        <f t="shared" si="20"/>
        <v>-0.2795238847503172</v>
      </c>
      <c r="G77" s="78">
        <f t="shared" si="20"/>
        <v>-7.3627946245432868E-2</v>
      </c>
      <c r="H77" s="78">
        <f t="shared" si="20"/>
        <v>0.12907704227514233</v>
      </c>
      <c r="I77" s="78">
        <f t="shared" si="20"/>
        <v>0.32503785899554988</v>
      </c>
      <c r="J77" s="78">
        <f t="shared" si="20"/>
        <v>0.52272952826881502</v>
      </c>
      <c r="K77" s="78">
        <f t="shared" si="20"/>
        <v>0.71334988787746478</v>
      </c>
      <c r="L77" s="134" t="e">
        <f t="shared" si="20"/>
        <v>#DIV/0!</v>
      </c>
      <c r="M77" s="118"/>
    </row>
    <row r="78" spans="1:13" x14ac:dyDescent="0.2">
      <c r="A78" s="127" t="s">
        <v>63</v>
      </c>
      <c r="B78" s="127"/>
      <c r="C78" s="127"/>
      <c r="D78" s="135">
        <f>IF(D63="OMIT",D63,(INSIZE)^2*3.142/4)</f>
        <v>12.568</v>
      </c>
      <c r="E78" s="135">
        <f t="shared" ref="E78:J78" si="21">IF(E63="OMIT",E63,IF(E60=STRTBLK,(INSIZE)^2*3.142/4,(D63)^2*3.142/4))</f>
        <v>25.075123750000003</v>
      </c>
      <c r="F78" s="135">
        <f t="shared" si="21"/>
        <v>20.430854999999998</v>
      </c>
      <c r="G78" s="135">
        <f t="shared" si="21"/>
        <v>16.621179999999995</v>
      </c>
      <c r="H78" s="135">
        <f t="shared" si="21"/>
        <v>13.528273750000002</v>
      </c>
      <c r="I78" s="135">
        <f t="shared" si="21"/>
        <v>11.046093749999999</v>
      </c>
      <c r="J78" s="135">
        <f t="shared" si="21"/>
        <v>9.0803799999999981</v>
      </c>
      <c r="K78" s="135">
        <f>IF(K63="OMIT",K63,(J63)^2*3.142/4)</f>
        <v>7.4515671999999995</v>
      </c>
      <c r="L78" s="136" t="e">
        <f>(INDEX(D63:K63,1,BLKBEFRDIE,1))^2*3.142/4</f>
        <v>#REF!</v>
      </c>
      <c r="M78" s="118"/>
    </row>
    <row r="79" spans="1:13" x14ac:dyDescent="0.2">
      <c r="A79" s="127" t="s">
        <v>64</v>
      </c>
      <c r="B79" s="127"/>
      <c r="C79" s="127"/>
      <c r="D79" s="128">
        <f>IF(D$60&lt;STRTBLK,"OMIT",550)</f>
        <v>550</v>
      </c>
      <c r="E79" s="128">
        <f>IF(E$60&lt;STRTBLK,"OMIT",550)</f>
        <v>550</v>
      </c>
      <c r="F79" s="128">
        <f>IF(F$60&lt;STRTBLK,"OMIT",550)</f>
        <v>550</v>
      </c>
      <c r="G79" s="128">
        <f>IF(G$60&gt;BLKBEFRDIE,"OMIT",550)</f>
        <v>550</v>
      </c>
      <c r="H79" s="128">
        <f>IF(H$60&gt;BLKBEFRDIE,"OMIT",550)</f>
        <v>550</v>
      </c>
      <c r="I79" s="128">
        <f>IF(I$60&gt;BLKBEFRDIE,"OMIT",550)</f>
        <v>550</v>
      </c>
      <c r="J79" s="128">
        <f>IF(J$60&gt;BLKBEFRDIE,"OMIT",550)</f>
        <v>550</v>
      </c>
      <c r="K79" s="128">
        <f>IF(K$60&gt;BLKBEFRDIE,"OMIT",550)</f>
        <v>550</v>
      </c>
      <c r="L79" s="129">
        <v>550</v>
      </c>
      <c r="M79" s="118"/>
    </row>
    <row r="80" spans="1:13" x14ac:dyDescent="0.2">
      <c r="A80" s="127" t="s">
        <v>65</v>
      </c>
      <c r="B80" s="127"/>
      <c r="C80" s="127"/>
      <c r="D80" s="128">
        <f t="shared" ref="D80:L80" si="22">IF(D63="OMIT",D63,D68*60/1.727)</f>
        <v>36.785673975264807</v>
      </c>
      <c r="E80" s="128">
        <f t="shared" si="22"/>
        <v>45.147661571525987</v>
      </c>
      <c r="F80" s="128">
        <f t="shared" si="22"/>
        <v>55.495778708666876</v>
      </c>
      <c r="G80" s="128">
        <f t="shared" si="22"/>
        <v>68.183520248244491</v>
      </c>
      <c r="H80" s="128">
        <f t="shared" si="22"/>
        <v>83.505114842694454</v>
      </c>
      <c r="I80" s="128">
        <f t="shared" si="22"/>
        <v>101.58223853593346</v>
      </c>
      <c r="J80" s="128">
        <f t="shared" si="22"/>
        <v>123.78675551056153</v>
      </c>
      <c r="K80" s="128">
        <f t="shared" si="22"/>
        <v>149.78197416777948</v>
      </c>
      <c r="L80" s="129">
        <f t="shared" si="22"/>
        <v>694.84655471916619</v>
      </c>
      <c r="M80" s="118"/>
    </row>
    <row r="81" spans="1:13" x14ac:dyDescent="0.2">
      <c r="A81" s="127" t="s">
        <v>66</v>
      </c>
      <c r="B81" s="127"/>
      <c r="C81" s="127"/>
      <c r="D81" s="137">
        <f t="shared" ref="D81:L81" si="23">IF(D63="OMIT",D63,(D68/D70)*2100)</f>
        <v>469.09495009174708</v>
      </c>
      <c r="E81" s="137">
        <f t="shared" si="23"/>
        <v>438.73800702425865</v>
      </c>
      <c r="F81" s="137">
        <f t="shared" si="23"/>
        <v>419.30529300567116</v>
      </c>
      <c r="G81" s="137">
        <f t="shared" si="23"/>
        <v>408.86437315527172</v>
      </c>
      <c r="H81" s="137">
        <f t="shared" si="23"/>
        <v>408.37108953613807</v>
      </c>
      <c r="I81" s="137">
        <f t="shared" si="23"/>
        <v>406.63168266917211</v>
      </c>
      <c r="J81" s="137">
        <f t="shared" si="23"/>
        <v>409.76398887381663</v>
      </c>
      <c r="K81" s="137">
        <f t="shared" si="23"/>
        <v>460.97614198428874</v>
      </c>
      <c r="L81" s="138">
        <f t="shared" si="23"/>
        <v>2100</v>
      </c>
      <c r="M81" s="118"/>
    </row>
    <row r="82" spans="1:13" x14ac:dyDescent="0.2">
      <c r="A82" s="139"/>
      <c r="B82" s="139"/>
      <c r="C82" s="139"/>
      <c r="D82" s="139"/>
      <c r="E82" s="139"/>
      <c r="F82" s="139"/>
      <c r="G82" s="139"/>
      <c r="H82" s="139"/>
      <c r="I82" s="139"/>
      <c r="J82" s="139"/>
      <c r="K82" s="139"/>
      <c r="L82" s="139"/>
      <c r="M82" s="140"/>
    </row>
    <row r="84" spans="1:13" x14ac:dyDescent="0.2">
      <c r="A84" s="16" t="s">
        <v>39</v>
      </c>
      <c r="B84" s="16"/>
      <c r="C84" s="16"/>
      <c r="E84" s="92">
        <f>L3/(1-L3)</f>
        <v>8.4674556213017773</v>
      </c>
      <c r="G84" s="16" t="s">
        <v>40</v>
      </c>
      <c r="K84" s="93" t="e">
        <f>SUM(D73:L73)</f>
        <v>#REF!</v>
      </c>
    </row>
    <row r="85" spans="1:13" x14ac:dyDescent="0.2">
      <c r="G85" s="16" t="s">
        <v>41</v>
      </c>
      <c r="K85" s="93">
        <f>SUM(D74:L74)</f>
        <v>405</v>
      </c>
    </row>
    <row r="87" spans="1:13" x14ac:dyDescent="0.2">
      <c r="A87" s="4"/>
      <c r="B87" s="4"/>
      <c r="C87" s="4"/>
      <c r="E87" s="44"/>
      <c r="F87" s="45"/>
      <c r="G87" s="45"/>
      <c r="H87" s="141"/>
    </row>
    <row r="88" spans="1:13" x14ac:dyDescent="0.2">
      <c r="A88" s="16"/>
      <c r="B88" s="16"/>
      <c r="C88" s="16"/>
      <c r="E88" s="44"/>
      <c r="F88" s="45"/>
      <c r="G88" s="45"/>
      <c r="H88" s="46"/>
    </row>
    <row r="91" spans="1:13" x14ac:dyDescent="0.2">
      <c r="A91" s="95"/>
      <c r="B91" s="95"/>
      <c r="C91" s="95"/>
      <c r="D91" s="95"/>
      <c r="E91" s="95"/>
      <c r="F91" s="95"/>
      <c r="G91" s="96" t="s">
        <v>67</v>
      </c>
      <c r="H91" s="95"/>
    </row>
    <row r="92" spans="1:13" x14ac:dyDescent="0.2">
      <c r="A92" s="96" t="s">
        <v>68</v>
      </c>
      <c r="B92" s="96"/>
      <c r="C92" s="96"/>
      <c r="D92" s="95"/>
      <c r="E92" s="96" t="s">
        <v>69</v>
      </c>
      <c r="F92" s="96" t="s">
        <v>62</v>
      </c>
      <c r="G92" s="95"/>
      <c r="H92" s="96" t="s">
        <v>70</v>
      </c>
    </row>
    <row r="93" spans="1:13" x14ac:dyDescent="0.2">
      <c r="A93" s="24" t="s">
        <v>71</v>
      </c>
      <c r="B93" s="24"/>
      <c r="C93" s="24"/>
      <c r="E93" s="24">
        <v>491</v>
      </c>
      <c r="F93" s="24">
        <v>156</v>
      </c>
      <c r="H93" s="24">
        <v>491</v>
      </c>
    </row>
    <row r="94" spans="1:13" x14ac:dyDescent="0.2">
      <c r="A94" s="24" t="s">
        <v>72</v>
      </c>
      <c r="B94" s="24"/>
      <c r="C94" s="24"/>
      <c r="E94" s="24">
        <v>491</v>
      </c>
      <c r="F94" s="24">
        <v>156</v>
      </c>
      <c r="H94" s="24">
        <v>491</v>
      </c>
    </row>
    <row r="95" spans="1:13" x14ac:dyDescent="0.2">
      <c r="A95" s="24" t="s">
        <v>73</v>
      </c>
      <c r="B95" s="24"/>
      <c r="C95" s="24"/>
      <c r="E95" s="24">
        <v>500</v>
      </c>
      <c r="F95" s="24">
        <v>156</v>
      </c>
      <c r="H95" s="24">
        <v>500</v>
      </c>
    </row>
    <row r="96" spans="1:13" x14ac:dyDescent="0.2">
      <c r="A96" s="24" t="s">
        <v>74</v>
      </c>
      <c r="B96" s="24"/>
      <c r="C96" s="24"/>
      <c r="E96" s="24">
        <v>486</v>
      </c>
      <c r="F96" s="24">
        <v>250</v>
      </c>
      <c r="H96" s="24">
        <v>530</v>
      </c>
    </row>
    <row r="97" spans="1:8" x14ac:dyDescent="0.2">
      <c r="A97" s="5" t="s">
        <v>75</v>
      </c>
      <c r="E97" s="5">
        <v>537</v>
      </c>
      <c r="F97" s="5">
        <v>258.8</v>
      </c>
      <c r="H97" s="5">
        <v>582</v>
      </c>
    </row>
    <row r="98" spans="1:8" x14ac:dyDescent="0.2">
      <c r="A98" s="5" t="s">
        <v>76</v>
      </c>
      <c r="E98" s="5">
        <v>589</v>
      </c>
      <c r="F98" s="5">
        <v>273.5</v>
      </c>
      <c r="H98" s="5">
        <v>633</v>
      </c>
    </row>
    <row r="99" spans="1:8" x14ac:dyDescent="0.2">
      <c r="A99" s="24" t="s">
        <v>77</v>
      </c>
      <c r="B99" s="24"/>
      <c r="C99" s="24"/>
      <c r="E99" s="5">
        <v>640</v>
      </c>
      <c r="F99" s="5">
        <v>288.3</v>
      </c>
      <c r="H99" s="5">
        <v>678</v>
      </c>
    </row>
    <row r="100" spans="1:8" x14ac:dyDescent="0.2">
      <c r="A100" s="5" t="s">
        <v>78</v>
      </c>
      <c r="E100" s="5">
        <v>691</v>
      </c>
      <c r="F100" s="5">
        <v>300</v>
      </c>
      <c r="H100" s="5">
        <v>730</v>
      </c>
    </row>
    <row r="101" spans="1:8" x14ac:dyDescent="0.2">
      <c r="A101" s="5" t="s">
        <v>79</v>
      </c>
      <c r="E101" s="5">
        <v>742</v>
      </c>
      <c r="F101" s="5">
        <v>311.8</v>
      </c>
      <c r="H101" s="5">
        <v>776</v>
      </c>
    </row>
    <row r="102" spans="1:8" x14ac:dyDescent="0.2">
      <c r="A102" s="24" t="s">
        <v>80</v>
      </c>
      <c r="B102" s="24"/>
      <c r="C102" s="24"/>
      <c r="E102" s="5">
        <v>794</v>
      </c>
      <c r="F102" s="5">
        <v>323.5</v>
      </c>
      <c r="H102" s="5">
        <v>833</v>
      </c>
    </row>
    <row r="103" spans="1:8" x14ac:dyDescent="0.2">
      <c r="A103" s="5" t="s">
        <v>81</v>
      </c>
      <c r="E103" s="5">
        <v>845</v>
      </c>
      <c r="F103" s="5">
        <v>335.3</v>
      </c>
      <c r="H103" s="5">
        <v>879</v>
      </c>
    </row>
    <row r="104" spans="1:8" x14ac:dyDescent="0.2">
      <c r="A104" s="5" t="s">
        <v>82</v>
      </c>
      <c r="E104" s="5">
        <v>896</v>
      </c>
      <c r="F104" s="5">
        <v>347.1</v>
      </c>
      <c r="H104" s="5">
        <v>926</v>
      </c>
    </row>
    <row r="105" spans="1:8" x14ac:dyDescent="0.2">
      <c r="A105" s="5" t="s">
        <v>83</v>
      </c>
      <c r="E105" s="5">
        <v>948</v>
      </c>
      <c r="F105" s="5">
        <v>352.9</v>
      </c>
      <c r="H105" s="5">
        <v>984</v>
      </c>
    </row>
    <row r="106" spans="1:8" x14ac:dyDescent="0.2">
      <c r="A106" s="24" t="s">
        <v>84</v>
      </c>
      <c r="B106" s="24"/>
      <c r="C106" s="24"/>
      <c r="E106" s="5">
        <v>999</v>
      </c>
      <c r="F106" s="5">
        <v>370.6</v>
      </c>
      <c r="H106" s="5">
        <v>1029</v>
      </c>
    </row>
    <row r="107" spans="1:8" x14ac:dyDescent="0.2">
      <c r="A107" s="5" t="s">
        <v>85</v>
      </c>
      <c r="E107" s="5">
        <v>1050</v>
      </c>
      <c r="F107" s="5">
        <v>376.5</v>
      </c>
      <c r="H107" s="5">
        <v>1087</v>
      </c>
    </row>
    <row r="108" spans="1:8" x14ac:dyDescent="0.2">
      <c r="A108" s="5" t="s">
        <v>86</v>
      </c>
      <c r="E108" s="5">
        <v>1102</v>
      </c>
      <c r="F108" s="5">
        <v>396.2</v>
      </c>
      <c r="H108" s="5">
        <v>1128</v>
      </c>
    </row>
    <row r="109" spans="1:8" x14ac:dyDescent="0.2">
      <c r="A109" s="5" t="s">
        <v>87</v>
      </c>
      <c r="E109" s="5">
        <v>1153</v>
      </c>
      <c r="F109" s="5">
        <v>411.8</v>
      </c>
      <c r="H109" s="5">
        <v>1176</v>
      </c>
    </row>
    <row r="110" spans="1:8" x14ac:dyDescent="0.2">
      <c r="A110" s="24" t="s">
        <v>88</v>
      </c>
      <c r="B110" s="24"/>
      <c r="C110" s="24"/>
      <c r="E110" s="24">
        <v>330</v>
      </c>
      <c r="F110" s="24">
        <v>171</v>
      </c>
      <c r="H110" s="24">
        <v>491</v>
      </c>
    </row>
    <row r="111" spans="1:8" x14ac:dyDescent="0.2">
      <c r="A111" s="24" t="s">
        <v>89</v>
      </c>
      <c r="B111" s="24"/>
      <c r="C111" s="24"/>
      <c r="E111" s="24">
        <v>325</v>
      </c>
      <c r="F111" s="24">
        <v>171</v>
      </c>
      <c r="H111" s="24">
        <v>491</v>
      </c>
    </row>
    <row r="113" spans="1:23" ht="13.5" thickBot="1" x14ac:dyDescent="0.25">
      <c r="A113" s="151" t="s">
        <v>23</v>
      </c>
      <c r="B113" s="152"/>
      <c r="C113" s="153"/>
      <c r="D113" s="122">
        <f>IF(D114="OMIT",D114,1-(D114/INSIZE)^2)</f>
        <v>-0.38062500000000021</v>
      </c>
      <c r="E113" s="122">
        <f>IF(E114="OMIT",E114,IF(D114="OMIT",1-(E114/INSIZE)^2,1-(E114/D114)^2))</f>
        <v>0.20144861928474433</v>
      </c>
      <c r="F113" s="122">
        <f>IF(F114="OMIT",F114,IF(E114="OMIT",1-(F114/INSIZE)^2,1-(F114/E114)^2))</f>
        <v>0.18140589569161014</v>
      </c>
      <c r="G113" s="122">
        <f>IF(G114="OMIT",G114,IF(F114="OMIT",1-(G114/INSIZE)^2,1-(G114/F114)^2))</f>
        <v>0.19944598337950137</v>
      </c>
      <c r="H113" s="122">
        <f t="shared" ref="H113:M113" si="24">IF(H114="OMIT",H114,1-(H114/G114)^2)</f>
        <v>0.1686851211072663</v>
      </c>
      <c r="I113" s="122">
        <f t="shared" si="24"/>
        <v>0.15478668054110312</v>
      </c>
      <c r="J113" s="122">
        <f t="shared" si="24"/>
        <v>0.16774392120652515</v>
      </c>
      <c r="K113" s="122">
        <f t="shared" si="24"/>
        <v>0.71828402366863919</v>
      </c>
      <c r="L113" s="122">
        <f t="shared" si="24"/>
        <v>1</v>
      </c>
      <c r="M113" s="122" t="e">
        <f t="shared" si="24"/>
        <v>#DIV/0!</v>
      </c>
      <c r="N113" s="24"/>
      <c r="O113" s="24"/>
      <c r="P113" s="24"/>
      <c r="Q113" s="24"/>
      <c r="R113" s="24"/>
      <c r="S113" s="24"/>
      <c r="T113" s="24"/>
      <c r="U113" s="24"/>
      <c r="V113" s="24"/>
      <c r="W113" s="24"/>
    </row>
    <row r="114" spans="1:23" ht="12.2" customHeight="1" thickBot="1" x14ac:dyDescent="0.25">
      <c r="A114" s="154" t="s">
        <v>24</v>
      </c>
      <c r="B114" s="155"/>
      <c r="C114" s="156"/>
      <c r="D114" s="142">
        <v>4.7</v>
      </c>
      <c r="E114" s="143">
        <v>4.2</v>
      </c>
      <c r="F114" s="143">
        <v>3.8</v>
      </c>
      <c r="G114" s="143">
        <v>3.4</v>
      </c>
      <c r="H114" s="143">
        <v>3.1</v>
      </c>
      <c r="I114" s="143">
        <v>2.85</v>
      </c>
      <c r="J114" s="143">
        <v>2.6</v>
      </c>
      <c r="K114" s="144">
        <v>1.38</v>
      </c>
      <c r="L114" s="126"/>
      <c r="M114" s="126"/>
    </row>
    <row r="116" spans="1:23" ht="13.5" thickBot="1" x14ac:dyDescent="0.25">
      <c r="A116" s="151" t="s">
        <v>23</v>
      </c>
      <c r="B116" s="152"/>
      <c r="C116" s="153"/>
      <c r="D116" s="122">
        <f>IF(D117="OMIT",D117,1-(D117/INSIZE)^2)</f>
        <v>-3.7088999999999999</v>
      </c>
      <c r="E116" s="122">
        <f>IF(E117="OMIT",E117,IF(D117="OMIT",1-(E117/INSIZE)^2,1-(E117/D117)^2))</f>
        <v>0.24742376138800981</v>
      </c>
      <c r="F116" s="122">
        <f>IF(F117="OMIT",F117,IF(E117="OMIT",1-(F117/INSIZE)^2,1-(F117/E117)^2))</f>
        <v>0.19405864809906015</v>
      </c>
      <c r="G116" s="122">
        <f>IF(G117="OMIT",G117,IF(F117="OMIT",1-(G117/INSIZE)^2,1-(G117/F117)^2))</f>
        <v>0.21745562130177498</v>
      </c>
      <c r="H116" s="122">
        <f t="shared" ref="H116:M116" si="25">IF(H117="OMIT",H117,1-(H117/G117)^2)</f>
        <v>0.18457287949799228</v>
      </c>
      <c r="I116" s="122">
        <f t="shared" si="25"/>
        <v>0.17324759945130319</v>
      </c>
      <c r="J116" s="122">
        <f t="shared" si="25"/>
        <v>0.16748312807728516</v>
      </c>
      <c r="K116" s="122">
        <f t="shared" si="25"/>
        <v>0.15835758131377553</v>
      </c>
      <c r="L116" s="122">
        <f t="shared" si="25"/>
        <v>1</v>
      </c>
      <c r="M116" s="122" t="e">
        <f t="shared" si="25"/>
        <v>#DIV/0!</v>
      </c>
      <c r="N116" s="24"/>
      <c r="O116" s="24"/>
      <c r="P116" s="24"/>
      <c r="Q116" s="24"/>
      <c r="R116" s="24"/>
      <c r="S116" s="24"/>
      <c r="T116" s="24"/>
      <c r="U116" s="24"/>
      <c r="V116" s="24"/>
      <c r="W116" s="24"/>
    </row>
    <row r="117" spans="1:23" ht="12.2" customHeight="1" thickBot="1" x14ac:dyDescent="0.25">
      <c r="A117" s="154" t="s">
        <v>24</v>
      </c>
      <c r="B117" s="155"/>
      <c r="C117" s="156"/>
      <c r="D117" s="142">
        <v>8.68</v>
      </c>
      <c r="E117" s="143">
        <v>7.53</v>
      </c>
      <c r="F117" s="143">
        <v>6.76</v>
      </c>
      <c r="G117" s="143">
        <v>5.98</v>
      </c>
      <c r="H117" s="143">
        <v>5.4</v>
      </c>
      <c r="I117" s="143">
        <v>4.91</v>
      </c>
      <c r="J117" s="143">
        <v>4.4800000000000004</v>
      </c>
      <c r="K117" s="144">
        <v>4.1100000000000003</v>
      </c>
      <c r="L117" s="126"/>
      <c r="M117" s="126"/>
    </row>
    <row r="121" spans="1:23" ht="13.5" thickBot="1" x14ac:dyDescent="0.25"/>
    <row r="122" spans="1:23" x14ac:dyDescent="0.2">
      <c r="A122" s="149">
        <v>8.5500000000000007</v>
      </c>
      <c r="B122" s="149">
        <v>7.55</v>
      </c>
      <c r="C122" s="149">
        <v>6.7</v>
      </c>
      <c r="D122" s="149">
        <v>6</v>
      </c>
      <c r="E122" s="149">
        <v>5.4</v>
      </c>
      <c r="F122" s="149">
        <v>4.9000000000000004</v>
      </c>
      <c r="G122" s="145">
        <v>4.45</v>
      </c>
    </row>
    <row r="123" spans="1:23" ht="13.5" thickBot="1" x14ac:dyDescent="0.25">
      <c r="A123" s="150"/>
      <c r="B123" s="150"/>
      <c r="C123" s="150"/>
      <c r="D123" s="150"/>
      <c r="E123" s="150"/>
      <c r="F123" s="150"/>
      <c r="G123" s="146">
        <v>-4.38</v>
      </c>
    </row>
  </sheetData>
  <scenarios current="0" sqref="J10">
    <scenario name="maxspeed" locked="1" count="4" user="FLASH" comment="Created by FLASH on 11/4/92">
      <inputCells r="E9" val="12"/>
      <inputCells r="E10" val="1"/>
      <inputCells r="E11" val="1"/>
      <inputCells r="E7" val="9"/>
    </scenario>
  </scenarios>
  <mergeCells count="17">
    <mergeCell ref="O15:O16"/>
    <mergeCell ref="A64:C64"/>
    <mergeCell ref="A17:C17"/>
    <mergeCell ref="A18:C18"/>
    <mergeCell ref="A61:C61"/>
    <mergeCell ref="A62:C62"/>
    <mergeCell ref="A63:C63"/>
    <mergeCell ref="D122:D123"/>
    <mergeCell ref="E122:E123"/>
    <mergeCell ref="F122:F123"/>
    <mergeCell ref="A113:C113"/>
    <mergeCell ref="A114:C114"/>
    <mergeCell ref="A116:C116"/>
    <mergeCell ref="A117:C117"/>
    <mergeCell ref="A122:A123"/>
    <mergeCell ref="B122:B123"/>
    <mergeCell ref="C122:C123"/>
  </mergeCells>
  <conditionalFormatting sqref="D24">
    <cfRule type="cellIs" dxfId="21" priority="1" stopIfTrue="1" operator="lessThan">
      <formula>$D$27</formula>
    </cfRule>
    <cfRule type="cellIs" dxfId="20" priority="2" stopIfTrue="1" operator="greaterThanOrEqual">
      <formula>$D$26</formula>
    </cfRule>
  </conditionalFormatting>
  <conditionalFormatting sqref="E24">
    <cfRule type="cellIs" dxfId="19" priority="3" stopIfTrue="1" operator="lessThan">
      <formula>$E$27</formula>
    </cfRule>
    <cfRule type="cellIs" dxfId="18" priority="4" stopIfTrue="1" operator="greaterThan">
      <formula>$E$26</formula>
    </cfRule>
  </conditionalFormatting>
  <conditionalFormatting sqref="F24">
    <cfRule type="cellIs" dxfId="17" priority="5" stopIfTrue="1" operator="lessThan">
      <formula>$F$27</formula>
    </cfRule>
    <cfRule type="cellIs" dxfId="16" priority="6" stopIfTrue="1" operator="greaterThan">
      <formula>$F$26</formula>
    </cfRule>
  </conditionalFormatting>
  <conditionalFormatting sqref="G24">
    <cfRule type="cellIs" dxfId="15" priority="7" stopIfTrue="1" operator="lessThan">
      <formula>$G$27</formula>
    </cfRule>
    <cfRule type="cellIs" dxfId="14" priority="8" stopIfTrue="1" operator="greaterThan">
      <formula>$G$26</formula>
    </cfRule>
  </conditionalFormatting>
  <conditionalFormatting sqref="H24">
    <cfRule type="cellIs" dxfId="13" priority="9" stopIfTrue="1" operator="lessThan">
      <formula>$H$27</formula>
    </cfRule>
    <cfRule type="cellIs" dxfId="12" priority="10" stopIfTrue="1" operator="greaterThan">
      <formula>$H$26</formula>
    </cfRule>
  </conditionalFormatting>
  <conditionalFormatting sqref="I24">
    <cfRule type="cellIs" dxfId="11" priority="11" stopIfTrue="1" operator="lessThan">
      <formula>$I$27</formula>
    </cfRule>
    <cfRule type="cellIs" dxfId="10" priority="12" stopIfTrue="1" operator="greaterThan">
      <formula>$I$26</formula>
    </cfRule>
  </conditionalFormatting>
  <conditionalFormatting sqref="J24">
    <cfRule type="cellIs" dxfId="9" priority="13" stopIfTrue="1" operator="lessThan">
      <formula>$J$27</formula>
    </cfRule>
    <cfRule type="cellIs" dxfId="8" priority="14" stopIfTrue="1" operator="greaterThan">
      <formula>$J$26</formula>
    </cfRule>
  </conditionalFormatting>
  <conditionalFormatting sqref="K24">
    <cfRule type="cellIs" dxfId="7" priority="15" stopIfTrue="1" operator="lessThan">
      <formula>$K$27</formula>
    </cfRule>
    <cfRule type="cellIs" dxfId="6" priority="16" stopIfTrue="1" operator="greaterThan">
      <formula>$K$26</formula>
    </cfRule>
  </conditionalFormatting>
  <conditionalFormatting sqref="L24">
    <cfRule type="cellIs" dxfId="5" priority="17" stopIfTrue="1" operator="lessThan">
      <formula>$L$27</formula>
    </cfRule>
    <cfRule type="cellIs" dxfId="4" priority="18" stopIfTrue="1" operator="greaterThan">
      <formula>$L$26</formula>
    </cfRule>
  </conditionalFormatting>
  <conditionalFormatting sqref="D29:J29">
    <cfRule type="cellIs" dxfId="3" priority="19" stopIfTrue="1" operator="greaterThan">
      <formula>$D$30</formula>
    </cfRule>
  </conditionalFormatting>
  <conditionalFormatting sqref="L29">
    <cfRule type="cellIs" dxfId="2" priority="20" stopIfTrue="1" operator="greaterThan">
      <formula>$L$30</formula>
    </cfRule>
  </conditionalFormatting>
  <conditionalFormatting sqref="D37:L37">
    <cfRule type="cellIs" dxfId="1" priority="21" stopIfTrue="1" operator="greaterThan">
      <formula>1720</formula>
    </cfRule>
  </conditionalFormatting>
  <conditionalFormatting sqref="K29">
    <cfRule type="cellIs" dxfId="0" priority="22" stopIfTrue="1" operator="greaterThan">
      <formula>$K$30</formula>
    </cfRule>
  </conditionalFormatting>
  <pageMargins left="0.38" right="0.32" top="0.98425196850393704" bottom="0.98425196850393704" header="0.5" footer="0.5"/>
  <pageSetup paperSize="9" scale="74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F19" sqref="F19"/>
    </sheetView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23</vt:i4>
      </vt:variant>
    </vt:vector>
  </HeadingPairs>
  <TitlesOfParts>
    <vt:vector size="25" baseType="lpstr">
      <vt:lpstr>расчет</vt:lpstr>
      <vt:lpstr>Лист1</vt:lpstr>
      <vt:lpstr>расчет!ACTSPEED</vt:lpstr>
      <vt:lpstr>расчет!ACTUALPOWER</vt:lpstr>
      <vt:lpstr>расчет!ALTER</vt:lpstr>
      <vt:lpstr>расчет!AVAILPOWER</vt:lpstr>
      <vt:lpstr>расчет!AVREDN</vt:lpstr>
      <vt:lpstr>расчет!BKDIA</vt:lpstr>
      <vt:lpstr>расчет!BLKBEFRDIE</vt:lpstr>
      <vt:lpstr>расчет!BTM</vt:lpstr>
      <vt:lpstr>расчет!FINSIZE</vt:lpstr>
      <vt:lpstr>расчет!FINSPD</vt:lpstr>
      <vt:lpstr>расчет!INSIZE</vt:lpstr>
      <vt:lpstr>расчет!MAXSPD</vt:lpstr>
      <vt:lpstr>расчет!MAXSPEED</vt:lpstr>
      <vt:lpstr>расчет!MINSPD</vt:lpstr>
      <vt:lpstr>расчет!NoDIES</vt:lpstr>
      <vt:lpstr>расчет!POWER</vt:lpstr>
      <vt:lpstr>расчет!RODSIZE</vt:lpstr>
      <vt:lpstr>расчет!RODTYPE</vt:lpstr>
      <vt:lpstr>расчет!STRTBLK</vt:lpstr>
      <vt:lpstr>расчет!TAPER</vt:lpstr>
      <vt:lpstr>расчет!TOP</vt:lpstr>
      <vt:lpstr>расчет!UTS</vt:lpstr>
      <vt:lpstr>расчет!Область_печати</vt:lpstr>
    </vt:vector>
  </TitlesOfParts>
  <Company>Северсталь-метиз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Манушина Марина Анатольевна</dc:creator>
  <cp:lastModifiedBy>toshkin.mikhail@ya.ru</cp:lastModifiedBy>
  <cp:lastPrinted>2024-10-09T08:34:27Z</cp:lastPrinted>
  <dcterms:created xsi:type="dcterms:W3CDTF">2011-09-22T04:38:58Z</dcterms:created>
  <dcterms:modified xsi:type="dcterms:W3CDTF">2024-11-05T19:29:11Z</dcterms:modified>
</cp:coreProperties>
</file>