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zang\python\RocketLaunch\data\"/>
    </mc:Choice>
  </mc:AlternateContent>
  <xr:revisionPtr revIDLastSave="0" documentId="13_ncr:1_{81B0B9BD-9677-4C16-84D4-5566524514EF}" xr6:coauthVersionLast="47" xr6:coauthVersionMax="47" xr10:uidLastSave="{00000000-0000-0000-0000-000000000000}"/>
  <bookViews>
    <workbookView xWindow="-108" yWindow="-108" windowWidth="23256" windowHeight="12576" tabRatio="865" xr2:uid="{00000000-000D-0000-FFFF-FFFF00000000}"/>
  </bookViews>
  <sheets>
    <sheet name="发射纪录" sheetId="1" r:id="rId1"/>
    <sheet name="发射预测" sheetId="8" r:id="rId2"/>
    <sheet name="发射时间预测" sheetId="2" r:id="rId3"/>
    <sheet name="火箭年間統計" sheetId="3" r:id="rId4"/>
    <sheet name="火箭成功率" sheetId="14" r:id="rId5"/>
    <sheet name="航天员" sheetId="18" r:id="rId6"/>
    <sheet name="乘组预测" sheetId="13" r:id="rId7"/>
    <sheet name="乘组" sheetId="15" r:id="rId8"/>
    <sheet name="出舱" sheetId="17" r:id="rId9"/>
    <sheet name="年間統計" sheetId="4" r:id="rId10"/>
    <sheet name="发射地年間統計" sheetId="5" r:id="rId11"/>
    <sheet name="月間統計" sheetId="6" r:id="rId12"/>
    <sheet name="发射地月間統計" sheetId="7" r:id="rId13"/>
    <sheet name="火箭级数" sheetId="9" r:id="rId14"/>
    <sheet name="飞航情报区" sheetId="12" r:id="rId15"/>
    <sheet name="火箭系列" sheetId="10" r:id="rId16"/>
  </sheets>
  <definedNames>
    <definedName name="_xlnm._FilterDatabase" localSheetId="15" hidden="1">火箭系列!$A$2:$S$30</definedName>
    <definedName name="_xlnm._FilterDatabase" localSheetId="11" hidden="1">月間統計!$A$3:$S$663</definedName>
    <definedName name="_xlnm._FilterDatabase" localSheetId="5" hidden="1">航天员!$B$1:$M$1</definedName>
    <definedName name="_xlnm._FilterDatabase" localSheetId="9" hidden="1">年間統計!$A$3:$S$3</definedName>
    <definedName name="_xlnm._FilterDatabase" localSheetId="7" hidden="1">乘组!$A$1:$W$1</definedName>
    <definedName name="_xlnm._FilterDatabase" localSheetId="6" hidden="1">乘组预测!$A$1:$E$1</definedName>
    <definedName name="_xlnm._FilterDatabase" localSheetId="12" hidden="1">发射地月間統計!$A$3:$W$679</definedName>
    <definedName name="_xlnm._FilterDatabase" localSheetId="10" hidden="1">发射地年間統計!$A$4:$W$4</definedName>
    <definedName name="_xlnm._FilterDatabase" localSheetId="2" hidden="1">发射时间预测!$A$2:$M$2</definedName>
    <definedName name="_xlnm._FilterDatabase" localSheetId="0" hidden="1">发射纪录!$A$1:$O$823</definedName>
    <definedName name="_xlnm.Print_Area" localSheetId="15">火箭系列!$D$4:$F$4</definedName>
    <definedName name="_xlnm.Print_Area" localSheetId="3">火箭年間統計!$AX$50</definedName>
    <definedName name="_xlnm.Print_Area" localSheetId="11">月間統計!$C$640</definedName>
    <definedName name="_xlnm.Print_Area" localSheetId="9">年間統計!$F$48</definedName>
    <definedName name="_xlnm.Print_Area" localSheetId="6">乘组预测!#REF!</definedName>
    <definedName name="_xlnm.Print_Area" localSheetId="12">发射地月間統計!$L$650</definedName>
    <definedName name="_xlnm.Print_Area" localSheetId="2">发射时间预测!$I$427</definedName>
    <definedName name="_xlnm.Print_Area" localSheetId="0">发射纪录!$G$643</definedName>
    <definedName name="_xlnm.Print_Area" localSheetId="1">发射预测!$C$4</definedName>
    <definedName name="_xlnm.Print_Area" localSheetId="14">飞航情报区!$M$26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92" i="2" l="1"/>
  <c r="K1192" i="2" s="1"/>
  <c r="J344" i="2"/>
  <c r="K344" i="2" s="1"/>
  <c r="J343" i="2"/>
  <c r="K343" i="2" s="1"/>
  <c r="J342" i="2"/>
  <c r="K342" i="2" s="1"/>
  <c r="J341" i="2"/>
  <c r="K341" i="2" s="1"/>
  <c r="J340" i="2"/>
  <c r="K340" i="2" s="1"/>
  <c r="J807" i="2"/>
  <c r="K807" i="2" s="1"/>
  <c r="J371" i="2" l="1"/>
  <c r="K371" i="2" s="1"/>
  <c r="J372" i="2"/>
  <c r="K372" i="2" s="1"/>
  <c r="A32" i="12"/>
  <c r="A33" i="12"/>
  <c r="L122" i="13" l="1"/>
  <c r="Q84" i="15" l="1"/>
  <c r="O22" i="18" a="1"/>
  <c r="O22" i="18" s="1"/>
  <c r="P22" i="18" s="1" a="1"/>
  <c r="P22" i="18" s="1"/>
  <c r="P21" i="18" s="1"/>
  <c r="R27" i="18" a="1"/>
  <c r="R27" i="18" s="1"/>
  <c r="S27" i="18" s="1" a="1"/>
  <c r="S27" i="18" s="1"/>
  <c r="J791" i="2"/>
  <c r="K791" i="2" s="1"/>
  <c r="J793" i="2"/>
  <c r="K793" i="2" s="1"/>
  <c r="J792" i="2"/>
  <c r="K792" i="2" s="1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M823" i="1"/>
  <c r="L823" i="1"/>
  <c r="C823" i="1" a="1"/>
  <c r="C823" i="1" s="1"/>
  <c r="B823" i="1" a="1"/>
  <c r="B823" i="1" s="1"/>
  <c r="M822" i="1"/>
  <c r="L822" i="1"/>
  <c r="C822" i="1" a="1"/>
  <c r="C822" i="1" s="1"/>
  <c r="B822" i="1" a="1"/>
  <c r="B822" i="1" s="1"/>
  <c r="M821" i="1"/>
  <c r="L821" i="1"/>
  <c r="C821" i="1" a="1"/>
  <c r="C821" i="1" s="1"/>
  <c r="B821" i="1" a="1"/>
  <c r="B821" i="1" s="1"/>
  <c r="M820" i="1"/>
  <c r="L820" i="1"/>
  <c r="C820" i="1" a="1"/>
  <c r="C820" i="1" s="1"/>
  <c r="B820" i="1" a="1"/>
  <c r="B820" i="1" s="1"/>
  <c r="M819" i="1"/>
  <c r="L819" i="1"/>
  <c r="C819" i="1" a="1"/>
  <c r="C819" i="1" s="1"/>
  <c r="B819" i="1" a="1"/>
  <c r="B819" i="1" s="1"/>
  <c r="M818" i="1"/>
  <c r="L818" i="1"/>
  <c r="C818" i="1" a="1"/>
  <c r="C818" i="1" s="1"/>
  <c r="B818" i="1" a="1"/>
  <c r="B818" i="1" s="1"/>
  <c r="M817" i="1"/>
  <c r="L817" i="1"/>
  <c r="C817" i="1" a="1"/>
  <c r="C817" i="1" s="1"/>
  <c r="B817" i="1" a="1"/>
  <c r="B817" i="1" s="1"/>
  <c r="M816" i="1"/>
  <c r="L816" i="1"/>
  <c r="C816" i="1" a="1"/>
  <c r="C816" i="1" s="1"/>
  <c r="B816" i="1" a="1"/>
  <c r="B816" i="1" s="1"/>
  <c r="M815" i="1"/>
  <c r="L815" i="1"/>
  <c r="C815" i="1" a="1"/>
  <c r="C815" i="1" s="1"/>
  <c r="B815" i="1" a="1"/>
  <c r="B815" i="1" s="1"/>
  <c r="M814" i="1"/>
  <c r="L814" i="1"/>
  <c r="C814" i="1" a="1"/>
  <c r="C814" i="1" s="1"/>
  <c r="B814" i="1" a="1"/>
  <c r="B814" i="1" s="1"/>
  <c r="M813" i="1"/>
  <c r="L813" i="1"/>
  <c r="C813" i="1" a="1"/>
  <c r="C813" i="1" s="1"/>
  <c r="B813" i="1" a="1"/>
  <c r="B813" i="1" s="1"/>
  <c r="M812" i="1"/>
  <c r="L812" i="1"/>
  <c r="C812" i="1" a="1"/>
  <c r="C812" i="1" s="1"/>
  <c r="B812" i="1" a="1"/>
  <c r="B812" i="1" s="1"/>
  <c r="M811" i="1"/>
  <c r="L811" i="1"/>
  <c r="C811" i="1" a="1"/>
  <c r="C811" i="1" s="1"/>
  <c r="B811" i="1" a="1"/>
  <c r="B811" i="1" s="1"/>
  <c r="M810" i="1"/>
  <c r="L810" i="1"/>
  <c r="C810" i="1" a="1"/>
  <c r="C810" i="1" s="1"/>
  <c r="B810" i="1" a="1"/>
  <c r="B810" i="1" s="1"/>
  <c r="M809" i="1"/>
  <c r="L809" i="1"/>
  <c r="C809" i="1" a="1"/>
  <c r="C809" i="1" s="1"/>
  <c r="B809" i="1" a="1"/>
  <c r="B809" i="1" s="1"/>
  <c r="M808" i="1"/>
  <c r="L808" i="1"/>
  <c r="C808" i="1" a="1"/>
  <c r="C808" i="1" s="1"/>
  <c r="B808" i="1" a="1"/>
  <c r="B808" i="1" s="1"/>
  <c r="M807" i="1"/>
  <c r="L807" i="1"/>
  <c r="C807" i="1" a="1"/>
  <c r="C807" i="1" s="1"/>
  <c r="B807" i="1" a="1"/>
  <c r="B807" i="1" s="1"/>
  <c r="M806" i="1"/>
  <c r="L806" i="1"/>
  <c r="C806" i="1" a="1"/>
  <c r="C806" i="1" s="1"/>
  <c r="B806" i="1" a="1"/>
  <c r="B806" i="1" s="1"/>
  <c r="M805" i="1"/>
  <c r="L805" i="1"/>
  <c r="C805" i="1" a="1"/>
  <c r="C805" i="1" s="1"/>
  <c r="B805" i="1" a="1"/>
  <c r="B805" i="1" s="1"/>
  <c r="M804" i="1"/>
  <c r="L804" i="1"/>
  <c r="C804" i="1" a="1"/>
  <c r="C804" i="1" s="1"/>
  <c r="B804" i="1" a="1"/>
  <c r="B804" i="1" s="1"/>
  <c r="M803" i="1"/>
  <c r="L803" i="1"/>
  <c r="C803" i="1" a="1"/>
  <c r="C803" i="1" s="1"/>
  <c r="B803" i="1" a="1"/>
  <c r="B803" i="1" s="1"/>
  <c r="J373" i="2"/>
  <c r="K373" i="2" s="1"/>
  <c r="J370" i="2"/>
  <c r="K370" i="2" s="1"/>
  <c r="J369" i="2"/>
  <c r="K369" i="2" s="1"/>
  <c r="J747" i="2" l="1"/>
  <c r="K747" i="2" s="1"/>
  <c r="J746" i="2"/>
  <c r="K746" i="2" s="1"/>
  <c r="J749" i="2"/>
  <c r="K749" i="2" s="1"/>
  <c r="J748" i="2"/>
  <c r="K748" i="2" s="1"/>
  <c r="M788" i="1"/>
  <c r="M787" i="1"/>
  <c r="M786" i="1"/>
  <c r="M785" i="1"/>
  <c r="M784" i="1"/>
  <c r="M783" i="1"/>
  <c r="M782" i="1"/>
  <c r="M797" i="1"/>
  <c r="M796" i="1"/>
  <c r="M795" i="1"/>
  <c r="M794" i="1"/>
  <c r="M793" i="1"/>
  <c r="M792" i="1"/>
  <c r="M791" i="1"/>
  <c r="M790" i="1"/>
  <c r="M789" i="1"/>
  <c r="J711" i="2"/>
  <c r="K711" i="2" s="1"/>
  <c r="C36" i="18"/>
  <c r="J745" i="2"/>
  <c r="K745" i="2" s="1"/>
  <c r="J744" i="2"/>
  <c r="K744" i="2" s="1"/>
  <c r="J743" i="2"/>
  <c r="K743" i="2" s="1"/>
  <c r="J872" i="2"/>
  <c r="K872" i="2" s="1"/>
  <c r="J713" i="2"/>
  <c r="K713" i="2" s="1"/>
  <c r="B158" i="6"/>
  <c r="D158" i="6" s="1"/>
  <c r="B154" i="6"/>
  <c r="D154" i="6" s="1"/>
  <c r="B152" i="6"/>
  <c r="B170" i="6"/>
  <c r="D170" i="6" s="1"/>
  <c r="C169" i="6"/>
  <c r="B169" i="6"/>
  <c r="D169" i="6" s="1"/>
  <c r="C167" i="6"/>
  <c r="B167" i="6"/>
  <c r="B165" i="6"/>
  <c r="D165" i="6" s="1"/>
  <c r="C163" i="6"/>
  <c r="B163" i="6"/>
  <c r="C162" i="6"/>
  <c r="B162" i="6"/>
  <c r="D162" i="6" s="1"/>
  <c r="C183" i="6"/>
  <c r="B183" i="6"/>
  <c r="D183" i="6" s="1"/>
  <c r="C182" i="6"/>
  <c r="B182" i="6"/>
  <c r="D182" i="6" s="1"/>
  <c r="C181" i="6"/>
  <c r="B181" i="6"/>
  <c r="C179" i="6"/>
  <c r="B179" i="6"/>
  <c r="D179" i="6" s="1"/>
  <c r="C178" i="6"/>
  <c r="B178" i="6"/>
  <c r="D178" i="6" s="1"/>
  <c r="C177" i="6"/>
  <c r="B177" i="6"/>
  <c r="D177" i="6" s="1"/>
  <c r="C176" i="6"/>
  <c r="B176" i="6"/>
  <c r="I175" i="6"/>
  <c r="C175" i="6"/>
  <c r="B175" i="6"/>
  <c r="C174" i="6"/>
  <c r="B174" i="6"/>
  <c r="D174" i="6" s="1"/>
  <c r="H173" i="6"/>
  <c r="C173" i="6"/>
  <c r="B173" i="6"/>
  <c r="D173" i="6" s="1"/>
  <c r="I172" i="6"/>
  <c r="H172" i="6"/>
  <c r="J172" i="6" s="1"/>
  <c r="C172" i="6"/>
  <c r="B172" i="6"/>
  <c r="C195" i="6"/>
  <c r="B195" i="6"/>
  <c r="D195" i="6" s="1"/>
  <c r="C194" i="6"/>
  <c r="B194" i="6"/>
  <c r="D194" i="6" s="1"/>
  <c r="H193" i="6"/>
  <c r="J193" i="6" s="1"/>
  <c r="C193" i="6"/>
  <c r="B193" i="6"/>
  <c r="C192" i="6"/>
  <c r="B192" i="6"/>
  <c r="C191" i="6"/>
  <c r="B191" i="6"/>
  <c r="D191" i="6" s="1"/>
  <c r="I190" i="6"/>
  <c r="H190" i="6"/>
  <c r="J190" i="6" s="1"/>
  <c r="C190" i="6"/>
  <c r="B190" i="6"/>
  <c r="D190" i="6" s="1"/>
  <c r="H189" i="6"/>
  <c r="J189" i="6" s="1"/>
  <c r="C189" i="6"/>
  <c r="B189" i="6"/>
  <c r="I188" i="6"/>
  <c r="C188" i="6"/>
  <c r="B188" i="6"/>
  <c r="C187" i="6"/>
  <c r="B187" i="6"/>
  <c r="I186" i="6"/>
  <c r="H186" i="6"/>
  <c r="J186" i="6" s="1"/>
  <c r="C186" i="6"/>
  <c r="B186" i="6"/>
  <c r="D186" i="6" s="1"/>
  <c r="C185" i="6"/>
  <c r="B185" i="6"/>
  <c r="I184" i="6"/>
  <c r="H184" i="6"/>
  <c r="J184" i="6" s="1"/>
  <c r="C184" i="6"/>
  <c r="B184" i="6"/>
  <c r="D184" i="6" s="1"/>
  <c r="C207" i="6"/>
  <c r="B207" i="6"/>
  <c r="C206" i="6"/>
  <c r="B206" i="6"/>
  <c r="D206" i="6" s="1"/>
  <c r="I205" i="6"/>
  <c r="C205" i="6"/>
  <c r="B205" i="6"/>
  <c r="C204" i="6"/>
  <c r="B204" i="6"/>
  <c r="D204" i="6" s="1"/>
  <c r="C203" i="6"/>
  <c r="B203" i="6"/>
  <c r="I202" i="6"/>
  <c r="C202" i="6"/>
  <c r="B202" i="6"/>
  <c r="D202" i="6" s="1"/>
  <c r="I201" i="6"/>
  <c r="C201" i="6"/>
  <c r="B201" i="6"/>
  <c r="C200" i="6"/>
  <c r="B200" i="6"/>
  <c r="D200" i="6" s="1"/>
  <c r="I199" i="6"/>
  <c r="C199" i="6"/>
  <c r="B199" i="6"/>
  <c r="D199" i="6" s="1"/>
  <c r="I198" i="6"/>
  <c r="C198" i="6"/>
  <c r="B198" i="6"/>
  <c r="C197" i="6"/>
  <c r="B197" i="6"/>
  <c r="I196" i="6"/>
  <c r="H196" i="6"/>
  <c r="J196" i="6" s="1"/>
  <c r="C196" i="6"/>
  <c r="B196" i="6"/>
  <c r="C219" i="6"/>
  <c r="B219" i="6"/>
  <c r="D219" i="6" s="1"/>
  <c r="C218" i="6"/>
  <c r="B218" i="6"/>
  <c r="D218" i="6" s="1"/>
  <c r="H217" i="6"/>
  <c r="J217" i="6" s="1"/>
  <c r="C217" i="6"/>
  <c r="B217" i="6"/>
  <c r="C216" i="6"/>
  <c r="B216" i="6"/>
  <c r="C215" i="6"/>
  <c r="B215" i="6"/>
  <c r="H214" i="6"/>
  <c r="J214" i="6" s="1"/>
  <c r="C214" i="6"/>
  <c r="B214" i="6"/>
  <c r="D214" i="6" s="1"/>
  <c r="I213" i="6"/>
  <c r="H213" i="6"/>
  <c r="J213" i="6" s="1"/>
  <c r="C213" i="6"/>
  <c r="B213" i="6"/>
  <c r="C212" i="6"/>
  <c r="B212" i="6"/>
  <c r="D212" i="6" s="1"/>
  <c r="C211" i="6"/>
  <c r="B211" i="6"/>
  <c r="D211" i="6" s="1"/>
  <c r="I210" i="6"/>
  <c r="H210" i="6"/>
  <c r="J210" i="6" s="1"/>
  <c r="C210" i="6"/>
  <c r="B210" i="6"/>
  <c r="D210" i="6" s="1"/>
  <c r="I209" i="6"/>
  <c r="H209" i="6"/>
  <c r="J209" i="6" s="1"/>
  <c r="C209" i="6"/>
  <c r="B209" i="6"/>
  <c r="I208" i="6"/>
  <c r="H208" i="6"/>
  <c r="J208" i="6" s="1"/>
  <c r="C208" i="6"/>
  <c r="B208" i="6"/>
  <c r="D208" i="6" s="1"/>
  <c r="C231" i="6"/>
  <c r="B231" i="6"/>
  <c r="H230" i="6"/>
  <c r="J230" i="6" s="1"/>
  <c r="C230" i="6"/>
  <c r="B230" i="6"/>
  <c r="D230" i="6" s="1"/>
  <c r="H229" i="6"/>
  <c r="J229" i="6" s="1"/>
  <c r="C229" i="6"/>
  <c r="B229" i="6"/>
  <c r="H228" i="6"/>
  <c r="J228" i="6" s="1"/>
  <c r="C228" i="6"/>
  <c r="B228" i="6"/>
  <c r="C227" i="6"/>
  <c r="B227" i="6"/>
  <c r="I226" i="6"/>
  <c r="H226" i="6"/>
  <c r="J226" i="6" s="1"/>
  <c r="C226" i="6"/>
  <c r="B226" i="6"/>
  <c r="D226" i="6" s="1"/>
  <c r="H225" i="6"/>
  <c r="J225" i="6" s="1"/>
  <c r="C225" i="6"/>
  <c r="B225" i="6"/>
  <c r="H224" i="6"/>
  <c r="J224" i="6" s="1"/>
  <c r="C224" i="6"/>
  <c r="B224" i="6"/>
  <c r="C223" i="6"/>
  <c r="B223" i="6"/>
  <c r="D223" i="6" s="1"/>
  <c r="I222" i="6"/>
  <c r="H222" i="6"/>
  <c r="J222" i="6" s="1"/>
  <c r="C222" i="6"/>
  <c r="B222" i="6"/>
  <c r="H221" i="6"/>
  <c r="J221" i="6" s="1"/>
  <c r="C221" i="6"/>
  <c r="B221" i="6"/>
  <c r="I220" i="6"/>
  <c r="H220" i="6"/>
  <c r="J220" i="6" s="1"/>
  <c r="C220" i="6"/>
  <c r="B220" i="6"/>
  <c r="D220" i="6" s="1"/>
  <c r="C243" i="6"/>
  <c r="B243" i="6"/>
  <c r="C242" i="6"/>
  <c r="B242" i="6"/>
  <c r="D242" i="6" s="1"/>
  <c r="C241" i="6"/>
  <c r="B241" i="6"/>
  <c r="C240" i="6"/>
  <c r="B240" i="6"/>
  <c r="D240" i="6" s="1"/>
  <c r="I239" i="6"/>
  <c r="C239" i="6"/>
  <c r="B239" i="6"/>
  <c r="I238" i="6"/>
  <c r="C238" i="6"/>
  <c r="B238" i="6"/>
  <c r="D238" i="6" s="1"/>
  <c r="I237" i="6"/>
  <c r="C237" i="6"/>
  <c r="B237" i="6"/>
  <c r="C236" i="6"/>
  <c r="B236" i="6"/>
  <c r="I235" i="6"/>
  <c r="H235" i="6"/>
  <c r="J235" i="6" s="1"/>
  <c r="C235" i="6"/>
  <c r="B235" i="6"/>
  <c r="D235" i="6" s="1"/>
  <c r="I234" i="6"/>
  <c r="H234" i="6"/>
  <c r="J234" i="6" s="1"/>
  <c r="C234" i="6"/>
  <c r="B234" i="6"/>
  <c r="D234" i="6" s="1"/>
  <c r="I233" i="6"/>
  <c r="H233" i="6"/>
  <c r="J233" i="6" s="1"/>
  <c r="C233" i="6"/>
  <c r="B233" i="6"/>
  <c r="I232" i="6"/>
  <c r="H232" i="6"/>
  <c r="J232" i="6" s="1"/>
  <c r="C232" i="6"/>
  <c r="B232" i="6"/>
  <c r="C255" i="6"/>
  <c r="B255" i="6"/>
  <c r="D255" i="6" s="1"/>
  <c r="C254" i="6"/>
  <c r="B254" i="6"/>
  <c r="D254" i="6" s="1"/>
  <c r="H253" i="6"/>
  <c r="J253" i="6" s="1"/>
  <c r="C253" i="6"/>
  <c r="B253" i="6"/>
  <c r="C252" i="6"/>
  <c r="B252" i="6"/>
  <c r="H251" i="6"/>
  <c r="J251" i="6" s="1"/>
  <c r="C251" i="6"/>
  <c r="B251" i="6"/>
  <c r="C250" i="6"/>
  <c r="B250" i="6"/>
  <c r="H249" i="6"/>
  <c r="C249" i="6"/>
  <c r="B249" i="6"/>
  <c r="D249" i="6" s="1"/>
  <c r="H248" i="6"/>
  <c r="J248" i="6" s="1"/>
  <c r="C248" i="6"/>
  <c r="B248" i="6"/>
  <c r="I247" i="6"/>
  <c r="H247" i="6"/>
  <c r="J247" i="6" s="1"/>
  <c r="C247" i="6"/>
  <c r="B247" i="6"/>
  <c r="I246" i="6"/>
  <c r="C246" i="6"/>
  <c r="B246" i="6"/>
  <c r="D246" i="6" s="1"/>
  <c r="I245" i="6"/>
  <c r="H245" i="6"/>
  <c r="C245" i="6"/>
  <c r="B245" i="6"/>
  <c r="I244" i="6"/>
  <c r="H244" i="6"/>
  <c r="J244" i="6" s="1"/>
  <c r="C244" i="6"/>
  <c r="B244" i="6"/>
  <c r="C267" i="6"/>
  <c r="B267" i="6"/>
  <c r="C266" i="6"/>
  <c r="B266" i="6"/>
  <c r="D266" i="6" s="1"/>
  <c r="H265" i="6"/>
  <c r="J265" i="6" s="1"/>
  <c r="C265" i="6"/>
  <c r="B265" i="6"/>
  <c r="H264" i="6"/>
  <c r="J264" i="6" s="1"/>
  <c r="C264" i="6"/>
  <c r="B264" i="6"/>
  <c r="C263" i="6"/>
  <c r="B263" i="6"/>
  <c r="D263" i="6" s="1"/>
  <c r="I262" i="6"/>
  <c r="C262" i="6"/>
  <c r="B262" i="6"/>
  <c r="D262" i="6" s="1"/>
  <c r="H261" i="6"/>
  <c r="C261" i="6"/>
  <c r="B261" i="6"/>
  <c r="D261" i="6" s="1"/>
  <c r="H260" i="6"/>
  <c r="J260" i="6" s="1"/>
  <c r="C260" i="6"/>
  <c r="B260" i="6"/>
  <c r="H259" i="6"/>
  <c r="J259" i="6" s="1"/>
  <c r="C259" i="6"/>
  <c r="B259" i="6"/>
  <c r="I258" i="6"/>
  <c r="H258" i="6"/>
  <c r="J258" i="6" s="1"/>
  <c r="C258" i="6"/>
  <c r="B258" i="6"/>
  <c r="D258" i="6" s="1"/>
  <c r="H257" i="6"/>
  <c r="C257" i="6"/>
  <c r="B257" i="6"/>
  <c r="D257" i="6" s="1"/>
  <c r="I256" i="6"/>
  <c r="H256" i="6"/>
  <c r="J256" i="6" s="1"/>
  <c r="C256" i="6"/>
  <c r="B256" i="6"/>
  <c r="C279" i="6"/>
  <c r="B279" i="6"/>
  <c r="C278" i="6"/>
  <c r="B278" i="6"/>
  <c r="D278" i="6" s="1"/>
  <c r="H277" i="6"/>
  <c r="J277" i="6" s="1"/>
  <c r="C277" i="6"/>
  <c r="B277" i="6"/>
  <c r="C276" i="6"/>
  <c r="B276" i="6"/>
  <c r="C275" i="6"/>
  <c r="B275" i="6"/>
  <c r="I274" i="6"/>
  <c r="H274" i="6"/>
  <c r="J274" i="6" s="1"/>
  <c r="C274" i="6"/>
  <c r="B274" i="6"/>
  <c r="D274" i="6" s="1"/>
  <c r="H273" i="6"/>
  <c r="J273" i="6" s="1"/>
  <c r="C273" i="6"/>
  <c r="B273" i="6"/>
  <c r="C272" i="6"/>
  <c r="B272" i="6"/>
  <c r="I271" i="6"/>
  <c r="C271" i="6"/>
  <c r="B271" i="6"/>
  <c r="D271" i="6" s="1"/>
  <c r="I270" i="6"/>
  <c r="H270" i="6"/>
  <c r="J270" i="6" s="1"/>
  <c r="C270" i="6"/>
  <c r="B270" i="6"/>
  <c r="I269" i="6"/>
  <c r="H269" i="6"/>
  <c r="J269" i="6" s="1"/>
  <c r="C269" i="6"/>
  <c r="B269" i="6"/>
  <c r="I268" i="6"/>
  <c r="H268" i="6"/>
  <c r="J268" i="6" s="1"/>
  <c r="C268" i="6"/>
  <c r="B268" i="6"/>
  <c r="C291" i="6"/>
  <c r="B291" i="6"/>
  <c r="D291" i="6" s="1"/>
  <c r="C290" i="6"/>
  <c r="B290" i="6"/>
  <c r="D290" i="6" s="1"/>
  <c r="H289" i="6"/>
  <c r="J289" i="6" s="1"/>
  <c r="C289" i="6"/>
  <c r="B289" i="6"/>
  <c r="C288" i="6"/>
  <c r="B288" i="6"/>
  <c r="C287" i="6"/>
  <c r="B287" i="6"/>
  <c r="D287" i="6" s="1"/>
  <c r="H286" i="6"/>
  <c r="C286" i="6"/>
  <c r="B286" i="6"/>
  <c r="D286" i="6" s="1"/>
  <c r="H285" i="6"/>
  <c r="J285" i="6" s="1"/>
  <c r="C285" i="6"/>
  <c r="B285" i="6"/>
  <c r="H284" i="6"/>
  <c r="J284" i="6" s="1"/>
  <c r="C284" i="6"/>
  <c r="B284" i="6"/>
  <c r="D284" i="6" s="1"/>
  <c r="I283" i="6"/>
  <c r="C283" i="6"/>
  <c r="B283" i="6"/>
  <c r="D283" i="6" s="1"/>
  <c r="I282" i="6"/>
  <c r="H282" i="6"/>
  <c r="J282" i="6" s="1"/>
  <c r="C282" i="6"/>
  <c r="B282" i="6"/>
  <c r="D282" i="6" s="1"/>
  <c r="I281" i="6"/>
  <c r="H281" i="6"/>
  <c r="J281" i="6" s="1"/>
  <c r="C281" i="6"/>
  <c r="B281" i="6"/>
  <c r="I280" i="6"/>
  <c r="H280" i="6"/>
  <c r="J280" i="6" s="1"/>
  <c r="C280" i="6"/>
  <c r="B280" i="6"/>
  <c r="C303" i="6"/>
  <c r="B303" i="6"/>
  <c r="C302" i="6"/>
  <c r="B302" i="6"/>
  <c r="C301" i="6"/>
  <c r="B301" i="6"/>
  <c r="C300" i="6"/>
  <c r="B300" i="6"/>
  <c r="C299" i="6"/>
  <c r="B299" i="6"/>
  <c r="I298" i="6"/>
  <c r="C298" i="6"/>
  <c r="B298" i="6"/>
  <c r="I297" i="6"/>
  <c r="C297" i="6"/>
  <c r="B297" i="6"/>
  <c r="D297" i="6" s="1"/>
  <c r="I296" i="6"/>
  <c r="C296" i="6"/>
  <c r="B296" i="6"/>
  <c r="D296" i="6" s="1"/>
  <c r="I295" i="6"/>
  <c r="H295" i="6"/>
  <c r="J295" i="6" s="1"/>
  <c r="C295" i="6"/>
  <c r="B295" i="6"/>
  <c r="I294" i="6"/>
  <c r="H294" i="6"/>
  <c r="J294" i="6" s="1"/>
  <c r="C294" i="6"/>
  <c r="B294" i="6"/>
  <c r="D294" i="6" s="1"/>
  <c r="I293" i="6"/>
  <c r="H293" i="6"/>
  <c r="J293" i="6" s="1"/>
  <c r="C293" i="6"/>
  <c r="B293" i="6"/>
  <c r="I292" i="6"/>
  <c r="H292" i="6"/>
  <c r="J292" i="6" s="1"/>
  <c r="C292" i="6"/>
  <c r="B292" i="6"/>
  <c r="D292" i="6" s="1"/>
  <c r="R4" i="6"/>
  <c r="R5" i="6"/>
  <c r="R6" i="6"/>
  <c r="R7" i="6"/>
  <c r="R8" i="6"/>
  <c r="R9" i="6"/>
  <c r="R10" i="6"/>
  <c r="R11" i="6"/>
  <c r="R12" i="6"/>
  <c r="R13" i="6"/>
  <c r="R14" i="6"/>
  <c r="R15" i="6"/>
  <c r="C315" i="6"/>
  <c r="B315" i="6"/>
  <c r="C314" i="6"/>
  <c r="B314" i="6"/>
  <c r="H313" i="6"/>
  <c r="J313" i="6" s="1"/>
  <c r="C313" i="6"/>
  <c r="B313" i="6"/>
  <c r="C312" i="6"/>
  <c r="B312" i="6"/>
  <c r="C311" i="6"/>
  <c r="B311" i="6"/>
  <c r="D311" i="6" s="1"/>
  <c r="I310" i="6"/>
  <c r="C310" i="6"/>
  <c r="B310" i="6"/>
  <c r="D310" i="6" s="1"/>
  <c r="I309" i="6"/>
  <c r="H309" i="6"/>
  <c r="J309" i="6" s="1"/>
  <c r="C309" i="6"/>
  <c r="B309" i="6"/>
  <c r="C308" i="6"/>
  <c r="B308" i="6"/>
  <c r="D308" i="6" s="1"/>
  <c r="C307" i="6"/>
  <c r="B307" i="6"/>
  <c r="D307" i="6" s="1"/>
  <c r="I306" i="6"/>
  <c r="H306" i="6"/>
  <c r="C306" i="6"/>
  <c r="B306" i="6"/>
  <c r="D306" i="6" s="1"/>
  <c r="I305" i="6"/>
  <c r="H305" i="6"/>
  <c r="J305" i="6" s="1"/>
  <c r="C305" i="6"/>
  <c r="B305" i="6"/>
  <c r="I304" i="6"/>
  <c r="H304" i="6"/>
  <c r="J304" i="6" s="1"/>
  <c r="C304" i="6"/>
  <c r="B304" i="6"/>
  <c r="C327" i="6"/>
  <c r="B327" i="6"/>
  <c r="C326" i="6"/>
  <c r="B326" i="6"/>
  <c r="D326" i="6" s="1"/>
  <c r="C325" i="6"/>
  <c r="B325" i="6"/>
  <c r="C324" i="6"/>
  <c r="B324" i="6"/>
  <c r="D324" i="6" s="1"/>
  <c r="H323" i="6"/>
  <c r="J323" i="6" s="1"/>
  <c r="C323" i="6"/>
  <c r="B323" i="6"/>
  <c r="I322" i="6"/>
  <c r="C322" i="6"/>
  <c r="B322" i="6"/>
  <c r="C321" i="6"/>
  <c r="B321" i="6"/>
  <c r="D321" i="6" s="1"/>
  <c r="I320" i="6"/>
  <c r="H320" i="6"/>
  <c r="C320" i="6"/>
  <c r="B320" i="6"/>
  <c r="D320" i="6" s="1"/>
  <c r="I319" i="6"/>
  <c r="H319" i="6"/>
  <c r="J319" i="6" s="1"/>
  <c r="C319" i="6"/>
  <c r="B319" i="6"/>
  <c r="I318" i="6"/>
  <c r="C318" i="6"/>
  <c r="B318" i="6"/>
  <c r="D318" i="6" s="1"/>
  <c r="C317" i="6"/>
  <c r="B317" i="6"/>
  <c r="I316" i="6"/>
  <c r="H316" i="6"/>
  <c r="C316" i="6"/>
  <c r="B316" i="6"/>
  <c r="D316" i="6" s="1"/>
  <c r="C339" i="6"/>
  <c r="B339" i="6"/>
  <c r="C338" i="6"/>
  <c r="B338" i="6"/>
  <c r="D338" i="6" s="1"/>
  <c r="H337" i="6"/>
  <c r="J337" i="6" s="1"/>
  <c r="C337" i="6"/>
  <c r="B337" i="6"/>
  <c r="C336" i="6"/>
  <c r="B336" i="6"/>
  <c r="C335" i="6"/>
  <c r="B335" i="6"/>
  <c r="I334" i="6"/>
  <c r="C334" i="6"/>
  <c r="B334" i="6"/>
  <c r="D334" i="6" s="1"/>
  <c r="I333" i="6"/>
  <c r="H333" i="6"/>
  <c r="J333" i="6" s="1"/>
  <c r="C333" i="6"/>
  <c r="B333" i="6"/>
  <c r="C332" i="6"/>
  <c r="B332" i="6"/>
  <c r="C331" i="6"/>
  <c r="B331" i="6"/>
  <c r="D331" i="6" s="1"/>
  <c r="I330" i="6"/>
  <c r="H330" i="6"/>
  <c r="J330" i="6" s="1"/>
  <c r="C330" i="6"/>
  <c r="B330" i="6"/>
  <c r="D330" i="6" s="1"/>
  <c r="I329" i="6"/>
  <c r="H329" i="6"/>
  <c r="J329" i="6" s="1"/>
  <c r="C329" i="6"/>
  <c r="B329" i="6"/>
  <c r="I328" i="6"/>
  <c r="H328" i="6"/>
  <c r="J328" i="6" s="1"/>
  <c r="C328" i="6"/>
  <c r="B328" i="6"/>
  <c r="C351" i="6"/>
  <c r="B351" i="6"/>
  <c r="C350" i="6"/>
  <c r="B350" i="6"/>
  <c r="D350" i="6" s="1"/>
  <c r="H349" i="6"/>
  <c r="J349" i="6" s="1"/>
  <c r="C349" i="6"/>
  <c r="B349" i="6"/>
  <c r="C348" i="6"/>
  <c r="B348" i="6"/>
  <c r="I347" i="6"/>
  <c r="C347" i="6"/>
  <c r="B347" i="6"/>
  <c r="H346" i="6"/>
  <c r="C346" i="6"/>
  <c r="B346" i="6"/>
  <c r="I345" i="6"/>
  <c r="H345" i="6"/>
  <c r="C345" i="6"/>
  <c r="B345" i="6"/>
  <c r="D345" i="6" s="1"/>
  <c r="H344" i="6"/>
  <c r="J344" i="6" s="1"/>
  <c r="C344" i="6"/>
  <c r="B344" i="6"/>
  <c r="I343" i="6"/>
  <c r="H343" i="6"/>
  <c r="J343" i="6" s="1"/>
  <c r="C343" i="6"/>
  <c r="B343" i="6"/>
  <c r="I342" i="6"/>
  <c r="H342" i="6"/>
  <c r="J342" i="6" s="1"/>
  <c r="C342" i="6"/>
  <c r="B342" i="6"/>
  <c r="I341" i="6"/>
  <c r="H341" i="6"/>
  <c r="C341" i="6"/>
  <c r="B341" i="6"/>
  <c r="D341" i="6" s="1"/>
  <c r="I340" i="6"/>
  <c r="H340" i="6"/>
  <c r="J340" i="6" s="1"/>
  <c r="C340" i="6"/>
  <c r="B340" i="6"/>
  <c r="C363" i="6"/>
  <c r="B363" i="6"/>
  <c r="D363" i="6" s="1"/>
  <c r="C362" i="6"/>
  <c r="B362" i="6"/>
  <c r="H361" i="6"/>
  <c r="J361" i="6" s="1"/>
  <c r="C361" i="6"/>
  <c r="B361" i="6"/>
  <c r="I360" i="6"/>
  <c r="C360" i="6"/>
  <c r="B360" i="6"/>
  <c r="H359" i="6"/>
  <c r="J359" i="6" s="1"/>
  <c r="C359" i="6"/>
  <c r="B359" i="6"/>
  <c r="D359" i="6" s="1"/>
  <c r="I358" i="6"/>
  <c r="C358" i="6"/>
  <c r="B358" i="6"/>
  <c r="D358" i="6" s="1"/>
  <c r="H357" i="6"/>
  <c r="J357" i="6" s="1"/>
  <c r="C357" i="6"/>
  <c r="B357" i="6"/>
  <c r="I356" i="6"/>
  <c r="C356" i="6"/>
  <c r="B356" i="6"/>
  <c r="H355" i="6"/>
  <c r="J355" i="6" s="1"/>
  <c r="C355" i="6"/>
  <c r="B355" i="6"/>
  <c r="I354" i="6"/>
  <c r="C354" i="6"/>
  <c r="B354" i="6"/>
  <c r="D354" i="6" s="1"/>
  <c r="H353" i="6"/>
  <c r="C353" i="6"/>
  <c r="B353" i="6"/>
  <c r="D353" i="6" s="1"/>
  <c r="I352" i="6"/>
  <c r="H352" i="6"/>
  <c r="J352" i="6" s="1"/>
  <c r="C352" i="6"/>
  <c r="B352" i="6"/>
  <c r="C375" i="6"/>
  <c r="B375" i="6"/>
  <c r="C374" i="6"/>
  <c r="B374" i="6"/>
  <c r="D374" i="6" s="1"/>
  <c r="H373" i="6"/>
  <c r="J373" i="6" s="1"/>
  <c r="C373" i="6"/>
  <c r="B373" i="6"/>
  <c r="C372" i="6"/>
  <c r="B372" i="6"/>
  <c r="I371" i="6"/>
  <c r="C371" i="6"/>
  <c r="B371" i="6"/>
  <c r="D371" i="6" s="1"/>
  <c r="I370" i="6"/>
  <c r="C370" i="6"/>
  <c r="B370" i="6"/>
  <c r="D370" i="6" s="1"/>
  <c r="H369" i="6"/>
  <c r="J369" i="6" s="1"/>
  <c r="C369" i="6"/>
  <c r="B369" i="6"/>
  <c r="C368" i="6"/>
  <c r="B368" i="6"/>
  <c r="D368" i="6" s="1"/>
  <c r="I367" i="6"/>
  <c r="H367" i="6"/>
  <c r="J367" i="6" s="1"/>
  <c r="C367" i="6"/>
  <c r="B367" i="6"/>
  <c r="D367" i="6" s="1"/>
  <c r="I366" i="6"/>
  <c r="H366" i="6"/>
  <c r="J366" i="6" s="1"/>
  <c r="C366" i="6"/>
  <c r="B366" i="6"/>
  <c r="D366" i="6" s="1"/>
  <c r="I365" i="6"/>
  <c r="H365" i="6"/>
  <c r="J365" i="6" s="1"/>
  <c r="C365" i="6"/>
  <c r="B365" i="6"/>
  <c r="I364" i="6"/>
  <c r="H364" i="6"/>
  <c r="C364" i="6"/>
  <c r="B364" i="6"/>
  <c r="C387" i="6"/>
  <c r="B387" i="6"/>
  <c r="C386" i="6"/>
  <c r="B386" i="6"/>
  <c r="D386" i="6" s="1"/>
  <c r="C385" i="6"/>
  <c r="B385" i="6"/>
  <c r="C384" i="6"/>
  <c r="B384" i="6"/>
  <c r="D384" i="6" s="1"/>
  <c r="C383" i="6"/>
  <c r="B383" i="6"/>
  <c r="C382" i="6"/>
  <c r="B382" i="6"/>
  <c r="D382" i="6" s="1"/>
  <c r="I381" i="6"/>
  <c r="C381" i="6"/>
  <c r="B381" i="6"/>
  <c r="D381" i="6" s="1"/>
  <c r="I380" i="6"/>
  <c r="C380" i="6"/>
  <c r="B380" i="6"/>
  <c r="D380" i="6" s="1"/>
  <c r="I379" i="6"/>
  <c r="H379" i="6"/>
  <c r="J379" i="6" s="1"/>
  <c r="C379" i="6"/>
  <c r="B379" i="6"/>
  <c r="I378" i="6"/>
  <c r="H378" i="6"/>
  <c r="J378" i="6" s="1"/>
  <c r="C378" i="6"/>
  <c r="B378" i="6"/>
  <c r="D378" i="6" s="1"/>
  <c r="I377" i="6"/>
  <c r="H377" i="6"/>
  <c r="J377" i="6" s="1"/>
  <c r="C377" i="6"/>
  <c r="B377" i="6"/>
  <c r="I376" i="6"/>
  <c r="H376" i="6"/>
  <c r="C376" i="6"/>
  <c r="B376" i="6"/>
  <c r="C399" i="6"/>
  <c r="B399" i="6"/>
  <c r="C398" i="6"/>
  <c r="B398" i="6"/>
  <c r="D398" i="6" s="1"/>
  <c r="H397" i="6"/>
  <c r="J397" i="6" s="1"/>
  <c r="C397" i="6"/>
  <c r="B397" i="6"/>
  <c r="H396" i="6"/>
  <c r="C396" i="6"/>
  <c r="B396" i="6"/>
  <c r="C395" i="6"/>
  <c r="B395" i="6"/>
  <c r="D395" i="6" s="1"/>
  <c r="H394" i="6"/>
  <c r="J394" i="6" s="1"/>
  <c r="C394" i="6"/>
  <c r="B394" i="6"/>
  <c r="I393" i="6"/>
  <c r="H393" i="6"/>
  <c r="J393" i="6" s="1"/>
  <c r="C393" i="6"/>
  <c r="B393" i="6"/>
  <c r="H392" i="6"/>
  <c r="J392" i="6" s="1"/>
  <c r="C392" i="6"/>
  <c r="B392" i="6"/>
  <c r="I391" i="6"/>
  <c r="C391" i="6"/>
  <c r="B391" i="6"/>
  <c r="D391" i="6" s="1"/>
  <c r="H390" i="6"/>
  <c r="J390" i="6" s="1"/>
  <c r="C390" i="6"/>
  <c r="B390" i="6"/>
  <c r="I389" i="6"/>
  <c r="H389" i="6"/>
  <c r="J389" i="6" s="1"/>
  <c r="C389" i="6"/>
  <c r="B389" i="6"/>
  <c r="I388" i="6"/>
  <c r="H388" i="6"/>
  <c r="J388" i="6" s="1"/>
  <c r="C388" i="6"/>
  <c r="B388" i="6"/>
  <c r="C411" i="6"/>
  <c r="B411" i="6"/>
  <c r="C410" i="6"/>
  <c r="B410" i="6"/>
  <c r="H409" i="6"/>
  <c r="J409" i="6" s="1"/>
  <c r="C409" i="6"/>
  <c r="B409" i="6"/>
  <c r="C408" i="6"/>
  <c r="B408" i="6"/>
  <c r="H407" i="6"/>
  <c r="J407" i="6" s="1"/>
  <c r="C407" i="6"/>
  <c r="B407" i="6"/>
  <c r="D407" i="6" s="1"/>
  <c r="H406" i="6"/>
  <c r="J406" i="6" s="1"/>
  <c r="C406" i="6"/>
  <c r="B406" i="6"/>
  <c r="D406" i="6" s="1"/>
  <c r="H405" i="6"/>
  <c r="J405" i="6" s="1"/>
  <c r="C405" i="6"/>
  <c r="B405" i="6"/>
  <c r="C404" i="6"/>
  <c r="B404" i="6"/>
  <c r="I403" i="6"/>
  <c r="H403" i="6"/>
  <c r="J403" i="6" s="1"/>
  <c r="C403" i="6"/>
  <c r="B403" i="6"/>
  <c r="D403" i="6" s="1"/>
  <c r="I402" i="6"/>
  <c r="H402" i="6"/>
  <c r="J402" i="6" s="1"/>
  <c r="C402" i="6"/>
  <c r="B402" i="6"/>
  <c r="D402" i="6" s="1"/>
  <c r="I401" i="6"/>
  <c r="H401" i="6"/>
  <c r="J401" i="6" s="1"/>
  <c r="C401" i="6"/>
  <c r="B401" i="6"/>
  <c r="I400" i="6"/>
  <c r="H400" i="6"/>
  <c r="J400" i="6" s="1"/>
  <c r="C400" i="6"/>
  <c r="B400" i="6"/>
  <c r="C423" i="6"/>
  <c r="B423" i="6"/>
  <c r="D423" i="6" s="1"/>
  <c r="C422" i="6"/>
  <c r="B422" i="6"/>
  <c r="H421" i="6"/>
  <c r="J421" i="6" s="1"/>
  <c r="C421" i="6"/>
  <c r="B421" i="6"/>
  <c r="C420" i="6"/>
  <c r="B420" i="6"/>
  <c r="I419" i="6"/>
  <c r="C419" i="6"/>
  <c r="B419" i="6"/>
  <c r="I418" i="6"/>
  <c r="C418" i="6"/>
  <c r="B418" i="6"/>
  <c r="H417" i="6"/>
  <c r="J417" i="6" s="1"/>
  <c r="C417" i="6"/>
  <c r="B417" i="6"/>
  <c r="C416" i="6"/>
  <c r="B416" i="6"/>
  <c r="I415" i="6"/>
  <c r="H415" i="6"/>
  <c r="J415" i="6" s="1"/>
  <c r="C415" i="6"/>
  <c r="B415" i="6"/>
  <c r="I414" i="6"/>
  <c r="H414" i="6"/>
  <c r="J414" i="6" s="1"/>
  <c r="C414" i="6"/>
  <c r="B414" i="6"/>
  <c r="D414" i="6" s="1"/>
  <c r="I413" i="6"/>
  <c r="H413" i="6"/>
  <c r="C413" i="6"/>
  <c r="B413" i="6"/>
  <c r="D413" i="6" s="1"/>
  <c r="I412" i="6"/>
  <c r="H412" i="6"/>
  <c r="J412" i="6" s="1"/>
  <c r="C412" i="6"/>
  <c r="B412" i="6"/>
  <c r="C435" i="6"/>
  <c r="B435" i="6"/>
  <c r="D435" i="6" s="1"/>
  <c r="H434" i="6"/>
  <c r="J434" i="6" s="1"/>
  <c r="C434" i="6"/>
  <c r="B434" i="6"/>
  <c r="D434" i="6" s="1"/>
  <c r="H433" i="6"/>
  <c r="J433" i="6" s="1"/>
  <c r="C433" i="6"/>
  <c r="B433" i="6"/>
  <c r="H432" i="6"/>
  <c r="J432" i="6" s="1"/>
  <c r="C432" i="6"/>
  <c r="B432" i="6"/>
  <c r="I431" i="6"/>
  <c r="C431" i="6"/>
  <c r="B431" i="6"/>
  <c r="H430" i="6"/>
  <c r="J430" i="6" s="1"/>
  <c r="C430" i="6"/>
  <c r="B430" i="6"/>
  <c r="H429" i="6"/>
  <c r="C429" i="6"/>
  <c r="B429" i="6"/>
  <c r="D429" i="6" s="1"/>
  <c r="H428" i="6"/>
  <c r="J428" i="6" s="1"/>
  <c r="C428" i="6"/>
  <c r="B428" i="6"/>
  <c r="I427" i="6"/>
  <c r="C427" i="6"/>
  <c r="B427" i="6"/>
  <c r="H426" i="6"/>
  <c r="J426" i="6" s="1"/>
  <c r="C426" i="6"/>
  <c r="B426" i="6"/>
  <c r="H425" i="6"/>
  <c r="J425" i="6" s="1"/>
  <c r="C425" i="6"/>
  <c r="B425" i="6"/>
  <c r="D425" i="6" s="1"/>
  <c r="I424" i="6"/>
  <c r="H424" i="6"/>
  <c r="J424" i="6" s="1"/>
  <c r="C424" i="6"/>
  <c r="B424" i="6"/>
  <c r="C447" i="6"/>
  <c r="B447" i="6"/>
  <c r="I446" i="6"/>
  <c r="C446" i="6"/>
  <c r="B446" i="6"/>
  <c r="D446" i="6" s="1"/>
  <c r="C445" i="6"/>
  <c r="B445" i="6"/>
  <c r="C444" i="6"/>
  <c r="B444" i="6"/>
  <c r="I443" i="6"/>
  <c r="C443" i="6"/>
  <c r="B443" i="6"/>
  <c r="I442" i="6"/>
  <c r="C442" i="6"/>
  <c r="B442" i="6"/>
  <c r="D442" i="6" s="1"/>
  <c r="I441" i="6"/>
  <c r="C441" i="6"/>
  <c r="B441" i="6"/>
  <c r="D441" i="6" s="1"/>
  <c r="I440" i="6"/>
  <c r="C440" i="6"/>
  <c r="B440" i="6"/>
  <c r="I439" i="6"/>
  <c r="C439" i="6"/>
  <c r="B439" i="6"/>
  <c r="I438" i="6"/>
  <c r="C438" i="6"/>
  <c r="B438" i="6"/>
  <c r="D438" i="6" s="1"/>
  <c r="I437" i="6"/>
  <c r="H437" i="6"/>
  <c r="J437" i="6" s="1"/>
  <c r="C437" i="6"/>
  <c r="B437" i="6"/>
  <c r="I436" i="6"/>
  <c r="H436" i="6"/>
  <c r="J436" i="6" s="1"/>
  <c r="C436" i="6"/>
  <c r="B436" i="6"/>
  <c r="C459" i="6"/>
  <c r="B459" i="6"/>
  <c r="C458" i="6"/>
  <c r="B458" i="6"/>
  <c r="C457" i="6"/>
  <c r="B457" i="6"/>
  <c r="C456" i="6"/>
  <c r="B456" i="6"/>
  <c r="H455" i="6"/>
  <c r="J455" i="6" s="1"/>
  <c r="C455" i="6"/>
  <c r="B455" i="6"/>
  <c r="I454" i="6"/>
  <c r="C454" i="6"/>
  <c r="B454" i="6"/>
  <c r="I453" i="6"/>
  <c r="C453" i="6"/>
  <c r="B453" i="6"/>
  <c r="C452" i="6"/>
  <c r="B452" i="6"/>
  <c r="I451" i="6"/>
  <c r="H451" i="6"/>
  <c r="J451" i="6" s="1"/>
  <c r="C451" i="6"/>
  <c r="B451" i="6"/>
  <c r="I450" i="6"/>
  <c r="H450" i="6"/>
  <c r="J450" i="6" s="1"/>
  <c r="C450" i="6"/>
  <c r="B450" i="6"/>
  <c r="D450" i="6" s="1"/>
  <c r="I449" i="6"/>
  <c r="H449" i="6"/>
  <c r="C449" i="6"/>
  <c r="B449" i="6"/>
  <c r="I448" i="6"/>
  <c r="H448" i="6"/>
  <c r="J448" i="6" s="1"/>
  <c r="C448" i="6"/>
  <c r="B448" i="6"/>
  <c r="D448" i="6" s="1"/>
  <c r="C471" i="6"/>
  <c r="B471" i="6"/>
  <c r="C470" i="6"/>
  <c r="B470" i="6"/>
  <c r="I469" i="6"/>
  <c r="C469" i="6"/>
  <c r="B469" i="6"/>
  <c r="C468" i="6"/>
  <c r="B468" i="6"/>
  <c r="C467" i="6"/>
  <c r="B467" i="6"/>
  <c r="I466" i="6"/>
  <c r="C466" i="6"/>
  <c r="B466" i="6"/>
  <c r="D466" i="6" s="1"/>
  <c r="I465" i="6"/>
  <c r="C465" i="6"/>
  <c r="B465" i="6"/>
  <c r="H464" i="6"/>
  <c r="J464" i="6" s="1"/>
  <c r="C464" i="6"/>
  <c r="B464" i="6"/>
  <c r="I463" i="6"/>
  <c r="H463" i="6"/>
  <c r="J463" i="6" s="1"/>
  <c r="C463" i="6"/>
  <c r="B463" i="6"/>
  <c r="I462" i="6"/>
  <c r="H462" i="6"/>
  <c r="J462" i="6" s="1"/>
  <c r="C462" i="6"/>
  <c r="B462" i="6"/>
  <c r="I461" i="6"/>
  <c r="H461" i="6"/>
  <c r="C461" i="6"/>
  <c r="B461" i="6"/>
  <c r="D461" i="6" s="1"/>
  <c r="I460" i="6"/>
  <c r="H460" i="6"/>
  <c r="C460" i="6"/>
  <c r="B460" i="6"/>
  <c r="C483" i="6"/>
  <c r="B483" i="6"/>
  <c r="H482" i="6"/>
  <c r="J482" i="6" s="1"/>
  <c r="C482" i="6"/>
  <c r="B482" i="6"/>
  <c r="H481" i="6"/>
  <c r="J481" i="6" s="1"/>
  <c r="C481" i="6"/>
  <c r="B481" i="6"/>
  <c r="H480" i="6"/>
  <c r="J480" i="6" s="1"/>
  <c r="C480" i="6"/>
  <c r="B480" i="6"/>
  <c r="C479" i="6"/>
  <c r="B479" i="6"/>
  <c r="H478" i="6"/>
  <c r="J478" i="6" s="1"/>
  <c r="C478" i="6"/>
  <c r="B478" i="6"/>
  <c r="I477" i="6"/>
  <c r="H477" i="6"/>
  <c r="J477" i="6" s="1"/>
  <c r="C477" i="6"/>
  <c r="B477" i="6"/>
  <c r="D477" i="6" s="1"/>
  <c r="I476" i="6"/>
  <c r="H476" i="6"/>
  <c r="J476" i="6" s="1"/>
  <c r="C476" i="6"/>
  <c r="B476" i="6"/>
  <c r="C475" i="6"/>
  <c r="B475" i="6"/>
  <c r="I474" i="6"/>
  <c r="H474" i="6"/>
  <c r="J474" i="6" s="1"/>
  <c r="C474" i="6"/>
  <c r="B474" i="6"/>
  <c r="I473" i="6"/>
  <c r="H473" i="6"/>
  <c r="J473" i="6" s="1"/>
  <c r="C473" i="6"/>
  <c r="B473" i="6"/>
  <c r="D473" i="6" s="1"/>
  <c r="I472" i="6"/>
  <c r="H472" i="6"/>
  <c r="J472" i="6" s="1"/>
  <c r="C472" i="6"/>
  <c r="B472" i="6"/>
  <c r="C495" i="6"/>
  <c r="B495" i="6"/>
  <c r="C494" i="6"/>
  <c r="B494" i="6"/>
  <c r="H493" i="6"/>
  <c r="J493" i="6" s="1"/>
  <c r="C493" i="6"/>
  <c r="B493" i="6"/>
  <c r="C492" i="6"/>
  <c r="B492" i="6"/>
  <c r="H491" i="6"/>
  <c r="J491" i="6" s="1"/>
  <c r="C491" i="6"/>
  <c r="B491" i="6"/>
  <c r="H490" i="6"/>
  <c r="J490" i="6" s="1"/>
  <c r="C490" i="6"/>
  <c r="B490" i="6"/>
  <c r="D490" i="6" s="1"/>
  <c r="H489" i="6"/>
  <c r="J489" i="6" s="1"/>
  <c r="C489" i="6"/>
  <c r="B489" i="6"/>
  <c r="C488" i="6"/>
  <c r="B488" i="6"/>
  <c r="I487" i="6"/>
  <c r="H487" i="6"/>
  <c r="J487" i="6" s="1"/>
  <c r="C487" i="6"/>
  <c r="B487" i="6"/>
  <c r="I486" i="6"/>
  <c r="H486" i="6"/>
  <c r="J486" i="6" s="1"/>
  <c r="C486" i="6"/>
  <c r="B486" i="6"/>
  <c r="I485" i="6"/>
  <c r="H485" i="6"/>
  <c r="J485" i="6" s="1"/>
  <c r="C485" i="6"/>
  <c r="B485" i="6"/>
  <c r="I484" i="6"/>
  <c r="H484" i="6"/>
  <c r="J484" i="6" s="1"/>
  <c r="C484" i="6"/>
  <c r="B484" i="6"/>
  <c r="C507" i="6"/>
  <c r="B507" i="6"/>
  <c r="H506" i="6"/>
  <c r="J506" i="6" s="1"/>
  <c r="C506" i="6"/>
  <c r="B506" i="6"/>
  <c r="H505" i="6"/>
  <c r="J505" i="6" s="1"/>
  <c r="C505" i="6"/>
  <c r="B505" i="6"/>
  <c r="H504" i="6"/>
  <c r="J504" i="6" s="1"/>
  <c r="C504" i="6"/>
  <c r="B504" i="6"/>
  <c r="C503" i="6"/>
  <c r="B503" i="6"/>
  <c r="H502" i="6"/>
  <c r="J502" i="6" s="1"/>
  <c r="C502" i="6"/>
  <c r="B502" i="6"/>
  <c r="H501" i="6"/>
  <c r="J501" i="6" s="1"/>
  <c r="C501" i="6"/>
  <c r="B501" i="6"/>
  <c r="H500" i="6"/>
  <c r="J500" i="6" s="1"/>
  <c r="C500" i="6"/>
  <c r="B500" i="6"/>
  <c r="D500" i="6" s="1"/>
  <c r="C499" i="6"/>
  <c r="B499" i="6"/>
  <c r="I498" i="6"/>
  <c r="H498" i="6"/>
  <c r="J498" i="6" s="1"/>
  <c r="C498" i="6"/>
  <c r="B498" i="6"/>
  <c r="D498" i="6" s="1"/>
  <c r="I497" i="6"/>
  <c r="H497" i="6"/>
  <c r="J497" i="6" s="1"/>
  <c r="C497" i="6"/>
  <c r="B497" i="6"/>
  <c r="I496" i="6"/>
  <c r="H496" i="6"/>
  <c r="J496" i="6" s="1"/>
  <c r="C496" i="6"/>
  <c r="B496" i="6"/>
  <c r="C519" i="6"/>
  <c r="B519" i="6"/>
  <c r="C518" i="6"/>
  <c r="B518" i="6"/>
  <c r="C517" i="6"/>
  <c r="B517" i="6"/>
  <c r="C516" i="6"/>
  <c r="B516" i="6"/>
  <c r="C515" i="6"/>
  <c r="B515" i="6"/>
  <c r="D515" i="6" s="1"/>
  <c r="C514" i="6"/>
  <c r="B514" i="6"/>
  <c r="C513" i="6"/>
  <c r="B513" i="6"/>
  <c r="C512" i="6"/>
  <c r="B512" i="6"/>
  <c r="C511" i="6"/>
  <c r="B511" i="6"/>
  <c r="C510" i="6"/>
  <c r="B510" i="6"/>
  <c r="C509" i="6"/>
  <c r="B509" i="6"/>
  <c r="C508" i="6"/>
  <c r="B508" i="6"/>
  <c r="A655" i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172" i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L788" i="1"/>
  <c r="L787" i="1"/>
  <c r="L786" i="1"/>
  <c r="L785" i="1"/>
  <c r="L797" i="1"/>
  <c r="L796" i="1"/>
  <c r="L795" i="1"/>
  <c r="L793" i="1"/>
  <c r="L792" i="1"/>
  <c r="L791" i="1"/>
  <c r="L790" i="1"/>
  <c r="L789" i="1"/>
  <c r="H85" i="15"/>
  <c r="O402" i="6" l="1"/>
  <c r="N340" i="6"/>
  <c r="P340" i="6" s="1"/>
  <c r="N342" i="6"/>
  <c r="D267" i="6"/>
  <c r="D518" i="6"/>
  <c r="D499" i="6"/>
  <c r="N265" i="6"/>
  <c r="P265" i="6" s="1"/>
  <c r="D458" i="6"/>
  <c r="N361" i="6"/>
  <c r="N269" i="6"/>
  <c r="P269" i="6" s="1"/>
  <c r="O256" i="6"/>
  <c r="N264" i="6"/>
  <c r="P264" i="6" s="1"/>
  <c r="O371" i="6"/>
  <c r="D375" i="6"/>
  <c r="O246" i="6"/>
  <c r="O295" i="6"/>
  <c r="N501" i="6"/>
  <c r="N504" i="6"/>
  <c r="O333" i="6"/>
  <c r="O226" i="6"/>
  <c r="N229" i="6"/>
  <c r="P229" i="6" s="1"/>
  <c r="N388" i="6"/>
  <c r="P388" i="6" s="1"/>
  <c r="O233" i="6"/>
  <c r="O235" i="6"/>
  <c r="O222" i="6"/>
  <c r="N225" i="6"/>
  <c r="P225" i="6" s="1"/>
  <c r="O401" i="6"/>
  <c r="O379" i="6"/>
  <c r="D519" i="6"/>
  <c r="D175" i="6"/>
  <c r="O431" i="6"/>
  <c r="D231" i="6"/>
  <c r="N487" i="6"/>
  <c r="P487" i="6" s="1"/>
  <c r="O451" i="6"/>
  <c r="N426" i="6"/>
  <c r="P426" i="6" s="1"/>
  <c r="D399" i="6"/>
  <c r="O364" i="6"/>
  <c r="N329" i="6"/>
  <c r="P329" i="6" s="1"/>
  <c r="D315" i="6"/>
  <c r="D482" i="6"/>
  <c r="O316" i="6"/>
  <c r="O367" i="6"/>
  <c r="N413" i="6"/>
  <c r="P413" i="6" s="1"/>
  <c r="O418" i="6"/>
  <c r="D376" i="6"/>
  <c r="N357" i="6"/>
  <c r="N268" i="6"/>
  <c r="P268" i="6" s="1"/>
  <c r="O186" i="6"/>
  <c r="N193" i="6"/>
  <c r="O424" i="6"/>
  <c r="N281" i="6"/>
  <c r="P281" i="6" s="1"/>
  <c r="O202" i="6"/>
  <c r="D364" i="6"/>
  <c r="O438" i="6"/>
  <c r="O474" i="6"/>
  <c r="O461" i="6"/>
  <c r="O448" i="6"/>
  <c r="N409" i="6"/>
  <c r="N377" i="6"/>
  <c r="P377" i="6" s="1"/>
  <c r="O306" i="6"/>
  <c r="N251" i="6"/>
  <c r="P251" i="6" s="1"/>
  <c r="O208" i="6"/>
  <c r="N213" i="6"/>
  <c r="P213" i="6" s="1"/>
  <c r="O469" i="6"/>
  <c r="O413" i="6"/>
  <c r="O341" i="6"/>
  <c r="N244" i="6"/>
  <c r="P244" i="6" s="1"/>
  <c r="N235" i="6"/>
  <c r="P235" i="6" s="1"/>
  <c r="N478" i="6"/>
  <c r="P478" i="6" s="1"/>
  <c r="D470" i="6"/>
  <c r="D410" i="6"/>
  <c r="D342" i="6"/>
  <c r="O298" i="6"/>
  <c r="O473" i="6"/>
  <c r="O476" i="6"/>
  <c r="O460" i="6"/>
  <c r="N433" i="6"/>
  <c r="D419" i="6"/>
  <c r="O400" i="6"/>
  <c r="N389" i="6"/>
  <c r="P389" i="6" s="1"/>
  <c r="O283" i="6"/>
  <c r="O436" i="6"/>
  <c r="O443" i="6"/>
  <c r="O412" i="6"/>
  <c r="D411" i="6"/>
  <c r="N394" i="6"/>
  <c r="P394" i="6" s="1"/>
  <c r="O365" i="6"/>
  <c r="O347" i="6"/>
  <c r="O319" i="6"/>
  <c r="O270" i="6"/>
  <c r="O258" i="6"/>
  <c r="O247" i="6"/>
  <c r="N172" i="6"/>
  <c r="D322" i="6"/>
  <c r="D250" i="6"/>
  <c r="D495" i="6"/>
  <c r="O453" i="6"/>
  <c r="O427" i="6"/>
  <c r="D418" i="6"/>
  <c r="O391" i="6"/>
  <c r="D332" i="6"/>
  <c r="O334" i="6"/>
  <c r="O310" i="6"/>
  <c r="O239" i="6"/>
  <c r="D215" i="6"/>
  <c r="D510" i="6"/>
  <c r="D377" i="6"/>
  <c r="O234" i="6"/>
  <c r="N474" i="6"/>
  <c r="P474" i="6" s="1"/>
  <c r="D483" i="6"/>
  <c r="D507" i="6"/>
  <c r="D487" i="6"/>
  <c r="O472" i="6"/>
  <c r="D478" i="6"/>
  <c r="N481" i="6"/>
  <c r="P481" i="6" s="1"/>
  <c r="D454" i="6"/>
  <c r="D457" i="6"/>
  <c r="N428" i="6"/>
  <c r="P428" i="6" s="1"/>
  <c r="N379" i="6"/>
  <c r="P379" i="6" s="1"/>
  <c r="O370" i="6"/>
  <c r="O352" i="6"/>
  <c r="N333" i="6"/>
  <c r="D335" i="6"/>
  <c r="D339" i="6"/>
  <c r="N309" i="6"/>
  <c r="P309" i="6" s="1"/>
  <c r="O294" i="6"/>
  <c r="O296" i="6"/>
  <c r="N285" i="6"/>
  <c r="P285" i="6" s="1"/>
  <c r="O271" i="6"/>
  <c r="O199" i="6"/>
  <c r="O184" i="6"/>
  <c r="O190" i="6"/>
  <c r="N173" i="6"/>
  <c r="P173" i="6" s="1"/>
  <c r="D502" i="6"/>
  <c r="D474" i="6"/>
  <c r="O389" i="6"/>
  <c r="D394" i="6"/>
  <c r="O377" i="6"/>
  <c r="O381" i="6"/>
  <c r="N367" i="6"/>
  <c r="P367" i="6" s="1"/>
  <c r="D362" i="6"/>
  <c r="N346" i="6"/>
  <c r="N306" i="6"/>
  <c r="P306" i="6" s="1"/>
  <c r="D245" i="6"/>
  <c r="D227" i="6"/>
  <c r="O205" i="6"/>
  <c r="N343" i="6"/>
  <c r="P343" i="6" s="1"/>
  <c r="N270" i="6"/>
  <c r="P270" i="6" s="1"/>
  <c r="N258" i="6"/>
  <c r="P258" i="6" s="1"/>
  <c r="N253" i="6"/>
  <c r="N196" i="6"/>
  <c r="P196" i="6" s="1"/>
  <c r="N462" i="6"/>
  <c r="P462" i="6" s="1"/>
  <c r="N491" i="6"/>
  <c r="O477" i="6"/>
  <c r="O463" i="6"/>
  <c r="O450" i="6"/>
  <c r="N455" i="6"/>
  <c r="P455" i="6" s="1"/>
  <c r="N424" i="6"/>
  <c r="P424" i="6" s="1"/>
  <c r="N406" i="6"/>
  <c r="P406" i="6" s="1"/>
  <c r="D390" i="6"/>
  <c r="N393" i="6"/>
  <c r="P393" i="6" s="1"/>
  <c r="N355" i="6"/>
  <c r="P355" i="6" s="1"/>
  <c r="N320" i="6"/>
  <c r="P320" i="6" s="1"/>
  <c r="N323" i="6"/>
  <c r="N305" i="6"/>
  <c r="P305" i="6" s="1"/>
  <c r="N293" i="6"/>
  <c r="O282" i="6"/>
  <c r="N289" i="6"/>
  <c r="O198" i="6"/>
  <c r="N189" i="6"/>
  <c r="P189" i="6" s="1"/>
  <c r="N190" i="6"/>
  <c r="P190" i="6" s="1"/>
  <c r="D503" i="6"/>
  <c r="N480" i="6"/>
  <c r="P480" i="6" s="1"/>
  <c r="D462" i="6"/>
  <c r="O439" i="6"/>
  <c r="O442" i="6"/>
  <c r="N401" i="6"/>
  <c r="P401" i="6" s="1"/>
  <c r="N405" i="6"/>
  <c r="P405" i="6" s="1"/>
  <c r="O393" i="6"/>
  <c r="N369" i="6"/>
  <c r="N341" i="6"/>
  <c r="P341" i="6" s="1"/>
  <c r="D343" i="6"/>
  <c r="D351" i="6"/>
  <c r="N316" i="6"/>
  <c r="P316" i="6" s="1"/>
  <c r="O305" i="6"/>
  <c r="D270" i="6"/>
  <c r="N273" i="6"/>
  <c r="P273" i="6" s="1"/>
  <c r="D275" i="6"/>
  <c r="D279" i="6"/>
  <c r="D253" i="6"/>
  <c r="O232" i="6"/>
  <c r="O209" i="6"/>
  <c r="D196" i="6"/>
  <c r="D198" i="6"/>
  <c r="O498" i="6"/>
  <c r="N485" i="6"/>
  <c r="P485" i="6" s="1"/>
  <c r="N486" i="6"/>
  <c r="O465" i="6"/>
  <c r="N449" i="6"/>
  <c r="O437" i="6"/>
  <c r="N429" i="6"/>
  <c r="O414" i="6"/>
  <c r="O403" i="6"/>
  <c r="D405" i="6"/>
  <c r="O376" i="6"/>
  <c r="D355" i="6"/>
  <c r="D346" i="6"/>
  <c r="N349" i="6"/>
  <c r="P349" i="6" s="1"/>
  <c r="N286" i="6"/>
  <c r="P286" i="6" s="1"/>
  <c r="N259" i="6"/>
  <c r="P259" i="6" s="1"/>
  <c r="N249" i="6"/>
  <c r="P249" i="6" s="1"/>
  <c r="O237" i="6"/>
  <c r="N228" i="6"/>
  <c r="O172" i="6"/>
  <c r="N502" i="6"/>
  <c r="N505" i="6"/>
  <c r="O485" i="6"/>
  <c r="N489" i="6"/>
  <c r="N476" i="6"/>
  <c r="P476" i="6" s="1"/>
  <c r="N477" i="6"/>
  <c r="P477" i="6" s="1"/>
  <c r="O449" i="6"/>
  <c r="N451" i="6"/>
  <c r="N392" i="6"/>
  <c r="N396" i="6"/>
  <c r="O378" i="6"/>
  <c r="O366" i="6"/>
  <c r="N337" i="6"/>
  <c r="O318" i="6"/>
  <c r="O304" i="6"/>
  <c r="O293" i="6"/>
  <c r="N295" i="6"/>
  <c r="P295" i="6" s="1"/>
  <c r="O297" i="6"/>
  <c r="N280" i="6"/>
  <c r="P280" i="6" s="1"/>
  <c r="O274" i="6"/>
  <c r="N277" i="6"/>
  <c r="N256" i="6"/>
  <c r="P256" i="6" s="1"/>
  <c r="N257" i="6"/>
  <c r="P257" i="6" s="1"/>
  <c r="N248" i="6"/>
  <c r="P248" i="6" s="1"/>
  <c r="N224" i="6"/>
  <c r="P224" i="6" s="1"/>
  <c r="O487" i="6"/>
  <c r="D491" i="6"/>
  <c r="D494" i="6"/>
  <c r="O462" i="6"/>
  <c r="D444" i="6"/>
  <c r="D430" i="6"/>
  <c r="N417" i="6"/>
  <c r="P417" i="6" s="1"/>
  <c r="D422" i="6"/>
  <c r="O380" i="6"/>
  <c r="N373" i="6"/>
  <c r="N352" i="6"/>
  <c r="P352" i="6" s="1"/>
  <c r="N353" i="6"/>
  <c r="P353" i="6" s="1"/>
  <c r="O358" i="6"/>
  <c r="O360" i="6"/>
  <c r="O343" i="6"/>
  <c r="O328" i="6"/>
  <c r="O322" i="6"/>
  <c r="D314" i="6"/>
  <c r="O280" i="6"/>
  <c r="D259" i="6"/>
  <c r="N261" i="6"/>
  <c r="P261" i="6" s="1"/>
  <c r="D222" i="6"/>
  <c r="D228" i="6"/>
  <c r="N497" i="6"/>
  <c r="P497" i="6" s="1"/>
  <c r="O466" i="6"/>
  <c r="D511" i="6"/>
  <c r="D514" i="6"/>
  <c r="O497" i="6"/>
  <c r="D506" i="6"/>
  <c r="O484" i="6"/>
  <c r="D486" i="6"/>
  <c r="N464" i="6"/>
  <c r="O454" i="6"/>
  <c r="O440" i="6"/>
  <c r="D415" i="6"/>
  <c r="D417" i="6"/>
  <c r="O419" i="6"/>
  <c r="N390" i="6"/>
  <c r="N397" i="6"/>
  <c r="N365" i="6"/>
  <c r="P365" i="6" s="1"/>
  <c r="O354" i="6"/>
  <c r="O356" i="6"/>
  <c r="N359" i="6"/>
  <c r="P359" i="6" s="1"/>
  <c r="D361" i="6"/>
  <c r="O340" i="6"/>
  <c r="O345" i="6"/>
  <c r="D347" i="6"/>
  <c r="N319" i="6"/>
  <c r="P319" i="6" s="1"/>
  <c r="O309" i="6"/>
  <c r="O292" i="6"/>
  <c r="D298" i="6"/>
  <c r="O269" i="6"/>
  <c r="N260" i="6"/>
  <c r="P260" i="6" s="1"/>
  <c r="O262" i="6"/>
  <c r="O245" i="6"/>
  <c r="N247" i="6"/>
  <c r="O238" i="6"/>
  <c r="N209" i="6"/>
  <c r="P209" i="6" s="1"/>
  <c r="O210" i="6"/>
  <c r="O213" i="6"/>
  <c r="O201" i="6"/>
  <c r="O188" i="6"/>
  <c r="D163" i="6"/>
  <c r="D426" i="6"/>
  <c r="N345" i="6"/>
  <c r="P345" i="6" s="1"/>
  <c r="O320" i="6"/>
  <c r="D302" i="6"/>
  <c r="D251" i="6"/>
  <c r="O220" i="6"/>
  <c r="N210" i="6"/>
  <c r="P210" i="6" s="1"/>
  <c r="N186" i="6"/>
  <c r="P186" i="6" s="1"/>
  <c r="N448" i="6"/>
  <c r="P448" i="6" s="1"/>
  <c r="O330" i="6"/>
  <c r="N245" i="6"/>
  <c r="D247" i="6"/>
  <c r="O496" i="6"/>
  <c r="N506" i="6"/>
  <c r="O486" i="6"/>
  <c r="N490" i="6"/>
  <c r="P490" i="6" s="1"/>
  <c r="N493" i="6"/>
  <c r="N472" i="6"/>
  <c r="P472" i="6" s="1"/>
  <c r="N473" i="6"/>
  <c r="P473" i="6" s="1"/>
  <c r="N460" i="6"/>
  <c r="P460" i="6" s="1"/>
  <c r="N461" i="6"/>
  <c r="P461" i="6" s="1"/>
  <c r="N463" i="6"/>
  <c r="D452" i="6"/>
  <c r="N437" i="6"/>
  <c r="P437" i="6" s="1"/>
  <c r="O441" i="6"/>
  <c r="O446" i="6"/>
  <c r="N432" i="6"/>
  <c r="P432" i="6" s="1"/>
  <c r="O415" i="6"/>
  <c r="N421" i="6"/>
  <c r="N400" i="6"/>
  <c r="P400" i="6" s="1"/>
  <c r="D401" i="6"/>
  <c r="N403" i="6"/>
  <c r="P403" i="6" s="1"/>
  <c r="D409" i="6"/>
  <c r="O388" i="6"/>
  <c r="D357" i="6"/>
  <c r="N344" i="6"/>
  <c r="O329" i="6"/>
  <c r="N330" i="6"/>
  <c r="P330" i="6" s="1"/>
  <c r="D317" i="6"/>
  <c r="N313" i="6"/>
  <c r="P313" i="6" s="1"/>
  <c r="N292" i="6"/>
  <c r="P292" i="6" s="1"/>
  <c r="O281" i="6"/>
  <c r="N282" i="6"/>
  <c r="P282" i="6" s="1"/>
  <c r="O268" i="6"/>
  <c r="O244" i="6"/>
  <c r="N233" i="6"/>
  <c r="P233" i="6" s="1"/>
  <c r="N221" i="6"/>
  <c r="P221" i="6" s="1"/>
  <c r="N217" i="6"/>
  <c r="P217" i="6" s="1"/>
  <c r="D152" i="6"/>
  <c r="D167" i="6"/>
  <c r="D172" i="6"/>
  <c r="J173" i="6"/>
  <c r="D176" i="6"/>
  <c r="O175" i="6"/>
  <c r="D181" i="6"/>
  <c r="D187" i="6"/>
  <c r="D192" i="6"/>
  <c r="D188" i="6"/>
  <c r="N184" i="6"/>
  <c r="P184" i="6" s="1"/>
  <c r="D185" i="6"/>
  <c r="D189" i="6"/>
  <c r="D193" i="6"/>
  <c r="O196" i="6"/>
  <c r="D203" i="6"/>
  <c r="D207" i="6"/>
  <c r="D197" i="6"/>
  <c r="D201" i="6"/>
  <c r="D205" i="6"/>
  <c r="N214" i="6"/>
  <c r="P214" i="6" s="1"/>
  <c r="D216" i="6"/>
  <c r="N208" i="6"/>
  <c r="P208" i="6" s="1"/>
  <c r="D209" i="6"/>
  <c r="D213" i="6"/>
  <c r="D217" i="6"/>
  <c r="N222" i="6"/>
  <c r="N226" i="6"/>
  <c r="P226" i="6" s="1"/>
  <c r="N230" i="6"/>
  <c r="P230" i="6" s="1"/>
  <c r="D224" i="6"/>
  <c r="D225" i="6"/>
  <c r="D229" i="6"/>
  <c r="N220" i="6"/>
  <c r="P220" i="6" s="1"/>
  <c r="D221" i="6"/>
  <c r="D239" i="6"/>
  <c r="D243" i="6"/>
  <c r="N234" i="6"/>
  <c r="P234" i="6" s="1"/>
  <c r="D236" i="6"/>
  <c r="N232" i="6"/>
  <c r="P232" i="6" s="1"/>
  <c r="D233" i="6"/>
  <c r="D237" i="6"/>
  <c r="D241" i="6"/>
  <c r="D232" i="6"/>
  <c r="D244" i="6"/>
  <c r="J245" i="6"/>
  <c r="D248" i="6"/>
  <c r="J249" i="6"/>
  <c r="D252" i="6"/>
  <c r="D256" i="6"/>
  <c r="J257" i="6"/>
  <c r="D260" i="6"/>
  <c r="J261" i="6"/>
  <c r="D264" i="6"/>
  <c r="D265" i="6"/>
  <c r="D276" i="6"/>
  <c r="D268" i="6"/>
  <c r="N274" i="6"/>
  <c r="P274" i="6" s="1"/>
  <c r="D272" i="6"/>
  <c r="D269" i="6"/>
  <c r="D273" i="6"/>
  <c r="D277" i="6"/>
  <c r="D288" i="6"/>
  <c r="D280" i="6"/>
  <c r="D281" i="6"/>
  <c r="N284" i="6"/>
  <c r="P284" i="6" s="1"/>
  <c r="D285" i="6"/>
  <c r="J286" i="6"/>
  <c r="D289" i="6"/>
  <c r="D293" i="6"/>
  <c r="N294" i="6"/>
  <c r="P294" i="6" s="1"/>
  <c r="D295" i="6"/>
  <c r="D299" i="6"/>
  <c r="D303" i="6"/>
  <c r="D300" i="6"/>
  <c r="D301" i="6"/>
  <c r="D312" i="6"/>
  <c r="D304" i="6"/>
  <c r="N304" i="6"/>
  <c r="D305" i="6"/>
  <c r="J306" i="6"/>
  <c r="D309" i="6"/>
  <c r="D313" i="6"/>
  <c r="J316" i="6"/>
  <c r="D319" i="6"/>
  <c r="J320" i="6"/>
  <c r="D323" i="6"/>
  <c r="D327" i="6"/>
  <c r="D325" i="6"/>
  <c r="D336" i="6"/>
  <c r="N328" i="6"/>
  <c r="P328" i="6" s="1"/>
  <c r="D329" i="6"/>
  <c r="D333" i="6"/>
  <c r="D337" i="6"/>
  <c r="D328" i="6"/>
  <c r="J341" i="6"/>
  <c r="J345" i="6"/>
  <c r="O342" i="6"/>
  <c r="D340" i="6"/>
  <c r="D344" i="6"/>
  <c r="D348" i="6"/>
  <c r="J346" i="6"/>
  <c r="D349" i="6"/>
  <c r="D352" i="6"/>
  <c r="J353" i="6"/>
  <c r="D356" i="6"/>
  <c r="D360" i="6"/>
  <c r="J364" i="6"/>
  <c r="D372" i="6"/>
  <c r="N366" i="6"/>
  <c r="P366" i="6" s="1"/>
  <c r="N364" i="6"/>
  <c r="D365" i="6"/>
  <c r="D369" i="6"/>
  <c r="D373" i="6"/>
  <c r="J376" i="6"/>
  <c r="N378" i="6"/>
  <c r="P378" i="6" s="1"/>
  <c r="D379" i="6"/>
  <c r="D383" i="6"/>
  <c r="D387" i="6"/>
  <c r="N376" i="6"/>
  <c r="D385" i="6"/>
  <c r="D392" i="6"/>
  <c r="D388" i="6"/>
  <c r="D396" i="6"/>
  <c r="D389" i="6"/>
  <c r="D393" i="6"/>
  <c r="D397" i="6"/>
  <c r="N402" i="6"/>
  <c r="P402" i="6" s="1"/>
  <c r="D400" i="6"/>
  <c r="D404" i="6"/>
  <c r="N407" i="6"/>
  <c r="P407" i="6" s="1"/>
  <c r="D408" i="6"/>
  <c r="N412" i="6"/>
  <c r="P412" i="6" s="1"/>
  <c r="D412" i="6"/>
  <c r="J413" i="6"/>
  <c r="N415" i="6"/>
  <c r="D416" i="6"/>
  <c r="D420" i="6"/>
  <c r="N414" i="6"/>
  <c r="P414" i="6" s="1"/>
  <c r="D421" i="6"/>
  <c r="N425" i="6"/>
  <c r="P425" i="6" s="1"/>
  <c r="N430" i="6"/>
  <c r="D431" i="6"/>
  <c r="N434" i="6"/>
  <c r="P434" i="6" s="1"/>
  <c r="D427" i="6"/>
  <c r="D424" i="6"/>
  <c r="D428" i="6"/>
  <c r="D432" i="6"/>
  <c r="D433" i="6"/>
  <c r="D439" i="6"/>
  <c r="D443" i="6"/>
  <c r="D447" i="6"/>
  <c r="D436" i="6"/>
  <c r="D440" i="6"/>
  <c r="N436" i="6"/>
  <c r="P436" i="6" s="1"/>
  <c r="D437" i="6"/>
  <c r="D445" i="6"/>
  <c r="N450" i="6"/>
  <c r="P450" i="6" s="1"/>
  <c r="D451" i="6"/>
  <c r="D455" i="6"/>
  <c r="D459" i="6"/>
  <c r="D449" i="6"/>
  <c r="J449" i="6"/>
  <c r="D456" i="6"/>
  <c r="D453" i="6"/>
  <c r="D463" i="6"/>
  <c r="D467" i="6"/>
  <c r="D471" i="6"/>
  <c r="D460" i="6"/>
  <c r="J461" i="6"/>
  <c r="D464" i="6"/>
  <c r="D468" i="6"/>
  <c r="J460" i="6"/>
  <c r="D465" i="6"/>
  <c r="D469" i="6"/>
  <c r="D479" i="6"/>
  <c r="N482" i="6"/>
  <c r="D475" i="6"/>
  <c r="D472" i="6"/>
  <c r="D476" i="6"/>
  <c r="D480" i="6"/>
  <c r="D481" i="6"/>
  <c r="D484" i="6"/>
  <c r="D492" i="6"/>
  <c r="D488" i="6"/>
  <c r="D493" i="6"/>
  <c r="N484" i="6"/>
  <c r="D485" i="6"/>
  <c r="D489" i="6"/>
  <c r="N498" i="6"/>
  <c r="P498" i="6" s="1"/>
  <c r="D496" i="6"/>
  <c r="D504" i="6"/>
  <c r="N500" i="6"/>
  <c r="P500" i="6" s="1"/>
  <c r="D501" i="6"/>
  <c r="D505" i="6"/>
  <c r="N496" i="6"/>
  <c r="P496" i="6" s="1"/>
  <c r="D497" i="6"/>
  <c r="D508" i="6"/>
  <c r="D516" i="6"/>
  <c r="D512" i="6"/>
  <c r="D509" i="6"/>
  <c r="D513" i="6"/>
  <c r="D517" i="6"/>
  <c r="J1069" i="2"/>
  <c r="K1069" i="2" s="1"/>
  <c r="J1068" i="2"/>
  <c r="K1068" i="2" s="1"/>
  <c r="J1067" i="2"/>
  <c r="K1067" i="2" s="1"/>
  <c r="I46" i="18"/>
  <c r="I40" i="14"/>
  <c r="H40" i="14"/>
  <c r="J1120" i="2"/>
  <c r="K1120" i="2" s="1"/>
  <c r="J1195" i="2"/>
  <c r="K1195" i="2" s="1"/>
  <c r="J1194" i="2"/>
  <c r="K1194" i="2" s="1"/>
  <c r="J1193" i="2"/>
  <c r="K1193" i="2" s="1"/>
  <c r="J1191" i="2"/>
  <c r="K1191" i="2" s="1"/>
  <c r="J1190" i="2"/>
  <c r="K1190" i="2" s="1"/>
  <c r="P342" i="6" l="1"/>
  <c r="P364" i="6"/>
  <c r="P333" i="6"/>
  <c r="P484" i="6"/>
  <c r="P463" i="6"/>
  <c r="P451" i="6"/>
  <c r="P376" i="6"/>
  <c r="P247" i="6"/>
  <c r="P222" i="6"/>
  <c r="P245" i="6"/>
  <c r="P172" i="6"/>
  <c r="P304" i="6"/>
  <c r="P415" i="6"/>
  <c r="P293" i="6"/>
  <c r="P486" i="6"/>
  <c r="P449" i="6"/>
  <c r="J1167" i="2"/>
  <c r="K1167" i="2" s="1"/>
  <c r="J1117" i="2"/>
  <c r="K1117" i="2" s="1"/>
  <c r="I37" i="18"/>
  <c r="J604" i="2"/>
  <c r="K604" i="2" s="1"/>
  <c r="J603" i="2"/>
  <c r="K603" i="2" s="1"/>
  <c r="J602" i="2"/>
  <c r="K602" i="2" s="1"/>
  <c r="J601" i="2"/>
  <c r="K601" i="2" s="1"/>
  <c r="J790" i="2"/>
  <c r="K790" i="2" s="1"/>
  <c r="J718" i="2"/>
  <c r="K718" i="2" s="1"/>
  <c r="J717" i="2"/>
  <c r="K717" i="2" s="1"/>
  <c r="J716" i="2"/>
  <c r="K716" i="2" s="1"/>
  <c r="J715" i="2"/>
  <c r="K715" i="2" s="1"/>
  <c r="J714" i="2"/>
  <c r="K714" i="2" s="1"/>
  <c r="J712" i="2"/>
  <c r="K712" i="2" s="1"/>
  <c r="J710" i="2"/>
  <c r="K710" i="2" s="1"/>
  <c r="J709" i="2"/>
  <c r="K709" i="2" s="1"/>
  <c r="J708" i="2"/>
  <c r="K708" i="2" s="1"/>
  <c r="I42" i="18"/>
  <c r="J486" i="2"/>
  <c r="K486" i="2" s="1"/>
  <c r="J485" i="2"/>
  <c r="K485" i="2" s="1"/>
  <c r="J484" i="2"/>
  <c r="K484" i="2" s="1"/>
  <c r="J483" i="2"/>
  <c r="K483" i="2" s="1"/>
  <c r="J482" i="2"/>
  <c r="K482" i="2" s="1"/>
  <c r="J481" i="2"/>
  <c r="K481" i="2" s="1"/>
  <c r="J1118" i="2"/>
  <c r="K1118" i="2" s="1"/>
  <c r="J1121" i="2"/>
  <c r="K1121" i="2" s="1"/>
  <c r="K120" i="13" l="1"/>
  <c r="I38" i="18"/>
  <c r="I39" i="18"/>
  <c r="I40" i="18"/>
  <c r="I41" i="18"/>
  <c r="I43" i="18"/>
  <c r="I44" i="18"/>
  <c r="I47" i="18"/>
  <c r="I45" i="18"/>
  <c r="I48" i="18"/>
  <c r="I18" i="18"/>
  <c r="Q85" i="15"/>
  <c r="P84" i="15" s="1"/>
  <c r="W84" i="15"/>
  <c r="W78" i="15"/>
  <c r="W74" i="15"/>
  <c r="I36" i="18" l="1"/>
  <c r="I120" i="13"/>
  <c r="K119" i="13"/>
  <c r="J741" i="2"/>
  <c r="K741" i="2" s="1"/>
  <c r="J600" i="2"/>
  <c r="K600" i="2" s="1"/>
  <c r="J599" i="2"/>
  <c r="K599" i="2" s="1"/>
  <c r="J598" i="2"/>
  <c r="K598" i="2" s="1"/>
  <c r="J597" i="2"/>
  <c r="K597" i="2" s="1"/>
  <c r="J742" i="2"/>
  <c r="K742" i="2" s="1"/>
  <c r="J740" i="2"/>
  <c r="K740" i="2" s="1"/>
  <c r="U27" i="18" a="1"/>
  <c r="U27" i="18" s="1"/>
  <c r="V27" i="18" s="1"/>
  <c r="J136" i="2"/>
  <c r="K136" i="2" s="1"/>
  <c r="J135" i="2"/>
  <c r="K135" i="2" s="1"/>
  <c r="S26" i="18"/>
  <c r="P19" i="18"/>
  <c r="U39" i="18" a="1"/>
  <c r="U39" i="18" s="1"/>
  <c r="V39" i="18" s="1" a="1"/>
  <c r="V39" i="18" s="1"/>
  <c r="V38" i="18" s="1"/>
  <c r="J85" i="13"/>
  <c r="H86" i="13"/>
  <c r="I30" i="18"/>
  <c r="I31" i="18"/>
  <c r="J31" i="18"/>
  <c r="J30" i="18"/>
  <c r="D30" i="18"/>
  <c r="L85" i="15"/>
  <c r="M85" i="15" s="1"/>
  <c r="L84" i="15"/>
  <c r="M84" i="15" s="1"/>
  <c r="L86" i="15"/>
  <c r="M86" i="15" s="1"/>
  <c r="I86" i="15"/>
  <c r="H86" i="15"/>
  <c r="L82" i="15"/>
  <c r="M82" i="15" s="1"/>
  <c r="L81" i="15"/>
  <c r="M81" i="15" s="1"/>
  <c r="I81" i="15"/>
  <c r="H81" i="15"/>
  <c r="J1122" i="2"/>
  <c r="K1122" i="2" s="1"/>
  <c r="J1119" i="2"/>
  <c r="K1119" i="2" s="1"/>
  <c r="J1116" i="2"/>
  <c r="K1116" i="2" s="1"/>
  <c r="J1115" i="2"/>
  <c r="K1115" i="2" s="1"/>
  <c r="J1114" i="2"/>
  <c r="K1114" i="2" s="1"/>
  <c r="H120" i="13"/>
  <c r="G121" i="13" s="1"/>
  <c r="J738" i="2"/>
  <c r="K738" i="2" s="1"/>
  <c r="J739" i="2"/>
  <c r="K739" i="2" s="1"/>
  <c r="J737" i="2"/>
  <c r="K737" i="2" s="1"/>
  <c r="J736" i="2"/>
  <c r="K736" i="2" s="1"/>
  <c r="I29" i="18"/>
  <c r="I28" i="18"/>
  <c r="H82" i="15"/>
  <c r="H85" i="13"/>
  <c r="H84" i="13"/>
  <c r="H83" i="13"/>
  <c r="I17" i="18"/>
  <c r="I27" i="18"/>
  <c r="I26" i="18"/>
  <c r="I12" i="18"/>
  <c r="I25" i="18"/>
  <c r="I24" i="18"/>
  <c r="I23" i="18"/>
  <c r="I22" i="18"/>
  <c r="I21" i="18"/>
  <c r="I20" i="18"/>
  <c r="I19" i="18"/>
  <c r="I16" i="18"/>
  <c r="I15" i="18"/>
  <c r="I14" i="18"/>
  <c r="I13" i="18"/>
  <c r="I11" i="18"/>
  <c r="I10" i="18"/>
  <c r="I9" i="18"/>
  <c r="I8" i="18"/>
  <c r="I7" i="18"/>
  <c r="I6" i="18"/>
  <c r="I5" i="18"/>
  <c r="I4" i="18"/>
  <c r="I3" i="18"/>
  <c r="I2" i="18"/>
  <c r="J2" i="18"/>
  <c r="N86" i="15"/>
  <c r="K86" i="15"/>
  <c r="J86" i="15"/>
  <c r="N85" i="15"/>
  <c r="K85" i="15"/>
  <c r="J85" i="15"/>
  <c r="I85" i="15"/>
  <c r="N84" i="15"/>
  <c r="K84" i="15"/>
  <c r="J84" i="15"/>
  <c r="N83" i="15"/>
  <c r="L83" i="15"/>
  <c r="M83" i="15" s="1"/>
  <c r="K83" i="15"/>
  <c r="J83" i="15"/>
  <c r="I83" i="15"/>
  <c r="H83" i="15"/>
  <c r="N82" i="15"/>
  <c r="K82" i="15"/>
  <c r="J82" i="15"/>
  <c r="I82" i="15"/>
  <c r="N81" i="15"/>
  <c r="K81" i="15"/>
  <c r="J81" i="15"/>
  <c r="N80" i="15"/>
  <c r="L80" i="15"/>
  <c r="M80" i="15" s="1"/>
  <c r="K80" i="15"/>
  <c r="J80" i="15"/>
  <c r="I80" i="15"/>
  <c r="H80" i="15"/>
  <c r="N79" i="15"/>
  <c r="L79" i="15"/>
  <c r="K79" i="15"/>
  <c r="J79" i="15"/>
  <c r="H79" i="15"/>
  <c r="I79" i="15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3" i="18"/>
  <c r="D31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H82" i="13"/>
  <c r="J82" i="13" s="1"/>
  <c r="J596" i="2"/>
  <c r="K596" i="2" s="1"/>
  <c r="J595" i="2"/>
  <c r="K595" i="2" s="1"/>
  <c r="J594" i="2"/>
  <c r="K594" i="2" s="1"/>
  <c r="J593" i="2"/>
  <c r="K593" i="2" s="1"/>
  <c r="J84" i="13"/>
  <c r="J83" i="13"/>
  <c r="J81" i="13"/>
  <c r="J79" i="13"/>
  <c r="J78" i="13"/>
  <c r="J77" i="13"/>
  <c r="J76" i="13"/>
  <c r="J75" i="13"/>
  <c r="J74" i="13"/>
  <c r="L121" i="13" l="1"/>
  <c r="P18" i="18"/>
  <c r="P17" i="18" s="1"/>
  <c r="O8" i="18" a="1"/>
  <c r="P13" i="18" s="1"/>
  <c r="O2" i="18" a="1"/>
  <c r="O2" i="18" s="1"/>
  <c r="P2" i="18" s="1"/>
  <c r="V30" i="18"/>
  <c r="V29" i="18"/>
  <c r="V28" i="18"/>
  <c r="V35" i="18"/>
  <c r="V36" i="18"/>
  <c r="V34" i="18"/>
  <c r="V33" i="18"/>
  <c r="J1201" i="2"/>
  <c r="K1201" i="2" s="1"/>
  <c r="J1200" i="2"/>
  <c r="K1200" i="2" s="1"/>
  <c r="J1199" i="2"/>
  <c r="K1199" i="2" s="1"/>
  <c r="J1198" i="2"/>
  <c r="K1198" i="2" s="1"/>
  <c r="J1197" i="2"/>
  <c r="K1197" i="2" s="1"/>
  <c r="J1073" i="2"/>
  <c r="K1073" i="2" s="1"/>
  <c r="J1072" i="2"/>
  <c r="K1072" i="2" s="1"/>
  <c r="J1071" i="2"/>
  <c r="K1071" i="2" s="1"/>
  <c r="H41" i="14"/>
  <c r="I18" i="14"/>
  <c r="H18" i="14"/>
  <c r="I38" i="14"/>
  <c r="H38" i="14"/>
  <c r="J798" i="2"/>
  <c r="K798" i="2" s="1"/>
  <c r="J797" i="2"/>
  <c r="K797" i="2" s="1"/>
  <c r="J796" i="2"/>
  <c r="K796" i="2" s="1"/>
  <c r="J795" i="2"/>
  <c r="K795" i="2" s="1"/>
  <c r="I39" i="14"/>
  <c r="H39" i="14"/>
  <c r="I37" i="14"/>
  <c r="H37" i="14"/>
  <c r="I36" i="14"/>
  <c r="H3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7" i="14"/>
  <c r="I46" i="14"/>
  <c r="I45" i="14"/>
  <c r="I44" i="14"/>
  <c r="I43" i="14"/>
  <c r="I42" i="14"/>
  <c r="I34" i="14"/>
  <c r="I35" i="14"/>
  <c r="I33" i="14"/>
  <c r="I32" i="14"/>
  <c r="I31" i="14"/>
  <c r="I30" i="14"/>
  <c r="I29" i="14"/>
  <c r="I28" i="14"/>
  <c r="I27" i="14"/>
  <c r="I26" i="14"/>
  <c r="I24" i="14"/>
  <c r="I25" i="14"/>
  <c r="I23" i="14"/>
  <c r="I22" i="14"/>
  <c r="I21" i="14"/>
  <c r="I20" i="14"/>
  <c r="I19" i="14"/>
  <c r="I17" i="14"/>
  <c r="I16" i="14"/>
  <c r="I15" i="14"/>
  <c r="I14" i="14"/>
  <c r="I13" i="14"/>
  <c r="I50" i="14"/>
  <c r="I49" i="14"/>
  <c r="I12" i="14"/>
  <c r="I11" i="14"/>
  <c r="I10" i="14"/>
  <c r="I9" i="14"/>
  <c r="I8" i="14"/>
  <c r="I7" i="14"/>
  <c r="I6" i="14"/>
  <c r="I5" i="14"/>
  <c r="I48" i="14"/>
  <c r="I4" i="14"/>
  <c r="I3" i="14"/>
  <c r="I2" i="14"/>
  <c r="J947" i="2"/>
  <c r="K947" i="2" s="1"/>
  <c r="J946" i="2"/>
  <c r="K946" i="2" s="1"/>
  <c r="J134" i="2"/>
  <c r="K134" i="2" s="1"/>
  <c r="J133" i="2"/>
  <c r="K133" i="2" s="1"/>
  <c r="J132" i="2"/>
  <c r="K132" i="2" s="1"/>
  <c r="J525" i="2"/>
  <c r="K525" i="2" s="1"/>
  <c r="V26" i="18" l="1"/>
  <c r="V32" i="18"/>
  <c r="P4" i="18"/>
  <c r="P10" i="18"/>
  <c r="P5" i="18"/>
  <c r="P3" i="18"/>
  <c r="P1" i="18" s="1"/>
  <c r="P9" i="18"/>
  <c r="P15" i="18"/>
  <c r="P12" i="18"/>
  <c r="P11" i="18"/>
  <c r="O8" i="18"/>
  <c r="P8" i="18" s="1"/>
  <c r="P14" i="18"/>
  <c r="J62" i="2"/>
  <c r="K62" i="2" s="1"/>
  <c r="J61" i="2"/>
  <c r="K61" i="2" s="1"/>
  <c r="J60" i="2"/>
  <c r="K60" i="2" s="1"/>
  <c r="P7" i="18" l="1"/>
  <c r="J435" i="2"/>
  <c r="K435" i="2" s="1"/>
  <c r="J434" i="2"/>
  <c r="K434" i="2" s="1"/>
  <c r="J93" i="2"/>
  <c r="K93" i="2" s="1"/>
  <c r="J1027" i="2"/>
  <c r="K1027" i="2" s="1"/>
  <c r="J1026" i="2"/>
  <c r="K1026" i="2" s="1"/>
  <c r="H35" i="14"/>
  <c r="J809" i="2"/>
  <c r="K809" i="2" s="1"/>
  <c r="J808" i="2"/>
  <c r="K808" i="2" s="1"/>
  <c r="J806" i="2"/>
  <c r="K806" i="2" s="1"/>
  <c r="J805" i="2"/>
  <c r="K805" i="2" s="1"/>
  <c r="J803" i="2"/>
  <c r="K803" i="2" s="1"/>
  <c r="J802" i="2"/>
  <c r="K802" i="2" s="1"/>
  <c r="J801" i="2"/>
  <c r="K801" i="2" s="1"/>
  <c r="J800" i="2"/>
  <c r="K800" i="2" s="1"/>
  <c r="J591" i="2"/>
  <c r="K591" i="2" s="1"/>
  <c r="J1150" i="2"/>
  <c r="K1150" i="2" s="1"/>
  <c r="J1149" i="2"/>
  <c r="K1149" i="2" s="1"/>
  <c r="J1066" i="2"/>
  <c r="K1066" i="2" s="1"/>
  <c r="J1065" i="2"/>
  <c r="K1065" i="2" s="1"/>
  <c r="J1064" i="2"/>
  <c r="K1064" i="2" s="1"/>
  <c r="J1063" i="2"/>
  <c r="K1063" i="2" s="1"/>
  <c r="J1062" i="2"/>
  <c r="K1062" i="2" s="1"/>
  <c r="J1061" i="2"/>
  <c r="K1061" i="2" s="1"/>
  <c r="J1153" i="2"/>
  <c r="K1153" i="2" s="1"/>
  <c r="J1152" i="2"/>
  <c r="K1152" i="2" s="1"/>
  <c r="J1151" i="2"/>
  <c r="K1151" i="2" s="1"/>
  <c r="J1148" i="2"/>
  <c r="K1148" i="2" s="1"/>
  <c r="J1147" i="2"/>
  <c r="K1147" i="2" s="1"/>
  <c r="J1146" i="2"/>
  <c r="K1146" i="2" s="1"/>
  <c r="J1145" i="2"/>
  <c r="K1145" i="2" s="1"/>
  <c r="J592" i="2" l="1"/>
  <c r="K592" i="2" s="1"/>
  <c r="J590" i="2"/>
  <c r="K590" i="2" s="1"/>
  <c r="J589" i="2"/>
  <c r="K589" i="2" s="1"/>
  <c r="J728" i="2"/>
  <c r="J727" i="2"/>
  <c r="AG112" i="13" l="1"/>
  <c r="J1209" i="2"/>
  <c r="K1209" i="2" s="1"/>
  <c r="J1208" i="2"/>
  <c r="K1208" i="2" s="1"/>
  <c r="J1207" i="2"/>
  <c r="K1207" i="2" s="1"/>
  <c r="J642" i="2" l="1"/>
  <c r="K642" i="2" s="1"/>
  <c r="J641" i="2"/>
  <c r="K641" i="2" s="1"/>
  <c r="J640" i="2"/>
  <c r="K640" i="2" s="1"/>
  <c r="J187" i="2"/>
  <c r="K187" i="2" s="1"/>
  <c r="J186" i="2"/>
  <c r="K186" i="2" s="1"/>
  <c r="J33" i="2" l="1"/>
  <c r="K33" i="2" s="1"/>
  <c r="J32" i="2"/>
  <c r="K32" i="2" s="1"/>
  <c r="J31" i="2"/>
  <c r="K31" i="2" s="1"/>
  <c r="J1204" i="2"/>
  <c r="K1204" i="2" s="1"/>
  <c r="J155" i="2"/>
  <c r="K155" i="2" s="1"/>
  <c r="J154" i="2"/>
  <c r="K154" i="2" s="1"/>
  <c r="J1112" i="2"/>
  <c r="K1112" i="2" s="1"/>
  <c r="J1111" i="2"/>
  <c r="K1111" i="2" s="1"/>
  <c r="J35" i="2"/>
  <c r="K35" i="2" s="1"/>
  <c r="J34" i="2"/>
  <c r="K34" i="2" s="1"/>
  <c r="J1113" i="2"/>
  <c r="K1113" i="2" s="1"/>
  <c r="J1110" i="2"/>
  <c r="K1110" i="2" s="1"/>
  <c r="J1109" i="2"/>
  <c r="K1109" i="2" s="1"/>
  <c r="J1108" i="2"/>
  <c r="K1108" i="2" s="1"/>
  <c r="J1166" i="2"/>
  <c r="K1166" i="2" s="1"/>
  <c r="J1165" i="2"/>
  <c r="K1165" i="2" s="1"/>
  <c r="H42" i="14"/>
  <c r="J1205" i="2"/>
  <c r="K1205" i="2" s="1"/>
  <c r="J1203" i="2"/>
  <c r="K1203" i="2" s="1"/>
  <c r="J1172" i="2"/>
  <c r="K1172" i="2" s="1"/>
  <c r="J1171" i="2"/>
  <c r="K1171" i="2" s="1"/>
  <c r="J909" i="2"/>
  <c r="K909" i="2" s="1"/>
  <c r="J908" i="2"/>
  <c r="K908" i="2" s="1"/>
  <c r="J945" i="2"/>
  <c r="K945" i="2" s="1"/>
  <c r="J944" i="2"/>
  <c r="K944" i="2" s="1"/>
  <c r="J787" i="2"/>
  <c r="K787" i="2" s="1"/>
  <c r="J588" i="2"/>
  <c r="K588" i="2" s="1"/>
  <c r="J131" i="2"/>
  <c r="K131" i="2" s="1"/>
  <c r="J130" i="2"/>
  <c r="K130" i="2" s="1"/>
  <c r="L748" i="1"/>
  <c r="M748" i="1"/>
  <c r="J867" i="2"/>
  <c r="K867" i="2" s="1"/>
  <c r="J866" i="2"/>
  <c r="K866" i="2" s="1"/>
  <c r="J865" i="2"/>
  <c r="K865" i="2" s="1"/>
  <c r="A78" i="15"/>
  <c r="J1076" i="2"/>
  <c r="K1076" i="2" s="1"/>
  <c r="J1075" i="2"/>
  <c r="K1075" i="2" s="1"/>
  <c r="J964" i="2"/>
  <c r="K964" i="2" s="1"/>
  <c r="J963" i="2"/>
  <c r="K963" i="2" s="1"/>
  <c r="L746" i="1"/>
  <c r="M746" i="1"/>
  <c r="J185" i="2"/>
  <c r="K185" i="2" s="1"/>
  <c r="J184" i="2"/>
  <c r="K184" i="2" s="1"/>
  <c r="J30" i="2"/>
  <c r="K30" i="2" s="1"/>
  <c r="J339" i="2"/>
  <c r="K339" i="2" s="1"/>
  <c r="J338" i="2"/>
  <c r="K338" i="2" s="1"/>
  <c r="J337" i="2"/>
  <c r="K337" i="2" s="1"/>
  <c r="J336" i="2"/>
  <c r="K336" i="2" s="1"/>
  <c r="J335" i="2"/>
  <c r="K335" i="2" s="1"/>
  <c r="J789" i="2"/>
  <c r="K789" i="2" s="1"/>
  <c r="J788" i="2"/>
  <c r="K788" i="2" s="1"/>
  <c r="J786" i="2"/>
  <c r="K786" i="2" s="1"/>
  <c r="I117" i="13"/>
  <c r="J1023" i="2"/>
  <c r="K1023" i="2" s="1"/>
  <c r="J1022" i="2"/>
  <c r="K1022" i="2" s="1"/>
  <c r="J587" i="2"/>
  <c r="K587" i="2" s="1"/>
  <c r="J1021" i="2" l="1"/>
  <c r="K1021" i="2" s="1"/>
  <c r="J28" i="2"/>
  <c r="K28" i="2" s="1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8" i="14"/>
  <c r="B9" i="14"/>
  <c r="B6" i="14"/>
  <c r="B7" i="14"/>
  <c r="B5" i="14"/>
  <c r="B3" i="14"/>
  <c r="B4" i="14"/>
  <c r="B2" i="14"/>
  <c r="J1015" i="2"/>
  <c r="K1015" i="2" s="1"/>
  <c r="J1017" i="2"/>
  <c r="K1017" i="2" s="1"/>
  <c r="J1016" i="2"/>
  <c r="K1016" i="2" s="1"/>
  <c r="J1014" i="2"/>
  <c r="K1014" i="2" s="1"/>
  <c r="J1013" i="2"/>
  <c r="K1013" i="2" s="1"/>
  <c r="J707" i="2"/>
  <c r="K707" i="2" s="1"/>
  <c r="J706" i="2"/>
  <c r="K706" i="2" s="1"/>
  <c r="J705" i="2"/>
  <c r="K705" i="2" s="1"/>
  <c r="J704" i="2"/>
  <c r="K704" i="2" s="1"/>
  <c r="J703" i="2"/>
  <c r="K703" i="2" s="1"/>
  <c r="J864" i="2"/>
  <c r="K864" i="2" s="1"/>
  <c r="J863" i="2"/>
  <c r="K863" i="2" s="1"/>
  <c r="J862" i="2"/>
  <c r="K862" i="2" s="1"/>
  <c r="J785" i="2"/>
  <c r="K785" i="2" s="1"/>
  <c r="J784" i="2"/>
  <c r="K784" i="2" s="1"/>
  <c r="J783" i="2"/>
  <c r="K783" i="2" s="1"/>
  <c r="F72" i="13"/>
  <c r="I86" i="13" s="1"/>
  <c r="F88" i="13"/>
  <c r="B78" i="15"/>
  <c r="D78" i="15" s="1"/>
  <c r="H80" i="13"/>
  <c r="J80" i="13" s="1"/>
  <c r="I79" i="13"/>
  <c r="I78" i="13"/>
  <c r="I77" i="13"/>
  <c r="I76" i="13"/>
  <c r="I75" i="13"/>
  <c r="I74" i="13"/>
  <c r="M721" i="1"/>
  <c r="M732" i="1"/>
  <c r="J367" i="2"/>
  <c r="K367" i="2" s="1"/>
  <c r="J334" i="2"/>
  <c r="K334" i="2" s="1"/>
  <c r="J333" i="2"/>
  <c r="K333" i="2" s="1"/>
  <c r="J332" i="2"/>
  <c r="K332" i="2" s="1"/>
  <c r="J331" i="2"/>
  <c r="K331" i="2" s="1"/>
  <c r="J368" i="2"/>
  <c r="K368" i="2" s="1"/>
  <c r="J366" i="2"/>
  <c r="K366" i="2" s="1"/>
  <c r="J1141" i="2"/>
  <c r="K1141" i="2" s="1"/>
  <c r="J1140" i="2"/>
  <c r="K1140" i="2" s="1"/>
  <c r="J1144" i="2"/>
  <c r="K1144" i="2" s="1"/>
  <c r="J1143" i="2"/>
  <c r="K1143" i="2" s="1"/>
  <c r="J1142" i="2"/>
  <c r="K1142" i="2" s="1"/>
  <c r="J1139" i="2"/>
  <c r="K1139" i="2" s="1"/>
  <c r="J1138" i="2"/>
  <c r="K1138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J478" i="2"/>
  <c r="K478" i="2" s="1"/>
  <c r="J782" i="2"/>
  <c r="K782" i="2" s="1"/>
  <c r="J781" i="2"/>
  <c r="K781" i="2" s="1"/>
  <c r="J780" i="2"/>
  <c r="K780" i="2" s="1"/>
  <c r="J779" i="2"/>
  <c r="K779" i="2" s="1"/>
  <c r="J778" i="2"/>
  <c r="K778" i="2" s="1"/>
  <c r="J330" i="2"/>
  <c r="K330" i="2" s="1"/>
  <c r="J329" i="2"/>
  <c r="K329" i="2" s="1"/>
  <c r="J328" i="2"/>
  <c r="K328" i="2" s="1"/>
  <c r="J327" i="2"/>
  <c r="K327" i="2" s="1"/>
  <c r="J398" i="2"/>
  <c r="K398" i="2" s="1"/>
  <c r="J942" i="2"/>
  <c r="K942" i="2" s="1"/>
  <c r="J943" i="2"/>
  <c r="K943" i="2" s="1"/>
  <c r="J1020" i="2"/>
  <c r="K1020" i="2" s="1"/>
  <c r="J1024" i="2"/>
  <c r="K1024" i="2" s="1"/>
  <c r="J365" i="2"/>
  <c r="K365" i="2" s="1"/>
  <c r="K110" i="2"/>
  <c r="K109" i="2"/>
  <c r="K108" i="2"/>
  <c r="K107" i="2"/>
  <c r="J400" i="2"/>
  <c r="K400" i="2" s="1"/>
  <c r="J399" i="2"/>
  <c r="K399" i="2" s="1"/>
  <c r="J397" i="2"/>
  <c r="K397" i="2" s="1"/>
  <c r="K106" i="2"/>
  <c r="K105" i="2"/>
  <c r="K104" i="2"/>
  <c r="K103" i="2"/>
  <c r="K100" i="2"/>
  <c r="K99" i="2"/>
  <c r="K98" i="2"/>
  <c r="K97" i="2"/>
  <c r="K96" i="2"/>
  <c r="K95" i="2"/>
  <c r="K950" i="2"/>
  <c r="K1137" i="2"/>
  <c r="J1019" i="2"/>
  <c r="K1019" i="2" s="1"/>
  <c r="K403" i="2"/>
  <c r="K402" i="2"/>
  <c r="K407" i="2"/>
  <c r="K406" i="2"/>
  <c r="K405" i="2"/>
  <c r="K404" i="2"/>
  <c r="K409" i="2"/>
  <c r="K408" i="2"/>
  <c r="K425" i="2"/>
  <c r="K424" i="2"/>
  <c r="K423" i="2"/>
  <c r="K432" i="2"/>
  <c r="K431" i="2"/>
  <c r="K430" i="2"/>
  <c r="K429" i="2"/>
  <c r="K428" i="2"/>
  <c r="K427" i="2"/>
  <c r="K426" i="2"/>
  <c r="K534" i="2"/>
  <c r="M79" i="15"/>
  <c r="J773" i="2"/>
  <c r="K773" i="2" s="1"/>
  <c r="L727" i="1"/>
  <c r="J364" i="2"/>
  <c r="K364" i="2" s="1"/>
  <c r="J586" i="2"/>
  <c r="K586" i="2" s="1"/>
  <c r="J585" i="2"/>
  <c r="K585" i="2" s="1"/>
  <c r="J584" i="2"/>
  <c r="K584" i="2" s="1"/>
  <c r="J691" i="2"/>
  <c r="K691" i="2" s="1"/>
  <c r="J692" i="2"/>
  <c r="K692" i="2" s="1"/>
  <c r="J480" i="2"/>
  <c r="K480" i="2" s="1"/>
  <c r="J479" i="2"/>
  <c r="K479" i="2" s="1"/>
  <c r="J477" i="2"/>
  <c r="K477" i="2" s="1"/>
  <c r="J476" i="2"/>
  <c r="K476" i="2" s="1"/>
  <c r="J475" i="2"/>
  <c r="K475" i="2" s="1"/>
  <c r="J861" i="2"/>
  <c r="K861" i="2" s="1"/>
  <c r="J860" i="2"/>
  <c r="K860" i="2" s="1"/>
  <c r="J859" i="2"/>
  <c r="K859" i="2" s="1"/>
  <c r="J869" i="2"/>
  <c r="K869" i="2" s="1"/>
  <c r="J1178" i="2"/>
  <c r="K1178" i="2" s="1"/>
  <c r="J1177" i="2"/>
  <c r="K1177" i="2" s="1"/>
  <c r="J1170" i="2"/>
  <c r="K1170" i="2" s="1"/>
  <c r="J1169" i="2"/>
  <c r="K1169" i="2" s="1"/>
  <c r="I83" i="13" l="1"/>
  <c r="I84" i="13"/>
  <c r="I85" i="13"/>
  <c r="L745" i="1"/>
  <c r="M745" i="1"/>
  <c r="L747" i="1"/>
  <c r="M747" i="1"/>
  <c r="L749" i="1"/>
  <c r="M749" i="1"/>
  <c r="A64" i="15"/>
  <c r="I119" i="13"/>
  <c r="J326" i="2"/>
  <c r="K326" i="2" s="1"/>
  <c r="J325" i="2"/>
  <c r="K325" i="2" s="1"/>
  <c r="J324" i="2"/>
  <c r="K324" i="2" s="1"/>
  <c r="J323" i="2"/>
  <c r="K323" i="2" s="1"/>
  <c r="J254" i="2"/>
  <c r="K254" i="2" s="1"/>
  <c r="P81" i="15"/>
  <c r="J183" i="2"/>
  <c r="K183" i="2" s="1"/>
  <c r="J182" i="2"/>
  <c r="K182" i="2" s="1"/>
  <c r="J27" i="2"/>
  <c r="K27" i="2" s="1"/>
  <c r="J26" i="2"/>
  <c r="K26" i="2" s="1"/>
  <c r="H121" i="13"/>
  <c r="G122" i="13" s="1"/>
  <c r="I116" i="13"/>
  <c r="I118" i="13"/>
  <c r="M77" i="15"/>
  <c r="M76" i="15"/>
  <c r="M75" i="15"/>
  <c r="M74" i="15"/>
  <c r="M73" i="15"/>
  <c r="M72" i="15"/>
  <c r="M71" i="15"/>
  <c r="M70" i="15"/>
  <c r="M69" i="15"/>
  <c r="B71" i="15"/>
  <c r="A71" i="15"/>
  <c r="A72" i="15"/>
  <c r="A75" i="15"/>
  <c r="A76" i="15" s="1"/>
  <c r="J1060" i="2"/>
  <c r="K1060" i="2" s="1"/>
  <c r="J1059" i="2"/>
  <c r="K1059" i="2" s="1"/>
  <c r="J1058" i="2"/>
  <c r="K1058" i="2" s="1"/>
  <c r="J961" i="2"/>
  <c r="K961" i="2" s="1"/>
  <c r="J960" i="2"/>
  <c r="K960" i="2" s="1"/>
  <c r="J830" i="2"/>
  <c r="K830" i="2" s="1"/>
  <c r="J831" i="2"/>
  <c r="K831" i="2" s="1"/>
  <c r="J833" i="2"/>
  <c r="K833" i="2" s="1"/>
  <c r="J987" i="2"/>
  <c r="K987" i="2" s="1"/>
  <c r="J775" i="2"/>
  <c r="K775" i="2" s="1"/>
  <c r="J774" i="2"/>
  <c r="K774" i="2" s="1"/>
  <c r="J777" i="2"/>
  <c r="K777" i="2" s="1"/>
  <c r="J776" i="2"/>
  <c r="K776" i="2" s="1"/>
  <c r="J772" i="2"/>
  <c r="K772" i="2" s="1"/>
  <c r="J696" i="2"/>
  <c r="K696" i="2" s="1"/>
  <c r="J695" i="2"/>
  <c r="K695" i="2" s="1"/>
  <c r="J694" i="2"/>
  <c r="K694" i="2" s="1"/>
  <c r="J693" i="2"/>
  <c r="K693" i="2" s="1"/>
  <c r="J690" i="2"/>
  <c r="K690" i="2" s="1"/>
  <c r="H130" i="13"/>
  <c r="J1057" i="2"/>
  <c r="K1057" i="2" s="1"/>
  <c r="J1056" i="2"/>
  <c r="K1056" i="2" s="1"/>
  <c r="J1055" i="2"/>
  <c r="K1055" i="2" s="1"/>
  <c r="D64" i="15" l="1"/>
  <c r="S78" i="15"/>
  <c r="B70" i="15"/>
  <c r="A70" i="15"/>
  <c r="B75" i="15"/>
  <c r="A77" i="15"/>
  <c r="F128" i="13"/>
  <c r="H131" i="13"/>
  <c r="M68" i="15"/>
  <c r="M67" i="15"/>
  <c r="M66" i="15"/>
  <c r="J877" i="2"/>
  <c r="K877" i="2" s="1"/>
  <c r="J876" i="2"/>
  <c r="K876" i="2" s="1"/>
  <c r="J875" i="2"/>
  <c r="K875" i="2" s="1"/>
  <c r="J874" i="2"/>
  <c r="K874" i="2" s="1"/>
  <c r="L714" i="1"/>
  <c r="M714" i="1"/>
  <c r="J834" i="2"/>
  <c r="K834" i="2" s="1"/>
  <c r="J832" i="2"/>
  <c r="K832" i="2" s="1"/>
  <c r="J829" i="2"/>
  <c r="K829" i="2" s="1"/>
  <c r="R123" i="6"/>
  <c r="R122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R109" i="6"/>
  <c r="R108" i="6"/>
  <c r="R107" i="6"/>
  <c r="R106" i="6"/>
  <c r="R105" i="6"/>
  <c r="R104" i="6"/>
  <c r="R103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2" i="6"/>
  <c r="R71" i="6"/>
  <c r="R70" i="6"/>
  <c r="R69" i="6"/>
  <c r="R68" i="6"/>
  <c r="R67" i="6"/>
  <c r="R66" i="6"/>
  <c r="R65" i="6"/>
  <c r="R64" i="6"/>
  <c r="R63" i="6"/>
  <c r="R62" i="6"/>
  <c r="R61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J321" i="2"/>
  <c r="K321" i="2" s="1"/>
  <c r="A25" i="12"/>
  <c r="A26" i="12"/>
  <c r="A27" i="12"/>
  <c r="A28" i="12"/>
  <c r="A29" i="12"/>
  <c r="A30" i="12"/>
  <c r="A31" i="12"/>
  <c r="J469" i="2"/>
  <c r="K469" i="2" s="1"/>
  <c r="J322" i="2"/>
  <c r="K322" i="2" s="1"/>
  <c r="J320" i="2"/>
  <c r="K320" i="2" s="1"/>
  <c r="J472" i="2"/>
  <c r="K472" i="2" s="1"/>
  <c r="H91" i="13"/>
  <c r="I91" i="13" s="1"/>
  <c r="H90" i="13"/>
  <c r="I90" i="13" s="1"/>
  <c r="J687" i="2"/>
  <c r="K687" i="2" s="1"/>
  <c r="J686" i="2"/>
  <c r="K686" i="2" s="1"/>
  <c r="J689" i="2"/>
  <c r="K689" i="2" s="1"/>
  <c r="J688" i="2"/>
  <c r="K688" i="2" s="1"/>
  <c r="J685" i="2"/>
  <c r="K685" i="2" s="1"/>
  <c r="J582" i="2"/>
  <c r="K582" i="2" s="1"/>
  <c r="L726" i="1"/>
  <c r="J583" i="2"/>
  <c r="K583" i="2" s="1"/>
  <c r="J581" i="2"/>
  <c r="K581" i="2" s="1"/>
  <c r="J580" i="2"/>
  <c r="K580" i="2" s="1"/>
  <c r="B77" i="15" l="1"/>
  <c r="T78" i="15"/>
  <c r="B76" i="15"/>
  <c r="D75" i="15"/>
  <c r="D76" i="15" s="1"/>
  <c r="G132" i="13"/>
  <c r="H132" i="13" s="1"/>
  <c r="J92" i="2"/>
  <c r="K92" i="2" s="1"/>
  <c r="J858" i="2"/>
  <c r="K858" i="2" s="1"/>
  <c r="J857" i="2"/>
  <c r="K857" i="2" s="1"/>
  <c r="J856" i="2"/>
  <c r="K856" i="2" s="1"/>
  <c r="J474" i="2"/>
  <c r="K474" i="2" s="1"/>
  <c r="J473" i="2"/>
  <c r="K473" i="2" s="1"/>
  <c r="J471" i="2"/>
  <c r="K471" i="2" s="1"/>
  <c r="J470" i="2"/>
  <c r="K470" i="2" s="1"/>
  <c r="J468" i="2"/>
  <c r="K468" i="2" s="1"/>
  <c r="J1188" i="2"/>
  <c r="K1188" i="2" s="1"/>
  <c r="J771" i="2"/>
  <c r="K771" i="2" s="1"/>
  <c r="J770" i="2"/>
  <c r="K770" i="2" s="1"/>
  <c r="J769" i="2"/>
  <c r="K769" i="2" s="1"/>
  <c r="L709" i="1"/>
  <c r="M709" i="1"/>
  <c r="L710" i="1"/>
  <c r="M710" i="1"/>
  <c r="L711" i="1"/>
  <c r="M711" i="1"/>
  <c r="L712" i="1"/>
  <c r="M712" i="1"/>
  <c r="J1053" i="2"/>
  <c r="K1053" i="2" s="1"/>
  <c r="J128" i="2"/>
  <c r="K128" i="2" s="1"/>
  <c r="J129" i="2"/>
  <c r="K129" i="2" s="1"/>
  <c r="J127" i="2"/>
  <c r="K127" i="2" s="1"/>
  <c r="J1054" i="2"/>
  <c r="K1054" i="2" s="1"/>
  <c r="J1052" i="2"/>
  <c r="K1052" i="2" s="1"/>
  <c r="J1051" i="2"/>
  <c r="K1051" i="2" s="1"/>
  <c r="J579" i="2"/>
  <c r="K579" i="2" s="1"/>
  <c r="J578" i="2"/>
  <c r="K578" i="2" s="1"/>
  <c r="J577" i="2"/>
  <c r="K577" i="2" s="1"/>
  <c r="J433" i="2"/>
  <c r="K433" i="2" s="1"/>
  <c r="J1107" i="2"/>
  <c r="K1107" i="2" s="1"/>
  <c r="J1106" i="2"/>
  <c r="K1106" i="2" s="1"/>
  <c r="J1105" i="2"/>
  <c r="K1105" i="2" s="1"/>
  <c r="J1104" i="2"/>
  <c r="K1104" i="2" s="1"/>
  <c r="J575" i="2"/>
  <c r="K575" i="2" s="1"/>
  <c r="J684" i="2"/>
  <c r="K684" i="2" s="1"/>
  <c r="J683" i="2"/>
  <c r="K683" i="2" s="1"/>
  <c r="J682" i="2"/>
  <c r="K682" i="2" s="1"/>
  <c r="J681" i="2"/>
  <c r="K681" i="2" s="1"/>
  <c r="J576" i="2"/>
  <c r="K576" i="2" s="1"/>
  <c r="J574" i="2"/>
  <c r="K574" i="2" s="1"/>
  <c r="J357" i="2"/>
  <c r="K357" i="2" s="1"/>
  <c r="J356" i="2"/>
  <c r="K356" i="2" s="1"/>
  <c r="J355" i="2"/>
  <c r="K355" i="2" s="1"/>
  <c r="J354" i="2"/>
  <c r="K354" i="2" s="1"/>
  <c r="J353" i="2"/>
  <c r="K353" i="2" s="1"/>
  <c r="J1049" i="2"/>
  <c r="K1049" i="2" s="1"/>
  <c r="J768" i="2"/>
  <c r="K768" i="2" s="1"/>
  <c r="J767" i="2"/>
  <c r="K767" i="2" s="1"/>
  <c r="J766" i="2"/>
  <c r="K766" i="2" s="1"/>
  <c r="J765" i="2"/>
  <c r="K765" i="2" s="1"/>
  <c r="J764" i="2"/>
  <c r="K764" i="2" s="1"/>
  <c r="J443" i="2"/>
  <c r="K443" i="2" s="1"/>
  <c r="J442" i="2"/>
  <c r="K442" i="2" s="1"/>
  <c r="J441" i="2"/>
  <c r="K441" i="2" s="1"/>
  <c r="J572" i="2"/>
  <c r="K572" i="2" s="1"/>
  <c r="J573" i="2"/>
  <c r="K573" i="2" s="1"/>
  <c r="J571" i="2"/>
  <c r="K571" i="2" s="1"/>
  <c r="J1050" i="2"/>
  <c r="K1050" i="2" s="1"/>
  <c r="J1048" i="2"/>
  <c r="K1048" i="2" s="1"/>
  <c r="J1164" i="2"/>
  <c r="K1164" i="2" s="1"/>
  <c r="J1163" i="2"/>
  <c r="K1163" i="2" s="1"/>
  <c r="A1" i="2"/>
  <c r="L697" i="1"/>
  <c r="M697" i="1"/>
  <c r="J926" i="2"/>
  <c r="K926" i="2" s="1"/>
  <c r="J927" i="2"/>
  <c r="K927" i="2" s="1"/>
  <c r="J510" i="2"/>
  <c r="K510" i="2" s="1"/>
  <c r="J509" i="2"/>
  <c r="K509" i="2" s="1"/>
  <c r="J508" i="2"/>
  <c r="K508" i="2" s="1"/>
  <c r="J507" i="2"/>
  <c r="K507" i="2" s="1"/>
  <c r="J506" i="2"/>
  <c r="K506" i="2" s="1"/>
  <c r="J569" i="2"/>
  <c r="K569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256" i="2"/>
  <c r="K256" i="2" s="1"/>
  <c r="J255" i="2"/>
  <c r="K255" i="2" s="1"/>
  <c r="J253" i="2"/>
  <c r="K253" i="2" s="1"/>
  <c r="J252" i="2"/>
  <c r="K252" i="2" s="1"/>
  <c r="J251" i="2"/>
  <c r="K251" i="2" s="1"/>
  <c r="J570" i="2"/>
  <c r="K570" i="2" s="1"/>
  <c r="J568" i="2"/>
  <c r="K568" i="2" s="1"/>
  <c r="J958" i="2"/>
  <c r="K958" i="2" s="1"/>
  <c r="J957" i="2"/>
  <c r="K957" i="2" s="1"/>
  <c r="L720" i="1"/>
  <c r="M720" i="1"/>
  <c r="L721" i="1"/>
  <c r="J959" i="2"/>
  <c r="K959" i="2" s="1"/>
  <c r="J956" i="2"/>
  <c r="K956" i="2" s="1"/>
  <c r="J439" i="2"/>
  <c r="K439" i="2" s="1"/>
  <c r="L686" i="1"/>
  <c r="M686" i="1"/>
  <c r="L684" i="1"/>
  <c r="M684" i="1"/>
  <c r="J309" i="2"/>
  <c r="K309" i="2" s="1"/>
  <c r="J308" i="2"/>
  <c r="K308" i="2" s="1"/>
  <c r="J307" i="2"/>
  <c r="K307" i="2" s="1"/>
  <c r="J306" i="2"/>
  <c r="K306" i="2" s="1"/>
  <c r="J305" i="2"/>
  <c r="K305" i="2" s="1"/>
  <c r="J91" i="2"/>
  <c r="K91" i="2" s="1"/>
  <c r="J567" i="2"/>
  <c r="K567" i="2" s="1"/>
  <c r="J566" i="2"/>
  <c r="K566" i="2" s="1"/>
  <c r="J565" i="2"/>
  <c r="K565" i="2" s="1"/>
  <c r="J564" i="2"/>
  <c r="K564" i="2" s="1"/>
  <c r="J363" i="2"/>
  <c r="K363" i="2" s="1"/>
  <c r="J362" i="2"/>
  <c r="K362" i="2" s="1"/>
  <c r="M802" i="1"/>
  <c r="L802" i="1"/>
  <c r="M801" i="1"/>
  <c r="L801" i="1"/>
  <c r="M800" i="1"/>
  <c r="L800" i="1"/>
  <c r="M799" i="1"/>
  <c r="L799" i="1"/>
  <c r="M798" i="1"/>
  <c r="L798" i="1"/>
  <c r="L794" i="1"/>
  <c r="L784" i="1"/>
  <c r="L783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L732" i="1"/>
  <c r="M731" i="1"/>
  <c r="L731" i="1"/>
  <c r="M730" i="1"/>
  <c r="L730" i="1"/>
  <c r="M729" i="1"/>
  <c r="L729" i="1"/>
  <c r="M728" i="1"/>
  <c r="L728" i="1"/>
  <c r="M727" i="1"/>
  <c r="M726" i="1"/>
  <c r="M725" i="1"/>
  <c r="L725" i="1"/>
  <c r="M724" i="1"/>
  <c r="L724" i="1"/>
  <c r="M723" i="1"/>
  <c r="L723" i="1"/>
  <c r="M722" i="1"/>
  <c r="L722" i="1"/>
  <c r="M719" i="1"/>
  <c r="L719" i="1"/>
  <c r="M718" i="1"/>
  <c r="L718" i="1"/>
  <c r="M717" i="1"/>
  <c r="L717" i="1"/>
  <c r="M716" i="1"/>
  <c r="L716" i="1"/>
  <c r="M715" i="1"/>
  <c r="L715" i="1"/>
  <c r="M713" i="1"/>
  <c r="L713" i="1"/>
  <c r="M708" i="1"/>
  <c r="L708" i="1"/>
  <c r="M707" i="1"/>
  <c r="L707" i="1"/>
  <c r="M706" i="1"/>
  <c r="L706" i="1"/>
  <c r="M705" i="1"/>
  <c r="L705" i="1"/>
  <c r="C802" i="1" a="1"/>
  <c r="C802" i="1" s="1"/>
  <c r="B802" i="1" a="1"/>
  <c r="B802" i="1" s="1"/>
  <c r="C801" i="1" a="1"/>
  <c r="C801" i="1" s="1"/>
  <c r="B801" i="1" a="1"/>
  <c r="B801" i="1" s="1"/>
  <c r="C800" i="1" a="1"/>
  <c r="C800" i="1" s="1"/>
  <c r="B800" i="1" a="1"/>
  <c r="B800" i="1" s="1"/>
  <c r="B799" i="1" a="1"/>
  <c r="B799" i="1" s="1"/>
  <c r="B798" i="1" a="1"/>
  <c r="B798" i="1" s="1"/>
  <c r="B797" i="1" a="1"/>
  <c r="B797" i="1" s="1"/>
  <c r="C796" i="1" a="1"/>
  <c r="C796" i="1" s="1"/>
  <c r="B794" i="1" a="1"/>
  <c r="B794" i="1" s="1"/>
  <c r="B793" i="1" a="1"/>
  <c r="B793" i="1" s="1"/>
  <c r="B789" i="1" a="1"/>
  <c r="B789" i="1" s="1"/>
  <c r="C784" i="1" a="1"/>
  <c r="C784" i="1" s="1"/>
  <c r="C710" i="1" a="1"/>
  <c r="C710" i="1" s="1"/>
  <c r="H46" i="14"/>
  <c r="AG116" i="13"/>
  <c r="M704" i="1"/>
  <c r="L704" i="1"/>
  <c r="M703" i="1"/>
  <c r="L703" i="1"/>
  <c r="M702" i="1"/>
  <c r="L702" i="1"/>
  <c r="J1045" i="2"/>
  <c r="K1045" i="2" s="1"/>
  <c r="J352" i="2"/>
  <c r="K352" i="2" s="1"/>
  <c r="J351" i="2"/>
  <c r="K351" i="2" s="1"/>
  <c r="J347" i="2"/>
  <c r="K347" i="2" s="1"/>
  <c r="J1162" i="2"/>
  <c r="K1162" i="2" s="1"/>
  <c r="J1161" i="2"/>
  <c r="K1161" i="2" s="1"/>
  <c r="D57" i="15"/>
  <c r="J561" i="2"/>
  <c r="K561" i="2" s="1"/>
  <c r="L680" i="1"/>
  <c r="J90" i="2"/>
  <c r="K90" i="2" s="1"/>
  <c r="J563" i="2"/>
  <c r="K563" i="2" s="1"/>
  <c r="J562" i="2"/>
  <c r="K562" i="2" s="1"/>
  <c r="J560" i="2"/>
  <c r="K560" i="2" s="1"/>
  <c r="I115" i="13"/>
  <c r="J680" i="2"/>
  <c r="K680" i="2" s="1"/>
  <c r="J679" i="2"/>
  <c r="K679" i="2" s="1"/>
  <c r="J678" i="2"/>
  <c r="K678" i="2" s="1"/>
  <c r="J677" i="2"/>
  <c r="K677" i="2" s="1"/>
  <c r="J676" i="2"/>
  <c r="K676" i="2" s="1"/>
  <c r="J675" i="2"/>
  <c r="K675" i="2" s="1"/>
  <c r="J855" i="2"/>
  <c r="K855" i="2" s="1"/>
  <c r="J854" i="2"/>
  <c r="K854" i="2" s="1"/>
  <c r="J853" i="2"/>
  <c r="K853" i="2" s="1"/>
  <c r="J1004" i="2"/>
  <c r="K1004" i="2" s="1"/>
  <c r="J1003" i="2"/>
  <c r="K1003" i="2" s="1"/>
  <c r="J1002" i="2"/>
  <c r="K1002" i="2" s="1"/>
  <c r="J1001" i="2"/>
  <c r="K1001" i="2" s="1"/>
  <c r="J986" i="2"/>
  <c r="K986" i="2" s="1"/>
  <c r="J1047" i="2"/>
  <c r="K1047" i="2" s="1"/>
  <c r="J1046" i="2"/>
  <c r="K1046" i="2" s="1"/>
  <c r="J1044" i="2"/>
  <c r="K1044" i="2" s="1"/>
  <c r="S81" i="15"/>
  <c r="W82" i="15"/>
  <c r="J319" i="2"/>
  <c r="K319" i="2" s="1"/>
  <c r="J318" i="2"/>
  <c r="K318" i="2" s="1"/>
  <c r="J317" i="2"/>
  <c r="K317" i="2" s="1"/>
  <c r="J316" i="2"/>
  <c r="K316" i="2" s="1"/>
  <c r="J315" i="2"/>
  <c r="K315" i="2" s="1"/>
  <c r="J350" i="2"/>
  <c r="K350" i="2" s="1"/>
  <c r="J349" i="2"/>
  <c r="K349" i="2" s="1"/>
  <c r="J348" i="2"/>
  <c r="K348" i="2" s="1"/>
  <c r="J346" i="2"/>
  <c r="K346" i="2" s="1"/>
  <c r="AC2" i="3" l="1" a="1"/>
  <c r="AC2" i="3" s="1"/>
  <c r="AB2" i="3" a="1"/>
  <c r="AB2" i="3" s="1"/>
  <c r="AI2" i="3" a="1"/>
  <c r="AI2" i="3" s="1"/>
  <c r="AG2" i="3" a="1"/>
  <c r="AG2" i="3" s="1"/>
  <c r="AA2" i="3" a="1"/>
  <c r="AA2" i="3" s="1"/>
  <c r="BB2" i="3" a="1"/>
  <c r="BB2" i="3" s="1"/>
  <c r="BC2" i="3" a="1"/>
  <c r="BC2" i="3" s="1"/>
  <c r="BD2" i="3" a="1"/>
  <c r="BD2" i="3" s="1"/>
  <c r="BA2" i="3" a="1"/>
  <c r="BA2" i="3" s="1"/>
  <c r="BH2" i="3" a="1"/>
  <c r="BH2" i="3" s="1"/>
  <c r="AP2" i="3" a="1"/>
  <c r="AP2" i="3" s="1"/>
  <c r="AX3" i="3" a="1"/>
  <c r="AX3" i="3" s="1"/>
  <c r="BG2" i="3" a="1"/>
  <c r="BG2" i="3" s="1"/>
  <c r="P3" i="3" a="1"/>
  <c r="P3" i="3" s="1"/>
  <c r="X2" i="3" a="1"/>
  <c r="X2" i="3" s="1"/>
  <c r="J2" i="3" a="1"/>
  <c r="J2" i="3" s="1"/>
  <c r="AT2" i="3" a="1"/>
  <c r="AT2" i="3" s="1"/>
  <c r="AZ2" i="3" a="1"/>
  <c r="AZ2" i="3" s="1"/>
  <c r="AX2" i="3" a="1"/>
  <c r="AX2" i="3" s="1"/>
  <c r="W2" i="3" a="1"/>
  <c r="W2" i="3" s="1"/>
  <c r="AE3" i="3" a="1"/>
  <c r="AE3" i="3" s="1"/>
  <c r="AO4" i="3" a="1"/>
  <c r="AO4" i="3" s="1"/>
  <c r="S2" i="3" a="1"/>
  <c r="S2" i="3" s="1"/>
  <c r="AD3" i="3" a="1"/>
  <c r="AD3" i="3" s="1"/>
  <c r="Q4" i="3" a="1"/>
  <c r="Q4" i="3" s="1"/>
  <c r="V2" i="3" a="1"/>
  <c r="V2" i="3" s="1"/>
  <c r="R2" i="3" a="1"/>
  <c r="R2" i="3" s="1"/>
  <c r="AD2" i="3" a="1"/>
  <c r="AD2" i="3" s="1"/>
  <c r="BF2" i="3" a="1"/>
  <c r="BF2" i="3" s="1"/>
  <c r="Q3" i="3" a="1"/>
  <c r="Q3" i="3" s="1"/>
  <c r="P4" i="3" a="1"/>
  <c r="P4" i="3" s="1"/>
  <c r="U2" i="3" a="1"/>
  <c r="U2" i="3" s="1"/>
  <c r="N2" i="3" a="1"/>
  <c r="N2" i="3" s="1"/>
  <c r="AH2" i="3" a="1"/>
  <c r="AH2" i="3" s="1"/>
  <c r="BE2" i="3" a="1"/>
  <c r="BE2" i="3" s="1"/>
  <c r="Z3" i="3" a="1"/>
  <c r="Z3" i="3" s="1"/>
  <c r="T2" i="3" a="1"/>
  <c r="T2" i="3" s="1"/>
  <c r="M2" i="3" a="1"/>
  <c r="M2" i="3" s="1"/>
  <c r="AO2" i="3" a="1"/>
  <c r="AO2" i="3" s="1"/>
  <c r="AV2" i="3" a="1"/>
  <c r="AV2" i="3" s="1"/>
  <c r="Y3" i="3" a="1"/>
  <c r="Y3" i="3" s="1"/>
  <c r="Z2" i="3" a="1"/>
  <c r="Z2" i="3" s="1"/>
  <c r="Q2" i="3" a="1"/>
  <c r="Q2" i="3" s="1"/>
  <c r="AY2" i="3" a="1"/>
  <c r="AY2" i="3" s="1"/>
  <c r="AE4" i="3" a="1"/>
  <c r="AE4" i="3" s="1"/>
  <c r="AE2" i="3" a="1"/>
  <c r="AE2" i="3" s="1"/>
  <c r="AO3" i="3" a="1"/>
  <c r="AO3" i="3" s="1"/>
  <c r="Y2" i="3" a="1"/>
  <c r="Y2" i="3" s="1"/>
  <c r="P2" i="3" a="1"/>
  <c r="P2" i="3" s="1"/>
  <c r="AS2" i="3" a="1"/>
  <c r="AS2" i="3" s="1"/>
  <c r="D77" i="15"/>
  <c r="G133" i="13"/>
  <c r="H133" i="13" s="1"/>
  <c r="M63" i="15"/>
  <c r="M62" i="15"/>
  <c r="J559" i="2"/>
  <c r="K559" i="2" s="1"/>
  <c r="J558" i="2"/>
  <c r="K558" i="2" s="1"/>
  <c r="J505" i="2"/>
  <c r="K505" i="2" s="1"/>
  <c r="J504" i="2"/>
  <c r="K504" i="2" s="1"/>
  <c r="J503" i="2"/>
  <c r="K503" i="2" s="1"/>
  <c r="J502" i="2"/>
  <c r="K502" i="2" s="1"/>
  <c r="J501" i="2"/>
  <c r="K501" i="2" s="1"/>
  <c r="J304" i="2"/>
  <c r="K304" i="2" s="1"/>
  <c r="J303" i="2"/>
  <c r="K303" i="2" s="1"/>
  <c r="J302" i="2"/>
  <c r="K302" i="2" s="1"/>
  <c r="J301" i="2"/>
  <c r="K301" i="2" s="1"/>
  <c r="J300" i="2"/>
  <c r="K300" i="2" s="1"/>
  <c r="J735" i="2"/>
  <c r="K735" i="2" s="1"/>
  <c r="J734" i="2"/>
  <c r="K734" i="2" s="1"/>
  <c r="J733" i="2"/>
  <c r="K733" i="2" s="1"/>
  <c r="J732" i="2"/>
  <c r="K732" i="2" s="1"/>
  <c r="J731" i="2"/>
  <c r="K731" i="2" s="1"/>
  <c r="H6" i="3"/>
  <c r="G6" i="3"/>
  <c r="J515" i="2"/>
  <c r="K515" i="2" s="1"/>
  <c r="J669" i="2"/>
  <c r="K669" i="2" s="1"/>
  <c r="J89" i="2"/>
  <c r="K89" i="2" s="1"/>
  <c r="J645" i="2"/>
  <c r="K645" i="2" s="1"/>
  <c r="I114" i="13"/>
  <c r="J101" i="13"/>
  <c r="J106" i="13"/>
  <c r="J105" i="13"/>
  <c r="J103" i="13"/>
  <c r="J299" i="2"/>
  <c r="K299" i="2" s="1"/>
  <c r="J298" i="2"/>
  <c r="K298" i="2" s="1"/>
  <c r="J297" i="2"/>
  <c r="K297" i="2" s="1"/>
  <c r="J296" i="2"/>
  <c r="K296" i="2" s="1"/>
  <c r="J295" i="2"/>
  <c r="K295" i="2" s="1"/>
  <c r="J674" i="2"/>
  <c r="K674" i="2" s="1"/>
  <c r="J673" i="2"/>
  <c r="K673" i="2" s="1"/>
  <c r="J672" i="2"/>
  <c r="K672" i="2" s="1"/>
  <c r="J671" i="2"/>
  <c r="K671" i="2" s="1"/>
  <c r="J670" i="2"/>
  <c r="K670" i="2" s="1"/>
  <c r="J668" i="2"/>
  <c r="K668" i="2" s="1"/>
  <c r="L672" i="1"/>
  <c r="G4" i="3" l="1" a="1"/>
  <c r="G4" i="3" s="1"/>
  <c r="H3" i="3" a="1"/>
  <c r="H3" i="3" s="1"/>
  <c r="G2" i="3" a="1"/>
  <c r="G2" i="3" s="1"/>
  <c r="H4" i="3" a="1"/>
  <c r="H4" i="3" s="1"/>
  <c r="G3" i="3" a="1"/>
  <c r="G3" i="3" s="1"/>
  <c r="H2" i="3" a="1"/>
  <c r="H2" i="3" s="1"/>
  <c r="G134" i="13"/>
  <c r="H134" i="13" s="1"/>
  <c r="J88" i="2"/>
  <c r="K88" i="2" s="1"/>
  <c r="J29" i="2"/>
  <c r="K29" i="2" s="1"/>
  <c r="J181" i="2"/>
  <c r="K181" i="2" s="1"/>
  <c r="J180" i="2"/>
  <c r="K180" i="2" s="1"/>
  <c r="J639" i="2"/>
  <c r="K639" i="2" s="1"/>
  <c r="J638" i="2"/>
  <c r="K638" i="2" s="1"/>
  <c r="J637" i="2"/>
  <c r="K637" i="2" s="1"/>
  <c r="J636" i="2"/>
  <c r="K636" i="2" s="1"/>
  <c r="J635" i="2"/>
  <c r="K635" i="2" s="1"/>
  <c r="J634" i="2"/>
  <c r="K634" i="2" s="1"/>
  <c r="J633" i="2"/>
  <c r="K633" i="2" s="1"/>
  <c r="J179" i="2"/>
  <c r="K179" i="2" s="1"/>
  <c r="J178" i="2"/>
  <c r="K178" i="2" s="1"/>
  <c r="J729" i="2"/>
  <c r="K729" i="2" s="1"/>
  <c r="M701" i="1"/>
  <c r="L701" i="1"/>
  <c r="M700" i="1"/>
  <c r="L700" i="1"/>
  <c r="M699" i="1"/>
  <c r="L699" i="1"/>
  <c r="M698" i="1"/>
  <c r="L698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5" i="1"/>
  <c r="L685" i="1"/>
  <c r="M683" i="1"/>
  <c r="L683" i="1"/>
  <c r="M682" i="1"/>
  <c r="L682" i="1"/>
  <c r="M681" i="1"/>
  <c r="L681" i="1"/>
  <c r="M680" i="1"/>
  <c r="A24" i="12"/>
  <c r="L57" i="15"/>
  <c r="L115" i="13" s="1"/>
  <c r="L53" i="15"/>
  <c r="L49" i="15"/>
  <c r="L46" i="15"/>
  <c r="L112" i="13" s="1"/>
  <c r="L42" i="15"/>
  <c r="L111" i="13" s="1"/>
  <c r="L36" i="15"/>
  <c r="L35" i="15"/>
  <c r="L32" i="15"/>
  <c r="L31" i="15"/>
  <c r="L28" i="15"/>
  <c r="L27" i="15"/>
  <c r="L21" i="15"/>
  <c r="J107" i="13" s="1"/>
  <c r="L17" i="15"/>
  <c r="L14" i="15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M671" i="1"/>
  <c r="L671" i="1"/>
  <c r="M670" i="1"/>
  <c r="L670" i="1"/>
  <c r="J984" i="2"/>
  <c r="K984" i="2" s="1"/>
  <c r="M669" i="1"/>
  <c r="L669" i="1"/>
  <c r="M668" i="1"/>
  <c r="L668" i="1"/>
  <c r="L116" i="13" l="1"/>
  <c r="K118" i="13"/>
  <c r="J108" i="13"/>
  <c r="L113" i="13"/>
  <c r="L114" i="13"/>
  <c r="B79" i="15"/>
  <c r="G135" i="13"/>
  <c r="H135" i="13" s="1"/>
  <c r="K110" i="13"/>
  <c r="L61" i="15"/>
  <c r="M61" i="15" s="1"/>
  <c r="J109" i="13"/>
  <c r="J902" i="2"/>
  <c r="K902" i="2" s="1"/>
  <c r="H122" i="13" l="1"/>
  <c r="G123" i="13" s="1"/>
  <c r="A83" i="15"/>
  <c r="G136" i="13"/>
  <c r="H136" i="13" s="1"/>
  <c r="J904" i="2"/>
  <c r="K904" i="2" s="1"/>
  <c r="J903" i="2"/>
  <c r="K903" i="2" s="1"/>
  <c r="J294" i="2"/>
  <c r="K294" i="2" s="1"/>
  <c r="J293" i="2"/>
  <c r="K293" i="2" s="1"/>
  <c r="J292" i="2"/>
  <c r="K292" i="2" s="1"/>
  <c r="J291" i="2"/>
  <c r="K291" i="2" s="1"/>
  <c r="J290" i="2"/>
  <c r="K290" i="2" s="1"/>
  <c r="J289" i="2"/>
  <c r="K289" i="2" s="1"/>
  <c r="J288" i="2"/>
  <c r="K288" i="2" s="1"/>
  <c r="J287" i="2"/>
  <c r="K287" i="2" s="1"/>
  <c r="J286" i="2"/>
  <c r="K286" i="2" s="1"/>
  <c r="J285" i="2"/>
  <c r="K285" i="2" s="1"/>
  <c r="J985" i="2"/>
  <c r="K985" i="2" s="1"/>
  <c r="J905" i="2"/>
  <c r="K905" i="2" s="1"/>
  <c r="J901" i="2"/>
  <c r="K901" i="2" s="1"/>
  <c r="J22" i="2"/>
  <c r="K22" i="2" s="1"/>
  <c r="J929" i="2"/>
  <c r="K929" i="2" s="1"/>
  <c r="J928" i="2"/>
  <c r="K928" i="2" s="1"/>
  <c r="J936" i="2"/>
  <c r="K936" i="2" s="1"/>
  <c r="J935" i="2"/>
  <c r="K935" i="2" s="1"/>
  <c r="J934" i="2"/>
  <c r="K934" i="2" s="1"/>
  <c r="D104" i="13"/>
  <c r="D102" i="13"/>
  <c r="D65" i="15"/>
  <c r="J983" i="2"/>
  <c r="K983" i="2" s="1"/>
  <c r="J982" i="2"/>
  <c r="K982" i="2" s="1"/>
  <c r="J753" i="2"/>
  <c r="K753" i="2" s="1"/>
  <c r="J284" i="2"/>
  <c r="K284" i="2" s="1"/>
  <c r="J283" i="2"/>
  <c r="K283" i="2" s="1"/>
  <c r="J282" i="2"/>
  <c r="K282" i="2" s="1"/>
  <c r="J281" i="2"/>
  <c r="K281" i="2" s="1"/>
  <c r="J280" i="2"/>
  <c r="K280" i="2" s="1"/>
  <c r="J275" i="2"/>
  <c r="K275" i="2" s="1"/>
  <c r="J277" i="2"/>
  <c r="K277" i="2" s="1"/>
  <c r="J87" i="2"/>
  <c r="K87" i="2" s="1"/>
  <c r="J757" i="2"/>
  <c r="K757" i="2" s="1"/>
  <c r="J756" i="2"/>
  <c r="K756" i="2" s="1"/>
  <c r="J755" i="2"/>
  <c r="K755" i="2" s="1"/>
  <c r="J754" i="2"/>
  <c r="K754" i="2" s="1"/>
  <c r="J752" i="2"/>
  <c r="K752" i="2" s="1"/>
  <c r="J751" i="2"/>
  <c r="K751" i="2" s="1"/>
  <c r="J760" i="2"/>
  <c r="K760" i="2" s="1"/>
  <c r="J1092" i="2"/>
  <c r="K1092" i="2" s="1"/>
  <c r="J1095" i="2"/>
  <c r="K1095" i="2" s="1"/>
  <c r="J1094" i="2"/>
  <c r="K1094" i="2" s="1"/>
  <c r="J1093" i="2"/>
  <c r="K1093" i="2" s="1"/>
  <c r="J1091" i="2"/>
  <c r="K1091" i="2" s="1"/>
  <c r="J279" i="2"/>
  <c r="K279" i="2" s="1"/>
  <c r="J278" i="2"/>
  <c r="K278" i="2" s="1"/>
  <c r="J276" i="2"/>
  <c r="K276" i="2" s="1"/>
  <c r="J274" i="2"/>
  <c r="K274" i="2" s="1"/>
  <c r="J273" i="2"/>
  <c r="K273" i="2" s="1"/>
  <c r="J272" i="2"/>
  <c r="K272" i="2" s="1"/>
  <c r="J271" i="2"/>
  <c r="K271" i="2" s="1"/>
  <c r="J86" i="2"/>
  <c r="K86" i="2" s="1"/>
  <c r="J85" i="2"/>
  <c r="K85" i="2" s="1"/>
  <c r="J84" i="2"/>
  <c r="K84" i="2" s="1"/>
  <c r="J1043" i="2"/>
  <c r="K1043" i="2" s="1"/>
  <c r="J1042" i="2"/>
  <c r="K1042" i="2" s="1"/>
  <c r="J1041" i="2"/>
  <c r="K1041" i="2" s="1"/>
  <c r="J153" i="2"/>
  <c r="K153" i="2" s="1"/>
  <c r="J152" i="2"/>
  <c r="K152" i="2" s="1"/>
  <c r="J270" i="2"/>
  <c r="K270" i="2" s="1"/>
  <c r="J269" i="2"/>
  <c r="K269" i="2" s="1"/>
  <c r="J268" i="2"/>
  <c r="K268" i="2" s="1"/>
  <c r="J267" i="2"/>
  <c r="K267" i="2" s="1"/>
  <c r="J1000" i="2"/>
  <c r="K1000" i="2" s="1"/>
  <c r="J999" i="2"/>
  <c r="K999" i="2" s="1"/>
  <c r="J998" i="2"/>
  <c r="K998" i="2" s="1"/>
  <c r="J997" i="2"/>
  <c r="K997" i="2" s="1"/>
  <c r="J981" i="2"/>
  <c r="K981" i="2" s="1"/>
  <c r="J980" i="2"/>
  <c r="K980" i="2" s="1"/>
  <c r="J907" i="2"/>
  <c r="K907" i="2" s="1"/>
  <c r="J906" i="2"/>
  <c r="K906" i="2" s="1"/>
  <c r="J923" i="2"/>
  <c r="K923" i="2" s="1"/>
  <c r="J925" i="2"/>
  <c r="K925" i="2" s="1"/>
  <c r="J924" i="2"/>
  <c r="K924" i="2" s="1"/>
  <c r="A85" i="15" l="1"/>
  <c r="B83" i="15"/>
  <c r="D83" i="15" s="1"/>
  <c r="J552" i="2"/>
  <c r="K552" i="2" s="1"/>
  <c r="J851" i="2"/>
  <c r="K851" i="2" s="1"/>
  <c r="J248" i="2"/>
  <c r="K248" i="2" s="1"/>
  <c r="J247" i="2"/>
  <c r="K247" i="2" s="1"/>
  <c r="J249" i="2"/>
  <c r="K249" i="2" s="1"/>
  <c r="J250" i="2"/>
  <c r="K250" i="2" s="1"/>
  <c r="J246" i="2"/>
  <c r="K246" i="2" s="1"/>
  <c r="J500" i="2"/>
  <c r="K500" i="2" s="1"/>
  <c r="J499" i="2"/>
  <c r="K499" i="2" s="1"/>
  <c r="J498" i="2"/>
  <c r="K498" i="2" s="1"/>
  <c r="J497" i="2"/>
  <c r="K497" i="2" s="1"/>
  <c r="J496" i="2"/>
  <c r="K496" i="2" s="1"/>
  <c r="J495" i="2"/>
  <c r="K495" i="2" s="1"/>
  <c r="J494" i="2"/>
  <c r="K494" i="2" s="1"/>
  <c r="J823" i="2"/>
  <c r="K823" i="2" s="1"/>
  <c r="J822" i="2"/>
  <c r="K822" i="2" s="1"/>
  <c r="J922" i="2"/>
  <c r="K922" i="2" s="1"/>
  <c r="J852" i="2"/>
  <c r="K852" i="2" s="1"/>
  <c r="J850" i="2"/>
  <c r="K850" i="2" s="1"/>
  <c r="J849" i="2"/>
  <c r="K849" i="2" s="1"/>
  <c r="J848" i="2"/>
  <c r="K848" i="2" s="1"/>
  <c r="J554" i="2"/>
  <c r="K554" i="2" s="1"/>
  <c r="J553" i="2"/>
  <c r="K553" i="2" s="1"/>
  <c r="J551" i="2"/>
  <c r="K551" i="2" s="1"/>
  <c r="AG115" i="13"/>
  <c r="AG114" i="13"/>
  <c r="AG111" i="13"/>
  <c r="AG108" i="13"/>
  <c r="AG107" i="13"/>
  <c r="AG104" i="13"/>
  <c r="AG103" i="13"/>
  <c r="AG102" i="13"/>
  <c r="AG98" i="13"/>
  <c r="AG97" i="13"/>
  <c r="AG96" i="13"/>
  <c r="AG95" i="13"/>
  <c r="AG94" i="13"/>
  <c r="AG92" i="13"/>
  <c r="AG88" i="13"/>
  <c r="H17" i="14"/>
  <c r="J21" i="2"/>
  <c r="K21" i="2" s="1"/>
  <c r="H32" i="14"/>
  <c r="H44" i="14"/>
  <c r="H45" i="14"/>
  <c r="H43" i="14"/>
  <c r="J1160" i="2"/>
  <c r="K1160" i="2" s="1"/>
  <c r="A1" i="7"/>
  <c r="A1" i="6"/>
  <c r="A1" i="5"/>
  <c r="A1" i="4"/>
  <c r="A1" i="3"/>
  <c r="J1159" i="2"/>
  <c r="K1159" i="2" s="1"/>
  <c r="L636" i="1" l="1"/>
  <c r="M636" i="1"/>
  <c r="J763" i="2"/>
  <c r="K763" i="2" s="1"/>
  <c r="J762" i="2"/>
  <c r="K762" i="2" s="1"/>
  <c r="J761" i="2"/>
  <c r="K761" i="2" s="1"/>
  <c r="J759" i="2"/>
  <c r="K759" i="2" s="1"/>
  <c r="J730" i="2"/>
  <c r="K730" i="2" s="1"/>
  <c r="K728" i="2"/>
  <c r="K727" i="2"/>
  <c r="J726" i="2"/>
  <c r="K726" i="2" s="1"/>
  <c r="J629" i="2"/>
  <c r="K629" i="2" s="1"/>
  <c r="J628" i="2"/>
  <c r="K628" i="2" s="1"/>
  <c r="J627" i="2"/>
  <c r="K627" i="2" s="1"/>
  <c r="C478" i="1" l="1"/>
  <c r="I177" i="6" s="1"/>
  <c r="O177" i="6" s="1"/>
  <c r="H50" i="14"/>
  <c r="H49" i="14"/>
  <c r="H30" i="14"/>
  <c r="I100" i="13"/>
  <c r="I99" i="13"/>
  <c r="I98" i="13"/>
  <c r="I97" i="13"/>
  <c r="I104" i="13"/>
  <c r="D52" i="15"/>
  <c r="W61" i="15"/>
  <c r="W62" i="15"/>
  <c r="W60" i="15"/>
  <c r="D45" i="15"/>
  <c r="D41" i="15"/>
  <c r="D34" i="15"/>
  <c r="D30" i="15"/>
  <c r="D26" i="15"/>
  <c r="D23" i="15"/>
  <c r="D40" i="15"/>
  <c r="D39" i="15"/>
  <c r="D38" i="15"/>
  <c r="D25" i="15"/>
  <c r="D20" i="15"/>
  <c r="D12" i="15"/>
  <c r="D56" i="15"/>
  <c r="D55" i="15"/>
  <c r="H23" i="18" s="1"/>
  <c r="D54" i="15"/>
  <c r="H22" i="18" s="1"/>
  <c r="D53" i="15"/>
  <c r="D51" i="15"/>
  <c r="H21" i="18" s="1"/>
  <c r="D50" i="15"/>
  <c r="H20" i="18" s="1"/>
  <c r="D49" i="15"/>
  <c r="D48" i="15"/>
  <c r="H19" i="18" s="1"/>
  <c r="D47" i="15"/>
  <c r="D46" i="15"/>
  <c r="D44" i="15"/>
  <c r="D43" i="15"/>
  <c r="H16" i="18" s="1"/>
  <c r="D42" i="15"/>
  <c r="D37" i="15"/>
  <c r="H15" i="18" s="1"/>
  <c r="D36" i="15"/>
  <c r="D35" i="15"/>
  <c r="D33" i="15"/>
  <c r="D32" i="15"/>
  <c r="D31" i="15"/>
  <c r="D29" i="15"/>
  <c r="D28" i="15"/>
  <c r="D27" i="15"/>
  <c r="D24" i="15"/>
  <c r="D22" i="15"/>
  <c r="D21" i="15"/>
  <c r="D19" i="15"/>
  <c r="H11" i="18" s="1"/>
  <c r="D18" i="15"/>
  <c r="H10" i="18" s="1"/>
  <c r="D17" i="15"/>
  <c r="D16" i="15"/>
  <c r="H9" i="18" s="1"/>
  <c r="D15" i="15"/>
  <c r="H8" i="18" s="1"/>
  <c r="D14" i="15"/>
  <c r="D13" i="15"/>
  <c r="D11" i="15"/>
  <c r="D10" i="15"/>
  <c r="H6" i="18" s="1"/>
  <c r="D9" i="15"/>
  <c r="H5" i="18" s="1"/>
  <c r="D8" i="15"/>
  <c r="D7" i="15"/>
  <c r="H3" i="18" s="1"/>
  <c r="D6" i="15"/>
  <c r="H2" i="18" s="1"/>
  <c r="D5" i="15"/>
  <c r="D4" i="15"/>
  <c r="D3" i="15"/>
  <c r="D2" i="15"/>
  <c r="Q65" i="15"/>
  <c r="Q64" i="15"/>
  <c r="J395" i="2"/>
  <c r="K395" i="2" s="1"/>
  <c r="J396" i="2"/>
  <c r="K396" i="2" s="1"/>
  <c r="J394" i="2"/>
  <c r="K394" i="2" s="1"/>
  <c r="P74" i="15"/>
  <c r="J557" i="2"/>
  <c r="K557" i="2" s="1"/>
  <c r="J556" i="2"/>
  <c r="K556" i="2" s="1"/>
  <c r="J555" i="2"/>
  <c r="K555" i="2" s="1"/>
  <c r="J632" i="2"/>
  <c r="K632" i="2" s="1"/>
  <c r="J631" i="2"/>
  <c r="K631" i="2" s="1"/>
  <c r="J630" i="2"/>
  <c r="K630" i="2" s="1"/>
  <c r="J626" i="2"/>
  <c r="K626" i="2" s="1"/>
  <c r="D58" i="15"/>
  <c r="D59" i="15"/>
  <c r="J59" i="2"/>
  <c r="K59" i="2" s="1"/>
  <c r="J58" i="2"/>
  <c r="K58" i="2" s="1"/>
  <c r="J57" i="2"/>
  <c r="K57" i="2" s="1"/>
  <c r="J523" i="2"/>
  <c r="K523" i="2" s="1"/>
  <c r="J1040" i="2"/>
  <c r="K1040" i="2" s="1"/>
  <c r="J1039" i="2"/>
  <c r="K1039" i="2" s="1"/>
  <c r="J1038" i="2"/>
  <c r="K1038" i="2" s="1"/>
  <c r="S29" i="14" a="1"/>
  <c r="S29" i="14" s="1"/>
  <c r="T29" i="14" s="1"/>
  <c r="M573" i="1" a="1"/>
  <c r="M170" i="1" a="1"/>
  <c r="L171" i="1" a="1"/>
  <c r="L571" i="1" a="1"/>
  <c r="L572" i="1" a="1"/>
  <c r="M572" i="1" a="1"/>
  <c r="M171" i="1" a="1"/>
  <c r="M571" i="1" a="1"/>
  <c r="L573" i="1" a="1"/>
  <c r="L170" i="1" a="1"/>
  <c r="H180" i="6" l="1"/>
  <c r="J180" i="6" s="1"/>
  <c r="I181" i="6"/>
  <c r="O181" i="6" s="1"/>
  <c r="H177" i="6"/>
  <c r="I179" i="6"/>
  <c r="O179" i="6" s="1"/>
  <c r="I192" i="6"/>
  <c r="O192" i="6" s="1"/>
  <c r="I187" i="6"/>
  <c r="O187" i="6" s="1"/>
  <c r="I185" i="6"/>
  <c r="O185" i="6" s="1"/>
  <c r="H198" i="6"/>
  <c r="H176" i="6"/>
  <c r="I173" i="6"/>
  <c r="O173" i="6" s="1"/>
  <c r="I189" i="6"/>
  <c r="O189" i="6" s="1"/>
  <c r="H187" i="6"/>
  <c r="H185" i="6"/>
  <c r="I203" i="6"/>
  <c r="O203" i="6" s="1"/>
  <c r="I197" i="6"/>
  <c r="O197" i="6" s="1"/>
  <c r="I163" i="6"/>
  <c r="O163" i="6" s="1"/>
  <c r="I165" i="6"/>
  <c r="I161" i="6"/>
  <c r="I160" i="6"/>
  <c r="H181" i="6"/>
  <c r="H546" i="6"/>
  <c r="I620" i="6"/>
  <c r="O620" i="6" s="1"/>
  <c r="H560" i="6"/>
  <c r="I644" i="6"/>
  <c r="O644" i="6" s="1"/>
  <c r="I574" i="6"/>
  <c r="O574" i="6" s="1"/>
  <c r="I656" i="6"/>
  <c r="I570" i="6"/>
  <c r="O570" i="6" s="1"/>
  <c r="H654" i="6"/>
  <c r="J654" i="6" s="1"/>
  <c r="H588" i="6"/>
  <c r="N588" i="6" s="1"/>
  <c r="H666" i="6"/>
  <c r="H584" i="6"/>
  <c r="H610" i="6"/>
  <c r="N610" i="6" s="1"/>
  <c r="H604" i="6"/>
  <c r="N604" i="6" s="1"/>
  <c r="H522" i="6"/>
  <c r="I564" i="6"/>
  <c r="O564" i="6" s="1"/>
  <c r="H572" i="6"/>
  <c r="I585" i="6"/>
  <c r="O585" i="6" s="1"/>
  <c r="H514" i="6"/>
  <c r="I520" i="6"/>
  <c r="O520" i="6" s="1"/>
  <c r="I512" i="6"/>
  <c r="O512" i="6" s="1"/>
  <c r="H520" i="6"/>
  <c r="H556" i="6"/>
  <c r="H570" i="6"/>
  <c r="H582" i="6"/>
  <c r="H620" i="6"/>
  <c r="H530" i="6"/>
  <c r="H540" i="6"/>
  <c r="I578" i="6"/>
  <c r="O578" i="6" s="1"/>
  <c r="I568" i="6"/>
  <c r="O568" i="6" s="1"/>
  <c r="H580" i="6"/>
  <c r="I632" i="6"/>
  <c r="O632" i="6" s="1"/>
  <c r="H528" i="6"/>
  <c r="N528" i="6" s="1"/>
  <c r="I538" i="6"/>
  <c r="O538" i="6" s="1"/>
  <c r="H578" i="6"/>
  <c r="H568" i="6"/>
  <c r="I597" i="6"/>
  <c r="O597" i="6" s="1"/>
  <c r="H629" i="6"/>
  <c r="I526" i="6"/>
  <c r="O526" i="6" s="1"/>
  <c r="H553" i="6"/>
  <c r="H576" i="6"/>
  <c r="H590" i="6"/>
  <c r="I596" i="6"/>
  <c r="O596" i="6" s="1"/>
  <c r="H646" i="6"/>
  <c r="N646" i="6" s="1"/>
  <c r="H526" i="6"/>
  <c r="H524" i="6"/>
  <c r="H566" i="6"/>
  <c r="H574" i="6"/>
  <c r="H586" i="6"/>
  <c r="I609" i="6"/>
  <c r="O609" i="6" s="1"/>
  <c r="I515" i="6"/>
  <c r="O515" i="6" s="1"/>
  <c r="I511" i="6"/>
  <c r="O511" i="6" s="1"/>
  <c r="I517" i="6"/>
  <c r="O517" i="6" s="1"/>
  <c r="H513" i="6"/>
  <c r="H518" i="6"/>
  <c r="H508" i="6"/>
  <c r="I519" i="6"/>
  <c r="O519" i="6" s="1"/>
  <c r="I513" i="6"/>
  <c r="O513" i="6" s="1"/>
  <c r="I509" i="6"/>
  <c r="O509" i="6" s="1"/>
  <c r="H509" i="6"/>
  <c r="H512" i="6"/>
  <c r="H519" i="6"/>
  <c r="H517" i="6"/>
  <c r="H515" i="6"/>
  <c r="H511" i="6"/>
  <c r="I514" i="6"/>
  <c r="O514" i="6" s="1"/>
  <c r="I516" i="6"/>
  <c r="O516" i="6" s="1"/>
  <c r="I510" i="6"/>
  <c r="O510" i="6" s="1"/>
  <c r="I508" i="6"/>
  <c r="H516" i="6"/>
  <c r="H510" i="6"/>
  <c r="I518" i="6"/>
  <c r="O518" i="6" s="1"/>
  <c r="I529" i="6"/>
  <c r="O529" i="6" s="1"/>
  <c r="I525" i="6"/>
  <c r="O525" i="6" s="1"/>
  <c r="I523" i="6"/>
  <c r="O523" i="6" s="1"/>
  <c r="I521" i="6"/>
  <c r="I531" i="6"/>
  <c r="O531" i="6" s="1"/>
  <c r="I527" i="6"/>
  <c r="O527" i="6" s="1"/>
  <c r="H531" i="6"/>
  <c r="H529" i="6"/>
  <c r="H527" i="6"/>
  <c r="H525" i="6"/>
  <c r="H523" i="6"/>
  <c r="H521" i="6"/>
  <c r="I528" i="6"/>
  <c r="I524" i="6"/>
  <c r="O524" i="6" s="1"/>
  <c r="I522" i="6"/>
  <c r="O522" i="6" s="1"/>
  <c r="I530" i="6"/>
  <c r="O530" i="6" s="1"/>
  <c r="I539" i="6"/>
  <c r="O539" i="6" s="1"/>
  <c r="I535" i="6"/>
  <c r="O535" i="6" s="1"/>
  <c r="I533" i="6"/>
  <c r="O533" i="6" s="1"/>
  <c r="H533" i="6"/>
  <c r="H538" i="6"/>
  <c r="H532" i="6"/>
  <c r="I541" i="6"/>
  <c r="O541" i="6" s="1"/>
  <c r="I543" i="6"/>
  <c r="O543" i="6" s="1"/>
  <c r="I537" i="6"/>
  <c r="O537" i="6" s="1"/>
  <c r="H543" i="6"/>
  <c r="H541" i="6"/>
  <c r="H539" i="6"/>
  <c r="H537" i="6"/>
  <c r="H535" i="6"/>
  <c r="H536" i="6"/>
  <c r="I540" i="6"/>
  <c r="O540" i="6" s="1"/>
  <c r="I534" i="6"/>
  <c r="O534" i="6" s="1"/>
  <c r="H534" i="6"/>
  <c r="I542" i="6"/>
  <c r="O542" i="6" s="1"/>
  <c r="I536" i="6"/>
  <c r="O536" i="6" s="1"/>
  <c r="I532" i="6"/>
  <c r="H542" i="6"/>
  <c r="I553" i="6"/>
  <c r="O553" i="6" s="1"/>
  <c r="I551" i="6"/>
  <c r="O551" i="6" s="1"/>
  <c r="I547" i="6"/>
  <c r="O547" i="6" s="1"/>
  <c r="H551" i="6"/>
  <c r="H547" i="6"/>
  <c r="I555" i="6"/>
  <c r="O555" i="6" s="1"/>
  <c r="I549" i="6"/>
  <c r="O549" i="6" s="1"/>
  <c r="I545" i="6"/>
  <c r="O545" i="6" s="1"/>
  <c r="H549" i="6"/>
  <c r="H545" i="6"/>
  <c r="H555" i="6"/>
  <c r="I550" i="6"/>
  <c r="O550" i="6" s="1"/>
  <c r="I546" i="6"/>
  <c r="O546" i="6" s="1"/>
  <c r="H552" i="6"/>
  <c r="H548" i="6"/>
  <c r="H544" i="6"/>
  <c r="I552" i="6"/>
  <c r="O552" i="6" s="1"/>
  <c r="I544" i="6"/>
  <c r="I554" i="6"/>
  <c r="O554" i="6" s="1"/>
  <c r="I548" i="6"/>
  <c r="O548" i="6" s="1"/>
  <c r="H554" i="6"/>
  <c r="H550" i="6"/>
  <c r="I563" i="6"/>
  <c r="O563" i="6" s="1"/>
  <c r="I557" i="6"/>
  <c r="O557" i="6" s="1"/>
  <c r="H559" i="6"/>
  <c r="I558" i="6"/>
  <c r="O558" i="6" s="1"/>
  <c r="H564" i="6"/>
  <c r="I565" i="6"/>
  <c r="O565" i="6" s="1"/>
  <c r="I559" i="6"/>
  <c r="O559" i="6" s="1"/>
  <c r="H557" i="6"/>
  <c r="I556" i="6"/>
  <c r="H562" i="6"/>
  <c r="I567" i="6"/>
  <c r="O567" i="6" s="1"/>
  <c r="I561" i="6"/>
  <c r="O561" i="6" s="1"/>
  <c r="H567" i="6"/>
  <c r="H565" i="6"/>
  <c r="H563" i="6"/>
  <c r="H561" i="6"/>
  <c r="I560" i="6"/>
  <c r="O560" i="6" s="1"/>
  <c r="I566" i="6"/>
  <c r="O566" i="6" s="1"/>
  <c r="I562" i="6"/>
  <c r="O562" i="6" s="1"/>
  <c r="H558" i="6"/>
  <c r="I577" i="6"/>
  <c r="O577" i="6" s="1"/>
  <c r="I569" i="6"/>
  <c r="H571" i="6"/>
  <c r="I576" i="6"/>
  <c r="O576" i="6" s="1"/>
  <c r="I572" i="6"/>
  <c r="O572" i="6" s="1"/>
  <c r="I573" i="6"/>
  <c r="O573" i="6" s="1"/>
  <c r="H569" i="6"/>
  <c r="I579" i="6"/>
  <c r="O579" i="6" s="1"/>
  <c r="I575" i="6"/>
  <c r="O575" i="6" s="1"/>
  <c r="I571" i="6"/>
  <c r="O571" i="6" s="1"/>
  <c r="H579" i="6"/>
  <c r="H577" i="6"/>
  <c r="H575" i="6"/>
  <c r="H573" i="6"/>
  <c r="I589" i="6"/>
  <c r="O589" i="6" s="1"/>
  <c r="I583" i="6"/>
  <c r="O583" i="6" s="1"/>
  <c r="I581" i="6"/>
  <c r="O581" i="6" s="1"/>
  <c r="H581" i="6"/>
  <c r="I587" i="6"/>
  <c r="O587" i="6" s="1"/>
  <c r="I591" i="6"/>
  <c r="O591" i="6" s="1"/>
  <c r="H591" i="6"/>
  <c r="H589" i="6"/>
  <c r="H587" i="6"/>
  <c r="H585" i="6"/>
  <c r="H583" i="6"/>
  <c r="I588" i="6"/>
  <c r="I584" i="6"/>
  <c r="O584" i="6" s="1"/>
  <c r="I580" i="6"/>
  <c r="I590" i="6"/>
  <c r="O590" i="6" s="1"/>
  <c r="I586" i="6"/>
  <c r="O586" i="6" s="1"/>
  <c r="I582" i="6"/>
  <c r="O582" i="6" s="1"/>
  <c r="I599" i="6"/>
  <c r="O599" i="6" s="1"/>
  <c r="I593" i="6"/>
  <c r="O593" i="6" s="1"/>
  <c r="H597" i="6"/>
  <c r="I601" i="6"/>
  <c r="O601" i="6" s="1"/>
  <c r="I595" i="6"/>
  <c r="O595" i="6" s="1"/>
  <c r="H599" i="6"/>
  <c r="H595" i="6"/>
  <c r="H593" i="6"/>
  <c r="I594" i="6"/>
  <c r="O594" i="6" s="1"/>
  <c r="I603" i="6"/>
  <c r="O603" i="6" s="1"/>
  <c r="H603" i="6"/>
  <c r="H601" i="6"/>
  <c r="I602" i="6"/>
  <c r="O602" i="6" s="1"/>
  <c r="I600" i="6"/>
  <c r="O600" i="6" s="1"/>
  <c r="I598" i="6"/>
  <c r="O598" i="6" s="1"/>
  <c r="I592" i="6"/>
  <c r="H602" i="6"/>
  <c r="H600" i="6"/>
  <c r="H598" i="6"/>
  <c r="H596" i="6"/>
  <c r="H594" i="6"/>
  <c r="H592" i="6"/>
  <c r="I613" i="6"/>
  <c r="O613" i="6" s="1"/>
  <c r="I605" i="6"/>
  <c r="O605" i="6" s="1"/>
  <c r="H605" i="6"/>
  <c r="H614" i="6"/>
  <c r="H606" i="6"/>
  <c r="I611" i="6"/>
  <c r="O611" i="6" s="1"/>
  <c r="I607" i="6"/>
  <c r="O607" i="6" s="1"/>
  <c r="H609" i="6"/>
  <c r="I606" i="6"/>
  <c r="O606" i="6" s="1"/>
  <c r="H612" i="6"/>
  <c r="H608" i="6"/>
  <c r="I615" i="6"/>
  <c r="O615" i="6" s="1"/>
  <c r="H615" i="6"/>
  <c r="H613" i="6"/>
  <c r="H611" i="6"/>
  <c r="H607" i="6"/>
  <c r="I604" i="6"/>
  <c r="I612" i="6"/>
  <c r="O612" i="6" s="1"/>
  <c r="I608" i="6"/>
  <c r="O608" i="6" s="1"/>
  <c r="I614" i="6"/>
  <c r="O614" i="6" s="1"/>
  <c r="I610" i="6"/>
  <c r="I623" i="6"/>
  <c r="O623" i="6" s="1"/>
  <c r="I619" i="6"/>
  <c r="O619" i="6" s="1"/>
  <c r="H619" i="6"/>
  <c r="H622" i="6"/>
  <c r="I625" i="6"/>
  <c r="O625" i="6" s="1"/>
  <c r="H621" i="6"/>
  <c r="H626" i="6"/>
  <c r="H616" i="6"/>
  <c r="I627" i="6"/>
  <c r="O627" i="6" s="1"/>
  <c r="I621" i="6"/>
  <c r="O621" i="6" s="1"/>
  <c r="I617" i="6"/>
  <c r="O617" i="6" s="1"/>
  <c r="H617" i="6"/>
  <c r="H627" i="6"/>
  <c r="H625" i="6"/>
  <c r="H623" i="6"/>
  <c r="I622" i="6"/>
  <c r="O622" i="6" s="1"/>
  <c r="I624" i="6"/>
  <c r="O624" i="6" s="1"/>
  <c r="I618" i="6"/>
  <c r="O618" i="6" s="1"/>
  <c r="I616" i="6"/>
  <c r="H624" i="6"/>
  <c r="H618" i="6"/>
  <c r="I626" i="6"/>
  <c r="O626" i="6" s="1"/>
  <c r="I637" i="6"/>
  <c r="O637" i="6" s="1"/>
  <c r="I633" i="6"/>
  <c r="O633" i="6" s="1"/>
  <c r="I631" i="6"/>
  <c r="O631" i="6" s="1"/>
  <c r="I629" i="6"/>
  <c r="O629" i="6" s="1"/>
  <c r="H632" i="6"/>
  <c r="I639" i="6"/>
  <c r="O639" i="6" s="1"/>
  <c r="I635" i="6"/>
  <c r="O635" i="6" s="1"/>
  <c r="H630" i="6"/>
  <c r="H639" i="6"/>
  <c r="H637" i="6"/>
  <c r="H635" i="6"/>
  <c r="H633" i="6"/>
  <c r="H631" i="6"/>
  <c r="I636" i="6"/>
  <c r="O636" i="6" s="1"/>
  <c r="I630" i="6"/>
  <c r="O630" i="6" s="1"/>
  <c r="H638" i="6"/>
  <c r="H636" i="6"/>
  <c r="H634" i="6"/>
  <c r="I634" i="6"/>
  <c r="O634" i="6" s="1"/>
  <c r="I628" i="6"/>
  <c r="H628" i="6"/>
  <c r="I638" i="6"/>
  <c r="O638" i="6" s="1"/>
  <c r="I645" i="6"/>
  <c r="O645" i="6" s="1"/>
  <c r="I641" i="6"/>
  <c r="O641" i="6" s="1"/>
  <c r="H641" i="6"/>
  <c r="H642" i="6"/>
  <c r="I649" i="6"/>
  <c r="O649" i="6" s="1"/>
  <c r="I643" i="6"/>
  <c r="O643" i="6" s="1"/>
  <c r="H643" i="6"/>
  <c r="I651" i="6"/>
  <c r="I647" i="6"/>
  <c r="O647" i="6" s="1"/>
  <c r="H651" i="6"/>
  <c r="H649" i="6"/>
  <c r="H647" i="6"/>
  <c r="H645" i="6"/>
  <c r="H648" i="6"/>
  <c r="H640" i="6"/>
  <c r="I648" i="6"/>
  <c r="O648" i="6" s="1"/>
  <c r="I642" i="6"/>
  <c r="O642" i="6" s="1"/>
  <c r="I646" i="6"/>
  <c r="I640" i="6"/>
  <c r="O640" i="6" s="1"/>
  <c r="H650" i="6"/>
  <c r="H644" i="6"/>
  <c r="I650" i="6"/>
  <c r="O650" i="6" s="1"/>
  <c r="I661" i="6"/>
  <c r="I653" i="6"/>
  <c r="H655" i="6"/>
  <c r="I659" i="6"/>
  <c r="I663" i="6"/>
  <c r="I657" i="6"/>
  <c r="I655" i="6"/>
  <c r="H657" i="6"/>
  <c r="H653" i="6"/>
  <c r="H663" i="6"/>
  <c r="H661" i="6"/>
  <c r="H659" i="6"/>
  <c r="I660" i="6"/>
  <c r="I654" i="6"/>
  <c r="H662" i="6"/>
  <c r="H658" i="6"/>
  <c r="H652" i="6"/>
  <c r="I658" i="6"/>
  <c r="I652" i="6"/>
  <c r="H660" i="6"/>
  <c r="H656" i="6"/>
  <c r="I662" i="6"/>
  <c r="I665" i="6"/>
  <c r="H667" i="6"/>
  <c r="I667" i="6"/>
  <c r="H665" i="6"/>
  <c r="I666" i="6"/>
  <c r="H664" i="6"/>
  <c r="I664" i="6"/>
  <c r="I162" i="6"/>
  <c r="O162" i="6" s="1"/>
  <c r="I152" i="6"/>
  <c r="H167" i="6"/>
  <c r="I164" i="6"/>
  <c r="H162" i="6"/>
  <c r="H160" i="6"/>
  <c r="H151" i="6"/>
  <c r="J151" i="6" s="1"/>
  <c r="H149" i="6"/>
  <c r="J149" i="6" s="1"/>
  <c r="H163" i="6"/>
  <c r="H161" i="6"/>
  <c r="I168" i="6"/>
  <c r="H157" i="6"/>
  <c r="J157" i="6" s="1"/>
  <c r="I153" i="6"/>
  <c r="H137" i="6"/>
  <c r="J137" i="6" s="1"/>
  <c r="H153" i="6"/>
  <c r="J153" i="6" s="1"/>
  <c r="I148" i="6"/>
  <c r="I150" i="6"/>
  <c r="H148" i="6"/>
  <c r="H150" i="6"/>
  <c r="J150" i="6" s="1"/>
  <c r="I136" i="6"/>
  <c r="H139" i="6"/>
  <c r="J139" i="6" s="1"/>
  <c r="I138" i="6"/>
  <c r="I137" i="6"/>
  <c r="I151" i="6"/>
  <c r="I149" i="6"/>
  <c r="H128" i="6"/>
  <c r="J128" i="6" s="1"/>
  <c r="I141" i="6"/>
  <c r="H141" i="6"/>
  <c r="J141" i="6" s="1"/>
  <c r="H138" i="6"/>
  <c r="J138" i="6" s="1"/>
  <c r="H136" i="6"/>
  <c r="J136" i="6" s="1"/>
  <c r="I139" i="6"/>
  <c r="H142" i="6"/>
  <c r="H125" i="6"/>
  <c r="H126" i="6"/>
  <c r="J126" i="6" s="1"/>
  <c r="I125" i="6"/>
  <c r="I127" i="6"/>
  <c r="I124" i="6"/>
  <c r="H145" i="6"/>
  <c r="I126" i="6"/>
  <c r="H124" i="6"/>
  <c r="H132" i="6"/>
  <c r="H129" i="6"/>
  <c r="M47" i="5"/>
  <c r="H133" i="6"/>
  <c r="I130" i="6"/>
  <c r="K47" i="5"/>
  <c r="L48" i="5"/>
  <c r="J47" i="5"/>
  <c r="I49" i="5"/>
  <c r="N50" i="5"/>
  <c r="K50" i="5"/>
  <c r="I47" i="5"/>
  <c r="N49" i="5"/>
  <c r="M48" i="5"/>
  <c r="N47" i="5"/>
  <c r="L49" i="5"/>
  <c r="K49" i="5"/>
  <c r="J48" i="5"/>
  <c r="L47" i="5"/>
  <c r="M53" i="5"/>
  <c r="I52" i="5"/>
  <c r="M50" i="5"/>
  <c r="K48" i="5"/>
  <c r="L51" i="5"/>
  <c r="J50" i="5"/>
  <c r="M49" i="5"/>
  <c r="I48" i="5"/>
  <c r="J51" i="5"/>
  <c r="J49" i="5"/>
  <c r="N48" i="5"/>
  <c r="I51" i="5"/>
  <c r="K52" i="5"/>
  <c r="N51" i="5"/>
  <c r="J52" i="5"/>
  <c r="M51" i="5"/>
  <c r="K51" i="5"/>
  <c r="N53" i="5"/>
  <c r="L53" i="5"/>
  <c r="N52" i="5"/>
  <c r="J54" i="5"/>
  <c r="K53" i="5"/>
  <c r="L52" i="5"/>
  <c r="L50" i="5"/>
  <c r="I54" i="5"/>
  <c r="I53" i="5"/>
  <c r="M52" i="5"/>
  <c r="J53" i="5"/>
  <c r="K55" i="5"/>
  <c r="N54" i="5"/>
  <c r="I55" i="5"/>
  <c r="M54" i="5"/>
  <c r="L54" i="5"/>
  <c r="J56" i="5"/>
  <c r="J55" i="5"/>
  <c r="K54" i="5"/>
  <c r="N55" i="5"/>
  <c r="L55" i="5"/>
  <c r="N56" i="5"/>
  <c r="M56" i="5"/>
  <c r="K56" i="5"/>
  <c r="I56" i="5"/>
  <c r="M55" i="5"/>
  <c r="L56" i="5"/>
  <c r="L57" i="5"/>
  <c r="N58" i="5"/>
  <c r="I59" i="5"/>
  <c r="K59" i="5"/>
  <c r="M57" i="5"/>
  <c r="J59" i="5"/>
  <c r="K57" i="5"/>
  <c r="M58" i="5"/>
  <c r="J57" i="5"/>
  <c r="L58" i="5"/>
  <c r="I57" i="5"/>
  <c r="N59" i="5"/>
  <c r="K58" i="5"/>
  <c r="M59" i="5"/>
  <c r="J58" i="5"/>
  <c r="L59" i="5"/>
  <c r="I58" i="5"/>
  <c r="N57" i="5"/>
  <c r="I132" i="6"/>
  <c r="I128" i="6"/>
  <c r="I135" i="6"/>
  <c r="I131" i="6"/>
  <c r="H135" i="6"/>
  <c r="H131" i="6"/>
  <c r="H127" i="6"/>
  <c r="I134" i="6"/>
  <c r="H134" i="6"/>
  <c r="H130" i="6"/>
  <c r="I133" i="6"/>
  <c r="I129" i="6"/>
  <c r="I144" i="6"/>
  <c r="I140" i="6"/>
  <c r="H144" i="6"/>
  <c r="H140" i="6"/>
  <c r="I147" i="6"/>
  <c r="I143" i="6"/>
  <c r="H147" i="6"/>
  <c r="H143" i="6"/>
  <c r="I146" i="6"/>
  <c r="I142" i="6"/>
  <c r="H146" i="6"/>
  <c r="I145" i="6"/>
  <c r="I156" i="6"/>
  <c r="H156" i="6"/>
  <c r="H152" i="6"/>
  <c r="I159" i="6"/>
  <c r="I155" i="6"/>
  <c r="H159" i="6"/>
  <c r="H155" i="6"/>
  <c r="I158" i="6"/>
  <c r="I154" i="6"/>
  <c r="H158" i="6"/>
  <c r="H154" i="6"/>
  <c r="I157" i="6"/>
  <c r="H168" i="6"/>
  <c r="H164" i="6"/>
  <c r="I171" i="6"/>
  <c r="I167" i="6"/>
  <c r="O167" i="6" s="1"/>
  <c r="H171" i="6"/>
  <c r="I170" i="6"/>
  <c r="I166" i="6"/>
  <c r="H170" i="6"/>
  <c r="H166" i="6"/>
  <c r="I169" i="6"/>
  <c r="O169" i="6" s="1"/>
  <c r="H169" i="6"/>
  <c r="H165" i="6"/>
  <c r="I180" i="6"/>
  <c r="I176" i="6"/>
  <c r="O176" i="6" s="1"/>
  <c r="I183" i="6"/>
  <c r="O183" i="6" s="1"/>
  <c r="H183" i="6"/>
  <c r="H179" i="6"/>
  <c r="H175" i="6"/>
  <c r="I182" i="6"/>
  <c r="O182" i="6" s="1"/>
  <c r="I178" i="6"/>
  <c r="O178" i="6" s="1"/>
  <c r="I174" i="6"/>
  <c r="H182" i="6"/>
  <c r="H178" i="6"/>
  <c r="H174" i="6"/>
  <c r="H192" i="6"/>
  <c r="H188" i="6"/>
  <c r="I195" i="6"/>
  <c r="O195" i="6" s="1"/>
  <c r="I191" i="6"/>
  <c r="H195" i="6"/>
  <c r="H191" i="6"/>
  <c r="I194" i="6"/>
  <c r="O194" i="6" s="1"/>
  <c r="H194" i="6"/>
  <c r="I193" i="6"/>
  <c r="O193" i="6" s="1"/>
  <c r="P193" i="6" s="1"/>
  <c r="I204" i="6"/>
  <c r="O204" i="6" s="1"/>
  <c r="I200" i="6"/>
  <c r="H204" i="6"/>
  <c r="H200" i="6"/>
  <c r="I207" i="6"/>
  <c r="O207" i="6" s="1"/>
  <c r="H207" i="6"/>
  <c r="H203" i="6"/>
  <c r="H199" i="6"/>
  <c r="I206" i="6"/>
  <c r="O206" i="6" s="1"/>
  <c r="H206" i="6"/>
  <c r="H202" i="6"/>
  <c r="H205" i="6"/>
  <c r="H201" i="6"/>
  <c r="H197" i="6"/>
  <c r="I216" i="6"/>
  <c r="O216" i="6" s="1"/>
  <c r="I212" i="6"/>
  <c r="O212" i="6" s="1"/>
  <c r="H216" i="6"/>
  <c r="H212" i="6"/>
  <c r="I219" i="6"/>
  <c r="O219" i="6" s="1"/>
  <c r="I215" i="6"/>
  <c r="O215" i="6" s="1"/>
  <c r="I211" i="6"/>
  <c r="H219" i="6"/>
  <c r="H215" i="6"/>
  <c r="H211" i="6"/>
  <c r="I218" i="6"/>
  <c r="O218" i="6" s="1"/>
  <c r="I214" i="6"/>
  <c r="O214" i="6" s="1"/>
  <c r="H218" i="6"/>
  <c r="I217" i="6"/>
  <c r="O217" i="6" s="1"/>
  <c r="I228" i="6"/>
  <c r="O228" i="6" s="1"/>
  <c r="P228" i="6" s="1"/>
  <c r="I224" i="6"/>
  <c r="O224" i="6" s="1"/>
  <c r="I231" i="6"/>
  <c r="O231" i="6" s="1"/>
  <c r="I227" i="6"/>
  <c r="O227" i="6" s="1"/>
  <c r="I223" i="6"/>
  <c r="O223" i="6" s="1"/>
  <c r="H231" i="6"/>
  <c r="H227" i="6"/>
  <c r="H223" i="6"/>
  <c r="I230" i="6"/>
  <c r="O230" i="6" s="1"/>
  <c r="I229" i="6"/>
  <c r="O229" i="6" s="1"/>
  <c r="I225" i="6"/>
  <c r="O225" i="6" s="1"/>
  <c r="I221" i="6"/>
  <c r="I240" i="6"/>
  <c r="O240" i="6" s="1"/>
  <c r="I236" i="6"/>
  <c r="H240" i="6"/>
  <c r="H236" i="6"/>
  <c r="I243" i="6"/>
  <c r="O243" i="6" s="1"/>
  <c r="H243" i="6"/>
  <c r="H239" i="6"/>
  <c r="I242" i="6"/>
  <c r="O242" i="6" s="1"/>
  <c r="H242" i="6"/>
  <c r="H238" i="6"/>
  <c r="I241" i="6"/>
  <c r="O241" i="6" s="1"/>
  <c r="H241" i="6"/>
  <c r="H237" i="6"/>
  <c r="I252" i="6"/>
  <c r="O252" i="6" s="1"/>
  <c r="I248" i="6"/>
  <c r="H252" i="6"/>
  <c r="I255" i="6"/>
  <c r="O255" i="6" s="1"/>
  <c r="I251" i="6"/>
  <c r="O251" i="6" s="1"/>
  <c r="H255" i="6"/>
  <c r="I254" i="6"/>
  <c r="O254" i="6" s="1"/>
  <c r="I250" i="6"/>
  <c r="O250" i="6" s="1"/>
  <c r="H254" i="6"/>
  <c r="H250" i="6"/>
  <c r="H246" i="6"/>
  <c r="I253" i="6"/>
  <c r="O253" i="6" s="1"/>
  <c r="P253" i="6" s="1"/>
  <c r="I249" i="6"/>
  <c r="O249" i="6" s="1"/>
  <c r="I264" i="6"/>
  <c r="O264" i="6" s="1"/>
  <c r="I260" i="6"/>
  <c r="O260" i="6" s="1"/>
  <c r="I267" i="6"/>
  <c r="O267" i="6" s="1"/>
  <c r="I263" i="6"/>
  <c r="O263" i="6" s="1"/>
  <c r="I259" i="6"/>
  <c r="O259" i="6" s="1"/>
  <c r="H267" i="6"/>
  <c r="H263" i="6"/>
  <c r="I266" i="6"/>
  <c r="O266" i="6" s="1"/>
  <c r="H266" i="6"/>
  <c r="H262" i="6"/>
  <c r="I265" i="6"/>
  <c r="O265" i="6" s="1"/>
  <c r="I261" i="6"/>
  <c r="O261" i="6" s="1"/>
  <c r="I257" i="6"/>
  <c r="I276" i="6"/>
  <c r="O276" i="6" s="1"/>
  <c r="I272" i="6"/>
  <c r="H276" i="6"/>
  <c r="H272" i="6"/>
  <c r="I279" i="6"/>
  <c r="O279" i="6" s="1"/>
  <c r="I275" i="6"/>
  <c r="O275" i="6" s="1"/>
  <c r="H279" i="6"/>
  <c r="H275" i="6"/>
  <c r="H271" i="6"/>
  <c r="I278" i="6"/>
  <c r="O278" i="6" s="1"/>
  <c r="H278" i="6"/>
  <c r="I277" i="6"/>
  <c r="O277" i="6" s="1"/>
  <c r="P277" i="6" s="1"/>
  <c r="I273" i="6"/>
  <c r="O273" i="6" s="1"/>
  <c r="I288" i="6"/>
  <c r="O288" i="6" s="1"/>
  <c r="I284" i="6"/>
  <c r="H288" i="6"/>
  <c r="I291" i="6"/>
  <c r="O291" i="6" s="1"/>
  <c r="I287" i="6"/>
  <c r="O287" i="6" s="1"/>
  <c r="H291" i="6"/>
  <c r="H287" i="6"/>
  <c r="H283" i="6"/>
  <c r="I290" i="6"/>
  <c r="O290" i="6" s="1"/>
  <c r="I286" i="6"/>
  <c r="O286" i="6" s="1"/>
  <c r="H290" i="6"/>
  <c r="I289" i="6"/>
  <c r="O289" i="6" s="1"/>
  <c r="P289" i="6" s="1"/>
  <c r="I285" i="6"/>
  <c r="O285" i="6" s="1"/>
  <c r="I300" i="6"/>
  <c r="O300" i="6" s="1"/>
  <c r="H300" i="6"/>
  <c r="H296" i="6"/>
  <c r="I303" i="6"/>
  <c r="O303" i="6" s="1"/>
  <c r="I299" i="6"/>
  <c r="H303" i="6"/>
  <c r="H299" i="6"/>
  <c r="I302" i="6"/>
  <c r="O302" i="6" s="1"/>
  <c r="H302" i="6"/>
  <c r="H298" i="6"/>
  <c r="I301" i="6"/>
  <c r="O301" i="6" s="1"/>
  <c r="H301" i="6"/>
  <c r="H297" i="6"/>
  <c r="I312" i="6"/>
  <c r="O312" i="6" s="1"/>
  <c r="I308" i="6"/>
  <c r="O308" i="6" s="1"/>
  <c r="H312" i="6"/>
  <c r="H308" i="6"/>
  <c r="I315" i="6"/>
  <c r="O315" i="6" s="1"/>
  <c r="I311" i="6"/>
  <c r="O311" i="6" s="1"/>
  <c r="I307" i="6"/>
  <c r="H315" i="6"/>
  <c r="H311" i="6"/>
  <c r="H307" i="6"/>
  <c r="I314" i="6"/>
  <c r="O314" i="6" s="1"/>
  <c r="H314" i="6"/>
  <c r="H310" i="6"/>
  <c r="I313" i="6"/>
  <c r="O313" i="6" s="1"/>
  <c r="I324" i="6"/>
  <c r="O324" i="6" s="1"/>
  <c r="H324" i="6"/>
  <c r="I327" i="6"/>
  <c r="O327" i="6" s="1"/>
  <c r="I323" i="6"/>
  <c r="O323" i="6" s="1"/>
  <c r="P323" i="6" s="1"/>
  <c r="H327" i="6"/>
  <c r="I326" i="6"/>
  <c r="O326" i="6" s="1"/>
  <c r="H326" i="6"/>
  <c r="H322" i="6"/>
  <c r="H318" i="6"/>
  <c r="I325" i="6"/>
  <c r="O325" i="6" s="1"/>
  <c r="I321" i="6"/>
  <c r="O321" i="6" s="1"/>
  <c r="I317" i="6"/>
  <c r="H325" i="6"/>
  <c r="H321" i="6"/>
  <c r="H317" i="6"/>
  <c r="I336" i="6"/>
  <c r="O336" i="6" s="1"/>
  <c r="I332" i="6"/>
  <c r="O332" i="6" s="1"/>
  <c r="H336" i="6"/>
  <c r="H332" i="6"/>
  <c r="I339" i="6"/>
  <c r="O339" i="6" s="1"/>
  <c r="I335" i="6"/>
  <c r="O335" i="6" s="1"/>
  <c r="I331" i="6"/>
  <c r="H339" i="6"/>
  <c r="H335" i="6"/>
  <c r="H331" i="6"/>
  <c r="I338" i="6"/>
  <c r="O338" i="6" s="1"/>
  <c r="H338" i="6"/>
  <c r="H334" i="6"/>
  <c r="I337" i="6"/>
  <c r="O337" i="6" s="1"/>
  <c r="P337" i="6" s="1"/>
  <c r="I348" i="6"/>
  <c r="O348" i="6" s="1"/>
  <c r="I344" i="6"/>
  <c r="H348" i="6"/>
  <c r="I351" i="6"/>
  <c r="O351" i="6" s="1"/>
  <c r="H351" i="6"/>
  <c r="H347" i="6"/>
  <c r="I350" i="6"/>
  <c r="O350" i="6" s="1"/>
  <c r="I346" i="6"/>
  <c r="O346" i="6" s="1"/>
  <c r="P346" i="6" s="1"/>
  <c r="H350" i="6"/>
  <c r="I349" i="6"/>
  <c r="O349" i="6" s="1"/>
  <c r="H360" i="6"/>
  <c r="H356" i="6"/>
  <c r="I363" i="6"/>
  <c r="O363" i="6" s="1"/>
  <c r="I359" i="6"/>
  <c r="O359" i="6" s="1"/>
  <c r="I355" i="6"/>
  <c r="O355" i="6" s="1"/>
  <c r="H363" i="6"/>
  <c r="I362" i="6"/>
  <c r="O362" i="6" s="1"/>
  <c r="H362" i="6"/>
  <c r="H358" i="6"/>
  <c r="H354" i="6"/>
  <c r="I361" i="6"/>
  <c r="O361" i="6" s="1"/>
  <c r="P361" i="6" s="1"/>
  <c r="I357" i="6"/>
  <c r="O357" i="6" s="1"/>
  <c r="P357" i="6" s="1"/>
  <c r="I353" i="6"/>
  <c r="I372" i="6"/>
  <c r="O372" i="6" s="1"/>
  <c r="I368" i="6"/>
  <c r="H372" i="6"/>
  <c r="H368" i="6"/>
  <c r="I375" i="6"/>
  <c r="O375" i="6" s="1"/>
  <c r="H375" i="6"/>
  <c r="H371" i="6"/>
  <c r="I374" i="6"/>
  <c r="O374" i="6" s="1"/>
  <c r="H374" i="6"/>
  <c r="H370" i="6"/>
  <c r="I373" i="6"/>
  <c r="O373" i="6" s="1"/>
  <c r="P373" i="6" s="1"/>
  <c r="I369" i="6"/>
  <c r="O369" i="6" s="1"/>
  <c r="P369" i="6" s="1"/>
  <c r="I384" i="6"/>
  <c r="O384" i="6" s="1"/>
  <c r="H384" i="6"/>
  <c r="H380" i="6"/>
  <c r="I387" i="6"/>
  <c r="O387" i="6" s="1"/>
  <c r="I383" i="6"/>
  <c r="O383" i="6" s="1"/>
  <c r="H387" i="6"/>
  <c r="H383" i="6"/>
  <c r="I386" i="6"/>
  <c r="O386" i="6" s="1"/>
  <c r="I382" i="6"/>
  <c r="H386" i="6"/>
  <c r="H382" i="6"/>
  <c r="I385" i="6"/>
  <c r="O385" i="6" s="1"/>
  <c r="H385" i="6"/>
  <c r="H381" i="6"/>
  <c r="I396" i="6"/>
  <c r="I392" i="6"/>
  <c r="O392" i="6" s="1"/>
  <c r="P392" i="6" s="1"/>
  <c r="I399" i="6"/>
  <c r="O399" i="6" s="1"/>
  <c r="I395" i="6"/>
  <c r="O395" i="6" s="1"/>
  <c r="H399" i="6"/>
  <c r="H395" i="6"/>
  <c r="H391" i="6"/>
  <c r="I398" i="6"/>
  <c r="O398" i="6" s="1"/>
  <c r="I394" i="6"/>
  <c r="O394" i="6" s="1"/>
  <c r="I390" i="6"/>
  <c r="H398" i="6"/>
  <c r="I397" i="6"/>
  <c r="O397" i="6" s="1"/>
  <c r="P397" i="6" s="1"/>
  <c r="I408" i="6"/>
  <c r="O408" i="6" s="1"/>
  <c r="I404" i="6"/>
  <c r="H408" i="6"/>
  <c r="H404" i="6"/>
  <c r="I411" i="6"/>
  <c r="O411" i="6" s="1"/>
  <c r="I407" i="6"/>
  <c r="O407" i="6" s="1"/>
  <c r="H411" i="6"/>
  <c r="I410" i="6"/>
  <c r="O410" i="6" s="1"/>
  <c r="I406" i="6"/>
  <c r="O406" i="6" s="1"/>
  <c r="H410" i="6"/>
  <c r="I409" i="6"/>
  <c r="O409" i="6" s="1"/>
  <c r="P409" i="6" s="1"/>
  <c r="I405" i="6"/>
  <c r="O405" i="6" s="1"/>
  <c r="I420" i="6"/>
  <c r="O420" i="6" s="1"/>
  <c r="I416" i="6"/>
  <c r="H420" i="6"/>
  <c r="H416" i="6"/>
  <c r="I423" i="6"/>
  <c r="O423" i="6" s="1"/>
  <c r="H423" i="6"/>
  <c r="H419" i="6"/>
  <c r="I422" i="6"/>
  <c r="O422" i="6" s="1"/>
  <c r="H422" i="6"/>
  <c r="H418" i="6"/>
  <c r="I421" i="6"/>
  <c r="O421" i="6" s="1"/>
  <c r="P421" i="6" s="1"/>
  <c r="I417" i="6"/>
  <c r="O417" i="6" s="1"/>
  <c r="I432" i="6"/>
  <c r="O432" i="6" s="1"/>
  <c r="I428" i="6"/>
  <c r="O428" i="6" s="1"/>
  <c r="I435" i="6"/>
  <c r="O435" i="6" s="1"/>
  <c r="H435" i="6"/>
  <c r="H431" i="6"/>
  <c r="H427" i="6"/>
  <c r="I434" i="6"/>
  <c r="O434" i="6" s="1"/>
  <c r="I430" i="6"/>
  <c r="O430" i="6" s="1"/>
  <c r="P430" i="6" s="1"/>
  <c r="I426" i="6"/>
  <c r="O426" i="6" s="1"/>
  <c r="I433" i="6"/>
  <c r="O433" i="6" s="1"/>
  <c r="P433" i="6" s="1"/>
  <c r="I429" i="6"/>
  <c r="I425" i="6"/>
  <c r="I444" i="6"/>
  <c r="H444" i="6"/>
  <c r="H440" i="6"/>
  <c r="I447" i="6"/>
  <c r="O447" i="6" s="1"/>
  <c r="H447" i="6"/>
  <c r="H443" i="6"/>
  <c r="H439" i="6"/>
  <c r="H446" i="6"/>
  <c r="H442" i="6"/>
  <c r="H438" i="6"/>
  <c r="I445" i="6"/>
  <c r="O445" i="6" s="1"/>
  <c r="H445" i="6"/>
  <c r="H441" i="6"/>
  <c r="I456" i="6"/>
  <c r="O456" i="6" s="1"/>
  <c r="I452" i="6"/>
  <c r="H456" i="6"/>
  <c r="H452" i="6"/>
  <c r="I459" i="6"/>
  <c r="O459" i="6" s="1"/>
  <c r="I455" i="6"/>
  <c r="O455" i="6" s="1"/>
  <c r="H459" i="6"/>
  <c r="I458" i="6"/>
  <c r="O458" i="6" s="1"/>
  <c r="H458" i="6"/>
  <c r="H454" i="6"/>
  <c r="I457" i="6"/>
  <c r="O457" i="6" s="1"/>
  <c r="H457" i="6"/>
  <c r="H453" i="6"/>
  <c r="I468" i="6"/>
  <c r="O468" i="6" s="1"/>
  <c r="I464" i="6"/>
  <c r="H468" i="6"/>
  <c r="I471" i="6"/>
  <c r="O471" i="6" s="1"/>
  <c r="I467" i="6"/>
  <c r="O467" i="6" s="1"/>
  <c r="H471" i="6"/>
  <c r="H467" i="6"/>
  <c r="I470" i="6"/>
  <c r="O470" i="6" s="1"/>
  <c r="H470" i="6"/>
  <c r="H466" i="6"/>
  <c r="H469" i="6"/>
  <c r="H465" i="6"/>
  <c r="I480" i="6"/>
  <c r="O480" i="6" s="1"/>
  <c r="I483" i="6"/>
  <c r="O483" i="6" s="1"/>
  <c r="I479" i="6"/>
  <c r="O479" i="6" s="1"/>
  <c r="I475" i="6"/>
  <c r="H483" i="6"/>
  <c r="H479" i="6"/>
  <c r="H475" i="6"/>
  <c r="I482" i="6"/>
  <c r="O482" i="6" s="1"/>
  <c r="P482" i="6" s="1"/>
  <c r="I478" i="6"/>
  <c r="O478" i="6" s="1"/>
  <c r="I481" i="6"/>
  <c r="O481" i="6" s="1"/>
  <c r="I492" i="6"/>
  <c r="O492" i="6" s="1"/>
  <c r="I488" i="6"/>
  <c r="H492" i="6"/>
  <c r="H488" i="6"/>
  <c r="I495" i="6"/>
  <c r="O495" i="6" s="1"/>
  <c r="I491" i="6"/>
  <c r="O491" i="6" s="1"/>
  <c r="P491" i="6" s="1"/>
  <c r="H495" i="6"/>
  <c r="I494" i="6"/>
  <c r="O494" i="6" s="1"/>
  <c r="I490" i="6"/>
  <c r="O490" i="6" s="1"/>
  <c r="H494" i="6"/>
  <c r="I493" i="6"/>
  <c r="O493" i="6" s="1"/>
  <c r="P493" i="6" s="1"/>
  <c r="I489" i="6"/>
  <c r="O489" i="6" s="1"/>
  <c r="P489" i="6" s="1"/>
  <c r="I504" i="6"/>
  <c r="O504" i="6" s="1"/>
  <c r="P504" i="6" s="1"/>
  <c r="I500" i="6"/>
  <c r="O500" i="6" s="1"/>
  <c r="I507" i="6"/>
  <c r="O507" i="6" s="1"/>
  <c r="I503" i="6"/>
  <c r="O503" i="6" s="1"/>
  <c r="I499" i="6"/>
  <c r="H507" i="6"/>
  <c r="H503" i="6"/>
  <c r="H499" i="6"/>
  <c r="I506" i="6"/>
  <c r="O506" i="6" s="1"/>
  <c r="P506" i="6" s="1"/>
  <c r="I502" i="6"/>
  <c r="O502" i="6" s="1"/>
  <c r="P502" i="6" s="1"/>
  <c r="I505" i="6"/>
  <c r="O505" i="6" s="1"/>
  <c r="P505" i="6" s="1"/>
  <c r="I501" i="6"/>
  <c r="O501" i="6" s="1"/>
  <c r="P501" i="6" s="1"/>
  <c r="H25" i="18"/>
  <c r="H24" i="18"/>
  <c r="H7" i="18"/>
  <c r="H4" i="18"/>
  <c r="L572" i="1"/>
  <c r="M171" i="1"/>
  <c r="M571" i="1"/>
  <c r="L571" i="1"/>
  <c r="L573" i="1"/>
  <c r="M572" i="1"/>
  <c r="M170" i="1"/>
  <c r="M573" i="1"/>
  <c r="L170" i="1"/>
  <c r="L171" i="1"/>
  <c r="J437" i="2"/>
  <c r="K437" i="2" s="1"/>
  <c r="J524" i="2"/>
  <c r="K524" i="2" s="1"/>
  <c r="J522" i="2"/>
  <c r="K522" i="2" s="1"/>
  <c r="J550" i="2"/>
  <c r="K550" i="2" s="1"/>
  <c r="J549" i="2"/>
  <c r="K549" i="2" s="1"/>
  <c r="J548" i="2"/>
  <c r="K548" i="2" s="1"/>
  <c r="J1086" i="2"/>
  <c r="K1086" i="2" s="1"/>
  <c r="J1082" i="2"/>
  <c r="K1082" i="2" s="1"/>
  <c r="J81" i="2"/>
  <c r="K81" i="2" s="1"/>
  <c r="J80" i="2"/>
  <c r="K80" i="2" s="1"/>
  <c r="J1087" i="2"/>
  <c r="K1087" i="2" s="1"/>
  <c r="J921" i="2"/>
  <c r="K921" i="2" s="1"/>
  <c r="J177" i="2"/>
  <c r="K177" i="2" s="1"/>
  <c r="J176" i="2"/>
  <c r="K176" i="2" s="1"/>
  <c r="J920" i="2"/>
  <c r="K920" i="2" s="1"/>
  <c r="J196" i="2"/>
  <c r="K196" i="2" s="1"/>
  <c r="J421" i="2"/>
  <c r="K421" i="2" s="1"/>
  <c r="J422" i="2"/>
  <c r="K422" i="2" s="1"/>
  <c r="J420" i="2"/>
  <c r="K420" i="2" s="1"/>
  <c r="J266" i="2"/>
  <c r="K266" i="2" s="1"/>
  <c r="J265" i="2"/>
  <c r="K265" i="2" s="1"/>
  <c r="J264" i="2"/>
  <c r="K264" i="2" s="1"/>
  <c r="J263" i="2"/>
  <c r="K263" i="2" s="1"/>
  <c r="J262" i="2"/>
  <c r="K262" i="2" s="1"/>
  <c r="J1036" i="2"/>
  <c r="K1036" i="2" s="1"/>
  <c r="J1037" i="2"/>
  <c r="K1037" i="2" s="1"/>
  <c r="J1035" i="2"/>
  <c r="K1035" i="2" s="1"/>
  <c r="J1090" i="2"/>
  <c r="K1090" i="2" s="1"/>
  <c r="J1089" i="2"/>
  <c r="K1089" i="2" s="1"/>
  <c r="J1088" i="2"/>
  <c r="K1088" i="2" s="1"/>
  <c r="J1085" i="2"/>
  <c r="K1085" i="2" s="1"/>
  <c r="J1084" i="2"/>
  <c r="K1084" i="2" s="1"/>
  <c r="J23" i="2"/>
  <c r="K23" i="2" s="1"/>
  <c r="J200" i="2"/>
  <c r="K200" i="2" s="1"/>
  <c r="J199" i="2"/>
  <c r="K199" i="2" s="1"/>
  <c r="J197" i="2"/>
  <c r="K197" i="2" s="1"/>
  <c r="J195" i="2"/>
  <c r="K195" i="2" s="1"/>
  <c r="J198" i="2"/>
  <c r="K198" i="2" s="1"/>
  <c r="J512" i="2"/>
  <c r="K512" i="2" s="1"/>
  <c r="J513" i="2"/>
  <c r="K513" i="2" s="1"/>
  <c r="J514" i="2"/>
  <c r="K514" i="2" s="1"/>
  <c r="J383" i="2"/>
  <c r="K383" i="2" s="1"/>
  <c r="J382" i="2"/>
  <c r="K382" i="2" s="1"/>
  <c r="J381" i="2"/>
  <c r="K381" i="2" s="1"/>
  <c r="J380" i="2"/>
  <c r="K380" i="2" s="1"/>
  <c r="J1006" i="2"/>
  <c r="K1006" i="2" s="1"/>
  <c r="J1009" i="2"/>
  <c r="K1009" i="2" s="1"/>
  <c r="P55" i="15"/>
  <c r="P68" i="15"/>
  <c r="P58" i="15"/>
  <c r="P70" i="15"/>
  <c r="P64" i="15"/>
  <c r="P53" i="15"/>
  <c r="P66" i="15"/>
  <c r="P60" i="15"/>
  <c r="P72" i="15"/>
  <c r="Q77" i="15"/>
  <c r="P76" i="15" s="1"/>
  <c r="J665" i="2"/>
  <c r="K665" i="2" s="1"/>
  <c r="J664" i="2"/>
  <c r="K664" i="2" s="1"/>
  <c r="J663" i="2"/>
  <c r="K663" i="2" s="1"/>
  <c r="J440" i="2"/>
  <c r="K440" i="2" s="1"/>
  <c r="J438" i="2"/>
  <c r="K438" i="2" s="1"/>
  <c r="J666" i="2"/>
  <c r="K666" i="2" s="1"/>
  <c r="J379" i="2"/>
  <c r="K379" i="2" s="1"/>
  <c r="J378" i="2"/>
  <c r="K378" i="2" s="1"/>
  <c r="J377" i="2"/>
  <c r="K377" i="2" s="1"/>
  <c r="J376" i="2"/>
  <c r="K376" i="2" s="1"/>
  <c r="J375" i="2"/>
  <c r="K375" i="2" s="1"/>
  <c r="J667" i="2"/>
  <c r="K667" i="2" s="1"/>
  <c r="J662" i="2"/>
  <c r="K662" i="2" s="1"/>
  <c r="J545" i="2"/>
  <c r="K545" i="2" s="1"/>
  <c r="J546" i="2"/>
  <c r="K546" i="2" s="1"/>
  <c r="J391" i="2"/>
  <c r="K391" i="2" s="1"/>
  <c r="J261" i="2"/>
  <c r="K261" i="2" s="1"/>
  <c r="J260" i="2"/>
  <c r="K260" i="2" s="1"/>
  <c r="J259" i="2"/>
  <c r="K259" i="2" s="1"/>
  <c r="J258" i="2"/>
  <c r="K258" i="2" s="1"/>
  <c r="J257" i="2"/>
  <c r="K257" i="2" s="1"/>
  <c r="J392" i="2"/>
  <c r="K392" i="2" s="1"/>
  <c r="J390" i="2"/>
  <c r="K390" i="2" s="1"/>
  <c r="J389" i="2"/>
  <c r="K389" i="2" s="1"/>
  <c r="J1189" i="2"/>
  <c r="K1189" i="2" s="1"/>
  <c r="J1187" i="2"/>
  <c r="K1187" i="2" s="1"/>
  <c r="J1186" i="2"/>
  <c r="K1186" i="2" s="1"/>
  <c r="J1185" i="2"/>
  <c r="K1185" i="2" s="1"/>
  <c r="F95" i="13"/>
  <c r="J540" i="2"/>
  <c r="K540" i="2" s="1"/>
  <c r="J655" i="2"/>
  <c r="K655" i="2" s="1"/>
  <c r="N177" i="6" l="1"/>
  <c r="P177" i="6" s="1"/>
  <c r="J177" i="6"/>
  <c r="J176" i="6"/>
  <c r="N176" i="6"/>
  <c r="P176" i="6" s="1"/>
  <c r="J198" i="6"/>
  <c r="N198" i="6"/>
  <c r="P198" i="6" s="1"/>
  <c r="J185" i="6"/>
  <c r="N185" i="6"/>
  <c r="P185" i="6" s="1"/>
  <c r="J187" i="6"/>
  <c r="N187" i="6"/>
  <c r="P187" i="6" s="1"/>
  <c r="J181" i="6"/>
  <c r="N181" i="6"/>
  <c r="P181" i="6" s="1"/>
  <c r="N546" i="6"/>
  <c r="P546" i="6" s="1"/>
  <c r="J546" i="6"/>
  <c r="N584" i="6"/>
  <c r="P584" i="6" s="1"/>
  <c r="J584" i="6"/>
  <c r="N560" i="6"/>
  <c r="P560" i="6" s="1"/>
  <c r="J560" i="6"/>
  <c r="N524" i="6"/>
  <c r="P524" i="6" s="1"/>
  <c r="J524" i="6"/>
  <c r="J629" i="6"/>
  <c r="N629" i="6"/>
  <c r="P629" i="6" s="1"/>
  <c r="N520" i="6"/>
  <c r="P520" i="6" s="1"/>
  <c r="J520" i="6"/>
  <c r="N526" i="6"/>
  <c r="P526" i="6" s="1"/>
  <c r="J526" i="6"/>
  <c r="N568" i="6"/>
  <c r="P568" i="6" s="1"/>
  <c r="J568" i="6"/>
  <c r="N540" i="6"/>
  <c r="P540" i="6" s="1"/>
  <c r="J540" i="6"/>
  <c r="N578" i="6"/>
  <c r="P578" i="6" s="1"/>
  <c r="J578" i="6"/>
  <c r="N530" i="6"/>
  <c r="P530" i="6" s="1"/>
  <c r="J530" i="6"/>
  <c r="N514" i="6"/>
  <c r="P514" i="6" s="1"/>
  <c r="J514" i="6"/>
  <c r="N590" i="6"/>
  <c r="P590" i="6" s="1"/>
  <c r="J590" i="6"/>
  <c r="N620" i="6"/>
  <c r="P620" i="6" s="1"/>
  <c r="J620" i="6"/>
  <c r="N586" i="6"/>
  <c r="P586" i="6" s="1"/>
  <c r="J586" i="6"/>
  <c r="N576" i="6"/>
  <c r="P576" i="6" s="1"/>
  <c r="J576" i="6"/>
  <c r="N582" i="6"/>
  <c r="P582" i="6" s="1"/>
  <c r="J582" i="6"/>
  <c r="N572" i="6"/>
  <c r="P572" i="6" s="1"/>
  <c r="J572" i="6"/>
  <c r="N574" i="6"/>
  <c r="P574" i="6" s="1"/>
  <c r="J574" i="6"/>
  <c r="J553" i="6"/>
  <c r="N553" i="6"/>
  <c r="P553" i="6" s="1"/>
  <c r="N570" i="6"/>
  <c r="P570" i="6" s="1"/>
  <c r="J570" i="6"/>
  <c r="N566" i="6"/>
  <c r="P566" i="6" s="1"/>
  <c r="J566" i="6"/>
  <c r="N580" i="6"/>
  <c r="J580" i="6"/>
  <c r="N556" i="6"/>
  <c r="J556" i="6"/>
  <c r="N522" i="6"/>
  <c r="P522" i="6" s="1"/>
  <c r="J522" i="6"/>
  <c r="J511" i="6"/>
  <c r="N511" i="6"/>
  <c r="P511" i="6" s="1"/>
  <c r="N518" i="6"/>
  <c r="P518" i="6" s="1"/>
  <c r="J518" i="6"/>
  <c r="N508" i="6"/>
  <c r="J508" i="6"/>
  <c r="N510" i="6"/>
  <c r="P510" i="6" s="1"/>
  <c r="J510" i="6"/>
  <c r="N516" i="6"/>
  <c r="P516" i="6" s="1"/>
  <c r="J516" i="6"/>
  <c r="J519" i="6"/>
  <c r="N519" i="6"/>
  <c r="P519" i="6" s="1"/>
  <c r="J513" i="6"/>
  <c r="N513" i="6"/>
  <c r="P513" i="6" s="1"/>
  <c r="J515" i="6"/>
  <c r="N515" i="6"/>
  <c r="P515" i="6" s="1"/>
  <c r="J517" i="6"/>
  <c r="N517" i="6"/>
  <c r="P517" i="6" s="1"/>
  <c r="O508" i="6"/>
  <c r="N512" i="6"/>
  <c r="P512" i="6" s="1"/>
  <c r="J512" i="6"/>
  <c r="J509" i="6"/>
  <c r="N509" i="6"/>
  <c r="P509" i="6" s="1"/>
  <c r="J531" i="6"/>
  <c r="N531" i="6"/>
  <c r="P531" i="6" s="1"/>
  <c r="J529" i="6"/>
  <c r="N529" i="6"/>
  <c r="P529" i="6" s="1"/>
  <c r="O528" i="6"/>
  <c r="P528" i="6" s="1"/>
  <c r="J528" i="6"/>
  <c r="J527" i="6"/>
  <c r="N527" i="6"/>
  <c r="P527" i="6" s="1"/>
  <c r="J521" i="6"/>
  <c r="N521" i="6"/>
  <c r="P521" i="6" s="1"/>
  <c r="O521" i="6"/>
  <c r="J523" i="6"/>
  <c r="N523" i="6"/>
  <c r="P523" i="6" s="1"/>
  <c r="J525" i="6"/>
  <c r="N525" i="6"/>
  <c r="P525" i="6" s="1"/>
  <c r="N536" i="6"/>
  <c r="P536" i="6" s="1"/>
  <c r="J536" i="6"/>
  <c r="J533" i="6"/>
  <c r="N533" i="6"/>
  <c r="P533" i="6" s="1"/>
  <c r="N532" i="6"/>
  <c r="P532" i="6" s="1"/>
  <c r="J532" i="6"/>
  <c r="J539" i="6"/>
  <c r="N539" i="6"/>
  <c r="P539" i="6" s="1"/>
  <c r="J541" i="6"/>
  <c r="N541" i="6"/>
  <c r="P541" i="6" s="1"/>
  <c r="J535" i="6"/>
  <c r="N535" i="6"/>
  <c r="P535" i="6" s="1"/>
  <c r="J537" i="6"/>
  <c r="N537" i="6"/>
  <c r="P537" i="6" s="1"/>
  <c r="N534" i="6"/>
  <c r="P534" i="6" s="1"/>
  <c r="J534" i="6"/>
  <c r="J543" i="6"/>
  <c r="N543" i="6"/>
  <c r="P543" i="6" s="1"/>
  <c r="N542" i="6"/>
  <c r="P542" i="6" s="1"/>
  <c r="J542" i="6"/>
  <c r="O532" i="6"/>
  <c r="N538" i="6"/>
  <c r="P538" i="6" s="1"/>
  <c r="J538" i="6"/>
  <c r="N548" i="6"/>
  <c r="P548" i="6" s="1"/>
  <c r="J548" i="6"/>
  <c r="N550" i="6"/>
  <c r="P550" i="6" s="1"/>
  <c r="J550" i="6"/>
  <c r="N552" i="6"/>
  <c r="P552" i="6" s="1"/>
  <c r="J552" i="6"/>
  <c r="N544" i="6"/>
  <c r="P544" i="6" s="1"/>
  <c r="J544" i="6"/>
  <c r="N554" i="6"/>
  <c r="P554" i="6" s="1"/>
  <c r="J554" i="6"/>
  <c r="J547" i="6"/>
  <c r="N547" i="6"/>
  <c r="P547" i="6" s="1"/>
  <c r="J551" i="6"/>
  <c r="N551" i="6"/>
  <c r="P551" i="6" s="1"/>
  <c r="J555" i="6"/>
  <c r="N555" i="6"/>
  <c r="P555" i="6" s="1"/>
  <c r="O544" i="6"/>
  <c r="J545" i="6"/>
  <c r="N545" i="6"/>
  <c r="P545" i="6" s="1"/>
  <c r="J549" i="6"/>
  <c r="N549" i="6"/>
  <c r="P549" i="6" s="1"/>
  <c r="O556" i="6"/>
  <c r="J561" i="6"/>
  <c r="N561" i="6"/>
  <c r="P561" i="6" s="1"/>
  <c r="J563" i="6"/>
  <c r="N563" i="6"/>
  <c r="P563" i="6" s="1"/>
  <c r="J565" i="6"/>
  <c r="N565" i="6"/>
  <c r="P565" i="6" s="1"/>
  <c r="J567" i="6"/>
  <c r="N567" i="6"/>
  <c r="P567" i="6" s="1"/>
  <c r="N564" i="6"/>
  <c r="P564" i="6" s="1"/>
  <c r="J564" i="6"/>
  <c r="J557" i="6"/>
  <c r="N557" i="6"/>
  <c r="P557" i="6" s="1"/>
  <c r="J559" i="6"/>
  <c r="N559" i="6"/>
  <c r="P559" i="6" s="1"/>
  <c r="N558" i="6"/>
  <c r="P558" i="6" s="1"/>
  <c r="J558" i="6"/>
  <c r="N562" i="6"/>
  <c r="P562" i="6" s="1"/>
  <c r="J562" i="6"/>
  <c r="J569" i="6"/>
  <c r="N569" i="6"/>
  <c r="P569" i="6" s="1"/>
  <c r="J573" i="6"/>
  <c r="N573" i="6"/>
  <c r="P573" i="6" s="1"/>
  <c r="J575" i="6"/>
  <c r="N575" i="6"/>
  <c r="P575" i="6" s="1"/>
  <c r="J577" i="6"/>
  <c r="N577" i="6"/>
  <c r="P577" i="6" s="1"/>
  <c r="J579" i="6"/>
  <c r="N579" i="6"/>
  <c r="P579" i="6" s="1"/>
  <c r="J571" i="6"/>
  <c r="N571" i="6"/>
  <c r="P571" i="6" s="1"/>
  <c r="O569" i="6"/>
  <c r="J591" i="6"/>
  <c r="N591" i="6"/>
  <c r="P591" i="6" s="1"/>
  <c r="J589" i="6"/>
  <c r="N589" i="6"/>
  <c r="P589" i="6" s="1"/>
  <c r="O580" i="6"/>
  <c r="J581" i="6"/>
  <c r="N581" i="6"/>
  <c r="P581" i="6" s="1"/>
  <c r="O588" i="6"/>
  <c r="P588" i="6" s="1"/>
  <c r="J588" i="6"/>
  <c r="J583" i="6"/>
  <c r="N583" i="6"/>
  <c r="P583" i="6" s="1"/>
  <c r="J585" i="6"/>
  <c r="N585" i="6"/>
  <c r="P585" i="6" s="1"/>
  <c r="J587" i="6"/>
  <c r="N587" i="6"/>
  <c r="P587" i="6" s="1"/>
  <c r="N595" i="6"/>
  <c r="P595" i="6" s="1"/>
  <c r="J595" i="6"/>
  <c r="O592" i="6"/>
  <c r="J592" i="6"/>
  <c r="N592" i="6"/>
  <c r="N599" i="6"/>
  <c r="P599" i="6" s="1"/>
  <c r="J599" i="6"/>
  <c r="J594" i="6"/>
  <c r="N594" i="6"/>
  <c r="P594" i="6" s="1"/>
  <c r="N593" i="6"/>
  <c r="P593" i="6" s="1"/>
  <c r="J593" i="6"/>
  <c r="J596" i="6"/>
  <c r="N596" i="6"/>
  <c r="P596" i="6" s="1"/>
  <c r="N601" i="6"/>
  <c r="P601" i="6" s="1"/>
  <c r="J601" i="6"/>
  <c r="N597" i="6"/>
  <c r="P597" i="6" s="1"/>
  <c r="J597" i="6"/>
  <c r="J598" i="6"/>
  <c r="N598" i="6"/>
  <c r="P598" i="6" s="1"/>
  <c r="N603" i="6"/>
  <c r="P603" i="6" s="1"/>
  <c r="J603" i="6"/>
  <c r="J600" i="6"/>
  <c r="N600" i="6"/>
  <c r="P600" i="6" s="1"/>
  <c r="J602" i="6"/>
  <c r="N602" i="6"/>
  <c r="P602" i="6" s="1"/>
  <c r="J607" i="6"/>
  <c r="N607" i="6"/>
  <c r="P607" i="6" s="1"/>
  <c r="J611" i="6"/>
  <c r="N611" i="6"/>
  <c r="P611" i="6" s="1"/>
  <c r="J609" i="6"/>
  <c r="N609" i="6"/>
  <c r="P609" i="6" s="1"/>
  <c r="J613" i="6"/>
  <c r="N613" i="6"/>
  <c r="P613" i="6" s="1"/>
  <c r="O610" i="6"/>
  <c r="P610" i="6" s="1"/>
  <c r="J610" i="6"/>
  <c r="J615" i="6"/>
  <c r="N615" i="6"/>
  <c r="P615" i="6" s="1"/>
  <c r="N606" i="6"/>
  <c r="P606" i="6" s="1"/>
  <c r="J606" i="6"/>
  <c r="N614" i="6"/>
  <c r="P614" i="6" s="1"/>
  <c r="J614" i="6"/>
  <c r="J605" i="6"/>
  <c r="N605" i="6"/>
  <c r="P605" i="6" s="1"/>
  <c r="N612" i="6"/>
  <c r="P612" i="6" s="1"/>
  <c r="J612" i="6"/>
  <c r="N608" i="6"/>
  <c r="P608" i="6" s="1"/>
  <c r="J608" i="6"/>
  <c r="O604" i="6"/>
  <c r="P604" i="6" s="1"/>
  <c r="J604" i="6"/>
  <c r="J623" i="6"/>
  <c r="N623" i="6"/>
  <c r="P623" i="6" s="1"/>
  <c r="N616" i="6"/>
  <c r="J616" i="6"/>
  <c r="N626" i="6"/>
  <c r="P626" i="6" s="1"/>
  <c r="J626" i="6"/>
  <c r="J621" i="6"/>
  <c r="N621" i="6"/>
  <c r="P621" i="6" s="1"/>
  <c r="N618" i="6"/>
  <c r="P618" i="6" s="1"/>
  <c r="J618" i="6"/>
  <c r="J627" i="6"/>
  <c r="N627" i="6"/>
  <c r="P627" i="6" s="1"/>
  <c r="J625" i="6"/>
  <c r="N625" i="6"/>
  <c r="P625" i="6" s="1"/>
  <c r="N624" i="6"/>
  <c r="P624" i="6" s="1"/>
  <c r="J624" i="6"/>
  <c r="J617" i="6"/>
  <c r="N617" i="6"/>
  <c r="P617" i="6" s="1"/>
  <c r="N622" i="6"/>
  <c r="P622" i="6" s="1"/>
  <c r="J622" i="6"/>
  <c r="O616" i="6"/>
  <c r="J619" i="6"/>
  <c r="N619" i="6"/>
  <c r="P619" i="6" s="1"/>
  <c r="N638" i="6"/>
  <c r="P638" i="6" s="1"/>
  <c r="J638" i="6"/>
  <c r="N632" i="6"/>
  <c r="P632" i="6" s="1"/>
  <c r="J632" i="6"/>
  <c r="N628" i="6"/>
  <c r="J628" i="6"/>
  <c r="J631" i="6"/>
  <c r="N631" i="6"/>
  <c r="P631" i="6" s="1"/>
  <c r="O628" i="6"/>
  <c r="J633" i="6"/>
  <c r="N633" i="6"/>
  <c r="P633" i="6" s="1"/>
  <c r="N634" i="6"/>
  <c r="P634" i="6" s="1"/>
  <c r="J634" i="6"/>
  <c r="J637" i="6"/>
  <c r="N637" i="6"/>
  <c r="P637" i="6" s="1"/>
  <c r="N630" i="6"/>
  <c r="P630" i="6" s="1"/>
  <c r="J630" i="6"/>
  <c r="J635" i="6"/>
  <c r="N635" i="6"/>
  <c r="P635" i="6" s="1"/>
  <c r="N636" i="6"/>
  <c r="P636" i="6" s="1"/>
  <c r="J636" i="6"/>
  <c r="J639" i="6"/>
  <c r="N639" i="6"/>
  <c r="P639" i="6" s="1"/>
  <c r="N640" i="6"/>
  <c r="P640" i="6" s="1"/>
  <c r="J640" i="6"/>
  <c r="J643" i="6"/>
  <c r="N643" i="6"/>
  <c r="P643" i="6" s="1"/>
  <c r="N648" i="6"/>
  <c r="P648" i="6" s="1"/>
  <c r="J648" i="6"/>
  <c r="J649" i="6"/>
  <c r="N649" i="6"/>
  <c r="P649" i="6" s="1"/>
  <c r="N644" i="6"/>
  <c r="P644" i="6" s="1"/>
  <c r="J644" i="6"/>
  <c r="J645" i="6"/>
  <c r="N645" i="6"/>
  <c r="P645" i="6" s="1"/>
  <c r="N650" i="6"/>
  <c r="P650" i="6" s="1"/>
  <c r="J650" i="6"/>
  <c r="J647" i="6"/>
  <c r="N647" i="6"/>
  <c r="P647" i="6" s="1"/>
  <c r="N642" i="6"/>
  <c r="P642" i="6" s="1"/>
  <c r="J642" i="6"/>
  <c r="J641" i="6"/>
  <c r="N641" i="6"/>
  <c r="P641" i="6" s="1"/>
  <c r="O646" i="6"/>
  <c r="P646" i="6" s="1"/>
  <c r="J646" i="6"/>
  <c r="J651" i="6"/>
  <c r="J658" i="6"/>
  <c r="J657" i="6"/>
  <c r="J662" i="6"/>
  <c r="J656" i="6"/>
  <c r="J660" i="6"/>
  <c r="J659" i="6"/>
  <c r="J655" i="6"/>
  <c r="J663" i="6"/>
  <c r="J661" i="6"/>
  <c r="J652" i="6"/>
  <c r="J653" i="6"/>
  <c r="J666" i="6"/>
  <c r="J667" i="6"/>
  <c r="J664" i="6"/>
  <c r="J665" i="6"/>
  <c r="J160" i="6"/>
  <c r="J162" i="6"/>
  <c r="N162" i="6"/>
  <c r="P162" i="6" s="1"/>
  <c r="J167" i="6"/>
  <c r="N167" i="6"/>
  <c r="P167" i="6" s="1"/>
  <c r="J161" i="6"/>
  <c r="J163" i="6"/>
  <c r="N163" i="6"/>
  <c r="P163" i="6" s="1"/>
  <c r="J148" i="6"/>
  <c r="J125" i="6"/>
  <c r="J142" i="6"/>
  <c r="J124" i="6"/>
  <c r="K124" i="6"/>
  <c r="J145" i="6"/>
  <c r="L124" i="6"/>
  <c r="J129" i="6"/>
  <c r="J132" i="6"/>
  <c r="J133" i="6"/>
  <c r="O47" i="5"/>
  <c r="O48" i="5"/>
  <c r="O49" i="5"/>
  <c r="O51" i="5"/>
  <c r="O52" i="5"/>
  <c r="O53" i="5"/>
  <c r="O54" i="5"/>
  <c r="O55" i="5"/>
  <c r="O56" i="5"/>
  <c r="O57" i="5"/>
  <c r="O59" i="5"/>
  <c r="O58" i="5"/>
  <c r="J127" i="6"/>
  <c r="J131" i="6"/>
  <c r="J135" i="6"/>
  <c r="J130" i="6"/>
  <c r="J134" i="6"/>
  <c r="J143" i="6"/>
  <c r="J147" i="6"/>
  <c r="J140" i="6"/>
  <c r="J146" i="6"/>
  <c r="J144" i="6"/>
  <c r="J155" i="6"/>
  <c r="J159" i="6"/>
  <c r="J152" i="6"/>
  <c r="N152" i="6"/>
  <c r="P152" i="6" s="1"/>
  <c r="J154" i="6"/>
  <c r="N154" i="6"/>
  <c r="P154" i="6" s="1"/>
  <c r="J158" i="6"/>
  <c r="N158" i="6"/>
  <c r="P158" i="6" s="1"/>
  <c r="J156" i="6"/>
  <c r="J166" i="6"/>
  <c r="J170" i="6"/>
  <c r="N170" i="6"/>
  <c r="P170" i="6" s="1"/>
  <c r="J171" i="6"/>
  <c r="J165" i="6"/>
  <c r="N165" i="6"/>
  <c r="P165" i="6" s="1"/>
  <c r="J169" i="6"/>
  <c r="N169" i="6"/>
  <c r="P169" i="6" s="1"/>
  <c r="J164" i="6"/>
  <c r="J168" i="6"/>
  <c r="J175" i="6"/>
  <c r="N175" i="6"/>
  <c r="P175" i="6" s="1"/>
  <c r="J179" i="6"/>
  <c r="N179" i="6"/>
  <c r="P179" i="6" s="1"/>
  <c r="J183" i="6"/>
  <c r="N183" i="6"/>
  <c r="P183" i="6" s="1"/>
  <c r="J174" i="6"/>
  <c r="N174" i="6"/>
  <c r="P174" i="6" s="1"/>
  <c r="J178" i="6"/>
  <c r="N178" i="6"/>
  <c r="P178" i="6" s="1"/>
  <c r="J182" i="6"/>
  <c r="N182" i="6"/>
  <c r="P182" i="6" s="1"/>
  <c r="O174" i="6"/>
  <c r="J194" i="6"/>
  <c r="N194" i="6"/>
  <c r="P194" i="6" s="1"/>
  <c r="J191" i="6"/>
  <c r="N191" i="6"/>
  <c r="P191" i="6" s="1"/>
  <c r="J195" i="6"/>
  <c r="N195" i="6"/>
  <c r="P195" i="6" s="1"/>
  <c r="O191" i="6"/>
  <c r="J188" i="6"/>
  <c r="N188" i="6"/>
  <c r="P188" i="6" s="1"/>
  <c r="J192" i="6"/>
  <c r="N192" i="6"/>
  <c r="P192" i="6" s="1"/>
  <c r="J199" i="6"/>
  <c r="N199" i="6"/>
  <c r="P199" i="6" s="1"/>
  <c r="J203" i="6"/>
  <c r="N203" i="6"/>
  <c r="P203" i="6" s="1"/>
  <c r="J197" i="6"/>
  <c r="N197" i="6"/>
  <c r="P197" i="6" s="1"/>
  <c r="J207" i="6"/>
  <c r="N207" i="6"/>
  <c r="P207" i="6" s="1"/>
  <c r="J201" i="6"/>
  <c r="N201" i="6"/>
  <c r="P201" i="6" s="1"/>
  <c r="J205" i="6"/>
  <c r="N205" i="6"/>
  <c r="P205" i="6" s="1"/>
  <c r="J200" i="6"/>
  <c r="N200" i="6"/>
  <c r="P200" i="6" s="1"/>
  <c r="J202" i="6"/>
  <c r="N202" i="6"/>
  <c r="P202" i="6" s="1"/>
  <c r="J204" i="6"/>
  <c r="N204" i="6"/>
  <c r="P204" i="6" s="1"/>
  <c r="J206" i="6"/>
  <c r="N206" i="6"/>
  <c r="P206" i="6" s="1"/>
  <c r="O200" i="6"/>
  <c r="J215" i="6"/>
  <c r="N215" i="6"/>
  <c r="P215" i="6" s="1"/>
  <c r="J219" i="6"/>
  <c r="N219" i="6"/>
  <c r="P219" i="6" s="1"/>
  <c r="O211" i="6"/>
  <c r="J218" i="6"/>
  <c r="N218" i="6"/>
  <c r="P218" i="6" s="1"/>
  <c r="J212" i="6"/>
  <c r="N212" i="6"/>
  <c r="P212" i="6" s="1"/>
  <c r="J216" i="6"/>
  <c r="N216" i="6"/>
  <c r="P216" i="6" s="1"/>
  <c r="J211" i="6"/>
  <c r="N211" i="6"/>
  <c r="P211" i="6" s="1"/>
  <c r="J231" i="6"/>
  <c r="N231" i="6"/>
  <c r="P231" i="6" s="1"/>
  <c r="N227" i="6"/>
  <c r="P227" i="6" s="1"/>
  <c r="J227" i="6"/>
  <c r="O221" i="6"/>
  <c r="J223" i="6"/>
  <c r="N223" i="6"/>
  <c r="P223" i="6" s="1"/>
  <c r="J243" i="6"/>
  <c r="N243" i="6"/>
  <c r="P243" i="6" s="1"/>
  <c r="J237" i="6"/>
  <c r="N237" i="6"/>
  <c r="P237" i="6" s="1"/>
  <c r="J241" i="6"/>
  <c r="N241" i="6"/>
  <c r="P241" i="6" s="1"/>
  <c r="J236" i="6"/>
  <c r="N236" i="6"/>
  <c r="P236" i="6" s="1"/>
  <c r="J240" i="6"/>
  <c r="N240" i="6"/>
  <c r="P240" i="6" s="1"/>
  <c r="J238" i="6"/>
  <c r="N238" i="6"/>
  <c r="P238" i="6" s="1"/>
  <c r="O236" i="6"/>
  <c r="J242" i="6"/>
  <c r="N242" i="6"/>
  <c r="P242" i="6" s="1"/>
  <c r="J239" i="6"/>
  <c r="N239" i="6"/>
  <c r="P239" i="6" s="1"/>
  <c r="J255" i="6"/>
  <c r="N255" i="6"/>
  <c r="P255" i="6" s="1"/>
  <c r="J246" i="6"/>
  <c r="N246" i="6"/>
  <c r="P246" i="6" s="1"/>
  <c r="J252" i="6"/>
  <c r="N252" i="6"/>
  <c r="P252" i="6" s="1"/>
  <c r="N250" i="6"/>
  <c r="P250" i="6" s="1"/>
  <c r="J250" i="6"/>
  <c r="O248" i="6"/>
  <c r="J254" i="6"/>
  <c r="N254" i="6"/>
  <c r="P254" i="6" s="1"/>
  <c r="J267" i="6"/>
  <c r="N267" i="6"/>
  <c r="P267" i="6" s="1"/>
  <c r="O257" i="6"/>
  <c r="J263" i="6"/>
  <c r="N263" i="6"/>
  <c r="P263" i="6" s="1"/>
  <c r="J262" i="6"/>
  <c r="N262" i="6"/>
  <c r="P262" i="6" s="1"/>
  <c r="J266" i="6"/>
  <c r="N266" i="6"/>
  <c r="P266" i="6" s="1"/>
  <c r="J275" i="6"/>
  <c r="N275" i="6"/>
  <c r="P275" i="6" s="1"/>
  <c r="J279" i="6"/>
  <c r="N279" i="6"/>
  <c r="P279" i="6" s="1"/>
  <c r="J272" i="6"/>
  <c r="N272" i="6"/>
  <c r="P272" i="6" s="1"/>
  <c r="J276" i="6"/>
  <c r="N276" i="6"/>
  <c r="P276" i="6" s="1"/>
  <c r="J278" i="6"/>
  <c r="N278" i="6"/>
  <c r="P278" i="6" s="1"/>
  <c r="O272" i="6"/>
  <c r="J271" i="6"/>
  <c r="N271" i="6"/>
  <c r="P271" i="6" s="1"/>
  <c r="J287" i="6"/>
  <c r="N287" i="6"/>
  <c r="P287" i="6" s="1"/>
  <c r="J291" i="6"/>
  <c r="N291" i="6"/>
  <c r="P291" i="6" s="1"/>
  <c r="J283" i="6"/>
  <c r="N283" i="6"/>
  <c r="P283" i="6" s="1"/>
  <c r="J290" i="6"/>
  <c r="N290" i="6"/>
  <c r="P290" i="6" s="1"/>
  <c r="J288" i="6"/>
  <c r="N288" i="6"/>
  <c r="P288" i="6" s="1"/>
  <c r="O284" i="6"/>
  <c r="J298" i="6"/>
  <c r="N298" i="6"/>
  <c r="P298" i="6" s="1"/>
  <c r="J299" i="6"/>
  <c r="N299" i="6"/>
  <c r="J303" i="6"/>
  <c r="N303" i="6"/>
  <c r="P303" i="6" s="1"/>
  <c r="J297" i="6"/>
  <c r="N297" i="6"/>
  <c r="P297" i="6" s="1"/>
  <c r="O299" i="6"/>
  <c r="J301" i="6"/>
  <c r="N301" i="6"/>
  <c r="P301" i="6" s="1"/>
  <c r="N296" i="6"/>
  <c r="P296" i="6" s="1"/>
  <c r="J296" i="6"/>
  <c r="J300" i="6"/>
  <c r="N300" i="6"/>
  <c r="P300" i="6" s="1"/>
  <c r="J302" i="6"/>
  <c r="N302" i="6"/>
  <c r="P302" i="6" s="1"/>
  <c r="J315" i="6"/>
  <c r="N315" i="6"/>
  <c r="P315" i="6" s="1"/>
  <c r="O307" i="6"/>
  <c r="J310" i="6"/>
  <c r="N310" i="6"/>
  <c r="P310" i="6" s="1"/>
  <c r="J314" i="6"/>
  <c r="N314" i="6"/>
  <c r="P314" i="6" s="1"/>
  <c r="J308" i="6"/>
  <c r="N308" i="6"/>
  <c r="P308" i="6" s="1"/>
  <c r="J312" i="6"/>
  <c r="N312" i="6"/>
  <c r="P312" i="6" s="1"/>
  <c r="J307" i="6"/>
  <c r="N307" i="6"/>
  <c r="P307" i="6" s="1"/>
  <c r="J311" i="6"/>
  <c r="N311" i="6"/>
  <c r="P311" i="6" s="1"/>
  <c r="J326" i="6"/>
  <c r="N326" i="6"/>
  <c r="P326" i="6" s="1"/>
  <c r="J317" i="6"/>
  <c r="N317" i="6"/>
  <c r="J321" i="6"/>
  <c r="N321" i="6"/>
  <c r="P321" i="6" s="1"/>
  <c r="J325" i="6"/>
  <c r="N325" i="6"/>
  <c r="P325" i="6" s="1"/>
  <c r="J327" i="6"/>
  <c r="N327" i="6"/>
  <c r="P327" i="6" s="1"/>
  <c r="J322" i="6"/>
  <c r="N322" i="6"/>
  <c r="P322" i="6" s="1"/>
  <c r="O317" i="6"/>
  <c r="N324" i="6"/>
  <c r="P324" i="6" s="1"/>
  <c r="J324" i="6"/>
  <c r="J318" i="6"/>
  <c r="N318" i="6"/>
  <c r="P318" i="6" s="1"/>
  <c r="J339" i="6"/>
  <c r="N339" i="6"/>
  <c r="P339" i="6" s="1"/>
  <c r="O331" i="6"/>
  <c r="J334" i="6"/>
  <c r="N334" i="6"/>
  <c r="P334" i="6" s="1"/>
  <c r="N338" i="6"/>
  <c r="P338" i="6" s="1"/>
  <c r="J338" i="6"/>
  <c r="J332" i="6"/>
  <c r="N332" i="6"/>
  <c r="P332" i="6" s="1"/>
  <c r="J335" i="6"/>
  <c r="N335" i="6"/>
  <c r="P335" i="6" s="1"/>
  <c r="J336" i="6"/>
  <c r="N336" i="6"/>
  <c r="P336" i="6" s="1"/>
  <c r="N331" i="6"/>
  <c r="P331" i="6" s="1"/>
  <c r="J331" i="6"/>
  <c r="J347" i="6"/>
  <c r="N347" i="6"/>
  <c r="P347" i="6" s="1"/>
  <c r="J351" i="6"/>
  <c r="N351" i="6"/>
  <c r="P351" i="6" s="1"/>
  <c r="J348" i="6"/>
  <c r="N348" i="6"/>
  <c r="P348" i="6" s="1"/>
  <c r="O344" i="6"/>
  <c r="P344" i="6" s="1"/>
  <c r="N350" i="6"/>
  <c r="P350" i="6" s="1"/>
  <c r="J350" i="6"/>
  <c r="J362" i="6"/>
  <c r="N362" i="6"/>
  <c r="P362" i="6" s="1"/>
  <c r="J363" i="6"/>
  <c r="N363" i="6"/>
  <c r="P363" i="6" s="1"/>
  <c r="O353" i="6"/>
  <c r="J356" i="6"/>
  <c r="N356" i="6"/>
  <c r="P356" i="6" s="1"/>
  <c r="J354" i="6"/>
  <c r="N354" i="6"/>
  <c r="P354" i="6" s="1"/>
  <c r="J358" i="6"/>
  <c r="N358" i="6"/>
  <c r="P358" i="6" s="1"/>
  <c r="J360" i="6"/>
  <c r="N360" i="6"/>
  <c r="P360" i="6" s="1"/>
  <c r="J371" i="6"/>
  <c r="N371" i="6"/>
  <c r="P371" i="6" s="1"/>
  <c r="J375" i="6"/>
  <c r="N375" i="6"/>
  <c r="P375" i="6" s="1"/>
  <c r="J368" i="6"/>
  <c r="N368" i="6"/>
  <c r="P368" i="6" s="1"/>
  <c r="J372" i="6"/>
  <c r="N372" i="6"/>
  <c r="P372" i="6" s="1"/>
  <c r="J370" i="6"/>
  <c r="N370" i="6"/>
  <c r="P370" i="6" s="1"/>
  <c r="O368" i="6"/>
  <c r="J374" i="6"/>
  <c r="N374" i="6"/>
  <c r="P374" i="6" s="1"/>
  <c r="J383" i="6"/>
  <c r="N383" i="6"/>
  <c r="P383" i="6" s="1"/>
  <c r="J381" i="6"/>
  <c r="N381" i="6"/>
  <c r="P381" i="6" s="1"/>
  <c r="J387" i="6"/>
  <c r="N387" i="6"/>
  <c r="P387" i="6" s="1"/>
  <c r="J385" i="6"/>
  <c r="N385" i="6"/>
  <c r="P385" i="6" s="1"/>
  <c r="O382" i="6"/>
  <c r="J382" i="6"/>
  <c r="N382" i="6"/>
  <c r="P382" i="6" s="1"/>
  <c r="N380" i="6"/>
  <c r="P380" i="6" s="1"/>
  <c r="J380" i="6"/>
  <c r="J386" i="6"/>
  <c r="N386" i="6"/>
  <c r="P386" i="6" s="1"/>
  <c r="N384" i="6"/>
  <c r="P384" i="6" s="1"/>
  <c r="J384" i="6"/>
  <c r="J391" i="6"/>
  <c r="N391" i="6"/>
  <c r="P391" i="6" s="1"/>
  <c r="J395" i="6"/>
  <c r="N395" i="6"/>
  <c r="P395" i="6" s="1"/>
  <c r="J399" i="6"/>
  <c r="N399" i="6"/>
  <c r="P399" i="6" s="1"/>
  <c r="J398" i="6"/>
  <c r="N398" i="6"/>
  <c r="P398" i="6" s="1"/>
  <c r="O390" i="6"/>
  <c r="P390" i="6" s="1"/>
  <c r="J396" i="6"/>
  <c r="O396" i="6"/>
  <c r="P396" i="6" s="1"/>
  <c r="J411" i="6"/>
  <c r="N411" i="6"/>
  <c r="P411" i="6" s="1"/>
  <c r="J404" i="6"/>
  <c r="N404" i="6"/>
  <c r="J408" i="6"/>
  <c r="N408" i="6"/>
  <c r="P408" i="6" s="1"/>
  <c r="J410" i="6"/>
  <c r="N410" i="6"/>
  <c r="P410" i="6" s="1"/>
  <c r="O404" i="6"/>
  <c r="J419" i="6"/>
  <c r="N419" i="6"/>
  <c r="P419" i="6" s="1"/>
  <c r="J422" i="6"/>
  <c r="N422" i="6"/>
  <c r="P422" i="6" s="1"/>
  <c r="J423" i="6"/>
  <c r="N423" i="6"/>
  <c r="P423" i="6" s="1"/>
  <c r="J416" i="6"/>
  <c r="N416" i="6"/>
  <c r="P416" i="6" s="1"/>
  <c r="J420" i="6"/>
  <c r="N420" i="6"/>
  <c r="P420" i="6" s="1"/>
  <c r="J418" i="6"/>
  <c r="N418" i="6"/>
  <c r="P418" i="6" s="1"/>
  <c r="O416" i="6"/>
  <c r="J431" i="6"/>
  <c r="N431" i="6"/>
  <c r="P431" i="6" s="1"/>
  <c r="O425" i="6"/>
  <c r="J435" i="6"/>
  <c r="N435" i="6"/>
  <c r="P435" i="6" s="1"/>
  <c r="J427" i="6"/>
  <c r="N427" i="6"/>
  <c r="P427" i="6" s="1"/>
  <c r="J429" i="6"/>
  <c r="O429" i="6"/>
  <c r="P429" i="6" s="1"/>
  <c r="J446" i="6"/>
  <c r="N446" i="6"/>
  <c r="P446" i="6" s="1"/>
  <c r="J439" i="6"/>
  <c r="N439" i="6"/>
  <c r="P439" i="6" s="1"/>
  <c r="J443" i="6"/>
  <c r="N443" i="6"/>
  <c r="P443" i="6" s="1"/>
  <c r="J445" i="6"/>
  <c r="N445" i="6"/>
  <c r="P445" i="6" s="1"/>
  <c r="J441" i="6"/>
  <c r="N441" i="6"/>
  <c r="P441" i="6" s="1"/>
  <c r="J447" i="6"/>
  <c r="N447" i="6"/>
  <c r="P447" i="6" s="1"/>
  <c r="J440" i="6"/>
  <c r="N440" i="6"/>
  <c r="P440" i="6" s="1"/>
  <c r="J438" i="6"/>
  <c r="N438" i="6"/>
  <c r="P438" i="6" s="1"/>
  <c r="N444" i="6"/>
  <c r="J444" i="6"/>
  <c r="J442" i="6"/>
  <c r="N442" i="6"/>
  <c r="P442" i="6" s="1"/>
  <c r="O444" i="6"/>
  <c r="J459" i="6"/>
  <c r="N459" i="6"/>
  <c r="P459" i="6" s="1"/>
  <c r="J458" i="6"/>
  <c r="N458" i="6"/>
  <c r="P458" i="6" s="1"/>
  <c r="J453" i="6"/>
  <c r="N453" i="6"/>
  <c r="P453" i="6" s="1"/>
  <c r="J457" i="6"/>
  <c r="N457" i="6"/>
  <c r="P457" i="6" s="1"/>
  <c r="N452" i="6"/>
  <c r="J452" i="6"/>
  <c r="N456" i="6"/>
  <c r="P456" i="6" s="1"/>
  <c r="J456" i="6"/>
  <c r="J454" i="6"/>
  <c r="N454" i="6"/>
  <c r="P454" i="6" s="1"/>
  <c r="O452" i="6"/>
  <c r="J471" i="6"/>
  <c r="N471" i="6"/>
  <c r="P471" i="6" s="1"/>
  <c r="J467" i="6"/>
  <c r="N467" i="6"/>
  <c r="P467" i="6" s="1"/>
  <c r="N465" i="6"/>
  <c r="P465" i="6" s="1"/>
  <c r="J465" i="6"/>
  <c r="J469" i="6"/>
  <c r="N469" i="6"/>
  <c r="P469" i="6" s="1"/>
  <c r="J468" i="6"/>
  <c r="N468" i="6"/>
  <c r="P468" i="6" s="1"/>
  <c r="J466" i="6"/>
  <c r="N466" i="6"/>
  <c r="P466" i="6" s="1"/>
  <c r="O464" i="6"/>
  <c r="P464" i="6" s="1"/>
  <c r="J470" i="6"/>
  <c r="N470" i="6"/>
  <c r="P470" i="6" s="1"/>
  <c r="J475" i="6"/>
  <c r="N475" i="6"/>
  <c r="J483" i="6"/>
  <c r="N483" i="6"/>
  <c r="P483" i="6" s="1"/>
  <c r="O475" i="6"/>
  <c r="J479" i="6"/>
  <c r="N479" i="6"/>
  <c r="P479" i="6" s="1"/>
  <c r="J495" i="6"/>
  <c r="N495" i="6"/>
  <c r="P495" i="6" s="1"/>
  <c r="J488" i="6"/>
  <c r="N488" i="6"/>
  <c r="P488" i="6" s="1"/>
  <c r="J492" i="6"/>
  <c r="N492" i="6"/>
  <c r="P492" i="6" s="1"/>
  <c r="J494" i="6"/>
  <c r="N494" i="6"/>
  <c r="P494" i="6" s="1"/>
  <c r="O488" i="6"/>
  <c r="J499" i="6"/>
  <c r="N499" i="6"/>
  <c r="J503" i="6"/>
  <c r="N503" i="6"/>
  <c r="P503" i="6" s="1"/>
  <c r="J507" i="6"/>
  <c r="N507" i="6"/>
  <c r="P507" i="6" s="1"/>
  <c r="O499" i="6"/>
  <c r="I130" i="13"/>
  <c r="I131" i="13"/>
  <c r="I132" i="13"/>
  <c r="I133" i="13"/>
  <c r="I134" i="13"/>
  <c r="I135" i="13"/>
  <c r="I136" i="13"/>
  <c r="AR2" i="3" a="1"/>
  <c r="AR2" i="3" s="1"/>
  <c r="AF2" i="3" a="1"/>
  <c r="AF2" i="3" s="1"/>
  <c r="J955" i="2"/>
  <c r="K955" i="2" s="1"/>
  <c r="J954" i="2"/>
  <c r="K954" i="2" s="1"/>
  <c r="J658" i="2"/>
  <c r="K658" i="2" s="1"/>
  <c r="J657" i="2"/>
  <c r="K657" i="2" s="1"/>
  <c r="J656" i="2"/>
  <c r="K656" i="2" s="1"/>
  <c r="J547" i="2"/>
  <c r="K547" i="2" s="1"/>
  <c r="J544" i="2"/>
  <c r="K544" i="2" s="1"/>
  <c r="J542" i="2"/>
  <c r="K542" i="2" s="1"/>
  <c r="J1008" i="2"/>
  <c r="K1008" i="2" s="1"/>
  <c r="J541" i="2"/>
  <c r="K541" i="2" s="1"/>
  <c r="J1010" i="2"/>
  <c r="K1010" i="2" s="1"/>
  <c r="J1012" i="2"/>
  <c r="K1012" i="2" s="1"/>
  <c r="J393" i="2"/>
  <c r="K393" i="2" s="1"/>
  <c r="J388" i="2"/>
  <c r="K388" i="2" s="1"/>
  <c r="J543" i="2"/>
  <c r="K543" i="2" s="1"/>
  <c r="J539" i="2"/>
  <c r="K539" i="2" s="1"/>
  <c r="J661" i="2"/>
  <c r="K661" i="2" s="1"/>
  <c r="J660" i="2"/>
  <c r="K660" i="2" s="1"/>
  <c r="J659" i="2"/>
  <c r="K659" i="2" s="1"/>
  <c r="J654" i="2"/>
  <c r="K654" i="2" s="1"/>
  <c r="H16" i="14"/>
  <c r="J1011" i="2"/>
  <c r="K1011" i="2" s="1"/>
  <c r="J1007" i="2"/>
  <c r="K1007" i="2" s="1"/>
  <c r="J1005" i="2"/>
  <c r="K1005" i="2" s="1"/>
  <c r="J56" i="2"/>
  <c r="K56" i="2" s="1"/>
  <c r="J55" i="2"/>
  <c r="K55" i="2" s="1"/>
  <c r="W51" i="15"/>
  <c r="W56" i="15"/>
  <c r="W58" i="15"/>
  <c r="W64" i="15"/>
  <c r="W53" i="15"/>
  <c r="W76" i="15"/>
  <c r="W72" i="15"/>
  <c r="W66" i="15"/>
  <c r="W70" i="15"/>
  <c r="W68" i="15"/>
  <c r="W55" i="15"/>
  <c r="M59" i="15"/>
  <c r="M58" i="15"/>
  <c r="Q51" i="15"/>
  <c r="Q52" i="15"/>
  <c r="M57" i="15"/>
  <c r="J976" i="2"/>
  <c r="K976" i="2" s="1"/>
  <c r="J994" i="2"/>
  <c r="K994" i="2" s="1"/>
  <c r="J940" i="2"/>
  <c r="K940" i="2" s="1"/>
  <c r="J147" i="2"/>
  <c r="K147" i="2" s="1"/>
  <c r="J149" i="2"/>
  <c r="K149" i="2" s="1"/>
  <c r="J979" i="2"/>
  <c r="K979" i="2" s="1"/>
  <c r="J978" i="2"/>
  <c r="K978" i="2" s="1"/>
  <c r="J977" i="2"/>
  <c r="K977" i="2" s="1"/>
  <c r="J975" i="2"/>
  <c r="K975" i="2" s="1"/>
  <c r="J148" i="2"/>
  <c r="K148" i="2" s="1"/>
  <c r="J941" i="2"/>
  <c r="K941" i="2" s="1"/>
  <c r="J996" i="2"/>
  <c r="K996" i="2" s="1"/>
  <c r="J995" i="2"/>
  <c r="K995" i="2" s="1"/>
  <c r="J993" i="2"/>
  <c r="K993" i="2" s="1"/>
  <c r="J244" i="2"/>
  <c r="K244" i="2" s="1"/>
  <c r="J464" i="2"/>
  <c r="K464" i="2" s="1"/>
  <c r="J314" i="2"/>
  <c r="K314" i="2" s="1"/>
  <c r="J313" i="2"/>
  <c r="K313" i="2" s="1"/>
  <c r="J312" i="2"/>
  <c r="K312" i="2" s="1"/>
  <c r="J311" i="2"/>
  <c r="K311" i="2" s="1"/>
  <c r="J310" i="2"/>
  <c r="K310" i="2" s="1"/>
  <c r="I113" i="13"/>
  <c r="M46" i="15"/>
  <c r="M53" i="15"/>
  <c r="M7" i="15"/>
  <c r="M8" i="15"/>
  <c r="M9" i="15"/>
  <c r="M10" i="15"/>
  <c r="M11" i="15"/>
  <c r="M14" i="15"/>
  <c r="M15" i="15"/>
  <c r="M16" i="15"/>
  <c r="M17" i="15"/>
  <c r="M18" i="15"/>
  <c r="M19" i="15"/>
  <c r="M21" i="15"/>
  <c r="M22" i="15"/>
  <c r="M27" i="15"/>
  <c r="M28" i="15"/>
  <c r="M29" i="15"/>
  <c r="M31" i="15"/>
  <c r="M32" i="15"/>
  <c r="M33" i="15"/>
  <c r="M36" i="15"/>
  <c r="M35" i="15"/>
  <c r="M37" i="15"/>
  <c r="M42" i="15"/>
  <c r="M43" i="15"/>
  <c r="M44" i="15"/>
  <c r="M47" i="15"/>
  <c r="M48" i="15"/>
  <c r="M49" i="15"/>
  <c r="M50" i="15"/>
  <c r="M51" i="15"/>
  <c r="M54" i="15"/>
  <c r="M55" i="15"/>
  <c r="M6" i="15"/>
  <c r="J159" i="2"/>
  <c r="K159" i="2" s="1"/>
  <c r="T615" i="6" l="1"/>
  <c r="T621" i="6"/>
  <c r="T597" i="6"/>
  <c r="T609" i="6"/>
  <c r="P508" i="6"/>
  <c r="P556" i="6"/>
  <c r="P580" i="6"/>
  <c r="P628" i="6"/>
  <c r="P592" i="6"/>
  <c r="T603" i="6"/>
  <c r="P616" i="6"/>
  <c r="T627" i="6"/>
  <c r="L125" i="6"/>
  <c r="K125" i="6"/>
  <c r="M124" i="6"/>
  <c r="P499" i="6"/>
  <c r="P404" i="6"/>
  <c r="P299" i="6"/>
  <c r="P444" i="6"/>
  <c r="P317" i="6"/>
  <c r="P452" i="6"/>
  <c r="P475" i="6"/>
  <c r="P51" i="15"/>
  <c r="J126" i="2"/>
  <c r="K126" i="2" s="1"/>
  <c r="J125" i="2"/>
  <c r="K125" i="2" s="1"/>
  <c r="J465" i="2"/>
  <c r="K465" i="2" s="1"/>
  <c r="J467" i="2"/>
  <c r="K467" i="2" s="1"/>
  <c r="J466" i="2"/>
  <c r="K466" i="2" s="1"/>
  <c r="J463" i="2"/>
  <c r="K463" i="2" s="1"/>
  <c r="J462" i="2"/>
  <c r="K462" i="2" s="1"/>
  <c r="J460" i="2"/>
  <c r="K460" i="2" s="1"/>
  <c r="J461" i="2"/>
  <c r="K461" i="2" s="1"/>
  <c r="J79" i="2"/>
  <c r="K79" i="2" s="1"/>
  <c r="H15" i="14"/>
  <c r="H34" i="14"/>
  <c r="H33" i="14"/>
  <c r="H12" i="14"/>
  <c r="J38" i="2"/>
  <c r="K38" i="2" s="1"/>
  <c r="J37" i="2"/>
  <c r="K37" i="2" s="1"/>
  <c r="J124" i="2"/>
  <c r="K124" i="2" s="1"/>
  <c r="J123" i="2"/>
  <c r="K123" i="2" s="1"/>
  <c r="H8" i="14"/>
  <c r="H14" i="14"/>
  <c r="H19" i="14"/>
  <c r="H21" i="14"/>
  <c r="H22" i="14"/>
  <c r="H20" i="14"/>
  <c r="H25" i="14"/>
  <c r="H2" i="14"/>
  <c r="H5" i="14"/>
  <c r="H48" i="14"/>
  <c r="H28" i="14"/>
  <c r="H7" i="14"/>
  <c r="H27" i="14"/>
  <c r="H24" i="14"/>
  <c r="H31" i="14"/>
  <c r="H10" i="14"/>
  <c r="H3" i="14"/>
  <c r="H9" i="14"/>
  <c r="H26" i="14"/>
  <c r="H6" i="14"/>
  <c r="H60" i="14"/>
  <c r="H29" i="14"/>
  <c r="H55" i="14"/>
  <c r="H11" i="14"/>
  <c r="H13" i="14"/>
  <c r="H23" i="14"/>
  <c r="D101" i="13"/>
  <c r="D99" i="13"/>
  <c r="J245" i="2"/>
  <c r="K245" i="2" s="1"/>
  <c r="J243" i="2"/>
  <c r="K243" i="2" s="1"/>
  <c r="J242" i="2"/>
  <c r="K242" i="2" s="1"/>
  <c r="J241" i="2"/>
  <c r="K241" i="2" s="1"/>
  <c r="J240" i="2"/>
  <c r="K240" i="2" s="1"/>
  <c r="J175" i="2"/>
  <c r="K175" i="2" s="1"/>
  <c r="J174" i="2"/>
  <c r="K174" i="2" s="1"/>
  <c r="J536" i="2"/>
  <c r="K536" i="2" s="1"/>
  <c r="J538" i="2"/>
  <c r="K538" i="2" s="1"/>
  <c r="J537" i="2"/>
  <c r="K537" i="2" s="1"/>
  <c r="J72" i="2"/>
  <c r="K72" i="2" s="1"/>
  <c r="J71" i="2"/>
  <c r="K71" i="2" s="1"/>
  <c r="J723" i="2"/>
  <c r="K723" i="2" s="1"/>
  <c r="J722" i="2"/>
  <c r="K722" i="2" s="1"/>
  <c r="J724" i="2"/>
  <c r="K724" i="2" s="1"/>
  <c r="J83" i="2"/>
  <c r="K83" i="2" s="1"/>
  <c r="J82" i="2"/>
  <c r="K82" i="2" s="1"/>
  <c r="J720" i="2"/>
  <c r="K720" i="2" s="1"/>
  <c r="J54" i="2"/>
  <c r="K54" i="2" s="1"/>
  <c r="J53" i="2"/>
  <c r="K53" i="2" s="1"/>
  <c r="J52" i="2"/>
  <c r="K52" i="2" s="1"/>
  <c r="J237" i="2"/>
  <c r="K237" i="2" s="1"/>
  <c r="J456" i="2"/>
  <c r="K456" i="2" s="1"/>
  <c r="I112" i="13"/>
  <c r="I111" i="13"/>
  <c r="I110" i="13"/>
  <c r="D96" i="13"/>
  <c r="J459" i="2"/>
  <c r="K459" i="2" s="1"/>
  <c r="J50" i="2"/>
  <c r="K50" i="2" s="1"/>
  <c r="J1132" i="2"/>
  <c r="K1132" i="2" s="1"/>
  <c r="J721" i="2"/>
  <c r="K721" i="2" s="1"/>
  <c r="J51" i="2"/>
  <c r="K51" i="2" s="1"/>
  <c r="J49" i="2"/>
  <c r="K49" i="2" s="1"/>
  <c r="J1136" i="2"/>
  <c r="K1136" i="2" s="1"/>
  <c r="J236" i="2"/>
  <c r="K236" i="2" s="1"/>
  <c r="J235" i="2"/>
  <c r="K235" i="2" s="1"/>
  <c r="J234" i="2"/>
  <c r="K234" i="2" s="1"/>
  <c r="J233" i="2"/>
  <c r="K233" i="2" s="1"/>
  <c r="J458" i="2"/>
  <c r="K458" i="2" s="1"/>
  <c r="M27" i="10"/>
  <c r="A27" i="10"/>
  <c r="J899" i="2"/>
  <c r="K899" i="2" s="1"/>
  <c r="J900" i="2"/>
  <c r="K900" i="2" s="1"/>
  <c r="J898" i="2"/>
  <c r="K898" i="2" s="1"/>
  <c r="J897" i="2"/>
  <c r="K897" i="2" s="1"/>
  <c r="J1182" i="2"/>
  <c r="K1182" i="2" s="1"/>
  <c r="J1181" i="2"/>
  <c r="K1181" i="2" s="1"/>
  <c r="J24" i="2"/>
  <c r="K24" i="2" s="1"/>
  <c r="J47" i="2"/>
  <c r="K47" i="2" s="1"/>
  <c r="J48" i="2"/>
  <c r="K48" i="2" s="1"/>
  <c r="J19" i="2"/>
  <c r="K19" i="2" s="1"/>
  <c r="J18" i="2"/>
  <c r="K18" i="2" s="1"/>
  <c r="J17" i="2"/>
  <c r="K17" i="2" s="1"/>
  <c r="J1033" i="2"/>
  <c r="K1033" i="2" s="1"/>
  <c r="J826" i="2"/>
  <c r="K826" i="2" s="1"/>
  <c r="D98" i="13"/>
  <c r="D95" i="13"/>
  <c r="D94" i="13"/>
  <c r="D92" i="13"/>
  <c r="D93" i="13"/>
  <c r="J20" i="2"/>
  <c r="K20" i="2" s="1"/>
  <c r="J193" i="2"/>
  <c r="K193" i="2" s="1"/>
  <c r="J843" i="2"/>
  <c r="K843" i="2" s="1"/>
  <c r="J192" i="2"/>
  <c r="K192" i="2" s="1"/>
  <c r="J844" i="2"/>
  <c r="K844" i="2" s="1"/>
  <c r="J895" i="2"/>
  <c r="K895" i="2" s="1"/>
  <c r="J892" i="2"/>
  <c r="K892" i="2" s="1"/>
  <c r="J889" i="2"/>
  <c r="K889" i="2" s="1"/>
  <c r="J191" i="2"/>
  <c r="K191" i="2" s="1"/>
  <c r="J190" i="2"/>
  <c r="K190" i="2" s="1"/>
  <c r="J625" i="2"/>
  <c r="K625" i="2" s="1"/>
  <c r="J624" i="2"/>
  <c r="K624" i="2" s="1"/>
  <c r="J623" i="2"/>
  <c r="K623" i="2" s="1"/>
  <c r="J622" i="2"/>
  <c r="K622" i="2" s="1"/>
  <c r="J1034" i="2"/>
  <c r="K1034" i="2" s="1"/>
  <c r="J894" i="2"/>
  <c r="K894" i="2" s="1"/>
  <c r="J891" i="2"/>
  <c r="K891" i="2" s="1"/>
  <c r="J890" i="2"/>
  <c r="K890" i="2" s="1"/>
  <c r="J896" i="2"/>
  <c r="K896" i="2" s="1"/>
  <c r="J893" i="2"/>
  <c r="K893" i="2" s="1"/>
  <c r="J825" i="2"/>
  <c r="K825" i="2" s="1"/>
  <c r="J827" i="2"/>
  <c r="K827" i="2" s="1"/>
  <c r="J828" i="2"/>
  <c r="K828" i="2" s="1"/>
  <c r="J846" i="2"/>
  <c r="K846" i="2" s="1"/>
  <c r="J845" i="2"/>
  <c r="K845" i="2" s="1"/>
  <c r="J842" i="2"/>
  <c r="K842" i="2" s="1"/>
  <c r="J841" i="2"/>
  <c r="K841" i="2" s="1"/>
  <c r="J952" i="2"/>
  <c r="K952" i="2" s="1"/>
  <c r="J453" i="2"/>
  <c r="K453" i="2" s="1"/>
  <c r="J173" i="2"/>
  <c r="K173" i="2" s="1"/>
  <c r="J172" i="2"/>
  <c r="K172" i="2" s="1"/>
  <c r="J194" i="2"/>
  <c r="K194" i="2" s="1"/>
  <c r="J189" i="2"/>
  <c r="K189" i="2" s="1"/>
  <c r="J419" i="2"/>
  <c r="K419" i="2" s="1"/>
  <c r="J418" i="2"/>
  <c r="K418" i="2" s="1"/>
  <c r="J417" i="2"/>
  <c r="K417" i="2" s="1"/>
  <c r="J531" i="2"/>
  <c r="K531" i="2" s="1"/>
  <c r="J532" i="2"/>
  <c r="K532" i="2" s="1"/>
  <c r="J530" i="2"/>
  <c r="K530" i="2" s="1"/>
  <c r="J1134" i="2"/>
  <c r="K1134" i="2" s="1"/>
  <c r="J1133" i="2"/>
  <c r="K1133" i="2" s="1"/>
  <c r="J1135" i="2"/>
  <c r="K1135" i="2" s="1"/>
  <c r="J1131" i="2"/>
  <c r="K1131" i="2" s="1"/>
  <c r="J1130" i="2"/>
  <c r="K1130" i="2" s="1"/>
  <c r="J25" i="2"/>
  <c r="K25" i="2" s="1"/>
  <c r="A17" i="10"/>
  <c r="J452" i="2"/>
  <c r="K452" i="2" s="1"/>
  <c r="J122" i="2"/>
  <c r="K122" i="2" s="1"/>
  <c r="J121" i="2"/>
  <c r="K121" i="2" s="1"/>
  <c r="J1126" i="2"/>
  <c r="K1126" i="2" s="1"/>
  <c r="J1157" i="2"/>
  <c r="K1157" i="2" s="1"/>
  <c r="J1128" i="2"/>
  <c r="K1128" i="2" s="1"/>
  <c r="J1127" i="2"/>
  <c r="K1127" i="2" s="1"/>
  <c r="J457" i="2"/>
  <c r="K457" i="2" s="1"/>
  <c r="J455" i="2"/>
  <c r="K455" i="2" s="1"/>
  <c r="J16" i="2"/>
  <c r="K16" i="2" s="1"/>
  <c r="J15" i="2"/>
  <c r="K15" i="2" s="1"/>
  <c r="D80" i="13"/>
  <c r="D76" i="13"/>
  <c r="D75" i="13"/>
  <c r="D74" i="13"/>
  <c r="D70" i="13"/>
  <c r="D69" i="13"/>
  <c r="D65" i="13"/>
  <c r="D60" i="13"/>
  <c r="D59" i="13"/>
  <c r="D58" i="13"/>
  <c r="D57" i="13"/>
  <c r="D56" i="13"/>
  <c r="D61" i="13"/>
  <c r="D52" i="13"/>
  <c r="D48" i="13"/>
  <c r="J1184" i="2"/>
  <c r="K1184" i="2" s="1"/>
  <c r="J1183" i="2"/>
  <c r="K1183" i="2" s="1"/>
  <c r="J1180" i="2"/>
  <c r="K1180" i="2" s="1"/>
  <c r="L8" i="1"/>
  <c r="J974" i="2"/>
  <c r="K974" i="2" s="1"/>
  <c r="J1125" i="2"/>
  <c r="K1125" i="2" s="1"/>
  <c r="J1129" i="2"/>
  <c r="K1129" i="2" s="1"/>
  <c r="J1124" i="2"/>
  <c r="K1124" i="2" s="1"/>
  <c r="J151" i="2"/>
  <c r="K151" i="2" s="1"/>
  <c r="J150" i="2"/>
  <c r="K150" i="2" s="1"/>
  <c r="J120" i="2"/>
  <c r="K120" i="2" s="1"/>
  <c r="J118" i="2"/>
  <c r="K118" i="2" s="1"/>
  <c r="J117" i="2"/>
  <c r="K117" i="2" s="1"/>
  <c r="I109" i="13"/>
  <c r="I108" i="13"/>
  <c r="I107" i="13"/>
  <c r="I106" i="13"/>
  <c r="I105" i="13"/>
  <c r="I103" i="13"/>
  <c r="I102" i="13"/>
  <c r="I101" i="13"/>
  <c r="J454" i="2"/>
  <c r="K454" i="2" s="1"/>
  <c r="J451" i="2"/>
  <c r="K451" i="2" s="1"/>
  <c r="J450" i="2"/>
  <c r="K450" i="2" s="1"/>
  <c r="J14" i="2"/>
  <c r="K14" i="2" s="1"/>
  <c r="J13" i="2"/>
  <c r="K13" i="2" s="1"/>
  <c r="J119" i="2"/>
  <c r="K119" i="2" s="1"/>
  <c r="J653" i="2"/>
  <c r="K653" i="2" s="1"/>
  <c r="J652" i="2"/>
  <c r="K652" i="2" s="1"/>
  <c r="J651" i="2"/>
  <c r="K651" i="2" s="1"/>
  <c r="J650" i="2"/>
  <c r="K650" i="2" s="1"/>
  <c r="J535" i="2"/>
  <c r="K535" i="2" s="1"/>
  <c r="J533" i="2"/>
  <c r="K533" i="2" s="1"/>
  <c r="J171" i="2"/>
  <c r="K171" i="2" s="1"/>
  <c r="J170" i="2"/>
  <c r="K170" i="2" s="1"/>
  <c r="J116" i="2"/>
  <c r="K116" i="2" s="1"/>
  <c r="J115" i="2"/>
  <c r="K115" i="2" s="1"/>
  <c r="J232" i="2"/>
  <c r="K232" i="2" s="1"/>
  <c r="J231" i="2"/>
  <c r="K231" i="2" s="1"/>
  <c r="J230" i="2"/>
  <c r="K230" i="2" s="1"/>
  <c r="J229" i="2"/>
  <c r="K229" i="2" s="1"/>
  <c r="J78" i="2"/>
  <c r="K78" i="2" s="1"/>
  <c r="J114" i="2"/>
  <c r="K114" i="2" s="1"/>
  <c r="J113" i="2"/>
  <c r="K113" i="2" s="1"/>
  <c r="J973" i="2"/>
  <c r="K973" i="2" s="1"/>
  <c r="J972" i="2"/>
  <c r="K972" i="2" s="1"/>
  <c r="J112" i="2"/>
  <c r="K112" i="2" s="1"/>
  <c r="J607" i="2"/>
  <c r="K607" i="2" s="1"/>
  <c r="AL5" i="3"/>
  <c r="J416" i="2"/>
  <c r="K416" i="2" s="1"/>
  <c r="J415" i="2"/>
  <c r="K415" i="2" s="1"/>
  <c r="J990" i="2"/>
  <c r="K990" i="2" s="1"/>
  <c r="J992" i="2"/>
  <c r="K992" i="2" s="1"/>
  <c r="J606" i="2"/>
  <c r="K606" i="2" s="1"/>
  <c r="J102" i="2"/>
  <c r="K102" i="2" s="1"/>
  <c r="J101" i="2"/>
  <c r="K101" i="2" s="1"/>
  <c r="J111" i="2"/>
  <c r="K111" i="2" s="1"/>
  <c r="J991" i="2"/>
  <c r="K991" i="2" s="1"/>
  <c r="J989" i="2"/>
  <c r="K989" i="2" s="1"/>
  <c r="J414" i="2"/>
  <c r="K414" i="2" s="1"/>
  <c r="J413" i="2"/>
  <c r="K413" i="2" s="1"/>
  <c r="U627" i="6" l="1"/>
  <c r="U615" i="6"/>
  <c r="U603" i="6"/>
  <c r="M125" i="6"/>
  <c r="K126" i="6"/>
  <c r="L126" i="6"/>
  <c r="D60" i="15"/>
  <c r="AA86" i="13"/>
  <c r="J916" i="2"/>
  <c r="K916" i="2" s="1"/>
  <c r="J839" i="2"/>
  <c r="K839" i="2" s="1"/>
  <c r="J919" i="2"/>
  <c r="K919" i="2" s="1"/>
  <c r="J918" i="2"/>
  <c r="K918" i="2" s="1"/>
  <c r="J227" i="2"/>
  <c r="K227" i="2" s="1"/>
  <c r="J917" i="2"/>
  <c r="K917" i="2" s="1"/>
  <c r="J915" i="2"/>
  <c r="K915" i="2" s="1"/>
  <c r="J914" i="2"/>
  <c r="K914" i="2" s="1"/>
  <c r="J971" i="2"/>
  <c r="K971" i="2" s="1"/>
  <c r="J970" i="2"/>
  <c r="K970" i="2" s="1"/>
  <c r="J953" i="2"/>
  <c r="K953" i="2" s="1"/>
  <c r="J412" i="2"/>
  <c r="K412" i="2" s="1"/>
  <c r="J411" i="2"/>
  <c r="K411" i="2" s="1"/>
  <c r="J69" i="2"/>
  <c r="K69" i="2" s="1"/>
  <c r="L127" i="6" l="1"/>
  <c r="K127" i="6"/>
  <c r="M126" i="6"/>
  <c r="B636" i="1" a="1"/>
  <c r="B636" i="1" s="1"/>
  <c r="K111" i="13"/>
  <c r="J110" i="13"/>
  <c r="J146" i="2"/>
  <c r="K146" i="2" s="1"/>
  <c r="J228" i="2"/>
  <c r="K228" i="2" s="1"/>
  <c r="J226" i="2"/>
  <c r="K226" i="2" s="1"/>
  <c r="J225" i="2"/>
  <c r="K225" i="2" s="1"/>
  <c r="J224" i="2"/>
  <c r="K224" i="2" s="1"/>
  <c r="J410" i="2"/>
  <c r="K410" i="2" s="1"/>
  <c r="J887" i="2"/>
  <c r="K887" i="2" s="1"/>
  <c r="J886" i="2"/>
  <c r="K886" i="2" s="1"/>
  <c r="J888" i="2"/>
  <c r="K888" i="2" s="1"/>
  <c r="J969" i="2"/>
  <c r="K969" i="2" s="1"/>
  <c r="D91" i="13"/>
  <c r="D89" i="13"/>
  <c r="D88" i="13"/>
  <c r="D87" i="13"/>
  <c r="D86" i="13"/>
  <c r="D85" i="13"/>
  <c r="D84" i="13"/>
  <c r="D83" i="13"/>
  <c r="D81" i="13"/>
  <c r="D79" i="13"/>
  <c r="D77" i="13"/>
  <c r="D73" i="13"/>
  <c r="D71" i="13"/>
  <c r="D68" i="13"/>
  <c r="D66" i="13"/>
  <c r="D64" i="13"/>
  <c r="D62" i="13"/>
  <c r="D55" i="13"/>
  <c r="D53" i="13"/>
  <c r="D51" i="13"/>
  <c r="D49" i="13"/>
  <c r="D47" i="13"/>
  <c r="D45" i="13"/>
  <c r="D44" i="13"/>
  <c r="D42" i="13"/>
  <c r="D41" i="13"/>
  <c r="D39" i="13"/>
  <c r="D38" i="13"/>
  <c r="D36" i="13"/>
  <c r="D35" i="13"/>
  <c r="D33" i="13"/>
  <c r="D32" i="13"/>
  <c r="D30" i="13"/>
  <c r="D29" i="13"/>
  <c r="D27" i="13"/>
  <c r="D26" i="13"/>
  <c r="D24" i="13"/>
  <c r="D23" i="13"/>
  <c r="D21" i="13"/>
  <c r="D20" i="13"/>
  <c r="D18" i="13"/>
  <c r="D17" i="13"/>
  <c r="D15" i="13"/>
  <c r="D14" i="13"/>
  <c r="D12" i="13"/>
  <c r="D11" i="13"/>
  <c r="D9" i="13"/>
  <c r="D8" i="13"/>
  <c r="D5" i="13"/>
  <c r="D4" i="13"/>
  <c r="D2" i="13"/>
  <c r="J967" i="2"/>
  <c r="K967" i="2" s="1"/>
  <c r="J617" i="2"/>
  <c r="K617" i="2" s="1"/>
  <c r="J616" i="2"/>
  <c r="K616" i="2" s="1"/>
  <c r="J615" i="2"/>
  <c r="K615" i="2" s="1"/>
  <c r="J529" i="2"/>
  <c r="K529" i="2" s="1"/>
  <c r="J211" i="2"/>
  <c r="K211" i="2" s="1"/>
  <c r="J210" i="2"/>
  <c r="K210" i="2" s="1"/>
  <c r="J209" i="2"/>
  <c r="K209" i="2" s="1"/>
  <c r="J208" i="2"/>
  <c r="K208" i="2" s="1"/>
  <c r="J493" i="2"/>
  <c r="K493" i="2" s="1"/>
  <c r="J492" i="2"/>
  <c r="K492" i="2" s="1"/>
  <c r="J491" i="2"/>
  <c r="K491" i="2" s="1"/>
  <c r="J75" i="2"/>
  <c r="K75" i="2" s="1"/>
  <c r="J68" i="2"/>
  <c r="K68" i="2" s="1"/>
  <c r="J67" i="2"/>
  <c r="K67" i="2" s="1"/>
  <c r="J74" i="2"/>
  <c r="K74" i="2" s="1"/>
  <c r="J519" i="2"/>
  <c r="K519" i="2" s="1"/>
  <c r="J518" i="2"/>
  <c r="K518" i="2" s="1"/>
  <c r="J933" i="2"/>
  <c r="K933" i="2" s="1"/>
  <c r="J932" i="2"/>
  <c r="K932" i="2" s="1"/>
  <c r="J931" i="2"/>
  <c r="K931" i="2" s="1"/>
  <c r="J73" i="2"/>
  <c r="K73" i="2" s="1"/>
  <c r="J646" i="2"/>
  <c r="K646" i="2" s="1"/>
  <c r="J644" i="2"/>
  <c r="K644" i="2" s="1"/>
  <c r="J880" i="2"/>
  <c r="K880" i="2" s="1"/>
  <c r="J879" i="2"/>
  <c r="K879" i="2" s="1"/>
  <c r="J138" i="2"/>
  <c r="K138" i="2" s="1"/>
  <c r="J913" i="2"/>
  <c r="K913" i="2" s="1"/>
  <c r="J912" i="2"/>
  <c r="K912" i="2" s="1"/>
  <c r="J911" i="2"/>
  <c r="K911" i="2" s="1"/>
  <c r="J517" i="2"/>
  <c r="K517" i="2" s="1"/>
  <c r="J516" i="2"/>
  <c r="K516" i="2" s="1"/>
  <c r="J966" i="2"/>
  <c r="K966" i="2" s="1"/>
  <c r="J163" i="2"/>
  <c r="K163" i="2" s="1"/>
  <c r="J162" i="2"/>
  <c r="K162" i="2" s="1"/>
  <c r="J161" i="2"/>
  <c r="K161" i="2" s="1"/>
  <c r="J386" i="2"/>
  <c r="K386" i="2" s="1"/>
  <c r="J385" i="2"/>
  <c r="K385" i="2" s="1"/>
  <c r="J1030" i="2"/>
  <c r="K1030" i="2" s="1"/>
  <c r="J1029" i="2"/>
  <c r="K1029" i="2" s="1"/>
  <c r="J490" i="2"/>
  <c r="K490" i="2" s="1"/>
  <c r="J489" i="2"/>
  <c r="K489" i="2" s="1"/>
  <c r="J488" i="2"/>
  <c r="K488" i="2" s="1"/>
  <c r="J66" i="2"/>
  <c r="K66" i="2" s="1"/>
  <c r="J65" i="2"/>
  <c r="K65" i="2" s="1"/>
  <c r="J207" i="2"/>
  <c r="K207" i="2" s="1"/>
  <c r="J206" i="2"/>
  <c r="K206" i="2" s="1"/>
  <c r="J205" i="2"/>
  <c r="K205" i="2" s="1"/>
  <c r="J204" i="2"/>
  <c r="K204" i="2" s="1"/>
  <c r="J160" i="2"/>
  <c r="K160" i="2" s="1"/>
  <c r="J158" i="2"/>
  <c r="K158" i="2" s="1"/>
  <c r="J157" i="2"/>
  <c r="K157" i="2" s="1"/>
  <c r="J43" i="2"/>
  <c r="K43" i="2" s="1"/>
  <c r="J42" i="2"/>
  <c r="K42" i="2" s="1"/>
  <c r="J41" i="2"/>
  <c r="K41" i="2" s="1"/>
  <c r="J7" i="2"/>
  <c r="K7" i="2" s="1"/>
  <c r="J6" i="2"/>
  <c r="K6" i="2" s="1"/>
  <c r="J5" i="2"/>
  <c r="K5" i="2" s="1"/>
  <c r="J4" i="2"/>
  <c r="K4" i="2" s="1"/>
  <c r="J949" i="2"/>
  <c r="K949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4" i="2"/>
  <c r="K64" i="2" s="1"/>
  <c r="J838" i="2"/>
  <c r="K838" i="2" s="1"/>
  <c r="J837" i="2"/>
  <c r="K837" i="2" s="1"/>
  <c r="J836" i="2"/>
  <c r="K836" i="2" s="1"/>
  <c r="J3" i="2"/>
  <c r="K3" i="2" s="1"/>
  <c r="J446" i="2"/>
  <c r="K446" i="2" s="1"/>
  <c r="J445" i="2"/>
  <c r="K445" i="2" s="1"/>
  <c r="J203" i="2"/>
  <c r="K203" i="2" s="1"/>
  <c r="J202" i="2"/>
  <c r="K202" i="2" s="1"/>
  <c r="J201" i="2"/>
  <c r="K201" i="2" s="1"/>
  <c r="J812" i="2"/>
  <c r="K812" i="2" s="1"/>
  <c r="J811" i="2"/>
  <c r="K811" i="2" s="1"/>
  <c r="J528" i="2"/>
  <c r="K528" i="2" s="1"/>
  <c r="J527" i="2"/>
  <c r="K527" i="2" s="1"/>
  <c r="J40" i="2"/>
  <c r="K40" i="2" s="1"/>
  <c r="J39" i="2"/>
  <c r="K39" i="2" s="1"/>
  <c r="J621" i="2"/>
  <c r="K621" i="2" s="1"/>
  <c r="J620" i="2"/>
  <c r="K620" i="2" s="1"/>
  <c r="J619" i="2"/>
  <c r="K619" i="2" s="1"/>
  <c r="J618" i="2"/>
  <c r="K618" i="2" s="1"/>
  <c r="J361" i="2"/>
  <c r="K361" i="2" s="1"/>
  <c r="J360" i="2"/>
  <c r="K360" i="2" s="1"/>
  <c r="J359" i="2"/>
  <c r="K359" i="2" s="1"/>
  <c r="J951" i="2"/>
  <c r="K951" i="2" s="1"/>
  <c r="J1175" i="2"/>
  <c r="K1175" i="2" s="1"/>
  <c r="J1174" i="2"/>
  <c r="K1174" i="2" s="1"/>
  <c r="J144" i="2"/>
  <c r="K144" i="2" s="1"/>
  <c r="J883" i="2"/>
  <c r="K883" i="2" s="1"/>
  <c r="J882" i="2"/>
  <c r="K882" i="2" s="1"/>
  <c r="J881" i="2"/>
  <c r="K881" i="2" s="1"/>
  <c r="J219" i="2"/>
  <c r="K219" i="2" s="1"/>
  <c r="J218" i="2"/>
  <c r="K218" i="2" s="1"/>
  <c r="J217" i="2"/>
  <c r="K217" i="2" s="1"/>
  <c r="J216" i="2"/>
  <c r="K216" i="2" s="1"/>
  <c r="J814" i="2"/>
  <c r="K814" i="2" s="1"/>
  <c r="J813" i="2"/>
  <c r="K813" i="2" s="1"/>
  <c r="J10" i="2"/>
  <c r="K10" i="2" s="1"/>
  <c r="J9" i="2"/>
  <c r="K9" i="2" s="1"/>
  <c r="J448" i="2"/>
  <c r="K448" i="2" s="1"/>
  <c r="J447" i="2"/>
  <c r="K447" i="2" s="1"/>
  <c r="J8" i="2"/>
  <c r="K8" i="2" s="1"/>
  <c r="J215" i="2"/>
  <c r="K215" i="2" s="1"/>
  <c r="J214" i="2"/>
  <c r="K214" i="2" s="1"/>
  <c r="J213" i="2"/>
  <c r="K213" i="2" s="1"/>
  <c r="J212" i="2"/>
  <c r="K212" i="2" s="1"/>
  <c r="J143" i="2"/>
  <c r="K143" i="2" s="1"/>
  <c r="J142" i="2"/>
  <c r="K142" i="2" s="1"/>
  <c r="J141" i="2"/>
  <c r="K141" i="2" s="1"/>
  <c r="J77" i="2"/>
  <c r="K77" i="2" s="1"/>
  <c r="J76" i="2"/>
  <c r="K76" i="2" s="1"/>
  <c r="J46" i="2"/>
  <c r="K46" i="2" s="1"/>
  <c r="J45" i="2"/>
  <c r="K45" i="2" s="1"/>
  <c r="J44" i="2"/>
  <c r="K44" i="2" s="1"/>
  <c r="J968" i="2"/>
  <c r="K968" i="2" s="1"/>
  <c r="J649" i="2"/>
  <c r="K649" i="2" s="1"/>
  <c r="J648" i="2"/>
  <c r="K648" i="2" s="1"/>
  <c r="J647" i="2"/>
  <c r="K647" i="2" s="1"/>
  <c r="J239" i="2"/>
  <c r="K239" i="2" s="1"/>
  <c r="J238" i="2"/>
  <c r="K238" i="2" s="1"/>
  <c r="J387" i="2"/>
  <c r="K387" i="2" s="1"/>
  <c r="J821" i="2"/>
  <c r="K821" i="2" s="1"/>
  <c r="J820" i="2"/>
  <c r="K820" i="2" s="1"/>
  <c r="J819" i="2"/>
  <c r="K819" i="2" s="1"/>
  <c r="J818" i="2"/>
  <c r="K818" i="2" s="1"/>
  <c r="J817" i="2"/>
  <c r="K817" i="2" s="1"/>
  <c r="J816" i="2"/>
  <c r="K816" i="2" s="1"/>
  <c r="J1155" i="2"/>
  <c r="K1155" i="2" s="1"/>
  <c r="J1083" i="2"/>
  <c r="K1083" i="2" s="1"/>
  <c r="J1081" i="2"/>
  <c r="K1081" i="2" s="1"/>
  <c r="J1080" i="2"/>
  <c r="K1080" i="2" s="1"/>
  <c r="J1079" i="2"/>
  <c r="K1079" i="2" s="1"/>
  <c r="J1078" i="2"/>
  <c r="K1078" i="2" s="1"/>
  <c r="J140" i="2"/>
  <c r="K140" i="2" s="1"/>
  <c r="J139" i="2"/>
  <c r="K139" i="2" s="1"/>
  <c r="J939" i="2"/>
  <c r="K939" i="2" s="1"/>
  <c r="J938" i="2"/>
  <c r="K938" i="2" s="1"/>
  <c r="J166" i="2"/>
  <c r="K166" i="2" s="1"/>
  <c r="J165" i="2"/>
  <c r="K165" i="2" s="1"/>
  <c r="J164" i="2"/>
  <c r="K164" i="2" s="1"/>
  <c r="J223" i="2"/>
  <c r="K223" i="2" s="1"/>
  <c r="J222" i="2"/>
  <c r="K222" i="2" s="1"/>
  <c r="J221" i="2"/>
  <c r="K221" i="2" s="1"/>
  <c r="J220" i="2"/>
  <c r="K220" i="2" s="1"/>
  <c r="J11" i="2"/>
  <c r="K11" i="2" s="1"/>
  <c r="J169" i="2"/>
  <c r="K169" i="2" s="1"/>
  <c r="J168" i="2"/>
  <c r="K168" i="2" s="1"/>
  <c r="J167" i="2"/>
  <c r="K167" i="2" s="1"/>
  <c r="J1032" i="2"/>
  <c r="K1032" i="2" s="1"/>
  <c r="J1031" i="2"/>
  <c r="K1031" i="2" s="1"/>
  <c r="J885" i="2"/>
  <c r="K885" i="2" s="1"/>
  <c r="J884" i="2"/>
  <c r="K884" i="2" s="1"/>
  <c r="J145" i="2"/>
  <c r="K145" i="2" s="1"/>
  <c r="J521" i="2"/>
  <c r="K521" i="2" s="1"/>
  <c r="J520" i="2"/>
  <c r="K520" i="2" s="1"/>
  <c r="J12" i="2"/>
  <c r="K12" i="2" s="1"/>
  <c r="J1156" i="2"/>
  <c r="K1156" i="2" s="1"/>
  <c r="C170" i="6" l="1"/>
  <c r="O170" i="6" s="1"/>
  <c r="C165" i="6"/>
  <c r="O165" i="6" s="1"/>
  <c r="C171" i="6"/>
  <c r="O171" i="6" s="1"/>
  <c r="C166" i="6"/>
  <c r="O166" i="6" s="1"/>
  <c r="C161" i="6"/>
  <c r="O161" i="6" s="1"/>
  <c r="B171" i="6"/>
  <c r="B166" i="6"/>
  <c r="B161" i="6"/>
  <c r="B180" i="6"/>
  <c r="N180" i="6" s="1"/>
  <c r="B148" i="6"/>
  <c r="B168" i="6"/>
  <c r="B164" i="6"/>
  <c r="B160" i="6"/>
  <c r="C180" i="6"/>
  <c r="C150" i="6"/>
  <c r="O150" i="6" s="1"/>
  <c r="C149" i="6"/>
  <c r="O149" i="6" s="1"/>
  <c r="C168" i="6"/>
  <c r="O168" i="6" s="1"/>
  <c r="C164" i="6"/>
  <c r="O164" i="6" s="1"/>
  <c r="C160" i="6"/>
  <c r="O160" i="6" s="1"/>
  <c r="B142" i="6"/>
  <c r="C139" i="6"/>
  <c r="O139" i="6" s="1"/>
  <c r="C151" i="6"/>
  <c r="O151" i="6" s="1"/>
  <c r="B149" i="6"/>
  <c r="B157" i="6"/>
  <c r="B151" i="6"/>
  <c r="C137" i="6"/>
  <c r="O137" i="6" s="1"/>
  <c r="C156" i="6"/>
  <c r="O156" i="6" s="1"/>
  <c r="C153" i="6"/>
  <c r="O153" i="6" s="1"/>
  <c r="B137" i="6"/>
  <c r="B156" i="6"/>
  <c r="B153" i="6"/>
  <c r="C148" i="6"/>
  <c r="O148" i="6" s="1"/>
  <c r="C159" i="6"/>
  <c r="O159" i="6" s="1"/>
  <c r="C155" i="6"/>
  <c r="O155" i="6" s="1"/>
  <c r="B159" i="6"/>
  <c r="B155" i="6"/>
  <c r="C152" i="6"/>
  <c r="O152" i="6" s="1"/>
  <c r="B150" i="6"/>
  <c r="C158" i="6"/>
  <c r="O158" i="6" s="1"/>
  <c r="C154" i="6"/>
  <c r="O154" i="6" s="1"/>
  <c r="B139" i="6"/>
  <c r="C128" i="6"/>
  <c r="O128" i="6" s="1"/>
  <c r="C125" i="6"/>
  <c r="O125" i="6" s="1"/>
  <c r="C141" i="6"/>
  <c r="O141" i="6" s="1"/>
  <c r="C157" i="6"/>
  <c r="O157" i="6" s="1"/>
  <c r="B125" i="6"/>
  <c r="B141" i="6"/>
  <c r="C138" i="6"/>
  <c r="O138" i="6" s="1"/>
  <c r="C136" i="6"/>
  <c r="O136" i="6" s="1"/>
  <c r="C145" i="6"/>
  <c r="O145" i="6" s="1"/>
  <c r="B140" i="6"/>
  <c r="B138" i="6"/>
  <c r="B136" i="6"/>
  <c r="B145" i="6"/>
  <c r="C142" i="6"/>
  <c r="O142" i="6" s="1"/>
  <c r="C48" i="5"/>
  <c r="Q48" i="5" s="1"/>
  <c r="C47" i="5"/>
  <c r="Q47" i="5" s="1"/>
  <c r="B128" i="6"/>
  <c r="C124" i="6"/>
  <c r="C144" i="6"/>
  <c r="O144" i="6" s="1"/>
  <c r="C135" i="6"/>
  <c r="O135" i="6" s="1"/>
  <c r="C127" i="6"/>
  <c r="O127" i="6" s="1"/>
  <c r="B124" i="6"/>
  <c r="B144" i="6"/>
  <c r="C132" i="6"/>
  <c r="O132" i="6" s="1"/>
  <c r="B127" i="6"/>
  <c r="C147" i="6"/>
  <c r="O147" i="6" s="1"/>
  <c r="C143" i="6"/>
  <c r="O143" i="6" s="1"/>
  <c r="C131" i="6"/>
  <c r="O131" i="6" s="1"/>
  <c r="C126" i="6"/>
  <c r="O126" i="6" s="1"/>
  <c r="B147" i="6"/>
  <c r="B143" i="6"/>
  <c r="C140" i="6"/>
  <c r="O140" i="6" s="1"/>
  <c r="C130" i="6"/>
  <c r="O130" i="6" s="1"/>
  <c r="B126" i="6"/>
  <c r="C146" i="6"/>
  <c r="O146" i="6" s="1"/>
  <c r="B130" i="6"/>
  <c r="B146" i="6"/>
  <c r="L128" i="6"/>
  <c r="K128" i="6"/>
  <c r="M127" i="6"/>
  <c r="B51" i="5"/>
  <c r="P51" i="5" s="1"/>
  <c r="F48" i="5"/>
  <c r="T48" i="5" s="1"/>
  <c r="D50" i="5"/>
  <c r="R50" i="5" s="1"/>
  <c r="D48" i="5"/>
  <c r="R48" i="5" s="1"/>
  <c r="B47" i="5"/>
  <c r="B132" i="6"/>
  <c r="C50" i="5"/>
  <c r="Q50" i="5" s="1"/>
  <c r="G49" i="5"/>
  <c r="U49" i="5" s="1"/>
  <c r="B48" i="5"/>
  <c r="P48" i="5" s="1"/>
  <c r="B135" i="6"/>
  <c r="B131" i="6"/>
  <c r="E49" i="5"/>
  <c r="S49" i="5" s="1"/>
  <c r="G47" i="5"/>
  <c r="U47" i="5" s="1"/>
  <c r="C134" i="6"/>
  <c r="O134" i="6" s="1"/>
  <c r="C49" i="5"/>
  <c r="Q49" i="5" s="1"/>
  <c r="F47" i="5"/>
  <c r="T47" i="5" s="1"/>
  <c r="B134" i="6"/>
  <c r="B49" i="5"/>
  <c r="P49" i="5" s="1"/>
  <c r="E47" i="5"/>
  <c r="S47" i="5" s="1"/>
  <c r="C133" i="6"/>
  <c r="O133" i="6" s="1"/>
  <c r="C129" i="6"/>
  <c r="G48" i="5"/>
  <c r="U48" i="5" s="1"/>
  <c r="D47" i="5"/>
  <c r="R47" i="5" s="1"/>
  <c r="B133" i="6"/>
  <c r="B129" i="6"/>
  <c r="A9" i="10"/>
  <c r="A14" i="12"/>
  <c r="A18" i="12"/>
  <c r="A15" i="12"/>
  <c r="A16" i="12"/>
  <c r="A23" i="12"/>
  <c r="A22" i="12"/>
  <c r="A21" i="12"/>
  <c r="A20" i="12"/>
  <c r="A19" i="12"/>
  <c r="A17" i="12"/>
  <c r="A13" i="12"/>
  <c r="A12" i="12"/>
  <c r="A11" i="12"/>
  <c r="A10" i="12"/>
  <c r="A9" i="12"/>
  <c r="A8" i="12"/>
  <c r="A7" i="12"/>
  <c r="A6" i="12"/>
  <c r="A5" i="12"/>
  <c r="A4" i="12"/>
  <c r="A3" i="12"/>
  <c r="A30" i="10"/>
  <c r="A29" i="10"/>
  <c r="A28" i="10"/>
  <c r="A26" i="10"/>
  <c r="A25" i="10"/>
  <c r="A24" i="10"/>
  <c r="A23" i="10"/>
  <c r="A22" i="10"/>
  <c r="A21" i="10"/>
  <c r="A20" i="10"/>
  <c r="A19" i="10"/>
  <c r="A16" i="10"/>
  <c r="A15" i="10"/>
  <c r="A14" i="10"/>
  <c r="A13" i="10"/>
  <c r="A12" i="10"/>
  <c r="A11" i="10"/>
  <c r="A10" i="10"/>
  <c r="A18" i="10"/>
  <c r="A8" i="10"/>
  <c r="A7" i="10"/>
  <c r="A6" i="10"/>
  <c r="A5" i="10"/>
  <c r="A4" i="10"/>
  <c r="A3" i="10"/>
  <c r="B60" i="3"/>
  <c r="B59" i="3"/>
  <c r="B58" i="3"/>
  <c r="B57" i="3"/>
  <c r="B56" i="3"/>
  <c r="B55" i="3"/>
  <c r="B54" i="3"/>
  <c r="B53" i="3"/>
  <c r="B52" i="3"/>
  <c r="B51" i="3"/>
  <c r="D161" i="6" l="1"/>
  <c r="N161" i="6"/>
  <c r="P161" i="6" s="1"/>
  <c r="D166" i="6"/>
  <c r="N166" i="6"/>
  <c r="P166" i="6" s="1"/>
  <c r="D171" i="6"/>
  <c r="N171" i="6"/>
  <c r="P171" i="6" s="1"/>
  <c r="D180" i="6"/>
  <c r="O180" i="6"/>
  <c r="P180" i="6" s="1"/>
  <c r="D160" i="6"/>
  <c r="N160" i="6"/>
  <c r="P160" i="6" s="1"/>
  <c r="D164" i="6"/>
  <c r="N164" i="6"/>
  <c r="P164" i="6" s="1"/>
  <c r="D168" i="6"/>
  <c r="N168" i="6"/>
  <c r="P168" i="6" s="1"/>
  <c r="D148" i="6"/>
  <c r="N148" i="6"/>
  <c r="P148" i="6" s="1"/>
  <c r="D159" i="6"/>
  <c r="N159" i="6"/>
  <c r="P159" i="6" s="1"/>
  <c r="N151" i="6"/>
  <c r="P151" i="6" s="1"/>
  <c r="D151" i="6"/>
  <c r="N157" i="6"/>
  <c r="P157" i="6" s="1"/>
  <c r="D157" i="6"/>
  <c r="N153" i="6"/>
  <c r="P153" i="6" s="1"/>
  <c r="D153" i="6"/>
  <c r="N149" i="6"/>
  <c r="P149" i="6" s="1"/>
  <c r="D149" i="6"/>
  <c r="D150" i="6"/>
  <c r="N150" i="6"/>
  <c r="P150" i="6" s="1"/>
  <c r="D156" i="6"/>
  <c r="N156" i="6"/>
  <c r="P156" i="6" s="1"/>
  <c r="D137" i="6"/>
  <c r="N137" i="6"/>
  <c r="P137" i="6" s="1"/>
  <c r="D155" i="6"/>
  <c r="N155" i="6"/>
  <c r="P155" i="6" s="1"/>
  <c r="D142" i="6"/>
  <c r="N142" i="6"/>
  <c r="P142" i="6" s="1"/>
  <c r="D141" i="6"/>
  <c r="N141" i="6"/>
  <c r="P141" i="6" s="1"/>
  <c r="D145" i="6"/>
  <c r="N145" i="6"/>
  <c r="P145" i="6" s="1"/>
  <c r="D125" i="6"/>
  <c r="N125" i="6"/>
  <c r="P125" i="6" s="1"/>
  <c r="N136" i="6"/>
  <c r="P136" i="6" s="1"/>
  <c r="D136" i="6"/>
  <c r="N138" i="6"/>
  <c r="P138" i="6" s="1"/>
  <c r="D138" i="6"/>
  <c r="D140" i="6"/>
  <c r="N140" i="6"/>
  <c r="P140" i="6" s="1"/>
  <c r="D139" i="6"/>
  <c r="N139" i="6"/>
  <c r="P139" i="6" s="1"/>
  <c r="D124" i="6"/>
  <c r="E124" i="6"/>
  <c r="N124" i="6"/>
  <c r="P124" i="6" s="1"/>
  <c r="D146" i="6"/>
  <c r="N146" i="6"/>
  <c r="P146" i="6" s="1"/>
  <c r="D130" i="6"/>
  <c r="N130" i="6"/>
  <c r="P130" i="6" s="1"/>
  <c r="D147" i="6"/>
  <c r="N147" i="6"/>
  <c r="P147" i="6" s="1"/>
  <c r="D126" i="6"/>
  <c r="N126" i="6"/>
  <c r="P126" i="6" s="1"/>
  <c r="F124" i="6"/>
  <c r="O124" i="6"/>
  <c r="D127" i="6"/>
  <c r="N127" i="6"/>
  <c r="P127" i="6" s="1"/>
  <c r="D128" i="6"/>
  <c r="N128" i="6"/>
  <c r="P128" i="6" s="1"/>
  <c r="D143" i="6"/>
  <c r="N143" i="6"/>
  <c r="P143" i="6" s="1"/>
  <c r="D144" i="6"/>
  <c r="N144" i="6"/>
  <c r="P144" i="6" s="1"/>
  <c r="K129" i="6"/>
  <c r="M128" i="6"/>
  <c r="L129" i="6"/>
  <c r="L130" i="6" s="1"/>
  <c r="L131" i="6" s="1"/>
  <c r="L132" i="6" s="1"/>
  <c r="L133" i="6" s="1"/>
  <c r="D134" i="6"/>
  <c r="N134" i="6"/>
  <c r="P134" i="6" s="1"/>
  <c r="D133" i="6"/>
  <c r="N133" i="6"/>
  <c r="P133" i="6" s="1"/>
  <c r="D129" i="6"/>
  <c r="N129" i="6"/>
  <c r="P129" i="6" s="1"/>
  <c r="D132" i="6"/>
  <c r="N132" i="6"/>
  <c r="P132" i="6" s="1"/>
  <c r="O129" i="6"/>
  <c r="H47" i="5"/>
  <c r="P47" i="5"/>
  <c r="V47" i="5" s="1"/>
  <c r="D131" i="6"/>
  <c r="N131" i="6"/>
  <c r="P131" i="6" s="1"/>
  <c r="D135" i="6"/>
  <c r="N135" i="6"/>
  <c r="P135" i="6" s="1"/>
  <c r="B61" i="15"/>
  <c r="E125" i="6" l="1"/>
  <c r="G124" i="6"/>
  <c r="Q124" i="6"/>
  <c r="F125" i="6"/>
  <c r="R124" i="6"/>
  <c r="K130" i="6"/>
  <c r="M129" i="6"/>
  <c r="L134" i="6"/>
  <c r="T81" i="15"/>
  <c r="B63" i="15"/>
  <c r="D63" i="15" s="1"/>
  <c r="D61" i="15"/>
  <c r="B62" i="15"/>
  <c r="D62" i="15" s="1"/>
  <c r="S124" i="6" l="1"/>
  <c r="F126" i="6"/>
  <c r="R125" i="6"/>
  <c r="E126" i="6"/>
  <c r="G125" i="6"/>
  <c r="Q125" i="6"/>
  <c r="K131" i="6"/>
  <c r="M130" i="6"/>
  <c r="L135" i="6"/>
  <c r="H12" i="18"/>
  <c r="H26" i="18"/>
  <c r="H27" i="18"/>
  <c r="A66" i="15"/>
  <c r="F127" i="6" l="1"/>
  <c r="R126" i="6"/>
  <c r="S125" i="6"/>
  <c r="E127" i="6"/>
  <c r="G126" i="6"/>
  <c r="Q126" i="6"/>
  <c r="M131" i="6"/>
  <c r="K132" i="6"/>
  <c r="L136" i="6"/>
  <c r="D66" i="15"/>
  <c r="A68" i="15"/>
  <c r="A67" i="15"/>
  <c r="F128" i="6" l="1"/>
  <c r="R127" i="6"/>
  <c r="S126" i="6"/>
  <c r="E128" i="6"/>
  <c r="G127" i="6"/>
  <c r="Q127" i="6"/>
  <c r="K133" i="6"/>
  <c r="M132" i="6"/>
  <c r="L137" i="6"/>
  <c r="D67" i="15"/>
  <c r="D68" i="15"/>
  <c r="F129" i="6" l="1"/>
  <c r="R128" i="6"/>
  <c r="G128" i="6"/>
  <c r="Q128" i="6"/>
  <c r="E129" i="6"/>
  <c r="S127" i="6"/>
  <c r="K134" i="6"/>
  <c r="M133" i="6"/>
  <c r="L138" i="6"/>
  <c r="C669" i="1" a="1"/>
  <c r="C669" i="1" s="1"/>
  <c r="S128" i="6" l="1"/>
  <c r="E130" i="6"/>
  <c r="Q129" i="6"/>
  <c r="G129" i="6"/>
  <c r="F130" i="6"/>
  <c r="R129" i="6"/>
  <c r="K135" i="6"/>
  <c r="M134" i="6"/>
  <c r="L139" i="6"/>
  <c r="C668" i="1" a="1"/>
  <c r="C668" i="1" s="1"/>
  <c r="C670" i="1" a="1"/>
  <c r="C670" i="1" s="1"/>
  <c r="E131" i="6" l="1"/>
  <c r="G130" i="6"/>
  <c r="Q130" i="6"/>
  <c r="R130" i="6"/>
  <c r="F131" i="6"/>
  <c r="S129" i="6"/>
  <c r="M135" i="6"/>
  <c r="K136" i="6"/>
  <c r="L140" i="6"/>
  <c r="C671" i="1" a="1"/>
  <c r="C671" i="1" s="1"/>
  <c r="F132" i="6" l="1"/>
  <c r="R131" i="6"/>
  <c r="S130" i="6"/>
  <c r="G131" i="6"/>
  <c r="Q131" i="6"/>
  <c r="E132" i="6"/>
  <c r="K137" i="6"/>
  <c r="M136" i="6"/>
  <c r="L141" i="6"/>
  <c r="C672" i="1" a="1"/>
  <c r="C672" i="1" s="1"/>
  <c r="S131" i="6" l="1"/>
  <c r="G132" i="6"/>
  <c r="E133" i="6"/>
  <c r="Q132" i="6"/>
  <c r="F133" i="6"/>
  <c r="R132" i="6"/>
  <c r="M137" i="6"/>
  <c r="K138" i="6"/>
  <c r="L142" i="6"/>
  <c r="C673" i="1" a="1"/>
  <c r="C673" i="1" s="1"/>
  <c r="C675" i="1" a="1"/>
  <c r="C675" i="1" s="1"/>
  <c r="F134" i="6" l="1"/>
  <c r="R133" i="6"/>
  <c r="S132" i="6"/>
  <c r="E134" i="6"/>
  <c r="G133" i="6"/>
  <c r="Q133" i="6"/>
  <c r="M138" i="6"/>
  <c r="K139" i="6"/>
  <c r="L143" i="6"/>
  <c r="C676" i="1" a="1"/>
  <c r="C676" i="1" s="1"/>
  <c r="C674" i="1" a="1"/>
  <c r="C674" i="1" s="1"/>
  <c r="I668" i="6" s="1"/>
  <c r="C677" i="1" a="1"/>
  <c r="C677" i="1" s="1"/>
  <c r="S133" i="6" l="1"/>
  <c r="Q134" i="6"/>
  <c r="E135" i="6"/>
  <c r="G134" i="6"/>
  <c r="F135" i="6"/>
  <c r="R134" i="6"/>
  <c r="K140" i="6"/>
  <c r="M139" i="6"/>
  <c r="L144" i="6"/>
  <c r="C678" i="1" a="1"/>
  <c r="C678" i="1" s="1"/>
  <c r="F136" i="6" l="1"/>
  <c r="R135" i="6"/>
  <c r="G135" i="6"/>
  <c r="E136" i="6"/>
  <c r="Q135" i="6"/>
  <c r="S134" i="6"/>
  <c r="K141" i="6"/>
  <c r="M140" i="6"/>
  <c r="L145" i="6"/>
  <c r="C679" i="1" a="1"/>
  <c r="C679" i="1" s="1"/>
  <c r="I669" i="6" l="1"/>
  <c r="H669" i="6"/>
  <c r="J669" i="6" s="1"/>
  <c r="S135" i="6"/>
  <c r="E137" i="6"/>
  <c r="G136" i="6"/>
  <c r="Q136" i="6"/>
  <c r="F137" i="6"/>
  <c r="R136" i="6"/>
  <c r="K142" i="6"/>
  <c r="M141" i="6"/>
  <c r="L146" i="6"/>
  <c r="C680" i="1" a="1"/>
  <c r="C680" i="1" s="1"/>
  <c r="R137" i="6" l="1"/>
  <c r="F138" i="6"/>
  <c r="S136" i="6"/>
  <c r="E138" i="6"/>
  <c r="G137" i="6"/>
  <c r="Q137" i="6"/>
  <c r="K143" i="6"/>
  <c r="M142" i="6"/>
  <c r="L147" i="6"/>
  <c r="C681" i="1" a="1"/>
  <c r="C681" i="1" s="1"/>
  <c r="C682" i="1" a="1"/>
  <c r="C682" i="1" s="1"/>
  <c r="B668" i="1" a="1"/>
  <c r="B668" i="1" s="1"/>
  <c r="S137" i="6" l="1"/>
  <c r="G138" i="6"/>
  <c r="Q138" i="6"/>
  <c r="E139" i="6"/>
  <c r="F139" i="6"/>
  <c r="R138" i="6"/>
  <c r="K144" i="6"/>
  <c r="M143" i="6"/>
  <c r="L148" i="6"/>
  <c r="C683" i="1" a="1"/>
  <c r="C683" i="1" s="1"/>
  <c r="B669" i="1" a="1"/>
  <c r="B669" i="1" s="1"/>
  <c r="R139" i="6" l="1"/>
  <c r="F140" i="6"/>
  <c r="G139" i="6"/>
  <c r="E140" i="6"/>
  <c r="Q139" i="6"/>
  <c r="S138" i="6"/>
  <c r="M144" i="6"/>
  <c r="K145" i="6"/>
  <c r="L149" i="6"/>
  <c r="B670" i="1" a="1"/>
  <c r="B670" i="1" s="1"/>
  <c r="C684" i="1" a="1"/>
  <c r="C684" i="1" s="1"/>
  <c r="B671" i="1" a="1"/>
  <c r="B671" i="1" s="1"/>
  <c r="S139" i="6" l="1"/>
  <c r="F141" i="6"/>
  <c r="R140" i="6"/>
  <c r="E141" i="6"/>
  <c r="G140" i="6"/>
  <c r="Q140" i="6"/>
  <c r="K146" i="6"/>
  <c r="M145" i="6"/>
  <c r="L150" i="6"/>
  <c r="C685" i="1" a="1"/>
  <c r="C685" i="1" s="1"/>
  <c r="B672" i="1" a="1"/>
  <c r="B672" i="1" s="1"/>
  <c r="H670" i="6" l="1"/>
  <c r="I670" i="6"/>
  <c r="S140" i="6"/>
  <c r="G141" i="6"/>
  <c r="E142" i="6"/>
  <c r="Q141" i="6"/>
  <c r="R141" i="6"/>
  <c r="F142" i="6"/>
  <c r="K147" i="6"/>
  <c r="M146" i="6"/>
  <c r="L151" i="6"/>
  <c r="C686" i="1" a="1"/>
  <c r="C686" i="1" s="1"/>
  <c r="B673" i="1" a="1"/>
  <c r="B673" i="1" s="1"/>
  <c r="J670" i="6" l="1"/>
  <c r="F143" i="6"/>
  <c r="R142" i="6"/>
  <c r="S141" i="6"/>
  <c r="E143" i="6"/>
  <c r="G142" i="6"/>
  <c r="Q142" i="6"/>
  <c r="K148" i="6"/>
  <c r="M147" i="6"/>
  <c r="L152" i="6"/>
  <c r="C687" i="1" a="1"/>
  <c r="C687" i="1" s="1"/>
  <c r="C688" i="1" a="1"/>
  <c r="C688" i="1" s="1"/>
  <c r="B674" i="1" a="1"/>
  <c r="B674" i="1" s="1"/>
  <c r="S142" i="6" l="1"/>
  <c r="E144" i="6"/>
  <c r="G143" i="6"/>
  <c r="Q143" i="6"/>
  <c r="R143" i="6"/>
  <c r="F144" i="6"/>
  <c r="K149" i="6"/>
  <c r="M148" i="6"/>
  <c r="L153" i="6"/>
  <c r="C689" i="1" a="1"/>
  <c r="C689" i="1" s="1"/>
  <c r="B675" i="1" a="1"/>
  <c r="B675" i="1" s="1"/>
  <c r="F145" i="6" l="1"/>
  <c r="R144" i="6"/>
  <c r="S143" i="6"/>
  <c r="E145" i="6"/>
  <c r="Q144" i="6"/>
  <c r="G144" i="6"/>
  <c r="K150" i="6"/>
  <c r="M149" i="6"/>
  <c r="L154" i="6"/>
  <c r="C690" i="1" a="1"/>
  <c r="C690" i="1" s="1"/>
  <c r="B676" i="1" a="1"/>
  <c r="B676" i="1" s="1"/>
  <c r="S144" i="6" l="1"/>
  <c r="E146" i="6"/>
  <c r="G145" i="6"/>
  <c r="Q145" i="6"/>
  <c r="R145" i="6"/>
  <c r="F146" i="6"/>
  <c r="M150" i="6"/>
  <c r="K151" i="6"/>
  <c r="L155" i="6"/>
  <c r="B677" i="1" a="1"/>
  <c r="B677" i="1" s="1"/>
  <c r="C691" i="1" a="1"/>
  <c r="C691" i="1" s="1"/>
  <c r="C693" i="1" a="1"/>
  <c r="C693" i="1" s="1"/>
  <c r="F147" i="6" l="1"/>
  <c r="R146" i="6"/>
  <c r="S145" i="6"/>
  <c r="E147" i="6"/>
  <c r="Q146" i="6"/>
  <c r="G146" i="6"/>
  <c r="M151" i="6"/>
  <c r="K152" i="6"/>
  <c r="L156" i="6"/>
  <c r="B678" i="1" a="1"/>
  <c r="B678" i="1" s="1"/>
  <c r="C692" i="1" a="1"/>
  <c r="C692" i="1" s="1"/>
  <c r="C694" i="1" a="1"/>
  <c r="C694" i="1" s="1"/>
  <c r="C698" i="1" a="1"/>
  <c r="C698" i="1" s="1"/>
  <c r="S146" i="6" l="1"/>
  <c r="E148" i="6"/>
  <c r="G147" i="6"/>
  <c r="Q147" i="6"/>
  <c r="F148" i="6"/>
  <c r="R147" i="6"/>
  <c r="K153" i="6"/>
  <c r="M152" i="6"/>
  <c r="L157" i="6"/>
  <c r="B679" i="1" a="1"/>
  <c r="B679" i="1" s="1"/>
  <c r="C695" i="1" a="1"/>
  <c r="C695" i="1" s="1"/>
  <c r="C699" i="1" a="1"/>
  <c r="C699" i="1" s="1"/>
  <c r="F149" i="6" l="1"/>
  <c r="R148" i="6"/>
  <c r="S147" i="6"/>
  <c r="G148" i="6"/>
  <c r="Q148" i="6"/>
  <c r="E149" i="6"/>
  <c r="K154" i="6"/>
  <c r="M153" i="6"/>
  <c r="L158" i="6"/>
  <c r="B680" i="1" a="1"/>
  <c r="B680" i="1" s="1"/>
  <c r="C696" i="1" a="1"/>
  <c r="C696" i="1" s="1"/>
  <c r="C701" i="1" a="1"/>
  <c r="C701" i="1" s="1"/>
  <c r="C712" i="1" a="1"/>
  <c r="C712" i="1" s="1"/>
  <c r="S148" i="6" l="1"/>
  <c r="G149" i="6"/>
  <c r="Q149" i="6"/>
  <c r="E150" i="6"/>
  <c r="F150" i="6"/>
  <c r="R149" i="6"/>
  <c r="K155" i="6"/>
  <c r="M154" i="6"/>
  <c r="L159" i="6"/>
  <c r="B681" i="1" a="1"/>
  <c r="B681" i="1" s="1"/>
  <c r="C697" i="1" a="1"/>
  <c r="C697" i="1" s="1"/>
  <c r="C702" i="1" a="1"/>
  <c r="C702" i="1" s="1"/>
  <c r="B683" i="1" a="1"/>
  <c r="B683" i="1" s="1"/>
  <c r="B685" i="1" a="1"/>
  <c r="B685" i="1" s="1"/>
  <c r="G150" i="6" l="1"/>
  <c r="Q150" i="6"/>
  <c r="E151" i="6"/>
  <c r="S149" i="6"/>
  <c r="F151" i="6"/>
  <c r="R150" i="6"/>
  <c r="K156" i="6"/>
  <c r="M155" i="6"/>
  <c r="L160" i="6"/>
  <c r="B682" i="1" a="1"/>
  <c r="B682" i="1" s="1"/>
  <c r="C700" i="1" a="1"/>
  <c r="C700" i="1" s="1"/>
  <c r="F55" i="3"/>
  <c r="F51" i="3"/>
  <c r="AE63" i="3"/>
  <c r="F59" i="3"/>
  <c r="F42" i="3"/>
  <c r="O63" i="3"/>
  <c r="F32" i="3"/>
  <c r="F29" i="3"/>
  <c r="F37" i="3"/>
  <c r="F47" i="3"/>
  <c r="D685" i="7"/>
  <c r="G685" i="7"/>
  <c r="B685" i="7"/>
  <c r="C685" i="7"/>
  <c r="B669" i="6"/>
  <c r="N669" i="6" s="1"/>
  <c r="C669" i="6"/>
  <c r="O669" i="6" s="1"/>
  <c r="B689" i="1" a="1"/>
  <c r="B689" i="1" s="1"/>
  <c r="B664" i="7" s="1"/>
  <c r="P669" i="6" l="1"/>
  <c r="F152" i="6"/>
  <c r="R151" i="6"/>
  <c r="E152" i="6"/>
  <c r="G151" i="6"/>
  <c r="Q151" i="6"/>
  <c r="S150" i="6"/>
  <c r="M156" i="6"/>
  <c r="K157" i="6"/>
  <c r="L161" i="6"/>
  <c r="T62" i="3"/>
  <c r="F24" i="3"/>
  <c r="F649" i="7"/>
  <c r="B645" i="7"/>
  <c r="F677" i="7"/>
  <c r="F681" i="7"/>
  <c r="AI61" i="3"/>
  <c r="S64" i="3"/>
  <c r="Q62" i="3"/>
  <c r="E656" i="7"/>
  <c r="D64" i="3"/>
  <c r="E658" i="7"/>
  <c r="G661" i="7"/>
  <c r="E649" i="7"/>
  <c r="O64" i="3"/>
  <c r="B678" i="7"/>
  <c r="E684" i="7"/>
  <c r="T64" i="3"/>
  <c r="B682" i="7"/>
  <c r="B669" i="7"/>
  <c r="B684" i="7"/>
  <c r="B9" i="4"/>
  <c r="I51" i="3"/>
  <c r="B661" i="7"/>
  <c r="G672" i="7"/>
  <c r="E664" i="7"/>
  <c r="E674" i="7"/>
  <c r="B656" i="7"/>
  <c r="B666" i="6"/>
  <c r="N666" i="6" s="1"/>
  <c r="E654" i="7"/>
  <c r="G651" i="7"/>
  <c r="E677" i="7"/>
  <c r="E14" i="3"/>
  <c r="B6" i="4"/>
  <c r="D6" i="4" s="1"/>
  <c r="E647" i="7"/>
  <c r="I55" i="3"/>
  <c r="F45" i="3"/>
  <c r="E663" i="7"/>
  <c r="D678" i="7"/>
  <c r="E648" i="7"/>
  <c r="L64" i="3"/>
  <c r="F48" i="3"/>
  <c r="B22" i="4"/>
  <c r="B31" i="4"/>
  <c r="AE64" i="3"/>
  <c r="E671" i="7"/>
  <c r="E661" i="7"/>
  <c r="C41" i="4"/>
  <c r="E26" i="3"/>
  <c r="L52" i="3"/>
  <c r="D14" i="3"/>
  <c r="M62" i="3"/>
  <c r="B43" i="4"/>
  <c r="E650" i="7"/>
  <c r="D647" i="7"/>
  <c r="D669" i="7"/>
  <c r="G652" i="7"/>
  <c r="E641" i="7"/>
  <c r="M64" i="3"/>
  <c r="AB64" i="3"/>
  <c r="AG64" i="3"/>
  <c r="AG62" i="3"/>
  <c r="F660" i="7"/>
  <c r="E655" i="7"/>
  <c r="Y62" i="3"/>
  <c r="G64" i="3"/>
  <c r="G665" i="7"/>
  <c r="E644" i="7"/>
  <c r="E673" i="7"/>
  <c r="B15" i="4"/>
  <c r="D15" i="4" s="1"/>
  <c r="E682" i="7"/>
  <c r="C33" i="4"/>
  <c r="E665" i="7"/>
  <c r="M61" i="3"/>
  <c r="E652" i="7"/>
  <c r="F675" i="7"/>
  <c r="AI63" i="3"/>
  <c r="D59" i="3"/>
  <c r="AA64" i="3"/>
  <c r="E662" i="7"/>
  <c r="E657" i="7"/>
  <c r="E676" i="7"/>
  <c r="E678" i="7"/>
  <c r="B659" i="6"/>
  <c r="N659" i="6" s="1"/>
  <c r="C48" i="4"/>
  <c r="AA61" i="3"/>
  <c r="AB63" i="3"/>
  <c r="E672" i="7"/>
  <c r="D677" i="7"/>
  <c r="E659" i="7"/>
  <c r="E668" i="7"/>
  <c r="B684" i="6"/>
  <c r="D684" i="6" s="1"/>
  <c r="E646" i="7"/>
  <c r="AG63" i="3"/>
  <c r="D671" i="7"/>
  <c r="AA63" i="3"/>
  <c r="E702" i="7"/>
  <c r="E32" i="3"/>
  <c r="C666" i="6"/>
  <c r="D682" i="7"/>
  <c r="G701" i="7"/>
  <c r="B10" i="4"/>
  <c r="E670" i="7"/>
  <c r="AI62" i="3"/>
  <c r="AA62" i="3"/>
  <c r="D703" i="7"/>
  <c r="D25" i="3"/>
  <c r="C687" i="6"/>
  <c r="B702" i="7"/>
  <c r="B686" i="6"/>
  <c r="D686" i="6" s="1"/>
  <c r="E645" i="7"/>
  <c r="E47" i="3"/>
  <c r="AB62" i="3"/>
  <c r="E30" i="3"/>
  <c r="AI64" i="3"/>
  <c r="AB61" i="3"/>
  <c r="F682" i="7"/>
  <c r="B650" i="7"/>
  <c r="D701" i="7"/>
  <c r="B655" i="6"/>
  <c r="N655" i="6" s="1"/>
  <c r="B52" i="4"/>
  <c r="C686" i="6"/>
  <c r="B35" i="4"/>
  <c r="C9" i="4"/>
  <c r="B40" i="4"/>
  <c r="C685" i="6"/>
  <c r="E669" i="7"/>
  <c r="E22" i="3"/>
  <c r="C662" i="6"/>
  <c r="O662" i="6" s="1"/>
  <c r="B34" i="4"/>
  <c r="F664" i="7"/>
  <c r="L55" i="3"/>
  <c r="E704" i="7"/>
  <c r="C57" i="4"/>
  <c r="C53" i="4"/>
  <c r="C683" i="6"/>
  <c r="D57" i="3"/>
  <c r="E651" i="7"/>
  <c r="G703" i="7"/>
  <c r="B49" i="4"/>
  <c r="C11" i="4"/>
  <c r="V64" i="3"/>
  <c r="B25" i="4"/>
  <c r="E20" i="3"/>
  <c r="D29" i="3"/>
  <c r="B685" i="6"/>
  <c r="D685" i="6" s="1"/>
  <c r="B683" i="6"/>
  <c r="D683" i="6" s="1"/>
  <c r="L56" i="3"/>
  <c r="X61" i="3"/>
  <c r="C17" i="4"/>
  <c r="C658" i="6"/>
  <c r="O658" i="6" s="1"/>
  <c r="F18" i="3"/>
  <c r="B687" i="6"/>
  <c r="D687" i="6" s="1"/>
  <c r="F652" i="7"/>
  <c r="B660" i="7"/>
  <c r="G644" i="7"/>
  <c r="E56" i="3"/>
  <c r="Z61" i="3"/>
  <c r="E701" i="7"/>
  <c r="C701" i="7"/>
  <c r="F44" i="3"/>
  <c r="E10" i="3"/>
  <c r="E55" i="3"/>
  <c r="C684" i="6"/>
  <c r="E54" i="3"/>
  <c r="C664" i="6"/>
  <c r="O664" i="6" s="1"/>
  <c r="B42" i="4"/>
  <c r="L61" i="3"/>
  <c r="E53" i="3"/>
  <c r="B667" i="7"/>
  <c r="H54" i="3"/>
  <c r="C58" i="4"/>
  <c r="E59" i="3"/>
  <c r="B50" i="4"/>
  <c r="V61" i="3"/>
  <c r="F17" i="3"/>
  <c r="AD62" i="3"/>
  <c r="E57" i="3"/>
  <c r="B657" i="6"/>
  <c r="N657" i="6" s="1"/>
  <c r="D670" i="7"/>
  <c r="C21" i="4"/>
  <c r="B19" i="4"/>
  <c r="F40" i="3"/>
  <c r="B680" i="7"/>
  <c r="I64" i="3"/>
  <c r="F62" i="3"/>
  <c r="D36" i="3"/>
  <c r="G677" i="7"/>
  <c r="L51" i="3"/>
  <c r="B28" i="4"/>
  <c r="E23" i="3"/>
  <c r="B651" i="6"/>
  <c r="N651" i="6" s="1"/>
  <c r="C46" i="4"/>
  <c r="B653" i="6"/>
  <c r="N653" i="6" s="1"/>
  <c r="C14" i="4"/>
  <c r="F30" i="3"/>
  <c r="E31" i="3"/>
  <c r="D11" i="3"/>
  <c r="E15" i="3"/>
  <c r="B32" i="4"/>
  <c r="D60" i="3"/>
  <c r="E19" i="3"/>
  <c r="C25" i="4"/>
  <c r="B8" i="4"/>
  <c r="D51" i="3"/>
  <c r="D61" i="3"/>
  <c r="E34" i="3"/>
  <c r="C43" i="4"/>
  <c r="D53" i="3"/>
  <c r="K60" i="3"/>
  <c r="K58" i="3"/>
  <c r="C661" i="7"/>
  <c r="C32" i="4"/>
  <c r="K62" i="3"/>
  <c r="D50" i="3"/>
  <c r="B38" i="4"/>
  <c r="K59" i="3"/>
  <c r="F23" i="3"/>
  <c r="F14" i="3"/>
  <c r="I53" i="3"/>
  <c r="E29" i="3"/>
  <c r="I60" i="3"/>
  <c r="B58" i="4"/>
  <c r="L57" i="3"/>
  <c r="C669" i="7"/>
  <c r="K64" i="3"/>
  <c r="B642" i="7"/>
  <c r="F11" i="3"/>
  <c r="C34" i="4"/>
  <c r="L59" i="3"/>
  <c r="E58" i="3"/>
  <c r="F676" i="7"/>
  <c r="F678" i="7"/>
  <c r="W64" i="3"/>
  <c r="C37" i="4"/>
  <c r="Y63" i="3"/>
  <c r="B41" i="4"/>
  <c r="W62" i="3"/>
  <c r="E642" i="7"/>
  <c r="L58" i="3"/>
  <c r="U64" i="3"/>
  <c r="C703" i="7"/>
  <c r="B684" i="1" a="1"/>
  <c r="B684" i="1" s="1"/>
  <c r="C644" i="7"/>
  <c r="C673" i="7"/>
  <c r="C657" i="7"/>
  <c r="C659" i="7"/>
  <c r="C652" i="7"/>
  <c r="C662" i="7"/>
  <c r="C676" i="7"/>
  <c r="C680" i="7"/>
  <c r="C642" i="7"/>
  <c r="C665" i="7"/>
  <c r="C645" i="7"/>
  <c r="C650" i="7"/>
  <c r="C646" i="7"/>
  <c r="C654" i="7"/>
  <c r="C643" i="7"/>
  <c r="C656" i="7"/>
  <c r="C671" i="7"/>
  <c r="C647" i="7"/>
  <c r="C658" i="7"/>
  <c r="C672" i="7"/>
  <c r="C651" i="7"/>
  <c r="C649" i="7"/>
  <c r="C677" i="7"/>
  <c r="G704" i="7"/>
  <c r="G657" i="7"/>
  <c r="G668" i="7"/>
  <c r="G646" i="7"/>
  <c r="G662" i="7"/>
  <c r="G650" i="7"/>
  <c r="G673" i="7"/>
  <c r="G682" i="7"/>
  <c r="G655" i="7"/>
  <c r="G658" i="7"/>
  <c r="G675" i="7"/>
  <c r="G645" i="7"/>
  <c r="G667" i="7"/>
  <c r="G642" i="7"/>
  <c r="Z64" i="3"/>
  <c r="G660" i="7"/>
  <c r="G643" i="7"/>
  <c r="D16" i="3"/>
  <c r="C23" i="4"/>
  <c r="B37" i="4"/>
  <c r="D680" i="7"/>
  <c r="E18" i="3"/>
  <c r="F33" i="3"/>
  <c r="C15" i="4"/>
  <c r="C42" i="4"/>
  <c r="B51" i="4"/>
  <c r="B656" i="6"/>
  <c r="N656" i="6" s="1"/>
  <c r="E16" i="3"/>
  <c r="B658" i="7"/>
  <c r="C19" i="4"/>
  <c r="B674" i="7"/>
  <c r="B670" i="7"/>
  <c r="F36" i="3"/>
  <c r="B44" i="4"/>
  <c r="C660" i="7"/>
  <c r="C54" i="4"/>
  <c r="B676" i="7"/>
  <c r="C652" i="6"/>
  <c r="O652" i="6" s="1"/>
  <c r="B671" i="7"/>
  <c r="B20" i="4"/>
  <c r="C703" i="1" a="1"/>
  <c r="C703" i="1" s="1"/>
  <c r="G649" i="7"/>
  <c r="G648" i="7"/>
  <c r="G663" i="7"/>
  <c r="G676" i="7"/>
  <c r="G641" i="7"/>
  <c r="Z62" i="3"/>
  <c r="G656" i="7"/>
  <c r="G670" i="7"/>
  <c r="Z63" i="3"/>
  <c r="E685" i="7"/>
  <c r="G669" i="7"/>
  <c r="B687" i="1" a="1"/>
  <c r="B687" i="1" s="1"/>
  <c r="D669" i="6"/>
  <c r="W65" i="3" l="1"/>
  <c r="D666" i="6"/>
  <c r="O666" i="6"/>
  <c r="P666" i="6" s="1"/>
  <c r="S151" i="6"/>
  <c r="I65" i="3"/>
  <c r="E153" i="6"/>
  <c r="Q152" i="6"/>
  <c r="G152" i="6"/>
  <c r="F153" i="6"/>
  <c r="R152" i="6"/>
  <c r="K158" i="6"/>
  <c r="M157" i="6"/>
  <c r="T65" i="3"/>
  <c r="E65" i="3"/>
  <c r="V65" i="3"/>
  <c r="L65" i="3"/>
  <c r="AA65" i="3"/>
  <c r="O65" i="3"/>
  <c r="D65" i="3"/>
  <c r="AI65" i="3"/>
  <c r="K65" i="3"/>
  <c r="AB65" i="3"/>
  <c r="AD65" i="3"/>
  <c r="D25" i="4"/>
  <c r="L162" i="6"/>
  <c r="D43" i="4"/>
  <c r="Q63" i="3"/>
  <c r="C16" i="4"/>
  <c r="F50" i="3"/>
  <c r="B677" i="7"/>
  <c r="H677" i="7" s="1"/>
  <c r="F60" i="3"/>
  <c r="F12" i="3"/>
  <c r="F49" i="3"/>
  <c r="F684" i="7"/>
  <c r="F34" i="3"/>
  <c r="AF61" i="3"/>
  <c r="F43" i="3"/>
  <c r="F656" i="7"/>
  <c r="F58" i="3"/>
  <c r="F56" i="3"/>
  <c r="J63" i="3"/>
  <c r="F685" i="7"/>
  <c r="H685" i="7" s="1"/>
  <c r="F26" i="3"/>
  <c r="F25" i="3"/>
  <c r="I63" i="3"/>
  <c r="D20" i="3"/>
  <c r="D15" i="3"/>
  <c r="D684" i="7"/>
  <c r="D672" i="7"/>
  <c r="D58" i="4"/>
  <c r="V9" i="3"/>
  <c r="M14" i="14" s="1"/>
  <c r="D8" i="3"/>
  <c r="K9" i="3"/>
  <c r="G678" i="7"/>
  <c r="E62" i="3"/>
  <c r="B686" i="1" a="1"/>
  <c r="B686" i="1" s="1"/>
  <c r="G674" i="7"/>
  <c r="C704" i="1" a="1"/>
  <c r="C704" i="1" s="1"/>
  <c r="G654" i="7"/>
  <c r="G664" i="7"/>
  <c r="G659" i="7"/>
  <c r="G684" i="7"/>
  <c r="D649" i="7"/>
  <c r="D700" i="7"/>
  <c r="D641" i="7"/>
  <c r="D658" i="7"/>
  <c r="D654" i="7"/>
  <c r="D663" i="7"/>
  <c r="D660" i="7"/>
  <c r="D661" i="7"/>
  <c r="D668" i="7"/>
  <c r="D642" i="7"/>
  <c r="D646" i="7"/>
  <c r="D655" i="7"/>
  <c r="D674" i="7"/>
  <c r="D676" i="7"/>
  <c r="D648" i="7"/>
  <c r="D673" i="7"/>
  <c r="D643" i="7"/>
  <c r="D659" i="7"/>
  <c r="D644" i="7"/>
  <c r="D667" i="7"/>
  <c r="D657" i="7"/>
  <c r="D656" i="7"/>
  <c r="D665" i="7"/>
  <c r="D650" i="7"/>
  <c r="D651" i="7"/>
  <c r="D662" i="7"/>
  <c r="D664" i="7"/>
  <c r="AF64" i="3"/>
  <c r="AF62" i="3"/>
  <c r="C705" i="1" a="1"/>
  <c r="C705" i="1" s="1"/>
  <c r="C706" i="1" s="1" a="1"/>
  <c r="C706" i="1" s="1"/>
  <c r="F154" i="6" l="1"/>
  <c r="R153" i="6"/>
  <c r="S152" i="6"/>
  <c r="E154" i="6"/>
  <c r="Q153" i="6"/>
  <c r="G153" i="6"/>
  <c r="K159" i="6"/>
  <c r="M158" i="6"/>
  <c r="B688" i="1" a="1"/>
  <c r="B688" i="1" s="1"/>
  <c r="B690" i="1" s="1" a="1"/>
  <c r="B690" i="1" s="1"/>
  <c r="E660" i="7" s="1"/>
  <c r="F65" i="3"/>
  <c r="Y65" i="3"/>
  <c r="L163" i="6"/>
  <c r="F641" i="7"/>
  <c r="G666" i="7"/>
  <c r="H676" i="7"/>
  <c r="S62" i="3"/>
  <c r="S61" i="3"/>
  <c r="H656" i="7"/>
  <c r="D666" i="7"/>
  <c r="C711" i="1" a="1"/>
  <c r="C711" i="1" s="1"/>
  <c r="C707" i="1" a="1"/>
  <c r="C707" i="1" s="1"/>
  <c r="D686" i="7"/>
  <c r="C670" i="6"/>
  <c r="O670" i="6" s="1"/>
  <c r="E686" i="7"/>
  <c r="B686" i="7"/>
  <c r="F686" i="7"/>
  <c r="B670" i="6"/>
  <c r="N670" i="6" s="1"/>
  <c r="G686" i="7"/>
  <c r="C686" i="7"/>
  <c r="P670" i="6" l="1"/>
  <c r="S153" i="6"/>
  <c r="S9" i="3"/>
  <c r="N9" i="14" s="1"/>
  <c r="S8" i="3"/>
  <c r="M9" i="14" s="1"/>
  <c r="E155" i="6"/>
  <c r="Q154" i="6"/>
  <c r="G154" i="6"/>
  <c r="R154" i="6"/>
  <c r="F155" i="6"/>
  <c r="K160" i="6"/>
  <c r="M159" i="6"/>
  <c r="S65" i="3"/>
  <c r="L164" i="6"/>
  <c r="E666" i="7"/>
  <c r="H660" i="7"/>
  <c r="C18" i="4"/>
  <c r="C708" i="1" a="1"/>
  <c r="C708" i="1" s="1"/>
  <c r="I673" i="6" s="1"/>
  <c r="C709" i="1" a="1"/>
  <c r="C709" i="1" s="1"/>
  <c r="B691" i="1" a="1"/>
  <c r="B691" i="1" s="1"/>
  <c r="B692" i="1" a="1"/>
  <c r="B692" i="1" s="1"/>
  <c r="D670" i="6"/>
  <c r="H686" i="7"/>
  <c r="H673" i="6" l="1"/>
  <c r="J673" i="6" s="1"/>
  <c r="S154" i="6"/>
  <c r="F156" i="6"/>
  <c r="R155" i="6"/>
  <c r="L9" i="14"/>
  <c r="S7" i="3"/>
  <c r="E156" i="6"/>
  <c r="G155" i="6"/>
  <c r="Q155" i="6"/>
  <c r="K161" i="6"/>
  <c r="M160" i="6"/>
  <c r="L165" i="6"/>
  <c r="B693" i="1" a="1"/>
  <c r="B693" i="1" s="1"/>
  <c r="B671" i="6" s="1"/>
  <c r="C713" i="1" a="1"/>
  <c r="C713" i="1" s="1"/>
  <c r="C715" i="1" a="1"/>
  <c r="C715" i="1" s="1"/>
  <c r="S155" i="6" l="1"/>
  <c r="E157" i="6"/>
  <c r="G156" i="6"/>
  <c r="Q156" i="6"/>
  <c r="F157" i="6"/>
  <c r="R156" i="6"/>
  <c r="M161" i="6"/>
  <c r="K162" i="6"/>
  <c r="L166" i="6"/>
  <c r="M668" i="7"/>
  <c r="M669" i="7"/>
  <c r="M670" i="7"/>
  <c r="M683" i="7"/>
  <c r="M671" i="7"/>
  <c r="J702" i="7"/>
  <c r="M641" i="7"/>
  <c r="T641" i="7" s="1"/>
  <c r="M654" i="7"/>
  <c r="M646" i="7"/>
  <c r="M652" i="7"/>
  <c r="T652" i="7" s="1"/>
  <c r="M674" i="7"/>
  <c r="I671" i="7"/>
  <c r="P671" i="7" s="1"/>
  <c r="I700" i="7"/>
  <c r="M662" i="7"/>
  <c r="M664" i="7"/>
  <c r="T664" i="7" s="1"/>
  <c r="M658" i="7"/>
  <c r="I654" i="7"/>
  <c r="M659" i="7"/>
  <c r="M645" i="7"/>
  <c r="M673" i="7"/>
  <c r="I650" i="7"/>
  <c r="P650" i="7" s="1"/>
  <c r="M665" i="7"/>
  <c r="M681" i="7"/>
  <c r="T681" i="7" s="1"/>
  <c r="M656" i="7"/>
  <c r="T656" i="7" s="1"/>
  <c r="I676" i="7"/>
  <c r="P676" i="7" s="1"/>
  <c r="I670" i="7"/>
  <c r="P670" i="7" s="1"/>
  <c r="I661" i="7"/>
  <c r="P661" i="7" s="1"/>
  <c r="I664" i="7"/>
  <c r="P664" i="7" s="1"/>
  <c r="I643" i="7"/>
  <c r="I683" i="7"/>
  <c r="M680" i="7"/>
  <c r="I681" i="7"/>
  <c r="I641" i="7"/>
  <c r="I685" i="7"/>
  <c r="P685" i="7" s="1"/>
  <c r="I642" i="7"/>
  <c r="P642" i="7" s="1"/>
  <c r="I657" i="7"/>
  <c r="I655" i="7"/>
  <c r="I662" i="7"/>
  <c r="I647" i="7"/>
  <c r="I665" i="7"/>
  <c r="I669" i="7"/>
  <c r="P669" i="7" s="1"/>
  <c r="L680" i="7"/>
  <c r="I672" i="7"/>
  <c r="I680" i="7"/>
  <c r="P680" i="7" s="1"/>
  <c r="I675" i="7"/>
  <c r="K672" i="7"/>
  <c r="R672" i="7" s="1"/>
  <c r="I677" i="7"/>
  <c r="P677" i="7" s="1"/>
  <c r="I673" i="7"/>
  <c r="I663" i="7"/>
  <c r="K643" i="7"/>
  <c r="R643" i="7" s="1"/>
  <c r="I668" i="7"/>
  <c r="AV63" i="3"/>
  <c r="H53" i="4"/>
  <c r="I646" i="7"/>
  <c r="I11" i="4"/>
  <c r="O11" i="4" s="1"/>
  <c r="K673" i="7"/>
  <c r="R673" i="7" s="1"/>
  <c r="I651" i="7"/>
  <c r="K669" i="7"/>
  <c r="R669" i="7" s="1"/>
  <c r="L664" i="7"/>
  <c r="S664" i="7" s="1"/>
  <c r="I659" i="7"/>
  <c r="K656" i="7"/>
  <c r="R656" i="7" s="1"/>
  <c r="I667" i="7"/>
  <c r="P667" i="7" s="1"/>
  <c r="I660" i="7"/>
  <c r="P660" i="7" s="1"/>
  <c r="I658" i="7"/>
  <c r="P658" i="7" s="1"/>
  <c r="H41" i="4"/>
  <c r="N41" i="4" s="1"/>
  <c r="K647" i="7"/>
  <c r="R647" i="7" s="1"/>
  <c r="I656" i="7"/>
  <c r="P656" i="7" s="1"/>
  <c r="I23" i="4"/>
  <c r="O23" i="4" s="1"/>
  <c r="N681" i="7"/>
  <c r="K645" i="7"/>
  <c r="K641" i="7"/>
  <c r="R641" i="7" s="1"/>
  <c r="I6" i="4"/>
  <c r="I674" i="7"/>
  <c r="P674" i="7" s="1"/>
  <c r="I645" i="7"/>
  <c r="P645" i="7" s="1"/>
  <c r="I9" i="4"/>
  <c r="O9" i="4" s="1"/>
  <c r="K650" i="7"/>
  <c r="R650" i="7" s="1"/>
  <c r="K667" i="7"/>
  <c r="R667" i="7" s="1"/>
  <c r="BG62" i="3"/>
  <c r="I57" i="4"/>
  <c r="O57" i="4" s="1"/>
  <c r="H17" i="4"/>
  <c r="J17" i="4" s="1"/>
  <c r="I683" i="6"/>
  <c r="O683" i="6" s="1"/>
  <c r="K655" i="7"/>
  <c r="R655" i="7" s="1"/>
  <c r="K671" i="7"/>
  <c r="R671" i="7" s="1"/>
  <c r="N683" i="7"/>
  <c r="H22" i="4"/>
  <c r="N22" i="4" s="1"/>
  <c r="L651" i="7"/>
  <c r="S651" i="7" s="1"/>
  <c r="I652" i="7"/>
  <c r="I682" i="7"/>
  <c r="P682" i="7" s="1"/>
  <c r="K685" i="7"/>
  <c r="R685" i="7" s="1"/>
  <c r="J643" i="7"/>
  <c r="Q643" i="7" s="1"/>
  <c r="H45" i="4"/>
  <c r="J45" i="4" s="1"/>
  <c r="H7" i="4"/>
  <c r="K651" i="7"/>
  <c r="R651" i="7" s="1"/>
  <c r="K668" i="7"/>
  <c r="R668" i="7" s="1"/>
  <c r="K660" i="7"/>
  <c r="R660" i="7" s="1"/>
  <c r="K654" i="7"/>
  <c r="R654" i="7" s="1"/>
  <c r="K674" i="7"/>
  <c r="R674" i="7" s="1"/>
  <c r="H8" i="4"/>
  <c r="N8" i="4" s="1"/>
  <c r="L646" i="7"/>
  <c r="S646" i="7" s="1"/>
  <c r="M704" i="7"/>
  <c r="L657" i="7"/>
  <c r="S657" i="7" s="1"/>
  <c r="I49" i="4"/>
  <c r="K663" i="7"/>
  <c r="R663" i="7" s="1"/>
  <c r="H55" i="4"/>
  <c r="L655" i="7"/>
  <c r="S655" i="7" s="1"/>
  <c r="I42" i="4"/>
  <c r="O42" i="4" s="1"/>
  <c r="J670" i="7"/>
  <c r="I31" i="4"/>
  <c r="AM63" i="3"/>
  <c r="L673" i="7"/>
  <c r="S673" i="7" s="1"/>
  <c r="K680" i="7"/>
  <c r="R680" i="7" s="1"/>
  <c r="L672" i="7"/>
  <c r="S672" i="7" s="1"/>
  <c r="K661" i="7"/>
  <c r="R661" i="7" s="1"/>
  <c r="K682" i="7"/>
  <c r="R682" i="7" s="1"/>
  <c r="K642" i="7"/>
  <c r="R642" i="7" s="1"/>
  <c r="J704" i="7"/>
  <c r="AQ63" i="3"/>
  <c r="AV61" i="3"/>
  <c r="L667" i="7"/>
  <c r="I47" i="4"/>
  <c r="BH61" i="3"/>
  <c r="K649" i="7"/>
  <c r="R649" i="7" s="1"/>
  <c r="M701" i="7"/>
  <c r="AU63" i="3"/>
  <c r="L681" i="7"/>
  <c r="AK61" i="3"/>
  <c r="K665" i="7"/>
  <c r="R665" i="7" s="1"/>
  <c r="AU61" i="3"/>
  <c r="AQ61" i="3"/>
  <c r="H43" i="4"/>
  <c r="J43" i="4" s="1"/>
  <c r="I26" i="4"/>
  <c r="L660" i="7"/>
  <c r="S660" i="7" s="1"/>
  <c r="H13" i="4"/>
  <c r="BH63" i="3"/>
  <c r="L654" i="7"/>
  <c r="S654" i="7" s="1"/>
  <c r="AK63" i="3"/>
  <c r="J645" i="7"/>
  <c r="Q645" i="7" s="1"/>
  <c r="M650" i="7"/>
  <c r="H683" i="6"/>
  <c r="J683" i="6" s="1"/>
  <c r="BE61" i="3"/>
  <c r="L641" i="7"/>
  <c r="S641" i="7" s="1"/>
  <c r="I15" i="4"/>
  <c r="O15" i="4" s="1"/>
  <c r="H15" i="4"/>
  <c r="N15" i="4" s="1"/>
  <c r="BE63" i="3"/>
  <c r="H11" i="4"/>
  <c r="J11" i="4" s="1"/>
  <c r="L669" i="7"/>
  <c r="S669" i="7" s="1"/>
  <c r="H42" i="4"/>
  <c r="J42" i="4" s="1"/>
  <c r="L656" i="7"/>
  <c r="S656" i="7" s="1"/>
  <c r="AN63" i="3"/>
  <c r="BB63" i="3"/>
  <c r="AL61" i="3"/>
  <c r="L685" i="7"/>
  <c r="S685" i="7" s="1"/>
  <c r="H12" i="4"/>
  <c r="J12" i="4" s="1"/>
  <c r="L677" i="7"/>
  <c r="S677" i="7" s="1"/>
  <c r="J667" i="7"/>
  <c r="L704" i="7"/>
  <c r="S704" i="7" s="1"/>
  <c r="I27" i="4"/>
  <c r="K657" i="7"/>
  <c r="R657" i="7" s="1"/>
  <c r="M647" i="7"/>
  <c r="L670" i="7"/>
  <c r="S670" i="7" s="1"/>
  <c r="H9" i="4"/>
  <c r="N9" i="4" s="1"/>
  <c r="I43" i="4"/>
  <c r="O43" i="4" s="1"/>
  <c r="I25" i="4"/>
  <c r="O25" i="4" s="1"/>
  <c r="I24" i="4"/>
  <c r="I14" i="4"/>
  <c r="O14" i="4" s="1"/>
  <c r="AL63" i="3"/>
  <c r="I10" i="4"/>
  <c r="I50" i="4"/>
  <c r="AM61" i="3"/>
  <c r="AN61" i="3"/>
  <c r="I19" i="4"/>
  <c r="O19" i="4" s="1"/>
  <c r="I39" i="4"/>
  <c r="K644" i="7"/>
  <c r="R644" i="7" s="1"/>
  <c r="H31" i="4"/>
  <c r="N31" i="4" s="1"/>
  <c r="H34" i="4"/>
  <c r="J34" i="4" s="1"/>
  <c r="AW61" i="3"/>
  <c r="H37" i="4"/>
  <c r="N37" i="4" s="1"/>
  <c r="I13" i="4"/>
  <c r="I52" i="4"/>
  <c r="AR63" i="3"/>
  <c r="L642" i="7"/>
  <c r="S642" i="7" s="1"/>
  <c r="H6" i="4"/>
  <c r="J6" i="4" s="1"/>
  <c r="I32" i="4"/>
  <c r="O32" i="4" s="1"/>
  <c r="H30" i="4"/>
  <c r="J30" i="4" s="1"/>
  <c r="L659" i="7"/>
  <c r="S659" i="7" s="1"/>
  <c r="I40" i="4"/>
  <c r="H35" i="4"/>
  <c r="J35" i="4" s="1"/>
  <c r="AR61" i="3"/>
  <c r="I54" i="4"/>
  <c r="O54" i="4" s="1"/>
  <c r="I8" i="4"/>
  <c r="H33" i="4"/>
  <c r="J33" i="4" s="1"/>
  <c r="K677" i="7"/>
  <c r="R677" i="7" s="1"/>
  <c r="H38" i="4"/>
  <c r="N38" i="4" s="1"/>
  <c r="I20" i="4"/>
  <c r="H20" i="4"/>
  <c r="J20" i="4" s="1"/>
  <c r="I44" i="4"/>
  <c r="H51" i="4"/>
  <c r="N51" i="4" s="1"/>
  <c r="L665" i="7"/>
  <c r="S665" i="7" s="1"/>
  <c r="L658" i="7"/>
  <c r="S658" i="7" s="1"/>
  <c r="I21" i="4"/>
  <c r="O21" i="4" s="1"/>
  <c r="H29" i="4"/>
  <c r="J29" i="4" s="1"/>
  <c r="H40" i="4"/>
  <c r="J40" i="4" s="1"/>
  <c r="K676" i="7"/>
  <c r="R676" i="7" s="1"/>
  <c r="H28" i="4"/>
  <c r="H18" i="4"/>
  <c r="J18" i="4" s="1"/>
  <c r="I28" i="4"/>
  <c r="I38" i="4"/>
  <c r="I34" i="4"/>
  <c r="O34" i="4" s="1"/>
  <c r="L643" i="7"/>
  <c r="AX62" i="3"/>
  <c r="I12" i="4"/>
  <c r="H39" i="4"/>
  <c r="H14" i="4"/>
  <c r="J14" i="4" s="1"/>
  <c r="I48" i="4"/>
  <c r="O48" i="4" s="1"/>
  <c r="I55" i="4"/>
  <c r="H16" i="4"/>
  <c r="J16" i="4" s="1"/>
  <c r="L682" i="7"/>
  <c r="S682" i="7" s="1"/>
  <c r="H36" i="4"/>
  <c r="I18" i="4"/>
  <c r="O18" i="4" s="1"/>
  <c r="I17" i="4"/>
  <c r="O17" i="4" s="1"/>
  <c r="H46" i="4"/>
  <c r="J46" i="4" s="1"/>
  <c r="I30" i="4"/>
  <c r="H23" i="4"/>
  <c r="J23" i="4" s="1"/>
  <c r="I35" i="4"/>
  <c r="H52" i="4"/>
  <c r="H21" i="4"/>
  <c r="J21" i="4" s="1"/>
  <c r="K675" i="7"/>
  <c r="I53" i="4"/>
  <c r="O53" i="4" s="1"/>
  <c r="K700" i="7"/>
  <c r="R700" i="7" s="1"/>
  <c r="H26" i="4"/>
  <c r="J26" i="4" s="1"/>
  <c r="I22" i="4"/>
  <c r="J654" i="7"/>
  <c r="Q654" i="7" s="1"/>
  <c r="I37" i="4"/>
  <c r="O37" i="4" s="1"/>
  <c r="K662" i="7"/>
  <c r="R662" i="7" s="1"/>
  <c r="L647" i="7"/>
  <c r="S647" i="7" s="1"/>
  <c r="H49" i="4"/>
  <c r="N49" i="4" s="1"/>
  <c r="I33" i="4"/>
  <c r="O33" i="4" s="1"/>
  <c r="H32" i="4"/>
  <c r="K670" i="7"/>
  <c r="R670" i="7" s="1"/>
  <c r="N700" i="7"/>
  <c r="J672" i="7"/>
  <c r="Q672" i="7" s="1"/>
  <c r="I51" i="4"/>
  <c r="I46" i="4"/>
  <c r="O46" i="4" s="1"/>
  <c r="K683" i="7"/>
  <c r="J644" i="7"/>
  <c r="Q644" i="7" s="1"/>
  <c r="H44" i="4"/>
  <c r="J44" i="4" s="1"/>
  <c r="I5" i="4"/>
  <c r="L5" i="4" s="1"/>
  <c r="H48" i="4"/>
  <c r="L663" i="7"/>
  <c r="S663" i="7" s="1"/>
  <c r="I41" i="4"/>
  <c r="O41" i="4" s="1"/>
  <c r="J664" i="7"/>
  <c r="N685" i="7"/>
  <c r="U685" i="7" s="1"/>
  <c r="H24" i="4"/>
  <c r="J24" i="4" s="1"/>
  <c r="J652" i="7"/>
  <c r="Q652" i="7" s="1"/>
  <c r="H25" i="4"/>
  <c r="L661" i="7"/>
  <c r="S661" i="7" s="1"/>
  <c r="I29" i="4"/>
  <c r="AW63" i="3"/>
  <c r="J671" i="7"/>
  <c r="Q671" i="7" s="1"/>
  <c r="K646" i="7"/>
  <c r="R646" i="7" s="1"/>
  <c r="N704" i="7"/>
  <c r="U704" i="7" s="1"/>
  <c r="BG63" i="3"/>
  <c r="H27" i="4"/>
  <c r="J27" i="4" s="1"/>
  <c r="H5" i="4"/>
  <c r="J659" i="7"/>
  <c r="Q659" i="7" s="1"/>
  <c r="J673" i="7"/>
  <c r="Q673" i="7" s="1"/>
  <c r="J675" i="7"/>
  <c r="J663" i="7"/>
  <c r="J655" i="7"/>
  <c r="H10" i="4"/>
  <c r="N10" i="4" s="1"/>
  <c r="J662" i="7"/>
  <c r="Q662" i="7" s="1"/>
  <c r="L700" i="7"/>
  <c r="J680" i="7"/>
  <c r="Q680" i="7" s="1"/>
  <c r="I45" i="4"/>
  <c r="J661" i="7"/>
  <c r="Q661" i="7" s="1"/>
  <c r="I7" i="4"/>
  <c r="H47" i="4"/>
  <c r="J701" i="7"/>
  <c r="Q701" i="7" s="1"/>
  <c r="J674" i="7"/>
  <c r="J700" i="7"/>
  <c r="I701" i="7"/>
  <c r="J649" i="7"/>
  <c r="Q649" i="7" s="1"/>
  <c r="BG64" i="3"/>
  <c r="M672" i="7"/>
  <c r="H19" i="4"/>
  <c r="J685" i="7"/>
  <c r="Q685" i="7" s="1"/>
  <c r="I684" i="6"/>
  <c r="O684" i="6" s="1"/>
  <c r="L671" i="7"/>
  <c r="S671" i="7" s="1"/>
  <c r="J656" i="7"/>
  <c r="Q656" i="7" s="1"/>
  <c r="J647" i="7"/>
  <c r="Q647" i="7" s="1"/>
  <c r="AK64" i="3"/>
  <c r="H54" i="4"/>
  <c r="J682" i="7"/>
  <c r="J651" i="7"/>
  <c r="Q651" i="7" s="1"/>
  <c r="H57" i="4"/>
  <c r="J681" i="7"/>
  <c r="J641" i="7"/>
  <c r="L676" i="7"/>
  <c r="S676" i="7" s="1"/>
  <c r="L649" i="7"/>
  <c r="S649" i="7" s="1"/>
  <c r="L668" i="7"/>
  <c r="S668" i="7" s="1"/>
  <c r="H50" i="4"/>
  <c r="M700" i="7"/>
  <c r="J658" i="7"/>
  <c r="Q658" i="7" s="1"/>
  <c r="K701" i="7"/>
  <c r="R701" i="7" s="1"/>
  <c r="I16" i="4"/>
  <c r="O16" i="4" s="1"/>
  <c r="J660" i="7"/>
  <c r="Q660" i="7" s="1"/>
  <c r="AS64" i="3"/>
  <c r="J646" i="7"/>
  <c r="Q646" i="7" s="1"/>
  <c r="J650" i="7"/>
  <c r="Q650" i="7" s="1"/>
  <c r="L683" i="7"/>
  <c r="N701" i="7"/>
  <c r="U701" i="7" s="1"/>
  <c r="L645" i="7"/>
  <c r="S645" i="7" s="1"/>
  <c r="BG61" i="3"/>
  <c r="BB61" i="3"/>
  <c r="J657" i="7"/>
  <c r="Q657" i="7" s="1"/>
  <c r="N680" i="7"/>
  <c r="L675" i="7"/>
  <c r="M655" i="7"/>
  <c r="M651" i="7"/>
  <c r="AR62" i="3"/>
  <c r="K664" i="7"/>
  <c r="R664" i="7" s="1"/>
  <c r="K704" i="7"/>
  <c r="L662" i="7"/>
  <c r="S662" i="7" s="1"/>
  <c r="K681" i="7"/>
  <c r="K652" i="7"/>
  <c r="C714" i="1" a="1"/>
  <c r="C714" i="1" s="1"/>
  <c r="N682" i="7" s="1"/>
  <c r="U682" i="7" s="1"/>
  <c r="K659" i="7"/>
  <c r="BH64" i="3"/>
  <c r="N702" i="7"/>
  <c r="D687" i="7"/>
  <c r="E687" i="7"/>
  <c r="F687" i="7"/>
  <c r="C671" i="6"/>
  <c r="G687" i="7"/>
  <c r="B694" i="1" a="1"/>
  <c r="B694" i="1" s="1"/>
  <c r="N65" i="3" s="1"/>
  <c r="C687" i="7"/>
  <c r="B687" i="7"/>
  <c r="K702" i="7"/>
  <c r="M702" i="7"/>
  <c r="I702" i="7"/>
  <c r="P702" i="7" s="1"/>
  <c r="L702" i="7"/>
  <c r="S702" i="7" s="1"/>
  <c r="N64" i="3"/>
  <c r="N61" i="3"/>
  <c r="N62" i="3"/>
  <c r="B695" i="1" a="1"/>
  <c r="B695" i="1" s="1"/>
  <c r="D671" i="6" l="1"/>
  <c r="J31" i="4"/>
  <c r="J55" i="4"/>
  <c r="J22" i="4"/>
  <c r="F158" i="6"/>
  <c r="R157" i="6"/>
  <c r="S156" i="6"/>
  <c r="Q157" i="6"/>
  <c r="E158" i="6"/>
  <c r="G157" i="6"/>
  <c r="K163" i="6"/>
  <c r="M162" i="6"/>
  <c r="N683" i="6"/>
  <c r="P683" i="6" s="1"/>
  <c r="J41" i="4"/>
  <c r="J47" i="4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J8" i="4"/>
  <c r="I666" i="7"/>
  <c r="J54" i="4"/>
  <c r="O641" i="7"/>
  <c r="N34" i="4"/>
  <c r="P34" i="4" s="1"/>
  <c r="L167" i="6"/>
  <c r="AW9" i="3"/>
  <c r="J13" i="4"/>
  <c r="H684" i="6"/>
  <c r="M663" i="7"/>
  <c r="O663" i="7" s="1"/>
  <c r="M660" i="7"/>
  <c r="T660" i="7" s="1"/>
  <c r="V660" i="7" s="1"/>
  <c r="BC63" i="3"/>
  <c r="M667" i="7"/>
  <c r="O667" i="7" s="1"/>
  <c r="M676" i="7"/>
  <c r="T676" i="7" s="1"/>
  <c r="M657" i="7"/>
  <c r="O657" i="7" s="1"/>
  <c r="J677" i="7"/>
  <c r="Q677" i="7" s="1"/>
  <c r="AU9" i="3"/>
  <c r="M643" i="7"/>
  <c r="O643" i="7" s="1"/>
  <c r="M644" i="7"/>
  <c r="M675" i="7"/>
  <c r="T675" i="7" s="1"/>
  <c r="J57" i="4"/>
  <c r="M682" i="7"/>
  <c r="T682" i="7" s="1"/>
  <c r="M677" i="7"/>
  <c r="T677" i="7" s="1"/>
  <c r="M642" i="7"/>
  <c r="BC64" i="3"/>
  <c r="BC62" i="3"/>
  <c r="BC61" i="3"/>
  <c r="AW64" i="3"/>
  <c r="AT62" i="3"/>
  <c r="N20" i="4"/>
  <c r="AW8" i="3"/>
  <c r="M685" i="7"/>
  <c r="T685" i="7" s="1"/>
  <c r="V685" i="7" s="1"/>
  <c r="AR64" i="3"/>
  <c r="BB65" i="3"/>
  <c r="AM65" i="3"/>
  <c r="J7" i="4"/>
  <c r="P15" i="4"/>
  <c r="AU8" i="3"/>
  <c r="AU65" i="3"/>
  <c r="N6" i="4"/>
  <c r="P6" i="4" s="1"/>
  <c r="J48" i="4"/>
  <c r="AW65" i="3"/>
  <c r="I644" i="7"/>
  <c r="AQ9" i="3"/>
  <c r="AR9" i="3"/>
  <c r="AE89" i="13" s="1"/>
  <c r="P9" i="4"/>
  <c r="I36" i="4"/>
  <c r="J36" i="4" s="1"/>
  <c r="I649" i="7"/>
  <c r="AR65" i="3"/>
  <c r="BE65" i="3"/>
  <c r="O647" i="7"/>
  <c r="N42" i="4"/>
  <c r="P42" i="4" s="1"/>
  <c r="J9" i="4"/>
  <c r="BH9" i="3"/>
  <c r="BH7" i="3" s="1"/>
  <c r="BB8" i="3"/>
  <c r="M34" i="14" s="1"/>
  <c r="BE8" i="3"/>
  <c r="AF109" i="13" s="1"/>
  <c r="AN65" i="3"/>
  <c r="J38" i="4"/>
  <c r="J15" i="4"/>
  <c r="N43" i="4"/>
  <c r="P43" i="4" s="1"/>
  <c r="BE9" i="3"/>
  <c r="M55" i="14" s="1"/>
  <c r="AL65" i="3"/>
  <c r="T645" i="6"/>
  <c r="AQ8" i="3"/>
  <c r="BH65" i="3"/>
  <c r="BH8" i="3"/>
  <c r="J37" i="4"/>
  <c r="J39" i="4"/>
  <c r="N35" i="4"/>
  <c r="J51" i="4"/>
  <c r="O680" i="7"/>
  <c r="P37" i="4"/>
  <c r="J49" i="4"/>
  <c r="N40" i="4"/>
  <c r="J10" i="4"/>
  <c r="J28" i="4"/>
  <c r="N28" i="4"/>
  <c r="O654" i="7"/>
  <c r="O672" i="7"/>
  <c r="O670" i="7"/>
  <c r="N52" i="4"/>
  <c r="J52" i="4"/>
  <c r="O673" i="7"/>
  <c r="O655" i="7"/>
  <c r="O651" i="7"/>
  <c r="P41" i="4"/>
  <c r="V656" i="7"/>
  <c r="J53" i="4"/>
  <c r="AK65" i="3"/>
  <c r="J642" i="7"/>
  <c r="O700" i="7"/>
  <c r="O656" i="7"/>
  <c r="O671" i="7"/>
  <c r="N44" i="4"/>
  <c r="O659" i="7"/>
  <c r="O681" i="7"/>
  <c r="J32" i="4"/>
  <c r="N32" i="4"/>
  <c r="P32" i="4" s="1"/>
  <c r="J25" i="4"/>
  <c r="N25" i="4"/>
  <c r="P25" i="4" s="1"/>
  <c r="J5" i="4"/>
  <c r="K5" i="4"/>
  <c r="J19" i="4"/>
  <c r="N19" i="4"/>
  <c r="P19" i="4" s="1"/>
  <c r="N50" i="4"/>
  <c r="J50" i="4"/>
  <c r="O645" i="7"/>
  <c r="O646" i="7"/>
  <c r="O664" i="7"/>
  <c r="C716" i="1" a="1"/>
  <c r="C716" i="1" s="1"/>
  <c r="AQ65" i="3"/>
  <c r="O662" i="7"/>
  <c r="L666" i="7"/>
  <c r="S666" i="7" s="1"/>
  <c r="R659" i="7"/>
  <c r="L652" i="7"/>
  <c r="S652" i="7" s="1"/>
  <c r="AY62" i="3"/>
  <c r="AY64" i="3"/>
  <c r="AY61" i="3"/>
  <c r="AY63" i="3"/>
  <c r="AW62" i="3"/>
  <c r="H687" i="7"/>
  <c r="N8" i="3"/>
  <c r="M4" i="14" s="1"/>
  <c r="N9" i="3"/>
  <c r="N4" i="14" s="1"/>
  <c r="O702" i="7"/>
  <c r="M703" i="7"/>
  <c r="H685" i="6"/>
  <c r="AT64" i="3"/>
  <c r="C720" i="1" a="1"/>
  <c r="C720" i="1" s="1"/>
  <c r="C717" i="1" a="1"/>
  <c r="C717" i="1" s="1"/>
  <c r="C719" i="1" a="1"/>
  <c r="C719" i="1" s="1"/>
  <c r="B696" i="1" a="1"/>
  <c r="B696" i="1" s="1"/>
  <c r="B697" i="1" a="1"/>
  <c r="B697" i="1" s="1"/>
  <c r="I674" i="6" l="1"/>
  <c r="H674" i="6"/>
  <c r="S157" i="6"/>
  <c r="G158" i="6"/>
  <c r="E159" i="6"/>
  <c r="Q158" i="6"/>
  <c r="F159" i="6"/>
  <c r="R158" i="6"/>
  <c r="K164" i="6"/>
  <c r="M163" i="6"/>
  <c r="V677" i="7"/>
  <c r="O685" i="7"/>
  <c r="AU7" i="3"/>
  <c r="O675" i="7"/>
  <c r="O660" i="7"/>
  <c r="O677" i="7"/>
  <c r="AW7" i="3"/>
  <c r="N60" i="14"/>
  <c r="L168" i="6"/>
  <c r="N684" i="6"/>
  <c r="P684" i="6" s="1"/>
  <c r="J684" i="6"/>
  <c r="O682" i="7"/>
  <c r="M661" i="7"/>
  <c r="O661" i="7" s="1"/>
  <c r="M649" i="7"/>
  <c r="T649" i="7" s="1"/>
  <c r="AE109" i="13"/>
  <c r="AG109" i="13" s="1"/>
  <c r="AQ7" i="3"/>
  <c r="C718" i="1" a="1"/>
  <c r="C718" i="1" s="1"/>
  <c r="AR8" i="3"/>
  <c r="BH5" i="3"/>
  <c r="BE7" i="3"/>
  <c r="N55" i="14" s="1"/>
  <c r="Q642" i="7"/>
  <c r="O642" i="7"/>
  <c r="M5" i="4"/>
  <c r="K6" i="4"/>
  <c r="L701" i="7"/>
  <c r="S701" i="7" s="1"/>
  <c r="L674" i="7"/>
  <c r="T651" i="6"/>
  <c r="T633" i="6"/>
  <c r="L644" i="7"/>
  <c r="S644" i="7" s="1"/>
  <c r="L650" i="7"/>
  <c r="O652" i="7"/>
  <c r="L4" i="14"/>
  <c r="N7" i="3"/>
  <c r="J685" i="6"/>
  <c r="N685" i="6"/>
  <c r="C721" i="1" a="1"/>
  <c r="C721" i="1" s="1"/>
  <c r="BF62" i="3"/>
  <c r="BF64" i="3"/>
  <c r="B698" i="1" a="1"/>
  <c r="B698" i="1" s="1"/>
  <c r="L26" i="4"/>
  <c r="J674" i="6" l="1"/>
  <c r="F160" i="6"/>
  <c r="R159" i="6"/>
  <c r="S158" i="6"/>
  <c r="G159" i="6"/>
  <c r="E160" i="6"/>
  <c r="Q159" i="6"/>
  <c r="K165" i="6"/>
  <c r="M164" i="6"/>
  <c r="L169" i="6"/>
  <c r="M666" i="7"/>
  <c r="O649" i="7"/>
  <c r="M60" i="14"/>
  <c r="L60" i="14" s="1"/>
  <c r="AF89" i="13"/>
  <c r="AG89" i="13" s="1"/>
  <c r="AR7" i="3"/>
  <c r="M6" i="4"/>
  <c r="K7" i="4"/>
  <c r="O701" i="7"/>
  <c r="S674" i="7"/>
  <c r="O674" i="7"/>
  <c r="S650" i="7"/>
  <c r="O650" i="7"/>
  <c r="O644" i="7"/>
  <c r="AM64" i="3"/>
  <c r="AT61" i="3"/>
  <c r="AT63" i="3"/>
  <c r="BH62" i="3"/>
  <c r="P685" i="6"/>
  <c r="X64" i="3"/>
  <c r="I703" i="7"/>
  <c r="K703" i="7"/>
  <c r="L703" i="7"/>
  <c r="N703" i="7"/>
  <c r="U703" i="7" s="1"/>
  <c r="J703" i="7"/>
  <c r="I685" i="6"/>
  <c r="O685" i="6" s="1"/>
  <c r="C722" i="1" a="1"/>
  <c r="C722" i="1" s="1"/>
  <c r="AO63" i="3" s="1"/>
  <c r="AO62" i="3"/>
  <c r="AO61" i="3"/>
  <c r="C723" i="1" a="1"/>
  <c r="C723" i="1" s="1"/>
  <c r="C724" i="1" a="1"/>
  <c r="C724" i="1" s="1"/>
  <c r="J676" i="7" s="1"/>
  <c r="C731" i="1" a="1"/>
  <c r="C731" i="1" s="1"/>
  <c r="B699" i="1" a="1"/>
  <c r="B699" i="1" s="1"/>
  <c r="L27" i="4"/>
  <c r="S159" i="6" l="1"/>
  <c r="G160" i="6"/>
  <c r="E161" i="6"/>
  <c r="Q160" i="6"/>
  <c r="R160" i="6"/>
  <c r="F161" i="6"/>
  <c r="K166" i="6"/>
  <c r="M165" i="6"/>
  <c r="L170" i="6"/>
  <c r="K8" i="4"/>
  <c r="M7" i="4"/>
  <c r="Q676" i="7"/>
  <c r="V676" i="7" s="1"/>
  <c r="O676" i="7"/>
  <c r="J665" i="7"/>
  <c r="Q665" i="7" s="1"/>
  <c r="J669" i="7"/>
  <c r="J668" i="7"/>
  <c r="O668" i="7" s="1"/>
  <c r="J683" i="7"/>
  <c r="O683" i="7" s="1"/>
  <c r="G58" i="3"/>
  <c r="Q703" i="7"/>
  <c r="R703" i="7"/>
  <c r="O703" i="7"/>
  <c r="H686" i="6"/>
  <c r="N686" i="6" s="1"/>
  <c r="C725" i="1" a="1"/>
  <c r="C725" i="1" s="1"/>
  <c r="G51" i="3"/>
  <c r="G61" i="3"/>
  <c r="G62" i="3"/>
  <c r="G59" i="3"/>
  <c r="G53" i="3"/>
  <c r="G55" i="3"/>
  <c r="G54" i="3"/>
  <c r="G57" i="3"/>
  <c r="G60" i="3"/>
  <c r="B700" i="1" a="1"/>
  <c r="B700" i="1" s="1"/>
  <c r="L28" i="4"/>
  <c r="F162" i="6" l="1"/>
  <c r="R161" i="6"/>
  <c r="S160" i="6"/>
  <c r="E162" i="6"/>
  <c r="G161" i="6"/>
  <c r="Q161" i="6"/>
  <c r="M166" i="6"/>
  <c r="K167" i="6"/>
  <c r="L171" i="6"/>
  <c r="K9" i="4"/>
  <c r="M8" i="4"/>
  <c r="Q669" i="7"/>
  <c r="O669" i="7"/>
  <c r="J666" i="7"/>
  <c r="O665" i="7"/>
  <c r="P686" i="6"/>
  <c r="J686" i="6"/>
  <c r="C726" i="1" a="1"/>
  <c r="C726" i="1" s="1"/>
  <c r="B701" i="1" a="1"/>
  <c r="B701" i="1" s="1"/>
  <c r="Q65" i="3" s="1"/>
  <c r="L29" i="4"/>
  <c r="C727" i="1" l="1" a="1"/>
  <c r="C727" i="1" s="1"/>
  <c r="S161" i="6"/>
  <c r="E163" i="6"/>
  <c r="G162" i="6"/>
  <c r="Q162" i="6"/>
  <c r="F163" i="6"/>
  <c r="R162" i="6"/>
  <c r="K168" i="6"/>
  <c r="M167" i="6"/>
  <c r="L172" i="6"/>
  <c r="K10" i="4"/>
  <c r="M9" i="4"/>
  <c r="AU64" i="3"/>
  <c r="I686" i="6"/>
  <c r="O686" i="6" s="1"/>
  <c r="AL62" i="3"/>
  <c r="BA64" i="3"/>
  <c r="BA62" i="3"/>
  <c r="C728" i="1" a="1"/>
  <c r="C728" i="1" s="1"/>
  <c r="B702" i="1" a="1"/>
  <c r="B702" i="1" s="1"/>
  <c r="B708" i="1" a="1"/>
  <c r="B708" i="1" s="1"/>
  <c r="L30" i="4"/>
  <c r="F164" i="6" l="1"/>
  <c r="R163" i="6"/>
  <c r="S162" i="6"/>
  <c r="E164" i="6"/>
  <c r="G163" i="6"/>
  <c r="Q163" i="6"/>
  <c r="K169" i="6"/>
  <c r="M168" i="6"/>
  <c r="L173" i="6"/>
  <c r="M10" i="4"/>
  <c r="K11" i="4"/>
  <c r="C729" i="1" a="1"/>
  <c r="C729" i="1" s="1"/>
  <c r="I56" i="3"/>
  <c r="D58" i="3"/>
  <c r="D35" i="3"/>
  <c r="D39" i="3"/>
  <c r="D42" i="3"/>
  <c r="K57" i="3"/>
  <c r="E43" i="3"/>
  <c r="D49" i="3"/>
  <c r="D21" i="3"/>
  <c r="L53" i="3"/>
  <c r="E40" i="3"/>
  <c r="E42" i="3"/>
  <c r="E48" i="3"/>
  <c r="J52" i="3"/>
  <c r="E37" i="3"/>
  <c r="D34" i="3"/>
  <c r="I54" i="3"/>
  <c r="J55" i="3"/>
  <c r="D22" i="3"/>
  <c r="D28" i="3"/>
  <c r="D47" i="3"/>
  <c r="D45" i="3"/>
  <c r="D37" i="3"/>
  <c r="K52" i="3"/>
  <c r="B704" i="1" a="1"/>
  <c r="B704" i="1" s="1"/>
  <c r="B703" i="1" a="1"/>
  <c r="B703" i="1" s="1"/>
  <c r="H60" i="3" s="1"/>
  <c r="L31" i="4"/>
  <c r="S163" i="6" l="1"/>
  <c r="E165" i="6"/>
  <c r="G164" i="6"/>
  <c r="Q164" i="6"/>
  <c r="F165" i="6"/>
  <c r="R164" i="6"/>
  <c r="K170" i="6"/>
  <c r="M169" i="6"/>
  <c r="L174" i="6"/>
  <c r="M11" i="4"/>
  <c r="K12" i="4"/>
  <c r="AP62" i="3"/>
  <c r="AP64" i="3"/>
  <c r="H58" i="3"/>
  <c r="H62" i="3"/>
  <c r="H55" i="3"/>
  <c r="H51" i="3"/>
  <c r="AP63" i="3"/>
  <c r="G688" i="7"/>
  <c r="H687" i="6"/>
  <c r="N687" i="6" s="1"/>
  <c r="I704" i="7"/>
  <c r="AN62" i="3"/>
  <c r="AV62" i="3"/>
  <c r="BE62" i="3"/>
  <c r="AU62" i="3"/>
  <c r="AS62" i="3"/>
  <c r="AP61" i="3"/>
  <c r="C730" i="1" a="1"/>
  <c r="C730" i="1" s="1"/>
  <c r="C672" i="6"/>
  <c r="F688" i="7"/>
  <c r="B672" i="6"/>
  <c r="C688" i="7"/>
  <c r="B705" i="1" a="1"/>
  <c r="B705" i="1" s="1"/>
  <c r="D688" i="7"/>
  <c r="E688" i="7"/>
  <c r="L32" i="4"/>
  <c r="F166" i="6" l="1"/>
  <c r="R165" i="6"/>
  <c r="S164" i="6"/>
  <c r="E166" i="6"/>
  <c r="Q165" i="6"/>
  <c r="G165" i="6"/>
  <c r="M170" i="6"/>
  <c r="K171" i="6"/>
  <c r="L175" i="6"/>
  <c r="K13" i="4"/>
  <c r="M12" i="4"/>
  <c r="O704" i="7"/>
  <c r="C732" i="1" a="1"/>
  <c r="C732" i="1" s="1"/>
  <c r="B706" i="1" a="1"/>
  <c r="B706" i="1" s="1"/>
  <c r="D672" i="6"/>
  <c r="L33" i="4"/>
  <c r="S165" i="6" l="1"/>
  <c r="E167" i="6"/>
  <c r="G166" i="6"/>
  <c r="Q166" i="6"/>
  <c r="F167" i="6"/>
  <c r="R166" i="6"/>
  <c r="K172" i="6"/>
  <c r="M171" i="6"/>
  <c r="L176" i="6"/>
  <c r="K14" i="4"/>
  <c r="M13" i="4"/>
  <c r="C733" i="1" a="1"/>
  <c r="C733" i="1" s="1"/>
  <c r="B707" i="1" a="1"/>
  <c r="B707" i="1" s="1"/>
  <c r="L34" i="4"/>
  <c r="S166" i="6" l="1"/>
  <c r="R167" i="6"/>
  <c r="F168" i="6"/>
  <c r="G167" i="6"/>
  <c r="Q167" i="6"/>
  <c r="E168" i="6"/>
  <c r="K173" i="6"/>
  <c r="M172" i="6"/>
  <c r="L177" i="6"/>
  <c r="M14" i="4"/>
  <c r="K15" i="4"/>
  <c r="C734" i="1" a="1"/>
  <c r="C734" i="1" s="1"/>
  <c r="B709" i="1" a="1"/>
  <c r="B709" i="1" s="1"/>
  <c r="L35" i="4"/>
  <c r="S167" i="6" l="1"/>
  <c r="F169" i="6"/>
  <c r="R168" i="6"/>
  <c r="E169" i="6"/>
  <c r="G168" i="6"/>
  <c r="Q168" i="6"/>
  <c r="K174" i="6"/>
  <c r="M173" i="6"/>
  <c r="L178" i="6"/>
  <c r="M15" i="4"/>
  <c r="K16" i="4"/>
  <c r="R64" i="3"/>
  <c r="C735" i="1" a="1"/>
  <c r="C735" i="1" s="1"/>
  <c r="R62" i="3"/>
  <c r="R63" i="3"/>
  <c r="R61" i="3"/>
  <c r="B710" i="1" a="1"/>
  <c r="B710" i="1" s="1"/>
  <c r="L36" i="4"/>
  <c r="S168" i="6" l="1"/>
  <c r="E170" i="6"/>
  <c r="Q169" i="6"/>
  <c r="G169" i="6"/>
  <c r="F170" i="6"/>
  <c r="R169" i="6"/>
  <c r="K175" i="6"/>
  <c r="M174" i="6"/>
  <c r="L179" i="6"/>
  <c r="K17" i="4"/>
  <c r="M16" i="4"/>
  <c r="J691" i="7"/>
  <c r="K691" i="7"/>
  <c r="N691" i="7"/>
  <c r="C736" i="1" a="1"/>
  <c r="C736" i="1" s="1"/>
  <c r="L691" i="7" s="1"/>
  <c r="B711" i="1" a="1"/>
  <c r="B711" i="1" s="1"/>
  <c r="L37" i="4"/>
  <c r="F171" i="6" l="1"/>
  <c r="R170" i="6"/>
  <c r="S169" i="6"/>
  <c r="E171" i="6"/>
  <c r="Q170" i="6"/>
  <c r="G170" i="6"/>
  <c r="K176" i="6"/>
  <c r="M175" i="6"/>
  <c r="L180" i="6"/>
  <c r="K18" i="4"/>
  <c r="M17" i="4"/>
  <c r="M691" i="7"/>
  <c r="C737" i="1" a="1"/>
  <c r="C737" i="1" s="1"/>
  <c r="J58" i="3"/>
  <c r="J54" i="3"/>
  <c r="J53" i="3"/>
  <c r="J57" i="3"/>
  <c r="J56" i="3"/>
  <c r="J64" i="3"/>
  <c r="J51" i="3"/>
  <c r="J59" i="3"/>
  <c r="J60" i="3"/>
  <c r="J61" i="3"/>
  <c r="B712" i="1" a="1"/>
  <c r="B712" i="1" s="1"/>
  <c r="E27" i="3"/>
  <c r="K51" i="3"/>
  <c r="L54" i="3"/>
  <c r="E49" i="3"/>
  <c r="E17" i="3"/>
  <c r="E44" i="3"/>
  <c r="E38" i="3"/>
  <c r="E50" i="3"/>
  <c r="D31" i="3"/>
  <c r="I59" i="3"/>
  <c r="D32" i="3"/>
  <c r="E35" i="3"/>
  <c r="G56" i="3"/>
  <c r="E41" i="3"/>
  <c r="K55" i="3"/>
  <c r="D41" i="3"/>
  <c r="D46" i="3"/>
  <c r="D48" i="3"/>
  <c r="D43" i="3"/>
  <c r="D40" i="3"/>
  <c r="I52" i="3"/>
  <c r="D652" i="7"/>
  <c r="I57" i="3"/>
  <c r="K54" i="3"/>
  <c r="J62" i="3"/>
  <c r="B689" i="7"/>
  <c r="B688" i="7"/>
  <c r="L38" i="4"/>
  <c r="S170" i="6" l="1"/>
  <c r="G171" i="6"/>
  <c r="Q171" i="6"/>
  <c r="E172" i="6"/>
  <c r="F172" i="6"/>
  <c r="R171" i="6"/>
  <c r="M176" i="6"/>
  <c r="K177" i="6"/>
  <c r="L181" i="6"/>
  <c r="K19" i="4"/>
  <c r="M18" i="4"/>
  <c r="C738" i="1" a="1"/>
  <c r="C738" i="1" s="1"/>
  <c r="C739" i="1" s="1" a="1"/>
  <c r="C739" i="1" s="1"/>
  <c r="C740" i="1" s="1" a="1"/>
  <c r="C740" i="1" s="1"/>
  <c r="K658" i="7" s="1"/>
  <c r="C673" i="6"/>
  <c r="O673" i="6" s="1"/>
  <c r="B713" i="1" a="1"/>
  <c r="B713" i="1" s="1"/>
  <c r="R652" i="7"/>
  <c r="G689" i="7"/>
  <c r="F689" i="7"/>
  <c r="E689" i="7"/>
  <c r="D689" i="7"/>
  <c r="C689" i="7"/>
  <c r="B673" i="6"/>
  <c r="N673" i="6" s="1"/>
  <c r="B714" i="1" a="1"/>
  <c r="B714" i="1" s="1"/>
  <c r="H688" i="7"/>
  <c r="L39" i="4"/>
  <c r="P673" i="6" l="1"/>
  <c r="F173" i="6"/>
  <c r="R172" i="6"/>
  <c r="E173" i="6"/>
  <c r="G172" i="6"/>
  <c r="Q172" i="6"/>
  <c r="S171" i="6"/>
  <c r="K178" i="6"/>
  <c r="M177" i="6"/>
  <c r="L182" i="6"/>
  <c r="R658" i="7"/>
  <c r="O658" i="7"/>
  <c r="K666" i="7"/>
  <c r="M19" i="4"/>
  <c r="K20" i="4"/>
  <c r="AZ62" i="3"/>
  <c r="AZ64" i="3"/>
  <c r="AZ63" i="3"/>
  <c r="AZ61" i="3"/>
  <c r="BH66" i="3"/>
  <c r="C741" i="1" a="1"/>
  <c r="C741" i="1" s="1"/>
  <c r="C742" i="1" s="1" a="1"/>
  <c r="C742" i="1" s="1"/>
  <c r="AE62" i="3"/>
  <c r="AE65" i="3"/>
  <c r="AE8" i="3"/>
  <c r="M10" i="14" s="1"/>
  <c r="AE61" i="3"/>
  <c r="AE9" i="3"/>
  <c r="B715" i="1" a="1"/>
  <c r="B715" i="1" s="1"/>
  <c r="D673" i="6"/>
  <c r="H689" i="7"/>
  <c r="B716" i="1" a="1"/>
  <c r="B716" i="1" s="1"/>
  <c r="L40" i="4"/>
  <c r="S172" i="6" l="1"/>
  <c r="E174" i="6"/>
  <c r="G173" i="6"/>
  <c r="Q173" i="6"/>
  <c r="F174" i="6"/>
  <c r="R173" i="6"/>
  <c r="M178" i="6"/>
  <c r="K179" i="6"/>
  <c r="L183" i="6"/>
  <c r="R666" i="7"/>
  <c r="O666" i="7"/>
  <c r="K21" i="4"/>
  <c r="M20" i="4"/>
  <c r="BE64" i="3"/>
  <c r="BB66" i="3"/>
  <c r="BB9" i="3"/>
  <c r="BA63" i="3"/>
  <c r="BA65" i="3"/>
  <c r="BA61" i="3"/>
  <c r="C743" i="1" a="1"/>
  <c r="C743" i="1" s="1"/>
  <c r="BA8" i="3"/>
  <c r="C744" i="1" a="1"/>
  <c r="C744" i="1" s="1"/>
  <c r="C745" i="1" a="1"/>
  <c r="C745" i="1" s="1"/>
  <c r="C747" i="1" a="1"/>
  <c r="C747" i="1" s="1"/>
  <c r="AE7" i="3"/>
  <c r="N10" i="14"/>
  <c r="L10" i="14" s="1"/>
  <c r="Q9" i="14" s="1"/>
  <c r="B717" i="1" a="1"/>
  <c r="B717" i="1" s="1"/>
  <c r="L41" i="4"/>
  <c r="R174" i="6" l="1"/>
  <c r="F175" i="6"/>
  <c r="S173" i="6"/>
  <c r="E175" i="6"/>
  <c r="G174" i="6"/>
  <c r="Q174" i="6"/>
  <c r="K180" i="6"/>
  <c r="M179" i="6"/>
  <c r="L184" i="6"/>
  <c r="K22" i="4"/>
  <c r="M21" i="4"/>
  <c r="BB7" i="3"/>
  <c r="N34" i="14"/>
  <c r="G65" i="3"/>
  <c r="C746" i="1" a="1"/>
  <c r="C746" i="1" s="1"/>
  <c r="AQ66" i="3"/>
  <c r="BG66" i="3"/>
  <c r="AV66" i="3"/>
  <c r="AK66" i="3"/>
  <c r="AU66" i="3"/>
  <c r="AW66" i="3"/>
  <c r="AM66" i="3"/>
  <c r="AR66" i="3"/>
  <c r="AT66" i="3"/>
  <c r="AN66" i="3"/>
  <c r="AO66" i="3"/>
  <c r="AY66" i="3"/>
  <c r="AL66" i="3"/>
  <c r="BE66" i="3"/>
  <c r="AF101" i="13"/>
  <c r="M32" i="14"/>
  <c r="C748" i="1" a="1"/>
  <c r="C748" i="1" s="1"/>
  <c r="B718" i="1" a="1"/>
  <c r="B718" i="1" s="1"/>
  <c r="L42" i="4"/>
  <c r="S174" i="6" l="1"/>
  <c r="G175" i="6"/>
  <c r="E176" i="6"/>
  <c r="Q175" i="6"/>
  <c r="F176" i="6"/>
  <c r="R175" i="6"/>
  <c r="K181" i="6"/>
  <c r="M180" i="6"/>
  <c r="L185" i="6"/>
  <c r="K23" i="4"/>
  <c r="M22" i="4"/>
  <c r="AX64" i="3"/>
  <c r="AX61" i="3"/>
  <c r="AX63" i="3"/>
  <c r="C749" i="1" a="1"/>
  <c r="C749" i="1" s="1"/>
  <c r="B719" i="1" a="1"/>
  <c r="B719" i="1" s="1"/>
  <c r="J65" i="3" s="1"/>
  <c r="L43" i="4"/>
  <c r="F177" i="6" l="1"/>
  <c r="R176" i="6"/>
  <c r="S175" i="6"/>
  <c r="E177" i="6"/>
  <c r="G176" i="6"/>
  <c r="Q176" i="6"/>
  <c r="K182" i="6"/>
  <c r="M181" i="6"/>
  <c r="L186" i="6"/>
  <c r="M23" i="4"/>
  <c r="K24" i="4"/>
  <c r="C750" i="1" a="1"/>
  <c r="C750" i="1" s="1"/>
  <c r="B720" i="1" a="1"/>
  <c r="B720" i="1" s="1"/>
  <c r="F690" i="7" s="1"/>
  <c r="B721" i="1" a="1"/>
  <c r="B721" i="1" s="1"/>
  <c r="L44" i="4"/>
  <c r="S176" i="6" l="1"/>
  <c r="E178" i="6"/>
  <c r="G177" i="6"/>
  <c r="Q177" i="6"/>
  <c r="F178" i="6"/>
  <c r="R177" i="6"/>
  <c r="M182" i="6"/>
  <c r="K183" i="6"/>
  <c r="L187" i="6"/>
  <c r="K25" i="4"/>
  <c r="M24" i="4"/>
  <c r="C751" i="1" a="1"/>
  <c r="C751" i="1" s="1"/>
  <c r="B674" i="6"/>
  <c r="N674" i="6" s="1"/>
  <c r="G690" i="7"/>
  <c r="D690" i="7"/>
  <c r="C690" i="7"/>
  <c r="B722" i="1" a="1"/>
  <c r="B722" i="1" s="1"/>
  <c r="B690" i="7"/>
  <c r="E690" i="7"/>
  <c r="C674" i="6"/>
  <c r="O674" i="6" s="1"/>
  <c r="L45" i="4"/>
  <c r="P674" i="6" l="1"/>
  <c r="R178" i="6"/>
  <c r="F179" i="6"/>
  <c r="S177" i="6"/>
  <c r="G178" i="6"/>
  <c r="E179" i="6"/>
  <c r="Q178" i="6"/>
  <c r="K184" i="6"/>
  <c r="M183" i="6"/>
  <c r="L188" i="6"/>
  <c r="K26" i="4"/>
  <c r="M25" i="4"/>
  <c r="BD62" i="3"/>
  <c r="BD64" i="3"/>
  <c r="C752" i="1" a="1"/>
  <c r="C752" i="1" s="1"/>
  <c r="J687" i="6"/>
  <c r="E33" i="3"/>
  <c r="D10" i="3"/>
  <c r="C26" i="4"/>
  <c r="F648" i="7"/>
  <c r="E46" i="3"/>
  <c r="E24" i="3"/>
  <c r="AD63" i="3"/>
  <c r="C678" i="7"/>
  <c r="C40" i="4"/>
  <c r="O40" i="4" s="1"/>
  <c r="P40" i="4" s="1"/>
  <c r="D13" i="3"/>
  <c r="C7" i="4"/>
  <c r="C27" i="4"/>
  <c r="O27" i="4" s="1"/>
  <c r="C39" i="4"/>
  <c r="O39" i="4" s="1"/>
  <c r="D23" i="3"/>
  <c r="B658" i="6"/>
  <c r="N658" i="6" s="1"/>
  <c r="P658" i="6" s="1"/>
  <c r="B27" i="4"/>
  <c r="N27" i="4" s="1"/>
  <c r="D675" i="7"/>
  <c r="F52" i="3"/>
  <c r="B14" i="4"/>
  <c r="F21" i="3"/>
  <c r="D19" i="3"/>
  <c r="D26" i="3"/>
  <c r="B47" i="4"/>
  <c r="U62" i="3"/>
  <c r="B723" i="1" a="1"/>
  <c r="B723" i="1" s="1"/>
  <c r="B724" i="1" s="1" a="1"/>
  <c r="B724" i="1" s="1"/>
  <c r="AH64" i="3"/>
  <c r="AH63" i="3"/>
  <c r="AH62" i="3"/>
  <c r="AH61" i="3"/>
  <c r="I9" i="3"/>
  <c r="O8" i="3"/>
  <c r="I8" i="3"/>
  <c r="D674" i="6"/>
  <c r="H690" i="7"/>
  <c r="L46" i="4"/>
  <c r="S178" i="6" l="1"/>
  <c r="G179" i="6"/>
  <c r="E180" i="6"/>
  <c r="Q179" i="6"/>
  <c r="F180" i="6"/>
  <c r="R179" i="6"/>
  <c r="K185" i="6"/>
  <c r="M184" i="6"/>
  <c r="L189" i="6"/>
  <c r="M26" i="4"/>
  <c r="K27" i="4"/>
  <c r="C753" i="1" a="1"/>
  <c r="C753" i="1" s="1"/>
  <c r="C754" i="1" s="1" a="1"/>
  <c r="C754" i="1" s="1"/>
  <c r="I687" i="6"/>
  <c r="O687" i="6" s="1"/>
  <c r="P687" i="6" s="1"/>
  <c r="B725" i="1" a="1"/>
  <c r="B725" i="1" s="1"/>
  <c r="P27" i="4"/>
  <c r="N47" i="4"/>
  <c r="D658" i="6"/>
  <c r="I7" i="3"/>
  <c r="D14" i="4"/>
  <c r="N14" i="4"/>
  <c r="O7" i="4"/>
  <c r="O26" i="4"/>
  <c r="R675" i="7"/>
  <c r="D679" i="7"/>
  <c r="H678" i="7"/>
  <c r="B727" i="1" a="1"/>
  <c r="B727" i="1" s="1"/>
  <c r="L47" i="4"/>
  <c r="R180" i="6" l="1"/>
  <c r="F181" i="6"/>
  <c r="S179" i="6"/>
  <c r="G180" i="6"/>
  <c r="E181" i="6"/>
  <c r="Q180" i="6"/>
  <c r="M185" i="6"/>
  <c r="K186" i="6"/>
  <c r="L190" i="6"/>
  <c r="K28" i="4"/>
  <c r="M27" i="4"/>
  <c r="AQ64" i="3"/>
  <c r="BD63" i="3"/>
  <c r="BD61" i="3"/>
  <c r="C755" i="1" a="1"/>
  <c r="C755" i="1" s="1"/>
  <c r="C756" i="1" a="1"/>
  <c r="C756" i="1" s="1"/>
  <c r="P62" i="3"/>
  <c r="P64" i="3"/>
  <c r="P63" i="3"/>
  <c r="P61" i="3"/>
  <c r="B726" i="1" a="1"/>
  <c r="B726" i="1" s="1"/>
  <c r="B728" i="1" s="1" a="1"/>
  <c r="B728" i="1" s="1"/>
  <c r="E13" i="3"/>
  <c r="C29" i="4"/>
  <c r="C36" i="4"/>
  <c r="O36" i="4" s="1"/>
  <c r="B39" i="4"/>
  <c r="N39" i="4" s="1"/>
  <c r="P39" i="4" s="1"/>
  <c r="C661" i="6"/>
  <c r="O661" i="6" s="1"/>
  <c r="F13" i="3"/>
  <c r="C659" i="6"/>
  <c r="O659" i="6" s="1"/>
  <c r="P659" i="6" s="1"/>
  <c r="D12" i="3"/>
  <c r="B24" i="4"/>
  <c r="M63" i="3"/>
  <c r="B57" i="4"/>
  <c r="B45" i="4"/>
  <c r="H52" i="3"/>
  <c r="C56" i="4"/>
  <c r="F667" i="7"/>
  <c r="C657" i="6"/>
  <c r="O657" i="6" s="1"/>
  <c r="P657" i="6" s="1"/>
  <c r="P14" i="4"/>
  <c r="L48" i="4"/>
  <c r="S180" i="6" l="1"/>
  <c r="G181" i="6"/>
  <c r="E182" i="6"/>
  <c r="Q181" i="6"/>
  <c r="F182" i="6"/>
  <c r="R181" i="6"/>
  <c r="K187" i="6"/>
  <c r="M186" i="6"/>
  <c r="L191" i="6"/>
  <c r="K29" i="4"/>
  <c r="M28" i="4"/>
  <c r="BB62" i="3"/>
  <c r="BB64" i="3"/>
  <c r="AM62" i="3"/>
  <c r="AK62" i="3"/>
  <c r="BF61" i="3"/>
  <c r="BF65" i="3"/>
  <c r="BF63" i="3"/>
  <c r="BF8" i="3"/>
  <c r="AF110" i="13" s="1"/>
  <c r="C757" i="1" a="1"/>
  <c r="C757" i="1" s="1"/>
  <c r="B729" i="1" a="1"/>
  <c r="B729" i="1" s="1"/>
  <c r="B730" i="1" s="1" a="1"/>
  <c r="B730" i="1" s="1"/>
  <c r="B16" i="4"/>
  <c r="N16" i="4" s="1"/>
  <c r="P16" i="4" s="1"/>
  <c r="X63" i="3"/>
  <c r="C663" i="6"/>
  <c r="O663" i="6" s="1"/>
  <c r="B652" i="6"/>
  <c r="N652" i="6" s="1"/>
  <c r="Y61" i="3"/>
  <c r="E683" i="7"/>
  <c r="S683" i="7" s="1"/>
  <c r="F650" i="7"/>
  <c r="N63" i="3"/>
  <c r="F657" i="7"/>
  <c r="T657" i="7" s="1"/>
  <c r="B648" i="7"/>
  <c r="F683" i="7"/>
  <c r="T683" i="7" s="1"/>
  <c r="B647" i="7"/>
  <c r="P647" i="7" s="1"/>
  <c r="B21" i="4"/>
  <c r="N21" i="4" s="1"/>
  <c r="P21" i="4" s="1"/>
  <c r="C683" i="7"/>
  <c r="Q683" i="7" s="1"/>
  <c r="S63" i="3"/>
  <c r="B29" i="4"/>
  <c r="N29" i="4" s="1"/>
  <c r="B33" i="4"/>
  <c r="N33" i="4" s="1"/>
  <c r="P33" i="4" s="1"/>
  <c r="B672" i="7"/>
  <c r="B654" i="7"/>
  <c r="P654" i="7" s="1"/>
  <c r="G63" i="3"/>
  <c r="E667" i="7"/>
  <c r="B652" i="7"/>
  <c r="B659" i="7"/>
  <c r="P659" i="7" s="1"/>
  <c r="B13" i="4"/>
  <c r="F63" i="3"/>
  <c r="C10" i="4"/>
  <c r="O10" i="4" s="1"/>
  <c r="P10" i="4" s="1"/>
  <c r="F659" i="7"/>
  <c r="F665" i="7"/>
  <c r="F19" i="3"/>
  <c r="D681" i="7"/>
  <c r="F20" i="3"/>
  <c r="F642" i="7"/>
  <c r="E681" i="7"/>
  <c r="S681" i="7" s="1"/>
  <c r="D63" i="3"/>
  <c r="F643" i="7"/>
  <c r="D33" i="3"/>
  <c r="D683" i="7"/>
  <c r="R683" i="7" s="1"/>
  <c r="W61" i="3"/>
  <c r="AF63" i="3"/>
  <c r="G683" i="7"/>
  <c r="U683" i="7" s="1"/>
  <c r="F46" i="3"/>
  <c r="B683" i="7"/>
  <c r="C665" i="6"/>
  <c r="O665" i="6" s="1"/>
  <c r="W63" i="3"/>
  <c r="F15" i="3"/>
  <c r="F661" i="7"/>
  <c r="C667" i="6"/>
  <c r="O667" i="6" s="1"/>
  <c r="B657" i="7"/>
  <c r="B646" i="7"/>
  <c r="F674" i="7"/>
  <c r="F670" i="7"/>
  <c r="F655" i="7"/>
  <c r="F644" i="7"/>
  <c r="F654" i="7"/>
  <c r="F645" i="7"/>
  <c r="F646" i="7"/>
  <c r="F658" i="7"/>
  <c r="D62" i="3"/>
  <c r="C52" i="4"/>
  <c r="O52" i="4" s="1"/>
  <c r="P52" i="4" s="1"/>
  <c r="F680" i="7"/>
  <c r="F672" i="7"/>
  <c r="F647" i="7"/>
  <c r="B665" i="6"/>
  <c r="N665" i="6" s="1"/>
  <c r="X62" i="3"/>
  <c r="F31" i="3"/>
  <c r="F671" i="7"/>
  <c r="F651" i="7"/>
  <c r="D54" i="3"/>
  <c r="F662" i="7"/>
  <c r="F669" i="7"/>
  <c r="E63" i="3"/>
  <c r="F663" i="7"/>
  <c r="F16" i="3"/>
  <c r="C22" i="4"/>
  <c r="O22" i="4" s="1"/>
  <c r="P22" i="4" s="1"/>
  <c r="N45" i="4"/>
  <c r="D57" i="4"/>
  <c r="N57" i="4"/>
  <c r="P57" i="4" s="1"/>
  <c r="O29" i="4"/>
  <c r="N24" i="4"/>
  <c r="D657" i="6"/>
  <c r="T667" i="7"/>
  <c r="D659" i="6"/>
  <c r="L49" i="4"/>
  <c r="P665" i="6" l="1"/>
  <c r="P652" i="6"/>
  <c r="T652" i="6"/>
  <c r="T653" i="6"/>
  <c r="R182" i="6"/>
  <c r="F183" i="6"/>
  <c r="S181" i="6"/>
  <c r="G182" i="6"/>
  <c r="E183" i="6"/>
  <c r="Q182" i="6"/>
  <c r="M187" i="6"/>
  <c r="K188" i="6"/>
  <c r="L192" i="6"/>
  <c r="M29" i="4"/>
  <c r="K30" i="4"/>
  <c r="C758" i="1" a="1"/>
  <c r="C758" i="1" s="1"/>
  <c r="M33" i="14"/>
  <c r="H57" i="3"/>
  <c r="C654" i="6"/>
  <c r="O654" i="6" s="1"/>
  <c r="B661" i="6"/>
  <c r="N661" i="6" s="1"/>
  <c r="P661" i="6" s="1"/>
  <c r="E680" i="7"/>
  <c r="S680" i="7" s="1"/>
  <c r="C47" i="4"/>
  <c r="C38" i="4"/>
  <c r="O38" i="4" s="1"/>
  <c r="P38" i="4" s="1"/>
  <c r="B663" i="6"/>
  <c r="N663" i="6" s="1"/>
  <c r="P663" i="6" s="1"/>
  <c r="C35" i="4"/>
  <c r="O35" i="4" s="1"/>
  <c r="P35" i="4" s="1"/>
  <c r="D18" i="3"/>
  <c r="B55" i="4"/>
  <c r="N55" i="4" s="1"/>
  <c r="B662" i="6"/>
  <c r="N662" i="6" s="1"/>
  <c r="P662" i="6" s="1"/>
  <c r="D30" i="3"/>
  <c r="B23" i="4"/>
  <c r="C51" i="4"/>
  <c r="C28" i="4"/>
  <c r="O28" i="4" s="1"/>
  <c r="P28" i="4" s="1"/>
  <c r="B30" i="4"/>
  <c r="N30" i="4" s="1"/>
  <c r="C6" i="4"/>
  <c r="B660" i="6"/>
  <c r="N660" i="6" s="1"/>
  <c r="C12" i="4"/>
  <c r="O12" i="4" s="1"/>
  <c r="B11" i="4"/>
  <c r="C20" i="4"/>
  <c r="O20" i="4" s="1"/>
  <c r="P20" i="4" s="1"/>
  <c r="G52" i="3"/>
  <c r="B675" i="7"/>
  <c r="D29" i="4"/>
  <c r="P29" i="4"/>
  <c r="D691" i="7"/>
  <c r="R691" i="7" s="1"/>
  <c r="C691" i="7"/>
  <c r="B731" i="1" a="1"/>
  <c r="B731" i="1" s="1"/>
  <c r="R65" i="3" s="1"/>
  <c r="B26" i="4"/>
  <c r="B46" i="4"/>
  <c r="N46" i="4" s="1"/>
  <c r="P46" i="4" s="1"/>
  <c r="C55" i="4"/>
  <c r="O55" i="4" s="1"/>
  <c r="D645" i="7"/>
  <c r="H645" i="7" s="1"/>
  <c r="B644" i="7"/>
  <c r="P644" i="7" s="1"/>
  <c r="C30" i="4"/>
  <c r="G681" i="7"/>
  <c r="U681" i="7" s="1"/>
  <c r="C656" i="6"/>
  <c r="O656" i="6" s="1"/>
  <c r="P656" i="6" s="1"/>
  <c r="B54" i="4"/>
  <c r="C49" i="4"/>
  <c r="O49" i="4" s="1"/>
  <c r="P49" i="4" s="1"/>
  <c r="D56" i="3"/>
  <c r="B56" i="4"/>
  <c r="B18" i="4"/>
  <c r="L63" i="3"/>
  <c r="B48" i="4"/>
  <c r="N48" i="4" s="1"/>
  <c r="P48" i="4" s="1"/>
  <c r="C651" i="6"/>
  <c r="O651" i="6" s="1"/>
  <c r="P651" i="6" s="1"/>
  <c r="B654" i="6"/>
  <c r="N654" i="6" s="1"/>
  <c r="U61" i="3"/>
  <c r="F668" i="7"/>
  <c r="T650" i="7"/>
  <c r="V650" i="7" s="1"/>
  <c r="H650" i="7"/>
  <c r="P652" i="7"/>
  <c r="V652" i="7" s="1"/>
  <c r="H652" i="7"/>
  <c r="S667" i="7"/>
  <c r="D652" i="6"/>
  <c r="P672" i="7"/>
  <c r="D13" i="4"/>
  <c r="N13" i="4"/>
  <c r="T661" i="7"/>
  <c r="V661" i="7" s="1"/>
  <c r="H661" i="7"/>
  <c r="R681" i="7"/>
  <c r="T665" i="7"/>
  <c r="T643" i="7"/>
  <c r="T659" i="7"/>
  <c r="V659" i="7" s="1"/>
  <c r="H659" i="7"/>
  <c r="H683" i="7"/>
  <c r="P683" i="7"/>
  <c r="V683" i="7" s="1"/>
  <c r="P646" i="7"/>
  <c r="P657" i="7"/>
  <c r="V657" i="7" s="1"/>
  <c r="H657" i="7"/>
  <c r="T642" i="7"/>
  <c r="V642" i="7" s="1"/>
  <c r="H642" i="7"/>
  <c r="T672" i="7"/>
  <c r="H672" i="7"/>
  <c r="T680" i="7"/>
  <c r="T655" i="7"/>
  <c r="T651" i="7"/>
  <c r="T670" i="7"/>
  <c r="T671" i="7"/>
  <c r="V671" i="7" s="1"/>
  <c r="H671" i="7"/>
  <c r="T674" i="7"/>
  <c r="T662" i="7"/>
  <c r="T658" i="7"/>
  <c r="V658" i="7" s="1"/>
  <c r="H658" i="7"/>
  <c r="T644" i="7"/>
  <c r="F653" i="7"/>
  <c r="T663" i="7"/>
  <c r="T646" i="7"/>
  <c r="H646" i="7"/>
  <c r="D665" i="6"/>
  <c r="T645" i="7"/>
  <c r="H669" i="7"/>
  <c r="T669" i="7"/>
  <c r="V669" i="7" s="1"/>
  <c r="H647" i="7"/>
  <c r="T647" i="7"/>
  <c r="V647" i="7" s="1"/>
  <c r="F666" i="7"/>
  <c r="T654" i="7"/>
  <c r="V654" i="7" s="1"/>
  <c r="W654" i="7" s="1"/>
  <c r="H654" i="7"/>
  <c r="L50" i="4"/>
  <c r="T661" i="6" l="1"/>
  <c r="T655" i="6"/>
  <c r="T656" i="6"/>
  <c r="T657" i="6"/>
  <c r="T663" i="6"/>
  <c r="T658" i="6"/>
  <c r="T660" i="6"/>
  <c r="T654" i="6"/>
  <c r="P654" i="6"/>
  <c r="T662" i="6"/>
  <c r="T659" i="6"/>
  <c r="S182" i="6"/>
  <c r="G183" i="6"/>
  <c r="E184" i="6"/>
  <c r="Q183" i="6"/>
  <c r="F184" i="6"/>
  <c r="R183" i="6"/>
  <c r="M188" i="6"/>
  <c r="K189" i="6"/>
  <c r="L193" i="6"/>
  <c r="M30" i="4"/>
  <c r="K31" i="4"/>
  <c r="AV64" i="3"/>
  <c r="C759" i="1" a="1"/>
  <c r="C759" i="1" s="1"/>
  <c r="H680" i="7"/>
  <c r="D692" i="7"/>
  <c r="B732" i="1" a="1"/>
  <c r="B732" i="1" s="1"/>
  <c r="AG61" i="3" s="1"/>
  <c r="P55" i="4"/>
  <c r="H644" i="7"/>
  <c r="V644" i="7"/>
  <c r="O51" i="4"/>
  <c r="P51" i="4" s="1"/>
  <c r="D51" i="4"/>
  <c r="P675" i="7"/>
  <c r="D23" i="4"/>
  <c r="N23" i="4"/>
  <c r="P23" i="4" s="1"/>
  <c r="O47" i="4"/>
  <c r="P47" i="4" s="1"/>
  <c r="D47" i="4"/>
  <c r="D11" i="4"/>
  <c r="N11" i="4"/>
  <c r="D663" i="6"/>
  <c r="D662" i="6"/>
  <c r="D661" i="6"/>
  <c r="O6" i="4"/>
  <c r="R645" i="7"/>
  <c r="V645" i="7" s="1"/>
  <c r="D653" i="7"/>
  <c r="T668" i="7"/>
  <c r="D654" i="6"/>
  <c r="N54" i="4"/>
  <c r="P54" i="4" s="1"/>
  <c r="D54" i="4"/>
  <c r="N26" i="4"/>
  <c r="P26" i="4" s="1"/>
  <c r="D26" i="4"/>
  <c r="F651" i="6"/>
  <c r="D651" i="6"/>
  <c r="D656" i="6"/>
  <c r="Q691" i="7"/>
  <c r="D30" i="4"/>
  <c r="O30" i="4"/>
  <c r="P30" i="4" s="1"/>
  <c r="N18" i="4"/>
  <c r="P18" i="4" s="1"/>
  <c r="D18" i="4"/>
  <c r="V646" i="7"/>
  <c r="V672" i="7"/>
  <c r="T666" i="7"/>
  <c r="L51" i="4"/>
  <c r="R184" i="6" l="1"/>
  <c r="F185" i="6"/>
  <c r="S183" i="6"/>
  <c r="E185" i="6"/>
  <c r="G184" i="6"/>
  <c r="Q184" i="6"/>
  <c r="M189" i="6"/>
  <c r="K190" i="6"/>
  <c r="L194" i="6"/>
  <c r="K32" i="4"/>
  <c r="M31" i="4"/>
  <c r="AN64" i="3"/>
  <c r="AH65" i="3"/>
  <c r="AG9" i="3"/>
  <c r="N16" i="14" s="1"/>
  <c r="AG65" i="3"/>
  <c r="AG8" i="3"/>
  <c r="M16" i="14" s="1"/>
  <c r="C760" i="1" a="1"/>
  <c r="C760" i="1" s="1"/>
  <c r="C761" i="1" s="1" a="1"/>
  <c r="C761" i="1" s="1"/>
  <c r="C762" i="1" a="1"/>
  <c r="C762" i="1" s="1"/>
  <c r="BD65" i="3"/>
  <c r="B733" i="1" a="1"/>
  <c r="B733" i="1" s="1"/>
  <c r="P11" i="4"/>
  <c r="F652" i="6"/>
  <c r="L52" i="4"/>
  <c r="S184" i="6" l="1"/>
  <c r="E186" i="6"/>
  <c r="G185" i="6"/>
  <c r="Q185" i="6"/>
  <c r="F186" i="6"/>
  <c r="R185" i="6"/>
  <c r="K191" i="6"/>
  <c r="M190" i="6"/>
  <c r="L195" i="6"/>
  <c r="M32" i="4"/>
  <c r="K33" i="4"/>
  <c r="AG7" i="3"/>
  <c r="C763" i="1" a="1"/>
  <c r="C763" i="1" s="1"/>
  <c r="C764" i="1" a="1"/>
  <c r="C764" i="1" s="1"/>
  <c r="B734" i="1" a="1"/>
  <c r="B734" i="1" s="1"/>
  <c r="G691" i="7"/>
  <c r="L53" i="4"/>
  <c r="S185" i="6" l="1"/>
  <c r="R186" i="6"/>
  <c r="F187" i="6"/>
  <c r="E187" i="6"/>
  <c r="G186" i="6"/>
  <c r="Q186" i="6"/>
  <c r="K192" i="6"/>
  <c r="M191" i="6"/>
  <c r="L196" i="6"/>
  <c r="M33" i="4"/>
  <c r="K34" i="4"/>
  <c r="C765" i="1" a="1"/>
  <c r="C765" i="1" s="1"/>
  <c r="B735" i="1" a="1"/>
  <c r="B735" i="1" s="1"/>
  <c r="E691" i="7"/>
  <c r="U691" i="7"/>
  <c r="L16" i="14"/>
  <c r="L54" i="4"/>
  <c r="S186" i="6" l="1"/>
  <c r="G187" i="6"/>
  <c r="E188" i="6"/>
  <c r="Q187" i="6"/>
  <c r="F188" i="6"/>
  <c r="R187" i="6"/>
  <c r="M192" i="6"/>
  <c r="K193" i="6"/>
  <c r="L197" i="6"/>
  <c r="M34" i="4"/>
  <c r="K35" i="4"/>
  <c r="AS63" i="3"/>
  <c r="AJ63" i="3" s="1"/>
  <c r="AS61" i="3"/>
  <c r="AJ61" i="3" s="1"/>
  <c r="C766" i="1" a="1"/>
  <c r="C766" i="1" s="1"/>
  <c r="AL64" i="3" s="1"/>
  <c r="C768" i="1" a="1"/>
  <c r="C768" i="1" s="1"/>
  <c r="B736" i="1" a="1"/>
  <c r="B736" i="1" s="1"/>
  <c r="B691" i="7"/>
  <c r="S691" i="7"/>
  <c r="E692" i="7"/>
  <c r="L55" i="4"/>
  <c r="R188" i="6" l="1"/>
  <c r="F189" i="6"/>
  <c r="S187" i="6"/>
  <c r="G188" i="6"/>
  <c r="E189" i="6"/>
  <c r="Q188" i="6"/>
  <c r="M193" i="6"/>
  <c r="K194" i="6"/>
  <c r="L198" i="6"/>
  <c r="K36" i="4"/>
  <c r="M35" i="4"/>
  <c r="C771" i="1" a="1"/>
  <c r="C771" i="1" s="1"/>
  <c r="C767" i="1" a="1"/>
  <c r="C767" i="1" s="1"/>
  <c r="C769" i="1" a="1"/>
  <c r="C769" i="1" s="1"/>
  <c r="B737" i="1" a="1"/>
  <c r="B737" i="1" s="1"/>
  <c r="F691" i="7"/>
  <c r="C59" i="4"/>
  <c r="B675" i="6"/>
  <c r="B59" i="4"/>
  <c r="C675" i="6"/>
  <c r="S188" i="6" l="1"/>
  <c r="G189" i="6"/>
  <c r="E190" i="6"/>
  <c r="Q189" i="6"/>
  <c r="F190" i="6"/>
  <c r="R189" i="6"/>
  <c r="K195" i="6"/>
  <c r="M194" i="6"/>
  <c r="L199" i="6"/>
  <c r="M36" i="4"/>
  <c r="K37" i="4"/>
  <c r="C773" i="1" a="1"/>
  <c r="C773" i="1" s="1"/>
  <c r="C772" i="1" a="1"/>
  <c r="C772" i="1" s="1"/>
  <c r="C770" i="1" a="1"/>
  <c r="C770" i="1" s="1"/>
  <c r="C775" i="1" a="1"/>
  <c r="C775" i="1" s="1"/>
  <c r="AI66" i="3"/>
  <c r="AA66" i="3"/>
  <c r="AB66" i="3"/>
  <c r="AG66" i="3"/>
  <c r="B700" i="7"/>
  <c r="F702" i="7"/>
  <c r="T702" i="7" s="1"/>
  <c r="G700" i="7"/>
  <c r="U700" i="7" s="1"/>
  <c r="F703" i="7"/>
  <c r="T703" i="7" s="1"/>
  <c r="C702" i="7"/>
  <c r="C704" i="7"/>
  <c r="Q704" i="7" s="1"/>
  <c r="F700" i="7"/>
  <c r="T700" i="7" s="1"/>
  <c r="D702" i="7"/>
  <c r="R702" i="7" s="1"/>
  <c r="F704" i="7"/>
  <c r="T704" i="7" s="1"/>
  <c r="G702" i="7"/>
  <c r="U702" i="7" s="1"/>
  <c r="D704" i="7"/>
  <c r="R704" i="7" s="1"/>
  <c r="C700" i="7"/>
  <c r="Q700" i="7" s="1"/>
  <c r="E700" i="7"/>
  <c r="S700" i="7" s="1"/>
  <c r="B703" i="7"/>
  <c r="B704" i="7"/>
  <c r="F701" i="7"/>
  <c r="B738" i="1" a="1"/>
  <c r="B738" i="1" s="1"/>
  <c r="D59" i="4"/>
  <c r="T691" i="7"/>
  <c r="F692" i="7"/>
  <c r="D675" i="6"/>
  <c r="H691" i="7"/>
  <c r="R190" i="6" l="1"/>
  <c r="F191" i="6"/>
  <c r="S189" i="6"/>
  <c r="G190" i="6"/>
  <c r="E191" i="6"/>
  <c r="Q190" i="6"/>
  <c r="K196" i="6"/>
  <c r="M195" i="6"/>
  <c r="L200" i="6"/>
  <c r="M37" i="4"/>
  <c r="K38" i="4"/>
  <c r="C774" i="1" a="1"/>
  <c r="C774" i="1" s="1"/>
  <c r="B739" i="1" a="1"/>
  <c r="B739" i="1" s="1"/>
  <c r="B741" i="1" s="1" a="1"/>
  <c r="B741" i="1" s="1"/>
  <c r="T701" i="7"/>
  <c r="H702" i="7"/>
  <c r="Q702" i="7"/>
  <c r="V702" i="7" s="1"/>
  <c r="H704" i="7"/>
  <c r="P704" i="7"/>
  <c r="V704" i="7" s="1"/>
  <c r="P703" i="7"/>
  <c r="H700" i="7"/>
  <c r="P700" i="7"/>
  <c r="V700" i="7" s="1"/>
  <c r="B740" i="1" a="1"/>
  <c r="B740" i="1" s="1"/>
  <c r="B742" i="1" a="1"/>
  <c r="B742" i="1" s="1"/>
  <c r="S190" i="6" l="1"/>
  <c r="E192" i="6"/>
  <c r="G191" i="6"/>
  <c r="Q191" i="6"/>
  <c r="F192" i="6"/>
  <c r="R191" i="6"/>
  <c r="M196" i="6"/>
  <c r="K197" i="6"/>
  <c r="L201" i="6"/>
  <c r="M38" i="4"/>
  <c r="K39" i="4"/>
  <c r="C776" i="1" a="1"/>
  <c r="C776" i="1" s="1"/>
  <c r="K684" i="7" s="1"/>
  <c r="R684" i="7" s="1"/>
  <c r="K689" i="7"/>
  <c r="R689" i="7" s="1"/>
  <c r="I648" i="7"/>
  <c r="I653" i="7" s="1"/>
  <c r="J687" i="7"/>
  <c r="Q687" i="7" s="1"/>
  <c r="J688" i="7"/>
  <c r="Q688" i="7" s="1"/>
  <c r="L648" i="7"/>
  <c r="S648" i="7" s="1"/>
  <c r="K648" i="7"/>
  <c r="K653" i="7" s="1"/>
  <c r="R653" i="7" s="1"/>
  <c r="L689" i="7"/>
  <c r="S689" i="7" s="1"/>
  <c r="J686" i="7"/>
  <c r="Q686" i="7" s="1"/>
  <c r="K696" i="7"/>
  <c r="I684" i="7"/>
  <c r="P684" i="7" s="1"/>
  <c r="I678" i="6"/>
  <c r="I678" i="7"/>
  <c r="I679" i="7" s="1"/>
  <c r="K694" i="7"/>
  <c r="J690" i="7"/>
  <c r="Q690" i="7" s="1"/>
  <c r="L687" i="7"/>
  <c r="S687" i="7" s="1"/>
  <c r="L684" i="7"/>
  <c r="S684" i="7" s="1"/>
  <c r="AT65" i="3"/>
  <c r="K690" i="7"/>
  <c r="R690" i="7" s="1"/>
  <c r="I676" i="6"/>
  <c r="M690" i="7"/>
  <c r="T690" i="7" s="1"/>
  <c r="I686" i="7"/>
  <c r="P686" i="7" s="1"/>
  <c r="AO65" i="3"/>
  <c r="AS65" i="3"/>
  <c r="H677" i="6"/>
  <c r="N696" i="7"/>
  <c r="I58" i="4"/>
  <c r="O58" i="4" s="1"/>
  <c r="BG65" i="3"/>
  <c r="H59" i="4"/>
  <c r="N59" i="4" s="1"/>
  <c r="BC65" i="3"/>
  <c r="I693" i="7"/>
  <c r="I690" i="7"/>
  <c r="P690" i="7" s="1"/>
  <c r="K686" i="7"/>
  <c r="R686" i="7" s="1"/>
  <c r="I691" i="7"/>
  <c r="P691" i="7" s="1"/>
  <c r="V691" i="7" s="1"/>
  <c r="L693" i="7"/>
  <c r="I688" i="7"/>
  <c r="P688" i="7" s="1"/>
  <c r="J689" i="7"/>
  <c r="Q689" i="7" s="1"/>
  <c r="K688" i="7"/>
  <c r="R688" i="7" s="1"/>
  <c r="L690" i="7"/>
  <c r="S690" i="7" s="1"/>
  <c r="AZ65" i="3"/>
  <c r="AX65" i="3"/>
  <c r="N687" i="7"/>
  <c r="U687" i="7" s="1"/>
  <c r="M696" i="7"/>
  <c r="H56" i="4"/>
  <c r="N56" i="4" s="1"/>
  <c r="M686" i="7"/>
  <c r="T686" i="7" s="1"/>
  <c r="K697" i="7"/>
  <c r="N688" i="7"/>
  <c r="U688" i="7" s="1"/>
  <c r="H58" i="4"/>
  <c r="N58" i="4" s="1"/>
  <c r="N690" i="7"/>
  <c r="U690" i="7" s="1"/>
  <c r="J684" i="7"/>
  <c r="I689" i="7"/>
  <c r="P689" i="7" s="1"/>
  <c r="L696" i="7"/>
  <c r="J678" i="7"/>
  <c r="Q678" i="7" s="1"/>
  <c r="I679" i="6"/>
  <c r="M697" i="7"/>
  <c r="AV65" i="3"/>
  <c r="L697" i="7"/>
  <c r="I696" i="7"/>
  <c r="N697" i="7"/>
  <c r="M648" i="7"/>
  <c r="T648" i="7" s="1"/>
  <c r="J696" i="7"/>
  <c r="J697" i="7"/>
  <c r="N693" i="7"/>
  <c r="N686" i="7"/>
  <c r="U686" i="7" s="1"/>
  <c r="I680" i="6"/>
  <c r="H680" i="6"/>
  <c r="H679" i="6"/>
  <c r="M688" i="7"/>
  <c r="T688" i="7" s="1"/>
  <c r="AO64" i="3"/>
  <c r="AJ64" i="3" s="1"/>
  <c r="I697" i="7"/>
  <c r="C777" i="1" a="1"/>
  <c r="C777" i="1" s="1"/>
  <c r="L61" i="5" s="1"/>
  <c r="AC62" i="3"/>
  <c r="AC64" i="3"/>
  <c r="AC65" i="3"/>
  <c r="AC63" i="3"/>
  <c r="AC66" i="3"/>
  <c r="AC61" i="3"/>
  <c r="AC9" i="3"/>
  <c r="N40" i="14" s="1"/>
  <c r="L40" i="14" s="1"/>
  <c r="AC8" i="3"/>
  <c r="M40" i="14" s="1"/>
  <c r="G647" i="7"/>
  <c r="G653" i="7" s="1"/>
  <c r="G671" i="7"/>
  <c r="G679" i="7" s="1"/>
  <c r="U679" i="7" s="1"/>
  <c r="C681" i="7"/>
  <c r="Q681" i="7" s="1"/>
  <c r="C682" i="7"/>
  <c r="C663" i="7"/>
  <c r="B743" i="1" a="1"/>
  <c r="B743" i="1" s="1"/>
  <c r="B751" i="1" a="1"/>
  <c r="B751" i="1" s="1"/>
  <c r="R192" i="6" l="1"/>
  <c r="F193" i="6"/>
  <c r="S191" i="6"/>
  <c r="E193" i="6"/>
  <c r="G192" i="6"/>
  <c r="Q192" i="6"/>
  <c r="K198" i="6"/>
  <c r="M197" i="6"/>
  <c r="L202" i="6"/>
  <c r="K40" i="4"/>
  <c r="M39" i="4"/>
  <c r="H678" i="6"/>
  <c r="J678" i="6" s="1"/>
  <c r="T639" i="6"/>
  <c r="J693" i="7"/>
  <c r="K693" i="7"/>
  <c r="K695" i="7"/>
  <c r="AP65" i="3"/>
  <c r="K678" i="7"/>
  <c r="K679" i="7" s="1"/>
  <c r="R679" i="7" s="1"/>
  <c r="I56" i="4"/>
  <c r="O56" i="4" s="1"/>
  <c r="P56" i="4" s="1"/>
  <c r="P648" i="7"/>
  <c r="J695" i="7"/>
  <c r="N694" i="7"/>
  <c r="AQ62" i="3"/>
  <c r="AJ62" i="3" s="1"/>
  <c r="L694" i="7"/>
  <c r="N695" i="7"/>
  <c r="N684" i="7"/>
  <c r="U684" i="7" s="1"/>
  <c r="J648" i="7"/>
  <c r="J653" i="7" s="1"/>
  <c r="AY65" i="3"/>
  <c r="M684" i="7"/>
  <c r="T684" i="7" s="1"/>
  <c r="M693" i="7"/>
  <c r="J694" i="7"/>
  <c r="L688" i="7"/>
  <c r="S688" i="7" s="1"/>
  <c r="V688" i="7" s="1"/>
  <c r="I695" i="7"/>
  <c r="M678" i="7"/>
  <c r="L686" i="7"/>
  <c r="S686" i="7" s="1"/>
  <c r="V686" i="7" s="1"/>
  <c r="L678" i="7"/>
  <c r="M694" i="7"/>
  <c r="BC8" i="3"/>
  <c r="M26" i="14" s="1"/>
  <c r="I687" i="7"/>
  <c r="P687" i="7" s="1"/>
  <c r="M687" i="7"/>
  <c r="T687" i="7" s="1"/>
  <c r="I59" i="4"/>
  <c r="O59" i="4" s="1"/>
  <c r="P59" i="4" s="1"/>
  <c r="H676" i="6"/>
  <c r="J676" i="6" s="1"/>
  <c r="I677" i="6"/>
  <c r="J677" i="6" s="1"/>
  <c r="N689" i="7"/>
  <c r="U689" i="7" s="1"/>
  <c r="M695" i="7"/>
  <c r="M689" i="7"/>
  <c r="T689" i="7" s="1"/>
  <c r="L695" i="7"/>
  <c r="K687" i="7"/>
  <c r="R687" i="7" s="1"/>
  <c r="AS9" i="3"/>
  <c r="AE90" i="13" s="1"/>
  <c r="BD8" i="3"/>
  <c r="AF106" i="13" s="1"/>
  <c r="AO8" i="3"/>
  <c r="M25" i="14" s="1"/>
  <c r="AS8" i="3"/>
  <c r="AZ8" i="3"/>
  <c r="M11" i="14" s="1"/>
  <c r="AT8" i="3"/>
  <c r="AF91" i="13" s="1"/>
  <c r="AX8" i="3"/>
  <c r="M6" i="14" s="1"/>
  <c r="AV9" i="3"/>
  <c r="AE93" i="13" s="1"/>
  <c r="BG8" i="3"/>
  <c r="AF113" i="13" s="1"/>
  <c r="BG9" i="3"/>
  <c r="BG5" i="3" s="1"/>
  <c r="AT9" i="3"/>
  <c r="N15" i="14" s="1"/>
  <c r="AV8" i="3"/>
  <c r="M31" i="14" s="1"/>
  <c r="AY8" i="3"/>
  <c r="AF99" i="13" s="1"/>
  <c r="R648" i="7"/>
  <c r="O691" i="7"/>
  <c r="J679" i="7"/>
  <c r="L653" i="7"/>
  <c r="P678" i="7"/>
  <c r="J692" i="7"/>
  <c r="J58" i="4"/>
  <c r="O690" i="7"/>
  <c r="P58" i="4"/>
  <c r="J679" i="6"/>
  <c r="V690" i="7"/>
  <c r="O696" i="7"/>
  <c r="J680" i="6"/>
  <c r="O697" i="7"/>
  <c r="M653" i="7"/>
  <c r="T653" i="7" s="1"/>
  <c r="C778" i="1" a="1"/>
  <c r="C778" i="1" s="1"/>
  <c r="M41" i="14"/>
  <c r="M38" i="14"/>
  <c r="N41" i="14"/>
  <c r="L41" i="14" s="1"/>
  <c r="N38" i="14"/>
  <c r="L38" i="14" s="1"/>
  <c r="M37" i="14"/>
  <c r="M39" i="14"/>
  <c r="M36" i="14"/>
  <c r="N39" i="14"/>
  <c r="L39" i="14" s="1"/>
  <c r="N36" i="14"/>
  <c r="L36" i="14" s="1"/>
  <c r="N37" i="14"/>
  <c r="L37" i="14" s="1"/>
  <c r="M35" i="14"/>
  <c r="M45" i="14"/>
  <c r="M42" i="14"/>
  <c r="M44" i="14"/>
  <c r="M43" i="14"/>
  <c r="M46" i="14"/>
  <c r="AC7" i="3"/>
  <c r="N45" i="14"/>
  <c r="L45" i="14" s="1"/>
  <c r="N43" i="14"/>
  <c r="L43" i="14" s="1"/>
  <c r="N46" i="14"/>
  <c r="L46" i="14" s="1"/>
  <c r="N44" i="14"/>
  <c r="L44" i="14" s="1"/>
  <c r="L34" i="14"/>
  <c r="N42" i="14"/>
  <c r="L42" i="14" s="1"/>
  <c r="N35" i="14"/>
  <c r="L35" i="14" s="1"/>
  <c r="Q663" i="7"/>
  <c r="Q682" i="7"/>
  <c r="V682" i="7" s="1"/>
  <c r="H682" i="7"/>
  <c r="C653" i="6"/>
  <c r="O653" i="6" s="1"/>
  <c r="P653" i="6" s="1"/>
  <c r="C8" i="4"/>
  <c r="B53" i="4"/>
  <c r="C50" i="4"/>
  <c r="O50" i="4" s="1"/>
  <c r="P50" i="4" s="1"/>
  <c r="B701" i="7"/>
  <c r="B7" i="4"/>
  <c r="B12" i="4"/>
  <c r="N12" i="4" s="1"/>
  <c r="P12" i="4" s="1"/>
  <c r="B17" i="4"/>
  <c r="N17" i="4" s="1"/>
  <c r="P17" i="4" s="1"/>
  <c r="B36" i="4"/>
  <c r="N36" i="4" s="1"/>
  <c r="P36" i="4" s="1"/>
  <c r="C45" i="4"/>
  <c r="E25" i="3"/>
  <c r="C44" i="4"/>
  <c r="O44" i="4" s="1"/>
  <c r="P44" i="4" s="1"/>
  <c r="B664" i="6"/>
  <c r="N664" i="6" s="1"/>
  <c r="C655" i="6"/>
  <c r="O655" i="6" s="1"/>
  <c r="P655" i="6" s="1"/>
  <c r="D27" i="3"/>
  <c r="B667" i="6"/>
  <c r="N667" i="6" s="1"/>
  <c r="P667" i="6" s="1"/>
  <c r="C660" i="6"/>
  <c r="O660" i="6" s="1"/>
  <c r="P660" i="6" s="1"/>
  <c r="B673" i="7"/>
  <c r="D17" i="3"/>
  <c r="C31" i="4"/>
  <c r="O31" i="4" s="1"/>
  <c r="P31" i="4" s="1"/>
  <c r="E28" i="3"/>
  <c r="B744" i="1" a="1"/>
  <c r="B744" i="1" s="1"/>
  <c r="M65" i="3"/>
  <c r="U65" i="3"/>
  <c r="H65" i="3"/>
  <c r="Z65" i="3"/>
  <c r="X65" i="3"/>
  <c r="AF65" i="3"/>
  <c r="P65" i="3"/>
  <c r="P664" i="6" l="1"/>
  <c r="T664" i="6"/>
  <c r="T665" i="6"/>
  <c r="T666" i="6"/>
  <c r="T667" i="6"/>
  <c r="S192" i="6"/>
  <c r="E194" i="6"/>
  <c r="G193" i="6"/>
  <c r="Q193" i="6"/>
  <c r="F194" i="6"/>
  <c r="R193" i="6"/>
  <c r="K199" i="6"/>
  <c r="M198" i="6"/>
  <c r="C779" i="1" a="1"/>
  <c r="C779" i="1" s="1"/>
  <c r="I61" i="5" s="1"/>
  <c r="N61" i="5"/>
  <c r="C780" i="1" a="1"/>
  <c r="C780" i="1" s="1"/>
  <c r="I50" i="5"/>
  <c r="O50" i="5" s="1"/>
  <c r="L203" i="6"/>
  <c r="K41" i="4"/>
  <c r="M40" i="4"/>
  <c r="J56" i="4"/>
  <c r="O688" i="7"/>
  <c r="V689" i="7"/>
  <c r="L56" i="4"/>
  <c r="L57" i="4" s="1"/>
  <c r="L58" i="4" s="1"/>
  <c r="L59" i="4" s="1"/>
  <c r="O648" i="7"/>
  <c r="R678" i="7"/>
  <c r="O693" i="7"/>
  <c r="AJ65" i="3"/>
  <c r="M17" i="14"/>
  <c r="O684" i="7"/>
  <c r="V687" i="7"/>
  <c r="O678" i="7"/>
  <c r="J59" i="4"/>
  <c r="O686" i="7"/>
  <c r="L692" i="7"/>
  <c r="S692" i="7" s="1"/>
  <c r="AF100" i="13"/>
  <c r="K692" i="7"/>
  <c r="R692" i="7" s="1"/>
  <c r="I692" i="7"/>
  <c r="O687" i="7"/>
  <c r="L679" i="7"/>
  <c r="S678" i="7"/>
  <c r="M692" i="7"/>
  <c r="T692" i="7" s="1"/>
  <c r="O689" i="7"/>
  <c r="M679" i="7"/>
  <c r="T678" i="7"/>
  <c r="O695" i="7"/>
  <c r="BG7" i="3"/>
  <c r="AE113" i="13"/>
  <c r="AG113" i="13" s="1"/>
  <c r="AF105" i="13"/>
  <c r="N31" i="14"/>
  <c r="L31" i="14" s="1"/>
  <c r="AV5" i="3"/>
  <c r="AE91" i="13"/>
  <c r="AG91" i="13" s="1"/>
  <c r="M13" i="14"/>
  <c r="AS7" i="3"/>
  <c r="M15" i="14"/>
  <c r="L15" i="14" s="1"/>
  <c r="AT7" i="3"/>
  <c r="M28" i="14"/>
  <c r="AR5" i="3"/>
  <c r="AV7" i="3"/>
  <c r="AF93" i="13"/>
  <c r="AG93" i="13" s="1"/>
  <c r="N30" i="14"/>
  <c r="N13" i="14"/>
  <c r="M30" i="14"/>
  <c r="AF90" i="13"/>
  <c r="AG90" i="13" s="1"/>
  <c r="O653" i="7"/>
  <c r="C781" i="1" a="1"/>
  <c r="C781" i="1" s="1"/>
  <c r="D655" i="6"/>
  <c r="D7" i="4"/>
  <c r="N7" i="4"/>
  <c r="D664" i="6"/>
  <c r="P701" i="7"/>
  <c r="V701" i="7" s="1"/>
  <c r="H701" i="7"/>
  <c r="P673" i="7"/>
  <c r="O45" i="4"/>
  <c r="P45" i="4" s="1"/>
  <c r="D45" i="4"/>
  <c r="D53" i="4"/>
  <c r="N53" i="4"/>
  <c r="P53" i="4" s="1"/>
  <c r="D660" i="6"/>
  <c r="D8" i="4"/>
  <c r="O8" i="4"/>
  <c r="D667" i="6"/>
  <c r="D653" i="6"/>
  <c r="F653" i="6"/>
  <c r="F654" i="6" s="1"/>
  <c r="F655" i="6" s="1"/>
  <c r="F656" i="6" s="1"/>
  <c r="F657" i="6" s="1"/>
  <c r="F658" i="6" s="1"/>
  <c r="F659" i="6" s="1"/>
  <c r="F660" i="6" s="1"/>
  <c r="F661" i="6" s="1"/>
  <c r="B745" i="1" a="1"/>
  <c r="B745" i="1" s="1"/>
  <c r="C65" i="3"/>
  <c r="M61" i="5" l="1"/>
  <c r="AP8" i="3"/>
  <c r="M29" i="14" s="1"/>
  <c r="F195" i="6"/>
  <c r="R194" i="6"/>
  <c r="S193" i="6"/>
  <c r="I681" i="6"/>
  <c r="G194" i="6"/>
  <c r="E195" i="6"/>
  <c r="Q194" i="6"/>
  <c r="M199" i="6"/>
  <c r="K200" i="6"/>
  <c r="L204" i="6"/>
  <c r="M41" i="4"/>
  <c r="K42" i="4"/>
  <c r="B65" i="3"/>
  <c r="O679" i="7"/>
  <c r="V678" i="7"/>
  <c r="L13" i="14"/>
  <c r="O692" i="7"/>
  <c r="AJ88" i="13"/>
  <c r="Q15" i="14"/>
  <c r="L30" i="14"/>
  <c r="Q30" i="14" s="1"/>
  <c r="AF117" i="13"/>
  <c r="C782" i="1" a="1"/>
  <c r="C782" i="1" s="1"/>
  <c r="H682" i="6" s="1"/>
  <c r="J682" i="6" s="1"/>
  <c r="P8" i="4"/>
  <c r="P7" i="4"/>
  <c r="I66" i="3"/>
  <c r="B676" i="6"/>
  <c r="N676" i="6" s="1"/>
  <c r="D66" i="3"/>
  <c r="B746" i="1" a="1"/>
  <c r="B746" i="1" s="1"/>
  <c r="B693" i="7"/>
  <c r="S66" i="3"/>
  <c r="N66" i="3"/>
  <c r="C693" i="7"/>
  <c r="E66" i="3"/>
  <c r="K66" i="3"/>
  <c r="F662" i="6"/>
  <c r="K699" i="7" l="1"/>
  <c r="L699" i="7"/>
  <c r="J699" i="7"/>
  <c r="I699" i="7"/>
  <c r="AJ8" i="3"/>
  <c r="I682" i="6"/>
  <c r="C783" i="1" a="1"/>
  <c r="C783" i="1" s="1"/>
  <c r="C786" i="1" s="1" a="1"/>
  <c r="C786" i="1" s="1"/>
  <c r="C787" i="1" s="1" a="1"/>
  <c r="C787" i="1" s="1"/>
  <c r="J61" i="5"/>
  <c r="I60" i="4"/>
  <c r="L60" i="4" s="1"/>
  <c r="N699" i="7"/>
  <c r="M699" i="7"/>
  <c r="C785" i="1" a="1"/>
  <c r="C785" i="1" s="1"/>
  <c r="S194" i="6"/>
  <c r="G195" i="6"/>
  <c r="E196" i="6"/>
  <c r="Q195" i="6"/>
  <c r="F196" i="6"/>
  <c r="R195" i="6"/>
  <c r="K201" i="6"/>
  <c r="M200" i="6"/>
  <c r="L205" i="6"/>
  <c r="K43" i="4"/>
  <c r="M42" i="4"/>
  <c r="C788" i="1" a="1"/>
  <c r="C788" i="1" s="1"/>
  <c r="B747" i="1" a="1"/>
  <c r="B747" i="1" s="1"/>
  <c r="T676" i="6"/>
  <c r="P693" i="7"/>
  <c r="Q693" i="7"/>
  <c r="G693" i="7"/>
  <c r="F66" i="3"/>
  <c r="C676" i="6"/>
  <c r="AE66" i="3"/>
  <c r="L66" i="3"/>
  <c r="E693" i="7"/>
  <c r="V66" i="3"/>
  <c r="O66" i="3"/>
  <c r="D693" i="7"/>
  <c r="F693" i="7"/>
  <c r="F663" i="6"/>
  <c r="O699" i="7" l="1"/>
  <c r="V627" i="6"/>
  <c r="V615" i="6"/>
  <c r="V603" i="6"/>
  <c r="R196" i="6"/>
  <c r="F197" i="6"/>
  <c r="S195" i="6"/>
  <c r="G196" i="6"/>
  <c r="E197" i="6"/>
  <c r="Q196" i="6"/>
  <c r="K202" i="6"/>
  <c r="M201" i="6"/>
  <c r="L206" i="6"/>
  <c r="M43" i="4"/>
  <c r="K44" i="4"/>
  <c r="C789" i="1" a="1"/>
  <c r="C789" i="1" s="1"/>
  <c r="Z66" i="3"/>
  <c r="Z8" i="3"/>
  <c r="M8" i="14" s="1"/>
  <c r="Z9" i="3"/>
  <c r="N8" i="14" s="1"/>
  <c r="B748" i="1" a="1"/>
  <c r="B748" i="1" s="1"/>
  <c r="B750" i="1" a="1"/>
  <c r="B750" i="1" s="1"/>
  <c r="U693" i="7"/>
  <c r="O676" i="6"/>
  <c r="P676" i="6" s="1"/>
  <c r="D676" i="6"/>
  <c r="R693" i="7"/>
  <c r="H693" i="7"/>
  <c r="S693" i="7"/>
  <c r="T693" i="7"/>
  <c r="F664" i="6"/>
  <c r="S196" i="6" l="1"/>
  <c r="G197" i="6"/>
  <c r="E198" i="6"/>
  <c r="Q197" i="6"/>
  <c r="F198" i="6"/>
  <c r="R197" i="6"/>
  <c r="M202" i="6"/>
  <c r="K203" i="6"/>
  <c r="L207" i="6"/>
  <c r="M44" i="4"/>
  <c r="K45" i="4"/>
  <c r="C790" i="1" a="1"/>
  <c r="C790" i="1" s="1"/>
  <c r="BF66" i="3"/>
  <c r="BD9" i="3"/>
  <c r="BA66" i="3"/>
  <c r="BC66" i="3"/>
  <c r="AP9" i="3"/>
  <c r="BC9" i="3"/>
  <c r="I694" i="7"/>
  <c r="O694" i="7" s="1"/>
  <c r="BF9" i="3"/>
  <c r="AP66" i="3"/>
  <c r="AZ66" i="3"/>
  <c r="AO9" i="3"/>
  <c r="BD66" i="3"/>
  <c r="AZ9" i="3"/>
  <c r="AS66" i="3"/>
  <c r="AY9" i="3"/>
  <c r="BA9" i="3"/>
  <c r="L698" i="7"/>
  <c r="L705" i="7" s="1"/>
  <c r="J698" i="7"/>
  <c r="J705" i="7" s="1"/>
  <c r="H681" i="6"/>
  <c r="J681" i="6" s="1"/>
  <c r="K698" i="7"/>
  <c r="K705" i="7" s="1"/>
  <c r="N698" i="7"/>
  <c r="I698" i="7"/>
  <c r="M698" i="7"/>
  <c r="M705" i="7" s="1"/>
  <c r="AX9" i="3"/>
  <c r="K61" i="5"/>
  <c r="AX66" i="3"/>
  <c r="H60" i="4"/>
  <c r="J60" i="4" s="1"/>
  <c r="B749" i="1" a="1"/>
  <c r="B749" i="1" s="1"/>
  <c r="U63" i="3" s="1"/>
  <c r="Z7" i="3"/>
  <c r="L8" i="14"/>
  <c r="Q8" i="14" s="1"/>
  <c r="V693" i="7"/>
  <c r="W693" i="7" s="1"/>
  <c r="F665" i="6"/>
  <c r="E651" i="6"/>
  <c r="E652" i="6" s="1"/>
  <c r="C791" i="1" l="1" a="1"/>
  <c r="C791" i="1" s="1"/>
  <c r="F199" i="6"/>
  <c r="R198" i="6"/>
  <c r="S197" i="6"/>
  <c r="G198" i="6"/>
  <c r="E199" i="6"/>
  <c r="Q198" i="6"/>
  <c r="K204" i="6"/>
  <c r="M203" i="6"/>
  <c r="L208" i="6"/>
  <c r="K46" i="4"/>
  <c r="M45" i="4"/>
  <c r="C792" i="1" a="1"/>
  <c r="C792" i="1" s="1"/>
  <c r="N32" i="14"/>
  <c r="L32" i="14" s="1"/>
  <c r="BA7" i="3"/>
  <c r="AE101" i="13"/>
  <c r="AG101" i="13" s="1"/>
  <c r="BE5" i="3"/>
  <c r="N33" i="14"/>
  <c r="L33" i="14" s="1"/>
  <c r="Q33" i="14" s="1"/>
  <c r="AE110" i="13"/>
  <c r="AG110" i="13" s="1"/>
  <c r="BF7" i="3"/>
  <c r="AY5" i="3"/>
  <c r="AE99" i="13"/>
  <c r="N28" i="14"/>
  <c r="L28" i="14" s="1"/>
  <c r="AY7" i="3"/>
  <c r="N26" i="14"/>
  <c r="L26" i="14" s="1"/>
  <c r="BC5" i="3"/>
  <c r="AE105" i="13"/>
  <c r="BC7" i="3"/>
  <c r="N11" i="14"/>
  <c r="L11" i="14" s="1"/>
  <c r="Q10" i="14" s="1"/>
  <c r="AZ7" i="3"/>
  <c r="AE100" i="13"/>
  <c r="AG100" i="13" s="1"/>
  <c r="N29" i="14"/>
  <c r="L29" i="14" s="1"/>
  <c r="Q29" i="14" s="1"/>
  <c r="AP7" i="3"/>
  <c r="N25" i="14"/>
  <c r="L25" i="14" s="1"/>
  <c r="AO7" i="3"/>
  <c r="AJ66" i="3"/>
  <c r="N17" i="14"/>
  <c r="L17" i="14" s="1"/>
  <c r="Q16" i="14" s="1"/>
  <c r="BD7" i="3"/>
  <c r="AE106" i="13"/>
  <c r="AG106" i="13" s="1"/>
  <c r="N6" i="14"/>
  <c r="L6" i="14" s="1"/>
  <c r="AW5" i="3"/>
  <c r="AX7" i="3"/>
  <c r="AJ9" i="3"/>
  <c r="AJ7" i="3" s="1"/>
  <c r="O698" i="7"/>
  <c r="I705" i="7"/>
  <c r="O705" i="7" s="1"/>
  <c r="O61" i="5"/>
  <c r="B752" i="1" a="1"/>
  <c r="B752" i="1" s="1"/>
  <c r="F666" i="6"/>
  <c r="E653" i="6"/>
  <c r="G652" i="6"/>
  <c r="G651" i="6"/>
  <c r="C793" i="1" l="1" a="1"/>
  <c r="C793" i="1" s="1"/>
  <c r="Q32" i="14"/>
  <c r="Q31" i="14"/>
  <c r="S198" i="6"/>
  <c r="G199" i="6"/>
  <c r="Q199" i="6"/>
  <c r="E200" i="6"/>
  <c r="F200" i="6"/>
  <c r="R199" i="6"/>
  <c r="M204" i="6"/>
  <c r="K205" i="6"/>
  <c r="I60" i="5"/>
  <c r="L60" i="5"/>
  <c r="L4" i="5" s="1"/>
  <c r="L4" i="7" s="1"/>
  <c r="J60" i="5"/>
  <c r="J4" i="5" s="1"/>
  <c r="J4" i="7" s="1"/>
  <c r="M60" i="5"/>
  <c r="M4" i="5" s="1"/>
  <c r="M4" i="7" s="1"/>
  <c r="N60" i="5"/>
  <c r="N4" i="5" s="1"/>
  <c r="N4" i="7" s="1"/>
  <c r="K60" i="5"/>
  <c r="K4" i="5" s="1"/>
  <c r="K4" i="7" s="1"/>
  <c r="L209" i="6"/>
  <c r="M46" i="4"/>
  <c r="K47" i="4"/>
  <c r="Q28" i="14"/>
  <c r="AG105" i="13"/>
  <c r="AJ105" i="13"/>
  <c r="AG99" i="13"/>
  <c r="AJ99" i="13"/>
  <c r="AE117" i="13"/>
  <c r="AG117" i="13" s="1"/>
  <c r="F27" i="3"/>
  <c r="AD64" i="3"/>
  <c r="G680" i="7"/>
  <c r="C648" i="7"/>
  <c r="E39" i="3"/>
  <c r="T63" i="3"/>
  <c r="F64" i="3"/>
  <c r="D24" i="3"/>
  <c r="C670" i="7"/>
  <c r="I62" i="3"/>
  <c r="E12" i="3"/>
  <c r="C674" i="7"/>
  <c r="C641" i="7"/>
  <c r="E64" i="3"/>
  <c r="D52" i="3"/>
  <c r="C655" i="7"/>
  <c r="D38" i="3"/>
  <c r="F38" i="3"/>
  <c r="E11" i="3"/>
  <c r="C664" i="7"/>
  <c r="L62" i="3"/>
  <c r="C675" i="7"/>
  <c r="B681" i="7"/>
  <c r="C684" i="7"/>
  <c r="F57" i="3"/>
  <c r="B753" i="1" a="1"/>
  <c r="B753" i="1" s="1"/>
  <c r="F667" i="6"/>
  <c r="E654" i="6"/>
  <c r="G653" i="6"/>
  <c r="C794" i="1" l="1" a="1"/>
  <c r="C794" i="1" s="1"/>
  <c r="C795" i="1" s="1" a="1"/>
  <c r="C795" i="1" s="1"/>
  <c r="R200" i="6"/>
  <c r="F201" i="6"/>
  <c r="G200" i="6"/>
  <c r="E201" i="6"/>
  <c r="Q200" i="6"/>
  <c r="S199" i="6"/>
  <c r="M205" i="6"/>
  <c r="K206" i="6"/>
  <c r="O60" i="5"/>
  <c r="O4" i="5" s="1"/>
  <c r="I4" i="5"/>
  <c r="I4" i="7" s="1"/>
  <c r="O4" i="7" s="1"/>
  <c r="L210" i="6"/>
  <c r="K48" i="4"/>
  <c r="M47" i="4"/>
  <c r="G66" i="3"/>
  <c r="D694" i="7"/>
  <c r="R694" i="7" s="1"/>
  <c r="G8" i="3"/>
  <c r="M21" i="14" s="1"/>
  <c r="C694" i="7"/>
  <c r="Q694" i="7" s="1"/>
  <c r="G9" i="3"/>
  <c r="G5" i="3" s="1"/>
  <c r="P681" i="7"/>
  <c r="V681" i="7" s="1"/>
  <c r="H681" i="7"/>
  <c r="B692" i="7"/>
  <c r="Q675" i="7"/>
  <c r="Q641" i="7"/>
  <c r="C653" i="7"/>
  <c r="Q664" i="7"/>
  <c r="V664" i="7" s="1"/>
  <c r="H664" i="7"/>
  <c r="Q674" i="7"/>
  <c r="V674" i="7" s="1"/>
  <c r="H674" i="7"/>
  <c r="Q648" i="7"/>
  <c r="V648" i="7" s="1"/>
  <c r="H648" i="7"/>
  <c r="U680" i="7"/>
  <c r="V680" i="7" s="1"/>
  <c r="W680" i="7" s="1"/>
  <c r="G692" i="7"/>
  <c r="U692" i="7" s="1"/>
  <c r="Q670" i="7"/>
  <c r="V670" i="7" s="1"/>
  <c r="H670" i="7"/>
  <c r="H684" i="7"/>
  <c r="Q684" i="7"/>
  <c r="V684" i="7" s="1"/>
  <c r="C692" i="7"/>
  <c r="Q692" i="7" s="1"/>
  <c r="Q655" i="7"/>
  <c r="C666" i="7"/>
  <c r="B754" i="1" a="1"/>
  <c r="B754" i="1" s="1"/>
  <c r="B677" i="6" s="1"/>
  <c r="N677" i="6" s="1"/>
  <c r="T677" i="6" s="1"/>
  <c r="E655" i="6"/>
  <c r="G654" i="6"/>
  <c r="C797" i="1" l="1" a="1"/>
  <c r="C797" i="1" s="1"/>
  <c r="C798" i="1" s="1" a="1"/>
  <c r="C798" i="1" s="1"/>
  <c r="C799" i="1" s="1" a="1"/>
  <c r="C799" i="1" s="1"/>
  <c r="S200" i="6"/>
  <c r="G201" i="6"/>
  <c r="E202" i="6"/>
  <c r="Q201" i="6"/>
  <c r="F202" i="6"/>
  <c r="R201" i="6"/>
  <c r="K207" i="6"/>
  <c r="M206" i="6"/>
  <c r="L211" i="6"/>
  <c r="K49" i="4"/>
  <c r="M48" i="4"/>
  <c r="B694" i="7"/>
  <c r="P694" i="7" s="1"/>
  <c r="G694" i="7"/>
  <c r="U694" i="7" s="1"/>
  <c r="C677" i="6"/>
  <c r="O677" i="6" s="1"/>
  <c r="P677" i="6" s="1"/>
  <c r="C695" i="7"/>
  <c r="Q695" i="7" s="1"/>
  <c r="E694" i="7"/>
  <c r="S694" i="7" s="1"/>
  <c r="F694" i="7"/>
  <c r="B695" i="7"/>
  <c r="P695" i="7" s="1"/>
  <c r="N21" i="14"/>
  <c r="L21" i="14" s="1"/>
  <c r="G7" i="3"/>
  <c r="B755" i="1" a="1"/>
  <c r="B755" i="1" s="1"/>
  <c r="C678" i="6" s="1"/>
  <c r="O678" i="6" s="1"/>
  <c r="Q653" i="7"/>
  <c r="P692" i="7"/>
  <c r="V692" i="7" s="1"/>
  <c r="H692" i="7"/>
  <c r="Q666" i="7"/>
  <c r="W681" i="7"/>
  <c r="W682" i="7" s="1"/>
  <c r="W683" i="7" s="1"/>
  <c r="W684" i="7" s="1"/>
  <c r="W685" i="7" s="1"/>
  <c r="W686" i="7" s="1"/>
  <c r="W687" i="7" s="1"/>
  <c r="W688" i="7" s="1"/>
  <c r="W689" i="7" s="1"/>
  <c r="W690" i="7" s="1"/>
  <c r="W691" i="7" s="1"/>
  <c r="E656" i="6"/>
  <c r="G655" i="6"/>
  <c r="H668" i="6" l="1"/>
  <c r="J668" i="6" s="1"/>
  <c r="I671" i="6"/>
  <c r="O671" i="6" s="1"/>
  <c r="H671" i="6"/>
  <c r="H672" i="6"/>
  <c r="I672" i="6"/>
  <c r="O672" i="6" s="1"/>
  <c r="H675" i="6"/>
  <c r="I675" i="6"/>
  <c r="O675" i="6" s="1"/>
  <c r="R202" i="6"/>
  <c r="F203" i="6"/>
  <c r="S201" i="6"/>
  <c r="E203" i="6"/>
  <c r="G202" i="6"/>
  <c r="Q202" i="6"/>
  <c r="K208" i="6"/>
  <c r="M207" i="6"/>
  <c r="L212" i="6"/>
  <c r="M49" i="4"/>
  <c r="K50" i="4"/>
  <c r="B678" i="6"/>
  <c r="N678" i="6" s="1"/>
  <c r="T678" i="6" s="1"/>
  <c r="G695" i="7"/>
  <c r="U695" i="7" s="1"/>
  <c r="E695" i="7"/>
  <c r="S695" i="7" s="1"/>
  <c r="D695" i="7"/>
  <c r="F695" i="7"/>
  <c r="T695" i="7" s="1"/>
  <c r="H694" i="7"/>
  <c r="D677" i="6"/>
  <c r="T694" i="7"/>
  <c r="V694" i="7" s="1"/>
  <c r="W694" i="7" s="1"/>
  <c r="B756" i="1" a="1"/>
  <c r="B756" i="1" s="1"/>
  <c r="E657" i="6"/>
  <c r="G656" i="6"/>
  <c r="J675" i="6" l="1"/>
  <c r="N675" i="6"/>
  <c r="P675" i="6" s="1"/>
  <c r="J672" i="6"/>
  <c r="N672" i="6"/>
  <c r="P672" i="6" s="1"/>
  <c r="J671" i="6"/>
  <c r="N671" i="6"/>
  <c r="P671" i="6"/>
  <c r="S202" i="6"/>
  <c r="E204" i="6"/>
  <c r="G203" i="6"/>
  <c r="Q203" i="6"/>
  <c r="F204" i="6"/>
  <c r="R203" i="6"/>
  <c r="M208" i="6"/>
  <c r="K209" i="6"/>
  <c r="L213" i="6"/>
  <c r="K51" i="4"/>
  <c r="M50" i="4"/>
  <c r="D678" i="6"/>
  <c r="P678" i="6"/>
  <c r="H695" i="7"/>
  <c r="R695" i="7"/>
  <c r="V695" i="7" s="1"/>
  <c r="W695" i="7" s="1"/>
  <c r="B757" i="1" a="1"/>
  <c r="B757" i="1" s="1"/>
  <c r="G657" i="6"/>
  <c r="E658" i="6"/>
  <c r="F205" i="6" l="1"/>
  <c r="R204" i="6"/>
  <c r="S203" i="6"/>
  <c r="G204" i="6"/>
  <c r="Q204" i="6"/>
  <c r="E205" i="6"/>
  <c r="M209" i="6"/>
  <c r="K210" i="6"/>
  <c r="L214" i="6"/>
  <c r="K52" i="4"/>
  <c r="M51" i="4"/>
  <c r="B758" i="1" a="1"/>
  <c r="B758" i="1" s="1"/>
  <c r="D61" i="5" s="1"/>
  <c r="E659" i="6"/>
  <c r="G658" i="6"/>
  <c r="S204" i="6" l="1"/>
  <c r="E206" i="6"/>
  <c r="G205" i="6"/>
  <c r="Q205" i="6"/>
  <c r="F206" i="6"/>
  <c r="R205" i="6"/>
  <c r="K211" i="6"/>
  <c r="M210" i="6"/>
  <c r="L215" i="6"/>
  <c r="M52" i="4"/>
  <c r="K53" i="4"/>
  <c r="R61" i="5"/>
  <c r="B759" i="1" a="1"/>
  <c r="B759" i="1" s="1"/>
  <c r="B760" i="1" s="1" a="1"/>
  <c r="B760" i="1" s="1"/>
  <c r="E660" i="6"/>
  <c r="G659" i="6"/>
  <c r="F207" i="6" l="1"/>
  <c r="R206" i="6"/>
  <c r="S205" i="6"/>
  <c r="E207" i="6"/>
  <c r="G206" i="6"/>
  <c r="Q206" i="6"/>
  <c r="M211" i="6"/>
  <c r="K212" i="6"/>
  <c r="L216" i="6"/>
  <c r="K54" i="4"/>
  <c r="M53" i="4"/>
  <c r="F39" i="3"/>
  <c r="K63" i="3"/>
  <c r="F61" i="3"/>
  <c r="F41" i="3"/>
  <c r="C668" i="7"/>
  <c r="E51" i="3"/>
  <c r="I61" i="3"/>
  <c r="K61" i="3"/>
  <c r="B651" i="7"/>
  <c r="I58" i="3"/>
  <c r="F35" i="3"/>
  <c r="E36" i="3"/>
  <c r="C667" i="7"/>
  <c r="D55" i="3"/>
  <c r="F53" i="3"/>
  <c r="B643" i="7"/>
  <c r="F22" i="3"/>
  <c r="V62" i="3"/>
  <c r="E60" i="3"/>
  <c r="O62" i="3"/>
  <c r="V63" i="3"/>
  <c r="Q9" i="3"/>
  <c r="Q8" i="3"/>
  <c r="Q66" i="3"/>
  <c r="B761" i="1" a="1"/>
  <c r="B761" i="1" s="1"/>
  <c r="E661" i="6"/>
  <c r="G660" i="6"/>
  <c r="S206" i="6" l="1"/>
  <c r="E208" i="6"/>
  <c r="G207" i="6"/>
  <c r="Q207" i="6"/>
  <c r="F208" i="6"/>
  <c r="R207" i="6"/>
  <c r="M212" i="6"/>
  <c r="K213" i="6"/>
  <c r="L217" i="6"/>
  <c r="K55" i="4"/>
  <c r="M54" i="4"/>
  <c r="C62" i="3"/>
  <c r="B62" i="3" s="1"/>
  <c r="P651" i="7"/>
  <c r="V651" i="7" s="1"/>
  <c r="H651" i="7"/>
  <c r="P643" i="7"/>
  <c r="M22" i="14"/>
  <c r="N22" i="14"/>
  <c r="Q7" i="3"/>
  <c r="Q667" i="7"/>
  <c r="V667" i="7" s="1"/>
  <c r="W667" i="7" s="1"/>
  <c r="H667" i="7"/>
  <c r="C679" i="7"/>
  <c r="Q668" i="7"/>
  <c r="B762" i="1" a="1"/>
  <c r="B762" i="1" s="1"/>
  <c r="E662" i="6"/>
  <c r="G661" i="6"/>
  <c r="S207" i="6" l="1"/>
  <c r="F209" i="6"/>
  <c r="R208" i="6"/>
  <c r="G208" i="6"/>
  <c r="Q208" i="6"/>
  <c r="S208" i="6" s="1"/>
  <c r="E209" i="6"/>
  <c r="M213" i="6"/>
  <c r="K214" i="6"/>
  <c r="L218" i="6"/>
  <c r="K56" i="4"/>
  <c r="M55" i="4"/>
  <c r="B763" i="1" a="1"/>
  <c r="B763" i="1" s="1"/>
  <c r="C679" i="6" s="1"/>
  <c r="O679" i="6" s="1"/>
  <c r="T9" i="3"/>
  <c r="T8" i="3"/>
  <c r="M48" i="14" s="1"/>
  <c r="T66" i="3"/>
  <c r="L22" i="14"/>
  <c r="Q679" i="7"/>
  <c r="G662" i="6"/>
  <c r="E663" i="6"/>
  <c r="E664" i="6" s="1"/>
  <c r="E210" i="6" l="1"/>
  <c r="G209" i="6"/>
  <c r="Q209" i="6"/>
  <c r="F210" i="6"/>
  <c r="R209" i="6"/>
  <c r="K215" i="6"/>
  <c r="M214" i="6"/>
  <c r="L219" i="6"/>
  <c r="M56" i="4"/>
  <c r="K57" i="4"/>
  <c r="Q21" i="14"/>
  <c r="B696" i="7"/>
  <c r="P696" i="7" s="1"/>
  <c r="G696" i="7"/>
  <c r="U696" i="7" s="1"/>
  <c r="C696" i="7"/>
  <c r="Q696" i="7" s="1"/>
  <c r="B764" i="1" a="1"/>
  <c r="B764" i="1" s="1"/>
  <c r="W8" i="3"/>
  <c r="M7" i="14" s="1"/>
  <c r="W9" i="3"/>
  <c r="W66" i="3"/>
  <c r="B679" i="6"/>
  <c r="N679" i="6" s="1"/>
  <c r="D696" i="7"/>
  <c r="R696" i="7" s="1"/>
  <c r="E696" i="7"/>
  <c r="F696" i="7"/>
  <c r="N48" i="14"/>
  <c r="L48" i="14" s="1"/>
  <c r="T7" i="3"/>
  <c r="B765" i="1" a="1"/>
  <c r="B765" i="1" s="1"/>
  <c r="B774" i="1" a="1"/>
  <c r="B774" i="1" s="1"/>
  <c r="E665" i="6"/>
  <c r="G664" i="6"/>
  <c r="G663" i="6"/>
  <c r="F211" i="6" l="1"/>
  <c r="R210" i="6"/>
  <c r="S209" i="6"/>
  <c r="E211" i="6"/>
  <c r="Q210" i="6"/>
  <c r="G210" i="6"/>
  <c r="K216" i="6"/>
  <c r="M215" i="6"/>
  <c r="L220" i="6"/>
  <c r="M57" i="4"/>
  <c r="K58" i="4"/>
  <c r="Q64" i="3"/>
  <c r="AD61" i="3"/>
  <c r="C13" i="4"/>
  <c r="O13" i="4" s="1"/>
  <c r="P13" i="4" s="1"/>
  <c r="E52" i="3"/>
  <c r="F10" i="3"/>
  <c r="B665" i="7"/>
  <c r="B5" i="4"/>
  <c r="B655" i="7"/>
  <c r="H59" i="3"/>
  <c r="E21" i="3"/>
  <c r="F54" i="3"/>
  <c r="O61" i="3"/>
  <c r="D44" i="3"/>
  <c r="D9" i="3" s="1"/>
  <c r="D7" i="3" s="1"/>
  <c r="F673" i="7"/>
  <c r="T61" i="3"/>
  <c r="AB8" i="3"/>
  <c r="L60" i="3"/>
  <c r="C24" i="4"/>
  <c r="B662" i="7"/>
  <c r="E61" i="3"/>
  <c r="Y64" i="3"/>
  <c r="K56" i="3"/>
  <c r="B668" i="7"/>
  <c r="E703" i="7"/>
  <c r="K53" i="3"/>
  <c r="C5" i="4"/>
  <c r="E675" i="7"/>
  <c r="E45" i="3"/>
  <c r="B641" i="7"/>
  <c r="Q61" i="3"/>
  <c r="H56" i="3"/>
  <c r="C668" i="6"/>
  <c r="O668" i="6" s="1"/>
  <c r="H63" i="3"/>
  <c r="C63" i="3" s="1"/>
  <c r="B63" i="3" s="1"/>
  <c r="B668" i="6"/>
  <c r="N668" i="6" s="1"/>
  <c r="H64" i="3"/>
  <c r="E8" i="3"/>
  <c r="K8" i="3"/>
  <c r="K7" i="3" s="1"/>
  <c r="H53" i="3"/>
  <c r="E643" i="7"/>
  <c r="F28" i="3"/>
  <c r="B663" i="7"/>
  <c r="H61" i="3"/>
  <c r="B649" i="7"/>
  <c r="AB9" i="3"/>
  <c r="T696" i="7"/>
  <c r="H696" i="7"/>
  <c r="D679" i="6"/>
  <c r="P679" i="6"/>
  <c r="S696" i="7"/>
  <c r="T679" i="6"/>
  <c r="N7" i="14"/>
  <c r="L7" i="14" s="1"/>
  <c r="W7" i="3"/>
  <c r="B766" i="1" a="1"/>
  <c r="B766" i="1" s="1"/>
  <c r="A74" i="15"/>
  <c r="A73" i="15"/>
  <c r="E666" i="6"/>
  <c r="G665" i="6"/>
  <c r="P668" i="6" l="1"/>
  <c r="T673" i="6"/>
  <c r="T672" i="6"/>
  <c r="T674" i="6"/>
  <c r="T670" i="6"/>
  <c r="T668" i="6"/>
  <c r="T671" i="6"/>
  <c r="T669" i="6"/>
  <c r="T675" i="6"/>
  <c r="S210" i="6"/>
  <c r="E212" i="6"/>
  <c r="G211" i="6"/>
  <c r="Q211" i="6"/>
  <c r="F212" i="6"/>
  <c r="R211" i="6"/>
  <c r="K217" i="6"/>
  <c r="M216" i="6"/>
  <c r="L221" i="6"/>
  <c r="K59" i="4"/>
  <c r="M58" i="4"/>
  <c r="C64" i="3"/>
  <c r="B64" i="3" s="1"/>
  <c r="E9" i="3"/>
  <c r="E7" i="3" s="1"/>
  <c r="F9" i="3"/>
  <c r="P655" i="7"/>
  <c r="V655" i="7" s="1"/>
  <c r="W655" i="7" s="1"/>
  <c r="W656" i="7" s="1"/>
  <c r="W657" i="7" s="1"/>
  <c r="W658" i="7" s="1"/>
  <c r="W659" i="7" s="1"/>
  <c r="W660" i="7" s="1"/>
  <c r="W661" i="7" s="1"/>
  <c r="H655" i="7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N5" i="4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T673" i="7"/>
  <c r="V673" i="7" s="1"/>
  <c r="F679" i="7"/>
  <c r="T679" i="7" s="1"/>
  <c r="H673" i="7"/>
  <c r="P665" i="7"/>
  <c r="V665" i="7" s="1"/>
  <c r="H665" i="7"/>
  <c r="P662" i="7"/>
  <c r="V662" i="7" s="1"/>
  <c r="H662" i="7"/>
  <c r="O24" i="4"/>
  <c r="P24" i="4" s="1"/>
  <c r="D24" i="4"/>
  <c r="C61" i="3"/>
  <c r="B61" i="3" s="1"/>
  <c r="S643" i="7"/>
  <c r="V643" i="7" s="1"/>
  <c r="E653" i="7"/>
  <c r="S653" i="7" s="1"/>
  <c r="H643" i="7"/>
  <c r="P641" i="7"/>
  <c r="V641" i="7" s="1"/>
  <c r="W641" i="7" s="1"/>
  <c r="W642" i="7" s="1"/>
  <c r="H641" i="7"/>
  <c r="B653" i="7"/>
  <c r="AB7" i="3"/>
  <c r="H649" i="7"/>
  <c r="P649" i="7"/>
  <c r="V649" i="7" s="1"/>
  <c r="S675" i="7"/>
  <c r="V675" i="7" s="1"/>
  <c r="E679" i="7"/>
  <c r="S679" i="7" s="1"/>
  <c r="H675" i="7"/>
  <c r="D668" i="6"/>
  <c r="F5" i="4"/>
  <c r="O5" i="4"/>
  <c r="P663" i="7"/>
  <c r="V663" i="7" s="1"/>
  <c r="B666" i="7"/>
  <c r="H663" i="7"/>
  <c r="F668" i="6"/>
  <c r="F669" i="6" s="1"/>
  <c r="F670" i="6" s="1"/>
  <c r="F671" i="6" s="1"/>
  <c r="F672" i="6" s="1"/>
  <c r="F673" i="6" s="1"/>
  <c r="F674" i="6" s="1"/>
  <c r="F675" i="6" s="1"/>
  <c r="F676" i="6" s="1"/>
  <c r="F677" i="6" s="1"/>
  <c r="F678" i="6" s="1"/>
  <c r="F679" i="6" s="1"/>
  <c r="S703" i="7"/>
  <c r="V703" i="7" s="1"/>
  <c r="H703" i="7"/>
  <c r="P668" i="7"/>
  <c r="V668" i="7" s="1"/>
  <c r="W668" i="7" s="1"/>
  <c r="W669" i="7" s="1"/>
  <c r="W670" i="7" s="1"/>
  <c r="W671" i="7" s="1"/>
  <c r="W672" i="7" s="1"/>
  <c r="B679" i="7"/>
  <c r="H668" i="7"/>
  <c r="Q7" i="14"/>
  <c r="Q6" i="14"/>
  <c r="V696" i="7"/>
  <c r="W696" i="7" s="1"/>
  <c r="B767" i="1" a="1"/>
  <c r="B767" i="1" s="1"/>
  <c r="E667" i="6"/>
  <c r="G666" i="6"/>
  <c r="F213" i="6" l="1"/>
  <c r="R212" i="6"/>
  <c r="S211" i="6"/>
  <c r="E213" i="6"/>
  <c r="Q212" i="6"/>
  <c r="G212" i="6"/>
  <c r="M217" i="6"/>
  <c r="K218" i="6"/>
  <c r="L222" i="6"/>
  <c r="M59" i="4"/>
  <c r="K60" i="4"/>
  <c r="M60" i="4" s="1"/>
  <c r="W673" i="7"/>
  <c r="W674" i="7" s="1"/>
  <c r="W675" i="7" s="1"/>
  <c r="W676" i="7" s="1"/>
  <c r="W677" i="7" s="1"/>
  <c r="W678" i="7" s="1"/>
  <c r="W662" i="7"/>
  <c r="W663" i="7" s="1"/>
  <c r="W664" i="7" s="1"/>
  <c r="W665" i="7" s="1"/>
  <c r="P666" i="7"/>
  <c r="V666" i="7" s="1"/>
  <c r="H666" i="7"/>
  <c r="P653" i="7"/>
  <c r="V653" i="7" s="1"/>
  <c r="H653" i="7"/>
  <c r="P679" i="7"/>
  <c r="V679" i="7" s="1"/>
  <c r="H679" i="7"/>
  <c r="R5" i="4"/>
  <c r="P5" i="4"/>
  <c r="G5" i="4"/>
  <c r="F6" i="4"/>
  <c r="W643" i="7"/>
  <c r="W644" i="7" s="1"/>
  <c r="W645" i="7" s="1"/>
  <c r="W646" i="7" s="1"/>
  <c r="W647" i="7" s="1"/>
  <c r="W648" i="7" s="1"/>
  <c r="W649" i="7" s="1"/>
  <c r="W650" i="7" s="1"/>
  <c r="W651" i="7" s="1"/>
  <c r="W652" i="7" s="1"/>
  <c r="B768" i="1" a="1"/>
  <c r="B768" i="1" s="1"/>
  <c r="Q25" i="4"/>
  <c r="E26" i="4"/>
  <c r="A79" i="15"/>
  <c r="Q78" i="15"/>
  <c r="P78" i="15" s="1"/>
  <c r="D72" i="15"/>
  <c r="E668" i="6"/>
  <c r="G667" i="6"/>
  <c r="H123" i="13"/>
  <c r="G124" i="13" s="1"/>
  <c r="I121" i="13"/>
  <c r="S212" i="6" l="1"/>
  <c r="E214" i="6"/>
  <c r="G213" i="6"/>
  <c r="Q213" i="6"/>
  <c r="F214" i="6"/>
  <c r="R213" i="6"/>
  <c r="K219" i="6"/>
  <c r="M218" i="6"/>
  <c r="L223" i="6"/>
  <c r="H17" i="18"/>
  <c r="G6" i="4"/>
  <c r="F7" i="4"/>
  <c r="S5" i="4"/>
  <c r="R6" i="4"/>
  <c r="B769" i="1" a="1"/>
  <c r="B769" i="1" s="1"/>
  <c r="J9" i="3"/>
  <c r="J8" i="3"/>
  <c r="J66" i="3"/>
  <c r="E27" i="4"/>
  <c r="Q26" i="4"/>
  <c r="A80" i="15"/>
  <c r="A81" i="15" s="1"/>
  <c r="A84" i="15"/>
  <c r="D73" i="15"/>
  <c r="D74" i="15"/>
  <c r="I122" i="13"/>
  <c r="E669" i="6"/>
  <c r="G668" i="6"/>
  <c r="R214" i="6" l="1"/>
  <c r="F215" i="6"/>
  <c r="S213" i="6"/>
  <c r="E215" i="6"/>
  <c r="G214" i="6"/>
  <c r="Q214" i="6"/>
  <c r="K220" i="6"/>
  <c r="M219" i="6"/>
  <c r="L224" i="6"/>
  <c r="R7" i="4"/>
  <c r="S6" i="4"/>
  <c r="F8" i="4"/>
  <c r="G7" i="4"/>
  <c r="B770" i="1" a="1"/>
  <c r="B770" i="1" s="1"/>
  <c r="J7" i="3"/>
  <c r="M2" i="14"/>
  <c r="J5" i="3"/>
  <c r="N2" i="14"/>
  <c r="H29" i="18"/>
  <c r="H28" i="18"/>
  <c r="Q27" i="4"/>
  <c r="E28" i="4"/>
  <c r="H124" i="13"/>
  <c r="G125" i="13" s="1"/>
  <c r="E670" i="6"/>
  <c r="G669" i="6"/>
  <c r="I123" i="13"/>
  <c r="S214" i="6" l="1"/>
  <c r="G215" i="6"/>
  <c r="E216" i="6"/>
  <c r="Q215" i="6"/>
  <c r="F216" i="6"/>
  <c r="R215" i="6"/>
  <c r="K221" i="6"/>
  <c r="M220" i="6"/>
  <c r="L225" i="6"/>
  <c r="B771" i="1" a="1"/>
  <c r="B771" i="1" s="1"/>
  <c r="H8" i="3"/>
  <c r="H9" i="3"/>
  <c r="H66" i="3"/>
  <c r="F9" i="4"/>
  <c r="G8" i="4"/>
  <c r="R8" i="4"/>
  <c r="S7" i="4"/>
  <c r="L2" i="14"/>
  <c r="E29" i="4"/>
  <c r="Q28" i="4"/>
  <c r="B80" i="15"/>
  <c r="D79" i="15"/>
  <c r="B82" i="15"/>
  <c r="E671" i="6"/>
  <c r="G670" i="6"/>
  <c r="I124" i="13"/>
  <c r="S215" i="6" l="1"/>
  <c r="R216" i="6"/>
  <c r="F217" i="6"/>
  <c r="G216" i="6"/>
  <c r="E217" i="6"/>
  <c r="Q216" i="6"/>
  <c r="K222" i="6"/>
  <c r="M221" i="6"/>
  <c r="L226" i="6"/>
  <c r="H5" i="3"/>
  <c r="N19" i="14"/>
  <c r="H7" i="3"/>
  <c r="M19" i="14"/>
  <c r="B772" i="1" a="1"/>
  <c r="B772" i="1" s="1"/>
  <c r="AH8" i="3"/>
  <c r="M18" i="14" s="1"/>
  <c r="AH9" i="3"/>
  <c r="AH66" i="3"/>
  <c r="F10" i="4"/>
  <c r="G9" i="4"/>
  <c r="F697" i="7"/>
  <c r="R9" i="4"/>
  <c r="S8" i="4"/>
  <c r="H13" i="18"/>
  <c r="D81" i="15"/>
  <c r="Q29" i="4"/>
  <c r="E30" i="4"/>
  <c r="A86" i="15"/>
  <c r="B81" i="15"/>
  <c r="H125" i="13"/>
  <c r="G126" i="13" s="1"/>
  <c r="D80" i="15"/>
  <c r="E672" i="6"/>
  <c r="G671" i="6"/>
  <c r="S216" i="6" l="1"/>
  <c r="E218" i="6"/>
  <c r="G217" i="6"/>
  <c r="Q217" i="6"/>
  <c r="F218" i="6"/>
  <c r="R217" i="6"/>
  <c r="K223" i="6"/>
  <c r="M222" i="6"/>
  <c r="L227" i="6"/>
  <c r="H30" i="18"/>
  <c r="B45" i="18" s="1"/>
  <c r="C680" i="6"/>
  <c r="O680" i="6" s="1"/>
  <c r="D697" i="7"/>
  <c r="R697" i="7" s="1"/>
  <c r="C697" i="7"/>
  <c r="Q697" i="7" s="1"/>
  <c r="G697" i="7"/>
  <c r="U697" i="7" s="1"/>
  <c r="B680" i="6"/>
  <c r="N680" i="6" s="1"/>
  <c r="B773" i="1" a="1"/>
  <c r="B773" i="1" s="1"/>
  <c r="E697" i="7"/>
  <c r="B697" i="7"/>
  <c r="L19" i="14"/>
  <c r="T697" i="7"/>
  <c r="F11" i="4"/>
  <c r="G10" i="4"/>
  <c r="N18" i="14"/>
  <c r="L18" i="14" s="1"/>
  <c r="AH7" i="3"/>
  <c r="R10" i="4"/>
  <c r="S9" i="4"/>
  <c r="H31" i="18"/>
  <c r="E31" i="4"/>
  <c r="Q30" i="4"/>
  <c r="A82" i="15"/>
  <c r="D82" i="15" s="1"/>
  <c r="H126" i="13"/>
  <c r="I126" i="13" s="1"/>
  <c r="I125" i="13"/>
  <c r="E673" i="6"/>
  <c r="G672" i="6"/>
  <c r="R218" i="6" l="1"/>
  <c r="F219" i="6"/>
  <c r="S217" i="6"/>
  <c r="G218" i="6"/>
  <c r="E219" i="6"/>
  <c r="Q218" i="6"/>
  <c r="K224" i="6"/>
  <c r="M223" i="6"/>
  <c r="L228" i="6"/>
  <c r="Y66" i="3"/>
  <c r="Y9" i="3"/>
  <c r="Y8" i="3"/>
  <c r="M49" i="14" s="1"/>
  <c r="D680" i="6"/>
  <c r="Q17" i="14"/>
  <c r="F680" i="6"/>
  <c r="S697" i="7"/>
  <c r="B775" i="1" a="1"/>
  <c r="B775" i="1" s="1"/>
  <c r="H697" i="7"/>
  <c r="P697" i="7"/>
  <c r="F12" i="4"/>
  <c r="G11" i="4"/>
  <c r="R11" i="4"/>
  <c r="S10" i="4"/>
  <c r="T680" i="6"/>
  <c r="P680" i="6"/>
  <c r="Q31" i="4"/>
  <c r="E32" i="4"/>
  <c r="B84" i="15"/>
  <c r="B85" i="15" s="1"/>
  <c r="B86" i="15"/>
  <c r="D86" i="15" s="1"/>
  <c r="H14" i="18"/>
  <c r="E674" i="6"/>
  <c r="G673" i="6"/>
  <c r="S218" i="6" l="1"/>
  <c r="E220" i="6"/>
  <c r="G219" i="6"/>
  <c r="Q219" i="6"/>
  <c r="F220" i="6"/>
  <c r="R219" i="6"/>
  <c r="K225" i="6"/>
  <c r="M224" i="6"/>
  <c r="L229" i="6"/>
  <c r="R8" i="3"/>
  <c r="R9" i="3"/>
  <c r="R66" i="3"/>
  <c r="N49" i="14"/>
  <c r="L49" i="14" s="1"/>
  <c r="Y7" i="3"/>
  <c r="Y5" i="3"/>
  <c r="V697" i="7"/>
  <c r="W697" i="7" s="1"/>
  <c r="B776" i="1" a="1"/>
  <c r="B776" i="1" s="1"/>
  <c r="R12" i="4"/>
  <c r="S11" i="4"/>
  <c r="F13" i="4"/>
  <c r="G12" i="4"/>
  <c r="H18" i="18"/>
  <c r="B42" i="18" s="1"/>
  <c r="E33" i="4"/>
  <c r="Q32" i="4"/>
  <c r="D84" i="15"/>
  <c r="E675" i="6"/>
  <c r="E676" i="6" s="1"/>
  <c r="G674" i="6"/>
  <c r="R220" i="6" l="1"/>
  <c r="F221" i="6"/>
  <c r="S219" i="6"/>
  <c r="G220" i="6"/>
  <c r="E221" i="6"/>
  <c r="Q220" i="6"/>
  <c r="K226" i="6"/>
  <c r="M225" i="6"/>
  <c r="L230" i="6"/>
  <c r="Q11" i="14"/>
  <c r="N27" i="14"/>
  <c r="R7" i="3"/>
  <c r="R5" i="3"/>
  <c r="M27" i="14"/>
  <c r="B777" i="1" a="1"/>
  <c r="B777" i="1" s="1"/>
  <c r="F14" i="4"/>
  <c r="G13" i="4"/>
  <c r="R13" i="4"/>
  <c r="S12" i="4"/>
  <c r="R2" i="18" a="1"/>
  <c r="D85" i="15"/>
  <c r="Z2" i="18" s="1" a="1"/>
  <c r="AA17" i="18" s="1" a="1"/>
  <c r="AA17" i="18" s="1"/>
  <c r="Q33" i="4"/>
  <c r="E34" i="4"/>
  <c r="E677" i="6"/>
  <c r="G676" i="6"/>
  <c r="G675" i="6"/>
  <c r="S220" i="6" l="1"/>
  <c r="G221" i="6"/>
  <c r="E222" i="6"/>
  <c r="Q221" i="6"/>
  <c r="F222" i="6"/>
  <c r="R221" i="6"/>
  <c r="K227" i="6"/>
  <c r="M226" i="6"/>
  <c r="M8" i="3"/>
  <c r="M23" i="14" s="1"/>
  <c r="M9" i="3"/>
  <c r="M66" i="3"/>
  <c r="E61" i="5"/>
  <c r="S61" i="5" s="1"/>
  <c r="L231" i="6"/>
  <c r="L27" i="14"/>
  <c r="Q25" i="14" s="1"/>
  <c r="B778" i="1" a="1"/>
  <c r="B778" i="1" s="1"/>
  <c r="S24" i="18" a="1"/>
  <c r="S24" i="18" s="1"/>
  <c r="X24" i="18" s="1"/>
  <c r="R14" i="4"/>
  <c r="S13" i="4"/>
  <c r="F15" i="4"/>
  <c r="G14" i="4"/>
  <c r="S20" i="18" a="1"/>
  <c r="S20" i="18" s="1"/>
  <c r="X20" i="18" s="1"/>
  <c r="S16" i="18" a="1"/>
  <c r="S16" i="18" s="1"/>
  <c r="X16" i="18" s="1"/>
  <c r="S8" i="18" a="1"/>
  <c r="S8" i="18" s="1"/>
  <c r="X8" i="18" s="1"/>
  <c r="S15" i="18" a="1"/>
  <c r="S15" i="18" s="1"/>
  <c r="X15" i="18" s="1"/>
  <c r="S7" i="18" a="1"/>
  <c r="S7" i="18" s="1"/>
  <c r="X7" i="18" s="1"/>
  <c r="S10" i="18" a="1"/>
  <c r="S10" i="18" s="1"/>
  <c r="X10" i="18" s="1"/>
  <c r="S13" i="18" a="1"/>
  <c r="S13" i="18" s="1"/>
  <c r="X13" i="18" s="1"/>
  <c r="S5" i="18" a="1"/>
  <c r="S5" i="18" s="1"/>
  <c r="X5" i="18" s="1"/>
  <c r="S12" i="18" a="1"/>
  <c r="S12" i="18" s="1"/>
  <c r="X12" i="18" s="1"/>
  <c r="S4" i="18" a="1"/>
  <c r="S4" i="18" s="1"/>
  <c r="X4" i="18" s="1"/>
  <c r="S11" i="18" a="1"/>
  <c r="S11" i="18" s="1"/>
  <c r="X11" i="18" s="1"/>
  <c r="S14" i="18" a="1"/>
  <c r="S14" i="18" s="1"/>
  <c r="X14" i="18" s="1"/>
  <c r="S6" i="18" a="1"/>
  <c r="S6" i="18" s="1"/>
  <c r="X6" i="18" s="1"/>
  <c r="S9" i="18" a="1"/>
  <c r="S9" i="18" s="1"/>
  <c r="X9" i="18" s="1"/>
  <c r="S23" i="18" a="1"/>
  <c r="S23" i="18" s="1"/>
  <c r="X23" i="18" s="1"/>
  <c r="S19" i="18" a="1"/>
  <c r="S19" i="18" s="1"/>
  <c r="X19" i="18" s="1"/>
  <c r="S3" i="18" a="1"/>
  <c r="S3" i="18" s="1"/>
  <c r="X3" i="18" s="1"/>
  <c r="S17" i="18" a="1"/>
  <c r="S17" i="18" s="1"/>
  <c r="X17" i="18" s="1"/>
  <c r="S18" i="18" a="1"/>
  <c r="S18" i="18" s="1"/>
  <c r="X18" i="18" s="1"/>
  <c r="S21" i="18" a="1"/>
  <c r="S21" i="18" s="1"/>
  <c r="X21" i="18" s="1"/>
  <c r="S22" i="18" a="1"/>
  <c r="S22" i="18" s="1"/>
  <c r="X22" i="18" s="1"/>
  <c r="R2" i="18"/>
  <c r="AA3" i="18" a="1"/>
  <c r="AA3" i="18" s="1"/>
  <c r="AA7" i="18" a="1"/>
  <c r="AA7" i="18" s="1"/>
  <c r="AA11" i="18" a="1"/>
  <c r="AA11" i="18" s="1"/>
  <c r="AA15" i="18" a="1"/>
  <c r="AA15" i="18" s="1"/>
  <c r="AA4" i="18" a="1"/>
  <c r="AA4" i="18" s="1"/>
  <c r="AA12" i="18" a="1"/>
  <c r="AA12" i="18" s="1"/>
  <c r="AA6" i="18" a="1"/>
  <c r="AA6" i="18" s="1"/>
  <c r="AA8" i="18" a="1"/>
  <c r="AA8" i="18" s="1"/>
  <c r="AA16" i="18" a="1"/>
  <c r="AA16" i="18" s="1"/>
  <c r="AA13" i="18" a="1"/>
  <c r="AA13" i="18" s="1"/>
  <c r="AA5" i="18" a="1"/>
  <c r="AA5" i="18" s="1"/>
  <c r="AA9" i="18" a="1"/>
  <c r="AA9" i="18" s="1"/>
  <c r="AA10" i="18" a="1"/>
  <c r="AA10" i="18" s="1"/>
  <c r="AA14" i="18" a="1"/>
  <c r="AA14" i="18" s="1"/>
  <c r="Z2" i="18"/>
  <c r="E35" i="4"/>
  <c r="Q34" i="4"/>
  <c r="E678" i="6"/>
  <c r="G677" i="6"/>
  <c r="R222" i="6" l="1"/>
  <c r="F223" i="6"/>
  <c r="S221" i="6"/>
  <c r="E223" i="6"/>
  <c r="G222" i="6"/>
  <c r="Q222" i="6"/>
  <c r="M227" i="6"/>
  <c r="K228" i="6"/>
  <c r="M7" i="3"/>
  <c r="N23" i="14"/>
  <c r="L23" i="14" s="1"/>
  <c r="AF8" i="3"/>
  <c r="M12" i="14" s="1"/>
  <c r="AF9" i="3"/>
  <c r="AF66" i="3"/>
  <c r="G61" i="5"/>
  <c r="U61" i="5" s="1"/>
  <c r="L232" i="6"/>
  <c r="B779" i="1" a="1"/>
  <c r="B779" i="1" s="1"/>
  <c r="Q26" i="14"/>
  <c r="Q27" i="14"/>
  <c r="F16" i="4"/>
  <c r="G15" i="4"/>
  <c r="R15" i="4"/>
  <c r="S14" i="4"/>
  <c r="S2" i="18" a="1"/>
  <c r="S2" i="18" s="1"/>
  <c r="X2" i="18" s="1"/>
  <c r="X1" i="18" s="1"/>
  <c r="AA2" i="18" a="1"/>
  <c r="AA2" i="18" s="1"/>
  <c r="Q35" i="4"/>
  <c r="E36" i="4"/>
  <c r="G678" i="6"/>
  <c r="E679" i="6"/>
  <c r="S222" i="6" l="1"/>
  <c r="E224" i="6"/>
  <c r="G223" i="6"/>
  <c r="Q223" i="6"/>
  <c r="F224" i="6"/>
  <c r="R223" i="6"/>
  <c r="K229" i="6"/>
  <c r="M228" i="6"/>
  <c r="N12" i="14"/>
  <c r="L12" i="14" s="1"/>
  <c r="AF7" i="3"/>
  <c r="Q23" i="14"/>
  <c r="Q22" i="14"/>
  <c r="B50" i="5"/>
  <c r="P50" i="5" s="1"/>
  <c r="F49" i="5"/>
  <c r="T49" i="5" s="1"/>
  <c r="F52" i="5"/>
  <c r="T52" i="5" s="1"/>
  <c r="D49" i="5"/>
  <c r="E51" i="5"/>
  <c r="S51" i="5" s="1"/>
  <c r="F50" i="5"/>
  <c r="T50" i="5" s="1"/>
  <c r="C51" i="5"/>
  <c r="Q51" i="5" s="1"/>
  <c r="E50" i="5"/>
  <c r="S50" i="5" s="1"/>
  <c r="E48" i="5"/>
  <c r="F59" i="5"/>
  <c r="T59" i="5" s="1"/>
  <c r="E53" i="5"/>
  <c r="S53" i="5" s="1"/>
  <c r="E52" i="5"/>
  <c r="S52" i="5" s="1"/>
  <c r="F56" i="5"/>
  <c r="T56" i="5" s="1"/>
  <c r="D53" i="5"/>
  <c r="R53" i="5" s="1"/>
  <c r="D52" i="5"/>
  <c r="R52" i="5" s="1"/>
  <c r="F51" i="5"/>
  <c r="T51" i="5" s="1"/>
  <c r="F54" i="5"/>
  <c r="T54" i="5" s="1"/>
  <c r="B53" i="5"/>
  <c r="P53" i="5" s="1"/>
  <c r="B52" i="5"/>
  <c r="P52" i="5" s="1"/>
  <c r="D54" i="5"/>
  <c r="R54" i="5" s="1"/>
  <c r="D51" i="5"/>
  <c r="R51" i="5" s="1"/>
  <c r="G50" i="5"/>
  <c r="B54" i="5"/>
  <c r="P54" i="5" s="1"/>
  <c r="G53" i="5"/>
  <c r="U53" i="5" s="1"/>
  <c r="G52" i="5"/>
  <c r="U52" i="5" s="1"/>
  <c r="F53" i="5"/>
  <c r="T53" i="5" s="1"/>
  <c r="AA9" i="3"/>
  <c r="B57" i="5"/>
  <c r="P57" i="5" s="1"/>
  <c r="D56" i="5"/>
  <c r="R56" i="5" s="1"/>
  <c r="C53" i="5"/>
  <c r="D55" i="5"/>
  <c r="R55" i="5" s="1"/>
  <c r="B55" i="5"/>
  <c r="P55" i="5" s="1"/>
  <c r="C52" i="5"/>
  <c r="G51" i="5"/>
  <c r="B60" i="5"/>
  <c r="P60" i="5" s="1"/>
  <c r="G56" i="5"/>
  <c r="U56" i="5" s="1"/>
  <c r="C55" i="5"/>
  <c r="C54" i="5"/>
  <c r="F58" i="5"/>
  <c r="T58" i="5" s="1"/>
  <c r="E56" i="5"/>
  <c r="S56" i="5" s="1"/>
  <c r="E58" i="5"/>
  <c r="S58" i="5" s="1"/>
  <c r="D58" i="5"/>
  <c r="R58" i="5" s="1"/>
  <c r="G55" i="5"/>
  <c r="U55" i="5" s="1"/>
  <c r="G54" i="5"/>
  <c r="U54" i="5" s="1"/>
  <c r="D57" i="5"/>
  <c r="R57" i="5" s="1"/>
  <c r="F55" i="5"/>
  <c r="T55" i="5" s="1"/>
  <c r="C57" i="5"/>
  <c r="Q57" i="5" s="1"/>
  <c r="E55" i="5"/>
  <c r="S55" i="5" s="1"/>
  <c r="E54" i="5"/>
  <c r="S54" i="5" s="1"/>
  <c r="AI9" i="3"/>
  <c r="L9" i="3"/>
  <c r="M5" i="3" s="1"/>
  <c r="AA8" i="3"/>
  <c r="V8" i="3"/>
  <c r="AD8" i="3"/>
  <c r="M5" i="14" s="1"/>
  <c r="AD9" i="3"/>
  <c r="AD66" i="3"/>
  <c r="B780" i="1" a="1"/>
  <c r="B780" i="1" s="1"/>
  <c r="G60" i="5"/>
  <c r="U60" i="5" s="1"/>
  <c r="E59" i="5"/>
  <c r="S59" i="5" s="1"/>
  <c r="C58" i="5"/>
  <c r="Q58" i="5" s="1"/>
  <c r="C56" i="5"/>
  <c r="F60" i="5"/>
  <c r="T60" i="5" s="1"/>
  <c r="D59" i="5"/>
  <c r="B58" i="5"/>
  <c r="B56" i="5"/>
  <c r="E60" i="5"/>
  <c r="S60" i="5" s="1"/>
  <c r="C59" i="5"/>
  <c r="Q59" i="5" s="1"/>
  <c r="G57" i="5"/>
  <c r="D60" i="5"/>
  <c r="R60" i="5" s="1"/>
  <c r="B59" i="5"/>
  <c r="F57" i="5"/>
  <c r="C60" i="5"/>
  <c r="G58" i="5"/>
  <c r="U58" i="5" s="1"/>
  <c r="E57" i="5"/>
  <c r="G59" i="5"/>
  <c r="U59" i="5" s="1"/>
  <c r="L8" i="3"/>
  <c r="F8" i="3"/>
  <c r="O9" i="3"/>
  <c r="AI8" i="3"/>
  <c r="E698" i="7"/>
  <c r="C681" i="6"/>
  <c r="C698" i="7"/>
  <c r="G698" i="7"/>
  <c r="B698" i="7"/>
  <c r="F698" i="7"/>
  <c r="D698" i="7"/>
  <c r="B681" i="6"/>
  <c r="L233" i="6"/>
  <c r="B790" i="1" a="1"/>
  <c r="B790" i="1" s="1"/>
  <c r="R16" i="4"/>
  <c r="S15" i="4"/>
  <c r="F17" i="4"/>
  <c r="G16" i="4"/>
  <c r="E37" i="4"/>
  <c r="Q36" i="4"/>
  <c r="E680" i="6"/>
  <c r="G679" i="6"/>
  <c r="X66" i="3" l="1"/>
  <c r="X8" i="3"/>
  <c r="M24" i="14" s="1"/>
  <c r="X9" i="3"/>
  <c r="F61" i="5"/>
  <c r="T61" i="5" s="1"/>
  <c r="R224" i="6"/>
  <c r="F225" i="6"/>
  <c r="S223" i="6"/>
  <c r="G224" i="6"/>
  <c r="E225" i="6"/>
  <c r="Q224" i="6"/>
  <c r="K230" i="6"/>
  <c r="M229" i="6"/>
  <c r="Q12" i="14"/>
  <c r="R49" i="5"/>
  <c r="V49" i="5" s="1"/>
  <c r="H49" i="5"/>
  <c r="S48" i="5"/>
  <c r="V48" i="5" s="1"/>
  <c r="H48" i="5"/>
  <c r="H50" i="5"/>
  <c r="U50" i="5"/>
  <c r="V50" i="5" s="1"/>
  <c r="AA7" i="3"/>
  <c r="AA5" i="3"/>
  <c r="B781" i="1" a="1"/>
  <c r="B781" i="1" s="1"/>
  <c r="U51" i="5"/>
  <c r="V51" i="5" s="1"/>
  <c r="H51" i="5"/>
  <c r="Q52" i="5"/>
  <c r="V52" i="5" s="1"/>
  <c r="H52" i="5"/>
  <c r="H53" i="5"/>
  <c r="Q53" i="5"/>
  <c r="V53" i="5" s="1"/>
  <c r="L7" i="3"/>
  <c r="AI7" i="3"/>
  <c r="AF5" i="3"/>
  <c r="N5" i="14"/>
  <c r="L5" i="14" s="1"/>
  <c r="AD7" i="3"/>
  <c r="AD5" i="3"/>
  <c r="H54" i="5"/>
  <c r="Q54" i="5"/>
  <c r="V54" i="5" s="1"/>
  <c r="N14" i="14"/>
  <c r="L14" i="14" s="1"/>
  <c r="V7" i="3"/>
  <c r="H55" i="5"/>
  <c r="Q55" i="5"/>
  <c r="V55" i="5" s="1"/>
  <c r="S698" i="7"/>
  <c r="H60" i="5"/>
  <c r="Q60" i="5"/>
  <c r="V60" i="5" s="1"/>
  <c r="H58" i="5"/>
  <c r="P58" i="5"/>
  <c r="V58" i="5" s="1"/>
  <c r="N681" i="6"/>
  <c r="D681" i="6"/>
  <c r="T698" i="7"/>
  <c r="T57" i="5"/>
  <c r="R59" i="5"/>
  <c r="D4" i="5"/>
  <c r="D4" i="7" s="1"/>
  <c r="R698" i="7"/>
  <c r="P698" i="7"/>
  <c r="H698" i="7"/>
  <c r="O7" i="3"/>
  <c r="H59" i="5"/>
  <c r="P59" i="5"/>
  <c r="U698" i="7"/>
  <c r="F7" i="3"/>
  <c r="Q56" i="5"/>
  <c r="Q698" i="7"/>
  <c r="U57" i="5"/>
  <c r="G4" i="5"/>
  <c r="G4" i="7" s="1"/>
  <c r="O681" i="6"/>
  <c r="F681" i="6"/>
  <c r="H57" i="5"/>
  <c r="S57" i="5"/>
  <c r="E4" i="5"/>
  <c r="E4" i="7" s="1"/>
  <c r="H56" i="5"/>
  <c r="P56" i="5"/>
  <c r="L234" i="6"/>
  <c r="F18" i="4"/>
  <c r="G17" i="4"/>
  <c r="R17" i="4"/>
  <c r="S16" i="4"/>
  <c r="Q37" i="4"/>
  <c r="E38" i="4"/>
  <c r="E681" i="6"/>
  <c r="G680" i="6"/>
  <c r="F4" i="5" l="1"/>
  <c r="F4" i="7" s="1"/>
  <c r="P9" i="3"/>
  <c r="P8" i="3"/>
  <c r="P66" i="3"/>
  <c r="B61" i="5"/>
  <c r="T4" i="5"/>
  <c r="T4" i="7" s="1"/>
  <c r="X7" i="3"/>
  <c r="N24" i="14"/>
  <c r="L24" i="14" s="1"/>
  <c r="Q24" i="14" s="1"/>
  <c r="W5" i="3"/>
  <c r="B782" i="1" a="1"/>
  <c r="B782" i="1" s="1"/>
  <c r="B699" i="7" s="1"/>
  <c r="R4" i="5"/>
  <c r="R4" i="7" s="1"/>
  <c r="S224" i="6"/>
  <c r="G225" i="6"/>
  <c r="E226" i="6"/>
  <c r="Q225" i="6"/>
  <c r="F226" i="6"/>
  <c r="R225" i="6"/>
  <c r="U4" i="5"/>
  <c r="U4" i="7" s="1"/>
  <c r="M230" i="6"/>
  <c r="K231" i="6"/>
  <c r="Q4" i="14"/>
  <c r="Q5" i="14"/>
  <c r="Q14" i="14"/>
  <c r="Q13" i="14"/>
  <c r="V59" i="5"/>
  <c r="V56" i="5"/>
  <c r="V57" i="5"/>
  <c r="S4" i="5"/>
  <c r="S4" i="7" s="1"/>
  <c r="V698" i="7"/>
  <c r="W698" i="7" s="1"/>
  <c r="T681" i="6"/>
  <c r="P681" i="6"/>
  <c r="L235" i="6"/>
  <c r="R18" i="4"/>
  <c r="S17" i="4"/>
  <c r="F19" i="4"/>
  <c r="G18" i="4"/>
  <c r="E39" i="4"/>
  <c r="Q38" i="4"/>
  <c r="G681" i="6"/>
  <c r="P699" i="7" l="1"/>
  <c r="B705" i="7"/>
  <c r="F699" i="7"/>
  <c r="N20" i="14"/>
  <c r="P7" i="3"/>
  <c r="P5" i="3"/>
  <c r="E699" i="7"/>
  <c r="P61" i="5"/>
  <c r="B4" i="5"/>
  <c r="B4" i="7" s="1"/>
  <c r="C60" i="4"/>
  <c r="O60" i="4" s="1"/>
  <c r="G699" i="7"/>
  <c r="C682" i="6"/>
  <c r="B60" i="4"/>
  <c r="D699" i="7"/>
  <c r="B783" i="1" a="1"/>
  <c r="B783" i="1" s="1"/>
  <c r="U9" i="3"/>
  <c r="C9" i="3" s="1"/>
  <c r="U8" i="3"/>
  <c r="M3" i="14" s="1"/>
  <c r="C61" i="5"/>
  <c r="U66" i="3"/>
  <c r="C66" i="3" s="1"/>
  <c r="B66" i="3" s="1"/>
  <c r="C699" i="7"/>
  <c r="M20" i="14"/>
  <c r="B682" i="6"/>
  <c r="B791" i="1" a="1"/>
  <c r="B791" i="1" s="1"/>
  <c r="R226" i="6"/>
  <c r="F227" i="6"/>
  <c r="S225" i="6"/>
  <c r="Q226" i="6"/>
  <c r="E227" i="6"/>
  <c r="G226" i="6"/>
  <c r="K232" i="6"/>
  <c r="M231" i="6"/>
  <c r="L236" i="6"/>
  <c r="F20" i="4"/>
  <c r="G19" i="4"/>
  <c r="R19" i="4"/>
  <c r="S18" i="4"/>
  <c r="Q39" i="4"/>
  <c r="E40" i="4"/>
  <c r="Q61" i="5" l="1"/>
  <c r="Q4" i="5" s="1"/>
  <c r="Q4" i="7" s="1"/>
  <c r="C4" i="5"/>
  <c r="C4" i="7" s="1"/>
  <c r="H4" i="7" s="1"/>
  <c r="O682" i="6"/>
  <c r="F682" i="6"/>
  <c r="F683" i="6" s="1"/>
  <c r="F684" i="6" s="1"/>
  <c r="F685" i="6" s="1"/>
  <c r="F686" i="6" s="1"/>
  <c r="F687" i="6" s="1"/>
  <c r="B9" i="3"/>
  <c r="U699" i="7"/>
  <c r="G705" i="7"/>
  <c r="U705" i="7" s="1"/>
  <c r="T5" i="3"/>
  <c r="U7" i="3"/>
  <c r="N3" i="14"/>
  <c r="L3" i="14" s="1"/>
  <c r="L20" i="14"/>
  <c r="H61" i="5"/>
  <c r="H4" i="5" s="1"/>
  <c r="B784" i="1" a="1"/>
  <c r="B784" i="1" s="1"/>
  <c r="B786" i="1" s="1" a="1"/>
  <c r="B786" i="1" s="1"/>
  <c r="T699" i="7"/>
  <c r="F705" i="7"/>
  <c r="T705" i="7" s="1"/>
  <c r="C8" i="3"/>
  <c r="B8" i="3" s="1"/>
  <c r="P705" i="7"/>
  <c r="D682" i="6"/>
  <c r="N682" i="6"/>
  <c r="E682" i="6"/>
  <c r="R699" i="7"/>
  <c r="D705" i="7"/>
  <c r="R705" i="7" s="1"/>
  <c r="P4" i="5"/>
  <c r="P4" i="7" s="1"/>
  <c r="Q699" i="7"/>
  <c r="C705" i="7"/>
  <c r="Q705" i="7" s="1"/>
  <c r="N60" i="4"/>
  <c r="D60" i="4"/>
  <c r="S699" i="7"/>
  <c r="E705" i="7"/>
  <c r="S705" i="7" s="1"/>
  <c r="H699" i="7"/>
  <c r="B785" i="1" a="1"/>
  <c r="B785" i="1" s="1"/>
  <c r="B795" i="1" a="1"/>
  <c r="B795" i="1" s="1"/>
  <c r="S226" i="6"/>
  <c r="G227" i="6"/>
  <c r="Q227" i="6"/>
  <c r="E228" i="6"/>
  <c r="F228" i="6"/>
  <c r="R227" i="6"/>
  <c r="K233" i="6"/>
  <c r="M232" i="6"/>
  <c r="L237" i="6"/>
  <c r="R20" i="4"/>
  <c r="S19" i="4"/>
  <c r="F21" i="4"/>
  <c r="G20" i="4"/>
  <c r="E41" i="4"/>
  <c r="Q40" i="4"/>
  <c r="V61" i="5" l="1"/>
  <c r="V4" i="5" s="1"/>
  <c r="V4" i="7"/>
  <c r="C7" i="3"/>
  <c r="K28" i="14"/>
  <c r="K10" i="14"/>
  <c r="K7" i="14"/>
  <c r="K35" i="14"/>
  <c r="K33" i="14"/>
  <c r="K59" i="14"/>
  <c r="K32" i="14"/>
  <c r="K30" i="14"/>
  <c r="K48" i="14"/>
  <c r="K56" i="14"/>
  <c r="K44" i="14"/>
  <c r="K58" i="14"/>
  <c r="K52" i="14"/>
  <c r="K21" i="14"/>
  <c r="K8" i="14"/>
  <c r="B7" i="3"/>
  <c r="K55" i="14"/>
  <c r="K2" i="14"/>
  <c r="K24" i="14"/>
  <c r="K26" i="14"/>
  <c r="K62" i="14"/>
  <c r="K31" i="14"/>
  <c r="K5" i="14"/>
  <c r="K65" i="14"/>
  <c r="K43" i="14"/>
  <c r="K39" i="14"/>
  <c r="K37" i="14"/>
  <c r="K34" i="14"/>
  <c r="K29" i="14"/>
  <c r="K6" i="14"/>
  <c r="K53" i="14"/>
  <c r="K64" i="14"/>
  <c r="K61" i="14"/>
  <c r="K14" i="14"/>
  <c r="K19" i="14"/>
  <c r="K50" i="14"/>
  <c r="K16" i="14"/>
  <c r="K20" i="14"/>
  <c r="K38" i="14"/>
  <c r="K63" i="14"/>
  <c r="K57" i="14"/>
  <c r="K22" i="14"/>
  <c r="K15" i="14"/>
  <c r="K12" i="14"/>
  <c r="K23" i="14"/>
  <c r="K54" i="14"/>
  <c r="K60" i="14"/>
  <c r="K49" i="14"/>
  <c r="K27" i="14"/>
  <c r="K4" i="14"/>
  <c r="K18" i="14"/>
  <c r="K13" i="14"/>
  <c r="K46" i="14"/>
  <c r="K9" i="14"/>
  <c r="K36" i="14"/>
  <c r="K51" i="14"/>
  <c r="K11" i="14"/>
  <c r="K40" i="14"/>
  <c r="K17" i="14"/>
  <c r="K47" i="14"/>
  <c r="K45" i="14"/>
  <c r="K25" i="14"/>
  <c r="K42" i="14"/>
  <c r="A1" i="8"/>
  <c r="P60" i="4"/>
  <c r="H705" i="7"/>
  <c r="Q20" i="14"/>
  <c r="Q19" i="14"/>
  <c r="Q18" i="14"/>
  <c r="Q2" i="14"/>
  <c r="Q3" i="14"/>
  <c r="K3" i="14"/>
  <c r="V705" i="7"/>
  <c r="P682" i="6"/>
  <c r="T687" i="6"/>
  <c r="T686" i="6"/>
  <c r="T684" i="6"/>
  <c r="T685" i="6"/>
  <c r="T683" i="6"/>
  <c r="T682" i="6"/>
  <c r="B787" i="1" a="1"/>
  <c r="B787" i="1" s="1"/>
  <c r="B792" i="1" s="1" a="1"/>
  <c r="B792" i="1" s="1"/>
  <c r="B796" i="1" s="1" a="1"/>
  <c r="B796" i="1" s="1"/>
  <c r="G682" i="6"/>
  <c r="E683" i="6"/>
  <c r="V699" i="7"/>
  <c r="W699" i="7" s="1"/>
  <c r="W700" i="7" s="1"/>
  <c r="W701" i="7" s="1"/>
  <c r="W702" i="7" s="1"/>
  <c r="W703" i="7" s="1"/>
  <c r="W704" i="7" s="1"/>
  <c r="B788" i="1" a="1"/>
  <c r="B788" i="1" s="1"/>
  <c r="G228" i="6"/>
  <c r="E229" i="6"/>
  <c r="Q228" i="6"/>
  <c r="S227" i="6"/>
  <c r="F229" i="6"/>
  <c r="R228" i="6"/>
  <c r="K234" i="6"/>
  <c r="M233" i="6"/>
  <c r="L238" i="6"/>
  <c r="F22" i="4"/>
  <c r="G21" i="4"/>
  <c r="R21" i="4"/>
  <c r="S20" i="4"/>
  <c r="Q41" i="4"/>
  <c r="E42" i="4"/>
  <c r="G683" i="6" l="1"/>
  <c r="E684" i="6"/>
  <c r="F230" i="6"/>
  <c r="R229" i="6"/>
  <c r="S228" i="6"/>
  <c r="G229" i="6"/>
  <c r="E230" i="6"/>
  <c r="Q229" i="6"/>
  <c r="M234" i="6"/>
  <c r="K235" i="6"/>
  <c r="L239" i="6"/>
  <c r="R22" i="4"/>
  <c r="S21" i="4"/>
  <c r="F23" i="4"/>
  <c r="G22" i="4"/>
  <c r="E43" i="4"/>
  <c r="Q42" i="4"/>
  <c r="G684" i="6" l="1"/>
  <c r="E685" i="6"/>
  <c r="S229" i="6"/>
  <c r="G230" i="6"/>
  <c r="E231" i="6"/>
  <c r="Q230" i="6"/>
  <c r="F231" i="6"/>
  <c r="R230" i="6"/>
  <c r="M235" i="6"/>
  <c r="K236" i="6"/>
  <c r="L240" i="6"/>
  <c r="F24" i="4"/>
  <c r="G23" i="4"/>
  <c r="R23" i="4"/>
  <c r="S22" i="4"/>
  <c r="Q43" i="4"/>
  <c r="E44" i="4"/>
  <c r="E686" i="6" l="1"/>
  <c r="G685" i="6"/>
  <c r="G231" i="6"/>
  <c r="E232" i="6"/>
  <c r="Q231" i="6"/>
  <c r="F232" i="6"/>
  <c r="R231" i="6"/>
  <c r="S230" i="6"/>
  <c r="M236" i="6"/>
  <c r="K237" i="6"/>
  <c r="L241" i="6"/>
  <c r="R24" i="4"/>
  <c r="S23" i="4"/>
  <c r="F25" i="4"/>
  <c r="G24" i="4"/>
  <c r="E45" i="4"/>
  <c r="Q44" i="4"/>
  <c r="E687" i="6" l="1"/>
  <c r="G687" i="6" s="1"/>
  <c r="G686" i="6"/>
  <c r="F233" i="6"/>
  <c r="R232" i="6"/>
  <c r="G232" i="6"/>
  <c r="Q232" i="6"/>
  <c r="E233" i="6"/>
  <c r="S231" i="6"/>
  <c r="K238" i="6"/>
  <c r="M237" i="6"/>
  <c r="L242" i="6"/>
  <c r="F26" i="4"/>
  <c r="G25" i="4"/>
  <c r="R25" i="4"/>
  <c r="S24" i="4"/>
  <c r="Q45" i="4"/>
  <c r="E46" i="4"/>
  <c r="S232" i="6" l="1"/>
  <c r="G233" i="6"/>
  <c r="E234" i="6"/>
  <c r="Q233" i="6"/>
  <c r="F234" i="6"/>
  <c r="R233" i="6"/>
  <c r="K239" i="6"/>
  <c r="M238" i="6"/>
  <c r="L243" i="6"/>
  <c r="R26" i="4"/>
  <c r="S25" i="4"/>
  <c r="F27" i="4"/>
  <c r="G26" i="4"/>
  <c r="E47" i="4"/>
  <c r="Q46" i="4"/>
  <c r="F235" i="6" l="1"/>
  <c r="R234" i="6"/>
  <c r="S233" i="6"/>
  <c r="E235" i="6"/>
  <c r="G234" i="6"/>
  <c r="Q234" i="6"/>
  <c r="K240" i="6"/>
  <c r="M239" i="6"/>
  <c r="L244" i="6"/>
  <c r="F28" i="4"/>
  <c r="G27" i="4"/>
  <c r="R27" i="4"/>
  <c r="S26" i="4"/>
  <c r="Q47" i="4"/>
  <c r="E48" i="4"/>
  <c r="S234" i="6" l="1"/>
  <c r="G235" i="6"/>
  <c r="E236" i="6"/>
  <c r="Q235" i="6"/>
  <c r="R235" i="6"/>
  <c r="F236" i="6"/>
  <c r="M240" i="6"/>
  <c r="K241" i="6"/>
  <c r="L245" i="6"/>
  <c r="R28" i="4"/>
  <c r="S27" i="4"/>
  <c r="F29" i="4"/>
  <c r="G28" i="4"/>
  <c r="E49" i="4"/>
  <c r="Q48" i="4"/>
  <c r="R236" i="6" l="1"/>
  <c r="F237" i="6"/>
  <c r="S235" i="6"/>
  <c r="G236" i="6"/>
  <c r="E237" i="6"/>
  <c r="Q236" i="6"/>
  <c r="K242" i="6"/>
  <c r="M241" i="6"/>
  <c r="L246" i="6"/>
  <c r="F30" i="4"/>
  <c r="G29" i="4"/>
  <c r="R29" i="4"/>
  <c r="S28" i="4"/>
  <c r="Q49" i="4"/>
  <c r="E50" i="4"/>
  <c r="S236" i="6" l="1"/>
  <c r="F238" i="6"/>
  <c r="R237" i="6"/>
  <c r="G237" i="6"/>
  <c r="E238" i="6"/>
  <c r="Q237" i="6"/>
  <c r="M242" i="6"/>
  <c r="K243" i="6"/>
  <c r="L247" i="6"/>
  <c r="R30" i="4"/>
  <c r="S29" i="4"/>
  <c r="F31" i="4"/>
  <c r="G30" i="4"/>
  <c r="E51" i="4"/>
  <c r="Q50" i="4"/>
  <c r="S237" i="6" l="1"/>
  <c r="G238" i="6"/>
  <c r="Q238" i="6"/>
  <c r="E239" i="6"/>
  <c r="F239" i="6"/>
  <c r="R238" i="6"/>
  <c r="K244" i="6"/>
  <c r="M243" i="6"/>
  <c r="L248" i="6"/>
  <c r="F32" i="4"/>
  <c r="G31" i="4"/>
  <c r="R31" i="4"/>
  <c r="S30" i="4"/>
  <c r="Q51" i="4"/>
  <c r="E52" i="4"/>
  <c r="S238" i="6" l="1"/>
  <c r="F240" i="6"/>
  <c r="R239" i="6"/>
  <c r="G239" i="6"/>
  <c r="E240" i="6"/>
  <c r="Q239" i="6"/>
  <c r="M244" i="6"/>
  <c r="K245" i="6"/>
  <c r="L249" i="6"/>
  <c r="R32" i="4"/>
  <c r="S31" i="4"/>
  <c r="F33" i="4"/>
  <c r="G32" i="4"/>
  <c r="E53" i="4"/>
  <c r="Q52" i="4"/>
  <c r="S239" i="6" l="1"/>
  <c r="G240" i="6"/>
  <c r="Q240" i="6"/>
  <c r="E241" i="6"/>
  <c r="F241" i="6"/>
  <c r="R240" i="6"/>
  <c r="M245" i="6"/>
  <c r="K246" i="6"/>
  <c r="L250" i="6"/>
  <c r="F34" i="4"/>
  <c r="G33" i="4"/>
  <c r="R33" i="4"/>
  <c r="S32" i="4"/>
  <c r="Q53" i="4"/>
  <c r="E54" i="4"/>
  <c r="F242" i="6" l="1"/>
  <c r="R241" i="6"/>
  <c r="E242" i="6"/>
  <c r="G241" i="6"/>
  <c r="Q241" i="6"/>
  <c r="S240" i="6"/>
  <c r="K247" i="6"/>
  <c r="M246" i="6"/>
  <c r="L251" i="6"/>
  <c r="R34" i="4"/>
  <c r="S33" i="4"/>
  <c r="F35" i="4"/>
  <c r="G34" i="4"/>
  <c r="E55" i="4"/>
  <c r="Q54" i="4"/>
  <c r="S241" i="6" l="1"/>
  <c r="G242" i="6"/>
  <c r="E243" i="6"/>
  <c r="Q242" i="6"/>
  <c r="F243" i="6"/>
  <c r="R242" i="6"/>
  <c r="M247" i="6"/>
  <c r="K248" i="6"/>
  <c r="L252" i="6"/>
  <c r="F36" i="4"/>
  <c r="G35" i="4"/>
  <c r="R35" i="4"/>
  <c r="S34" i="4"/>
  <c r="Q55" i="4"/>
  <c r="E56" i="4"/>
  <c r="R243" i="6" l="1"/>
  <c r="F244" i="6"/>
  <c r="S242" i="6"/>
  <c r="E244" i="6"/>
  <c r="Q243" i="6"/>
  <c r="G243" i="6"/>
  <c r="K249" i="6"/>
  <c r="M248" i="6"/>
  <c r="L253" i="6"/>
  <c r="R36" i="4"/>
  <c r="S35" i="4"/>
  <c r="F37" i="4"/>
  <c r="G36" i="4"/>
  <c r="E57" i="4"/>
  <c r="Q56" i="4"/>
  <c r="S243" i="6" l="1"/>
  <c r="R244" i="6"/>
  <c r="F245" i="6"/>
  <c r="G244" i="6"/>
  <c r="Q244" i="6"/>
  <c r="E245" i="6"/>
  <c r="K250" i="6"/>
  <c r="M249" i="6"/>
  <c r="L254" i="6"/>
  <c r="F38" i="4"/>
  <c r="G37" i="4"/>
  <c r="R37" i="4"/>
  <c r="S36" i="4"/>
  <c r="Q57" i="4"/>
  <c r="E58" i="4"/>
  <c r="S244" i="6" l="1"/>
  <c r="E246" i="6"/>
  <c r="G245" i="6"/>
  <c r="Q245" i="6"/>
  <c r="R245" i="6"/>
  <c r="F246" i="6"/>
  <c r="M250" i="6"/>
  <c r="K251" i="6"/>
  <c r="L255" i="6"/>
  <c r="R38" i="4"/>
  <c r="S37" i="4"/>
  <c r="F39" i="4"/>
  <c r="G38" i="4"/>
  <c r="E59" i="4"/>
  <c r="Q58" i="4"/>
  <c r="R246" i="6" l="1"/>
  <c r="F247" i="6"/>
  <c r="S245" i="6"/>
  <c r="G246" i="6"/>
  <c r="E247" i="6"/>
  <c r="Q246" i="6"/>
  <c r="K252" i="6"/>
  <c r="M251" i="6"/>
  <c r="L256" i="6"/>
  <c r="F40" i="4"/>
  <c r="G39" i="4"/>
  <c r="R39" i="4"/>
  <c r="S38" i="4"/>
  <c r="Q59" i="4"/>
  <c r="E60" i="4"/>
  <c r="S246" i="6" l="1"/>
  <c r="G247" i="6"/>
  <c r="E248" i="6"/>
  <c r="Q247" i="6"/>
  <c r="R247" i="6"/>
  <c r="F248" i="6"/>
  <c r="K253" i="6"/>
  <c r="M252" i="6"/>
  <c r="L257" i="6"/>
  <c r="R40" i="4"/>
  <c r="S39" i="4"/>
  <c r="F41" i="4"/>
  <c r="G40" i="4"/>
  <c r="Q60" i="4"/>
  <c r="R248" i="6" l="1"/>
  <c r="F249" i="6"/>
  <c r="S247" i="6"/>
  <c r="G248" i="6"/>
  <c r="Q248" i="6"/>
  <c r="E249" i="6"/>
  <c r="K254" i="6"/>
  <c r="M253" i="6"/>
  <c r="L258" i="6"/>
  <c r="F42" i="4"/>
  <c r="G41" i="4"/>
  <c r="R41" i="4"/>
  <c r="S40" i="4"/>
  <c r="S248" i="6" l="1"/>
  <c r="E250" i="6"/>
  <c r="G249" i="6"/>
  <c r="Q249" i="6"/>
  <c r="R249" i="6"/>
  <c r="F250" i="6"/>
  <c r="M254" i="6"/>
  <c r="K255" i="6"/>
  <c r="L259" i="6"/>
  <c r="R42" i="4"/>
  <c r="S41" i="4"/>
  <c r="F43" i="4"/>
  <c r="G42" i="4"/>
  <c r="F251" i="6" l="1"/>
  <c r="R250" i="6"/>
  <c r="S249" i="6"/>
  <c r="G250" i="6"/>
  <c r="Q250" i="6"/>
  <c r="E251" i="6"/>
  <c r="K256" i="6"/>
  <c r="M255" i="6"/>
  <c r="L260" i="6"/>
  <c r="F44" i="4"/>
  <c r="G43" i="4"/>
  <c r="R43" i="4"/>
  <c r="S42" i="4"/>
  <c r="S250" i="6" l="1"/>
  <c r="E252" i="6"/>
  <c r="Q251" i="6"/>
  <c r="G251" i="6"/>
  <c r="F252" i="6"/>
  <c r="R251" i="6"/>
  <c r="K257" i="6"/>
  <c r="M256" i="6"/>
  <c r="L261" i="6"/>
  <c r="R44" i="4"/>
  <c r="S43" i="4"/>
  <c r="F45" i="4"/>
  <c r="G44" i="4"/>
  <c r="S251" i="6" l="1"/>
  <c r="F253" i="6"/>
  <c r="R252" i="6"/>
  <c r="E253" i="6"/>
  <c r="Q252" i="6"/>
  <c r="S252" i="6" s="1"/>
  <c r="G252" i="6"/>
  <c r="K258" i="6"/>
  <c r="M257" i="6"/>
  <c r="L262" i="6"/>
  <c r="F46" i="4"/>
  <c r="G45" i="4"/>
  <c r="R45" i="4"/>
  <c r="S44" i="4"/>
  <c r="F254" i="6" l="1"/>
  <c r="R253" i="6"/>
  <c r="Q253" i="6"/>
  <c r="E254" i="6"/>
  <c r="G253" i="6"/>
  <c r="K259" i="6"/>
  <c r="M258" i="6"/>
  <c r="L263" i="6"/>
  <c r="R46" i="4"/>
  <c r="S45" i="4"/>
  <c r="F47" i="4"/>
  <c r="G46" i="4"/>
  <c r="S253" i="6" l="1"/>
  <c r="E255" i="6"/>
  <c r="Q254" i="6"/>
  <c r="G254" i="6"/>
  <c r="F255" i="6"/>
  <c r="R254" i="6"/>
  <c r="M259" i="6"/>
  <c r="K260" i="6"/>
  <c r="L264" i="6"/>
  <c r="F48" i="4"/>
  <c r="G47" i="4"/>
  <c r="R47" i="4"/>
  <c r="S46" i="4"/>
  <c r="F256" i="6" l="1"/>
  <c r="R255" i="6"/>
  <c r="S254" i="6"/>
  <c r="E256" i="6"/>
  <c r="G255" i="6"/>
  <c r="Q255" i="6"/>
  <c r="K261" i="6"/>
  <c r="M260" i="6"/>
  <c r="L265" i="6"/>
  <c r="R48" i="4"/>
  <c r="S47" i="4"/>
  <c r="F49" i="4"/>
  <c r="G48" i="4"/>
  <c r="S255" i="6" l="1"/>
  <c r="G256" i="6"/>
  <c r="Q256" i="6"/>
  <c r="E257" i="6"/>
  <c r="F257" i="6"/>
  <c r="R256" i="6"/>
  <c r="K262" i="6"/>
  <c r="M261" i="6"/>
  <c r="L266" i="6"/>
  <c r="F50" i="4"/>
  <c r="G49" i="4"/>
  <c r="R49" i="4"/>
  <c r="S48" i="4"/>
  <c r="S256" i="6" l="1"/>
  <c r="F258" i="6"/>
  <c r="R257" i="6"/>
  <c r="E258" i="6"/>
  <c r="G257" i="6"/>
  <c r="Q257" i="6"/>
  <c r="M262" i="6"/>
  <c r="K263" i="6"/>
  <c r="L267" i="6"/>
  <c r="R50" i="4"/>
  <c r="S49" i="4"/>
  <c r="F51" i="4"/>
  <c r="G50" i="4"/>
  <c r="S257" i="6" l="1"/>
  <c r="F259" i="6"/>
  <c r="R258" i="6"/>
  <c r="G258" i="6"/>
  <c r="Q258" i="6"/>
  <c r="S258" i="6" s="1"/>
  <c r="E259" i="6"/>
  <c r="K264" i="6"/>
  <c r="M263" i="6"/>
  <c r="L268" i="6"/>
  <c r="F52" i="4"/>
  <c r="G51" i="4"/>
  <c r="R51" i="4"/>
  <c r="S50" i="4"/>
  <c r="G259" i="6" l="1"/>
  <c r="E260" i="6"/>
  <c r="Q259" i="6"/>
  <c r="R259" i="6"/>
  <c r="F260" i="6"/>
  <c r="M264" i="6"/>
  <c r="K265" i="6"/>
  <c r="L269" i="6"/>
  <c r="R52" i="4"/>
  <c r="S51" i="4"/>
  <c r="F53" i="4"/>
  <c r="G52" i="4"/>
  <c r="F261" i="6" l="1"/>
  <c r="R260" i="6"/>
  <c r="G260" i="6"/>
  <c r="E261" i="6"/>
  <c r="Q260" i="6"/>
  <c r="S259" i="6"/>
  <c r="K266" i="6"/>
  <c r="M265" i="6"/>
  <c r="L270" i="6"/>
  <c r="F54" i="4"/>
  <c r="G53" i="4"/>
  <c r="R53" i="4"/>
  <c r="S52" i="4"/>
  <c r="S260" i="6" l="1"/>
  <c r="Q261" i="6"/>
  <c r="E262" i="6"/>
  <c r="G261" i="6"/>
  <c r="R261" i="6"/>
  <c r="F262" i="6"/>
  <c r="K267" i="6"/>
  <c r="M266" i="6"/>
  <c r="L271" i="6"/>
  <c r="R54" i="4"/>
  <c r="S53" i="4"/>
  <c r="F55" i="4"/>
  <c r="G54" i="4"/>
  <c r="R262" i="6" l="1"/>
  <c r="F263" i="6"/>
  <c r="G262" i="6"/>
  <c r="E263" i="6"/>
  <c r="Q262" i="6"/>
  <c r="S261" i="6"/>
  <c r="K268" i="6"/>
  <c r="M267" i="6"/>
  <c r="L272" i="6"/>
  <c r="F56" i="4"/>
  <c r="G55" i="4"/>
  <c r="R55" i="4"/>
  <c r="S54" i="4"/>
  <c r="S262" i="6" l="1"/>
  <c r="R263" i="6"/>
  <c r="F264" i="6"/>
  <c r="E264" i="6"/>
  <c r="G263" i="6"/>
  <c r="Q263" i="6"/>
  <c r="M268" i="6"/>
  <c r="K269" i="6"/>
  <c r="L273" i="6"/>
  <c r="R56" i="4"/>
  <c r="S55" i="4"/>
  <c r="F57" i="4"/>
  <c r="G56" i="4"/>
  <c r="S263" i="6" l="1"/>
  <c r="E265" i="6"/>
  <c r="Q264" i="6"/>
  <c r="G264" i="6"/>
  <c r="F265" i="6"/>
  <c r="R264" i="6"/>
  <c r="K270" i="6"/>
  <c r="M269" i="6"/>
  <c r="L274" i="6"/>
  <c r="F58" i="4"/>
  <c r="G57" i="4"/>
  <c r="R57" i="4"/>
  <c r="S56" i="4"/>
  <c r="F266" i="6" l="1"/>
  <c r="R265" i="6"/>
  <c r="S264" i="6"/>
  <c r="G265" i="6"/>
  <c r="E266" i="6"/>
  <c r="Q265" i="6"/>
  <c r="K271" i="6"/>
  <c r="M270" i="6"/>
  <c r="L275" i="6"/>
  <c r="R58" i="4"/>
  <c r="S57" i="4"/>
  <c r="F59" i="4"/>
  <c r="G58" i="4"/>
  <c r="S265" i="6" l="1"/>
  <c r="G266" i="6"/>
  <c r="Q266" i="6"/>
  <c r="E267" i="6"/>
  <c r="F267" i="6"/>
  <c r="R266" i="6"/>
  <c r="M271" i="6"/>
  <c r="K272" i="6"/>
  <c r="L276" i="6"/>
  <c r="F60" i="4"/>
  <c r="G60" i="4" s="1"/>
  <c r="G59" i="4"/>
  <c r="R59" i="4"/>
  <c r="S58" i="4"/>
  <c r="F268" i="6" l="1"/>
  <c r="R267" i="6"/>
  <c r="E268" i="6"/>
  <c r="G267" i="6"/>
  <c r="Q267" i="6"/>
  <c r="S266" i="6"/>
  <c r="M272" i="6"/>
  <c r="K273" i="6"/>
  <c r="L277" i="6"/>
  <c r="R60" i="4"/>
  <c r="S60" i="4" s="1"/>
  <c r="S59" i="4"/>
  <c r="S267" i="6" l="1"/>
  <c r="G268" i="6"/>
  <c r="Q268" i="6"/>
  <c r="E269" i="6"/>
  <c r="F269" i="6"/>
  <c r="R268" i="6"/>
  <c r="K274" i="6"/>
  <c r="M273" i="6"/>
  <c r="L278" i="6"/>
  <c r="R269" i="6" l="1"/>
  <c r="F270" i="6"/>
  <c r="G269" i="6"/>
  <c r="E270" i="6"/>
  <c r="Q269" i="6"/>
  <c r="S268" i="6"/>
  <c r="K275" i="6"/>
  <c r="M274" i="6"/>
  <c r="L279" i="6"/>
  <c r="S269" i="6" l="1"/>
  <c r="G270" i="6"/>
  <c r="E271" i="6"/>
  <c r="Q270" i="6"/>
  <c r="F271" i="6"/>
  <c r="R270" i="6"/>
  <c r="M275" i="6"/>
  <c r="K276" i="6"/>
  <c r="L280" i="6"/>
  <c r="R271" i="6" l="1"/>
  <c r="F272" i="6"/>
  <c r="S270" i="6"/>
  <c r="G271" i="6"/>
  <c r="E272" i="6"/>
  <c r="Q271" i="6"/>
  <c r="K277" i="6"/>
  <c r="M276" i="6"/>
  <c r="L281" i="6"/>
  <c r="S271" i="6" l="1"/>
  <c r="E273" i="6"/>
  <c r="G272" i="6"/>
  <c r="Q272" i="6"/>
  <c r="F273" i="6"/>
  <c r="R272" i="6"/>
  <c r="M277" i="6"/>
  <c r="K278" i="6"/>
  <c r="L282" i="6"/>
  <c r="R273" i="6" l="1"/>
  <c r="F274" i="6"/>
  <c r="S272" i="6"/>
  <c r="E274" i="6"/>
  <c r="G273" i="6"/>
  <c r="Q273" i="6"/>
  <c r="M278" i="6"/>
  <c r="K279" i="6"/>
  <c r="L283" i="6"/>
  <c r="S273" i="6" l="1"/>
  <c r="G274" i="6"/>
  <c r="E275" i="6"/>
  <c r="Q274" i="6"/>
  <c r="F275" i="6"/>
  <c r="R274" i="6"/>
  <c r="M279" i="6"/>
  <c r="K280" i="6"/>
  <c r="L284" i="6"/>
  <c r="R275" i="6" l="1"/>
  <c r="F276" i="6"/>
  <c r="S274" i="6"/>
  <c r="E276" i="6"/>
  <c r="Q275" i="6"/>
  <c r="G275" i="6"/>
  <c r="K281" i="6"/>
  <c r="M280" i="6"/>
  <c r="L285" i="6"/>
  <c r="S275" i="6" l="1"/>
  <c r="G276" i="6"/>
  <c r="E277" i="6"/>
  <c r="Q276" i="6"/>
  <c r="F277" i="6"/>
  <c r="R276" i="6"/>
  <c r="K282" i="6"/>
  <c r="M281" i="6"/>
  <c r="L286" i="6"/>
  <c r="S276" i="6" l="1"/>
  <c r="R277" i="6"/>
  <c r="F278" i="6"/>
  <c r="G277" i="6"/>
  <c r="E278" i="6"/>
  <c r="Q277" i="6"/>
  <c r="M282" i="6"/>
  <c r="K283" i="6"/>
  <c r="L287" i="6"/>
  <c r="S277" i="6" l="1"/>
  <c r="E279" i="6"/>
  <c r="G278" i="6"/>
  <c r="Q278" i="6"/>
  <c r="F279" i="6"/>
  <c r="R278" i="6"/>
  <c r="K284" i="6"/>
  <c r="M283" i="6"/>
  <c r="L288" i="6"/>
  <c r="R279" i="6" l="1"/>
  <c r="F280" i="6"/>
  <c r="S278" i="6"/>
  <c r="E280" i="6"/>
  <c r="G279" i="6"/>
  <c r="Q279" i="6"/>
  <c r="M284" i="6"/>
  <c r="K285" i="6"/>
  <c r="L289" i="6"/>
  <c r="S279" i="6" l="1"/>
  <c r="E281" i="6"/>
  <c r="G280" i="6"/>
  <c r="Q280" i="6"/>
  <c r="F281" i="6"/>
  <c r="R280" i="6"/>
  <c r="M285" i="6"/>
  <c r="K286" i="6"/>
  <c r="L290" i="6"/>
  <c r="R281" i="6" l="1"/>
  <c r="F282" i="6"/>
  <c r="S280" i="6"/>
  <c r="G281" i="6"/>
  <c r="E282" i="6"/>
  <c r="Q281" i="6"/>
  <c r="K287" i="6"/>
  <c r="M286" i="6"/>
  <c r="L291" i="6"/>
  <c r="S281" i="6" l="1"/>
  <c r="G282" i="6"/>
  <c r="Q282" i="6"/>
  <c r="E283" i="6"/>
  <c r="F283" i="6"/>
  <c r="R282" i="6"/>
  <c r="M287" i="6"/>
  <c r="K288" i="6"/>
  <c r="L292" i="6"/>
  <c r="R283" i="6" l="1"/>
  <c r="F284" i="6"/>
  <c r="E284" i="6"/>
  <c r="Q283" i="6"/>
  <c r="G283" i="6"/>
  <c r="S282" i="6"/>
  <c r="K289" i="6"/>
  <c r="M288" i="6"/>
  <c r="L293" i="6"/>
  <c r="S283" i="6" l="1"/>
  <c r="E285" i="6"/>
  <c r="G284" i="6"/>
  <c r="Q284" i="6"/>
  <c r="F285" i="6"/>
  <c r="R284" i="6"/>
  <c r="M289" i="6"/>
  <c r="K290" i="6"/>
  <c r="L294" i="6"/>
  <c r="R285" i="6" l="1"/>
  <c r="F286" i="6"/>
  <c r="S284" i="6"/>
  <c r="E286" i="6"/>
  <c r="G285" i="6"/>
  <c r="Q285" i="6"/>
  <c r="M290" i="6"/>
  <c r="K291" i="6"/>
  <c r="L295" i="6"/>
  <c r="S285" i="6" l="1"/>
  <c r="E287" i="6"/>
  <c r="G286" i="6"/>
  <c r="Q286" i="6"/>
  <c r="F287" i="6"/>
  <c r="R286" i="6"/>
  <c r="K292" i="6"/>
  <c r="M291" i="6"/>
  <c r="L296" i="6"/>
  <c r="R287" i="6" l="1"/>
  <c r="F288" i="6"/>
  <c r="S286" i="6"/>
  <c r="G287" i="6"/>
  <c r="E288" i="6"/>
  <c r="Q287" i="6"/>
  <c r="M292" i="6"/>
  <c r="K293" i="6"/>
  <c r="L297" i="6"/>
  <c r="S287" i="6" l="1"/>
  <c r="E289" i="6"/>
  <c r="G288" i="6"/>
  <c r="Q288" i="6"/>
  <c r="F289" i="6"/>
  <c r="R288" i="6"/>
  <c r="M293" i="6"/>
  <c r="K294" i="6"/>
  <c r="L298" i="6"/>
  <c r="S288" i="6" l="1"/>
  <c r="R289" i="6"/>
  <c r="F290" i="6"/>
  <c r="G289" i="6"/>
  <c r="E290" i="6"/>
  <c r="Q289" i="6"/>
  <c r="K295" i="6"/>
  <c r="M294" i="6"/>
  <c r="L299" i="6"/>
  <c r="S289" i="6" l="1"/>
  <c r="E291" i="6"/>
  <c r="G290" i="6"/>
  <c r="Q290" i="6"/>
  <c r="F291" i="6"/>
  <c r="R290" i="6"/>
  <c r="M295" i="6"/>
  <c r="K296" i="6"/>
  <c r="L300" i="6"/>
  <c r="R291" i="6" l="1"/>
  <c r="F292" i="6"/>
  <c r="S290" i="6"/>
  <c r="E292" i="6"/>
  <c r="Q291" i="6"/>
  <c r="G291" i="6"/>
  <c r="M296" i="6"/>
  <c r="K297" i="6"/>
  <c r="L301" i="6"/>
  <c r="S291" i="6" l="1"/>
  <c r="F293" i="6"/>
  <c r="R292" i="6"/>
  <c r="E293" i="6"/>
  <c r="Q292" i="6"/>
  <c r="G292" i="6"/>
  <c r="K298" i="6"/>
  <c r="M297" i="6"/>
  <c r="L302" i="6"/>
  <c r="S292" i="6" l="1"/>
  <c r="G293" i="6"/>
  <c r="E294" i="6"/>
  <c r="Q293" i="6"/>
  <c r="R293" i="6"/>
  <c r="F294" i="6"/>
  <c r="M298" i="6"/>
  <c r="K299" i="6"/>
  <c r="L303" i="6"/>
  <c r="F295" i="6" l="1"/>
  <c r="R294" i="6"/>
  <c r="S293" i="6"/>
  <c r="G294" i="6"/>
  <c r="E295" i="6"/>
  <c r="Q294" i="6"/>
  <c r="K300" i="6"/>
  <c r="M299" i="6"/>
  <c r="L304" i="6"/>
  <c r="S294" i="6" l="1"/>
  <c r="E296" i="6"/>
  <c r="Q295" i="6"/>
  <c r="G295" i="6"/>
  <c r="R295" i="6"/>
  <c r="F296" i="6"/>
  <c r="M300" i="6"/>
  <c r="K301" i="6"/>
  <c r="L305" i="6"/>
  <c r="F297" i="6" l="1"/>
  <c r="R296" i="6"/>
  <c r="S295" i="6"/>
  <c r="E297" i="6"/>
  <c r="Q296" i="6"/>
  <c r="G296" i="6"/>
  <c r="M301" i="6"/>
  <c r="K302" i="6"/>
  <c r="L306" i="6"/>
  <c r="S296" i="6" l="1"/>
  <c r="E298" i="6"/>
  <c r="Q297" i="6"/>
  <c r="G297" i="6"/>
  <c r="R297" i="6"/>
  <c r="F298" i="6"/>
  <c r="M302" i="6"/>
  <c r="K303" i="6"/>
  <c r="L307" i="6"/>
  <c r="F299" i="6" l="1"/>
  <c r="R298" i="6"/>
  <c r="S297" i="6"/>
  <c r="G298" i="6"/>
  <c r="Q298" i="6"/>
  <c r="E299" i="6"/>
  <c r="K304" i="6"/>
  <c r="M303" i="6"/>
  <c r="L308" i="6"/>
  <c r="S298" i="6" l="1"/>
  <c r="G299" i="6"/>
  <c r="Q299" i="6"/>
  <c r="E300" i="6"/>
  <c r="F300" i="6"/>
  <c r="R299" i="6"/>
  <c r="K305" i="6"/>
  <c r="M304" i="6"/>
  <c r="L309" i="6"/>
  <c r="F301" i="6" l="1"/>
  <c r="R300" i="6"/>
  <c r="E301" i="6"/>
  <c r="Q300" i="6"/>
  <c r="G300" i="6"/>
  <c r="S299" i="6"/>
  <c r="M305" i="6"/>
  <c r="K306" i="6"/>
  <c r="L310" i="6"/>
  <c r="S300" i="6" l="1"/>
  <c r="E302" i="6"/>
  <c r="G301" i="6"/>
  <c r="Q301" i="6"/>
  <c r="F302" i="6"/>
  <c r="R301" i="6"/>
  <c r="M306" i="6"/>
  <c r="K307" i="6"/>
  <c r="L311" i="6"/>
  <c r="F303" i="6" l="1"/>
  <c r="R302" i="6"/>
  <c r="S301" i="6"/>
  <c r="G302" i="6"/>
  <c r="Q302" i="6"/>
  <c r="E303" i="6"/>
  <c r="K308" i="6"/>
  <c r="M307" i="6"/>
  <c r="L312" i="6"/>
  <c r="S302" i="6" l="1"/>
  <c r="E304" i="6"/>
  <c r="G303" i="6"/>
  <c r="Q303" i="6"/>
  <c r="F304" i="6"/>
  <c r="R303" i="6"/>
  <c r="M308" i="6"/>
  <c r="K309" i="6"/>
  <c r="L313" i="6"/>
  <c r="F305" i="6" l="1"/>
  <c r="R304" i="6"/>
  <c r="S303" i="6"/>
  <c r="G304" i="6"/>
  <c r="Q304" i="6"/>
  <c r="E305" i="6"/>
  <c r="K310" i="6"/>
  <c r="M309" i="6"/>
  <c r="L314" i="6"/>
  <c r="S304" i="6" l="1"/>
  <c r="E306" i="6"/>
  <c r="G305" i="6"/>
  <c r="Q305" i="6"/>
  <c r="F306" i="6"/>
  <c r="R305" i="6"/>
  <c r="K311" i="6"/>
  <c r="M310" i="6"/>
  <c r="L315" i="6"/>
  <c r="F307" i="6" l="1"/>
  <c r="R306" i="6"/>
  <c r="S305" i="6"/>
  <c r="E307" i="6"/>
  <c r="Q306" i="6"/>
  <c r="G306" i="6"/>
  <c r="K312" i="6"/>
  <c r="M311" i="6"/>
  <c r="L316" i="6"/>
  <c r="S306" i="6" l="1"/>
  <c r="G307" i="6"/>
  <c r="E308" i="6"/>
  <c r="Q307" i="6"/>
  <c r="F308" i="6"/>
  <c r="R307" i="6"/>
  <c r="K313" i="6"/>
  <c r="M312" i="6"/>
  <c r="L317" i="6"/>
  <c r="F309" i="6" l="1"/>
  <c r="R308" i="6"/>
  <c r="S307" i="6"/>
  <c r="G308" i="6"/>
  <c r="Q308" i="6"/>
  <c r="E309" i="6"/>
  <c r="M313" i="6"/>
  <c r="K314" i="6"/>
  <c r="L318" i="6"/>
  <c r="S308" i="6" l="1"/>
  <c r="E310" i="6"/>
  <c r="G309" i="6"/>
  <c r="Q309" i="6"/>
  <c r="F310" i="6"/>
  <c r="R309" i="6"/>
  <c r="K315" i="6"/>
  <c r="M314" i="6"/>
  <c r="L319" i="6"/>
  <c r="F311" i="6" l="1"/>
  <c r="R310" i="6"/>
  <c r="S309" i="6"/>
  <c r="G310" i="6"/>
  <c r="Q310" i="6"/>
  <c r="E311" i="6"/>
  <c r="K316" i="6"/>
  <c r="M315" i="6"/>
  <c r="L320" i="6"/>
  <c r="S310" i="6" l="1"/>
  <c r="E312" i="6"/>
  <c r="G311" i="6"/>
  <c r="Q311" i="6"/>
  <c r="F312" i="6"/>
  <c r="R311" i="6"/>
  <c r="M316" i="6"/>
  <c r="K317" i="6"/>
  <c r="L321" i="6"/>
  <c r="F313" i="6" l="1"/>
  <c r="R312" i="6"/>
  <c r="S311" i="6"/>
  <c r="E313" i="6"/>
  <c r="Q312" i="6"/>
  <c r="G312" i="6"/>
  <c r="M317" i="6"/>
  <c r="K318" i="6"/>
  <c r="L322" i="6"/>
  <c r="S312" i="6" l="1"/>
  <c r="E314" i="6"/>
  <c r="G313" i="6"/>
  <c r="Q313" i="6"/>
  <c r="F314" i="6"/>
  <c r="R313" i="6"/>
  <c r="M318" i="6"/>
  <c r="K319" i="6"/>
  <c r="L323" i="6"/>
  <c r="F315" i="6" l="1"/>
  <c r="R314" i="6"/>
  <c r="S313" i="6"/>
  <c r="G314" i="6"/>
  <c r="Q314" i="6"/>
  <c r="E315" i="6"/>
  <c r="K320" i="6"/>
  <c r="M319" i="6"/>
  <c r="L324" i="6"/>
  <c r="S314" i="6" l="1"/>
  <c r="E316" i="6"/>
  <c r="G315" i="6"/>
  <c r="Q315" i="6"/>
  <c r="F316" i="6"/>
  <c r="R315" i="6"/>
  <c r="K321" i="6"/>
  <c r="M320" i="6"/>
  <c r="L325" i="6"/>
  <c r="R316" i="6" l="1"/>
  <c r="F317" i="6"/>
  <c r="S315" i="6"/>
  <c r="G316" i="6"/>
  <c r="Q316" i="6"/>
  <c r="E317" i="6"/>
  <c r="M321" i="6"/>
  <c r="K322" i="6"/>
  <c r="L326" i="6"/>
  <c r="S316" i="6" l="1"/>
  <c r="E318" i="6"/>
  <c r="Q317" i="6"/>
  <c r="G317" i="6"/>
  <c r="F318" i="6"/>
  <c r="R317" i="6"/>
  <c r="K323" i="6"/>
  <c r="M322" i="6"/>
  <c r="L327" i="6"/>
  <c r="F319" i="6" l="1"/>
  <c r="R318" i="6"/>
  <c r="S317" i="6"/>
  <c r="G318" i="6"/>
  <c r="Q318" i="6"/>
  <c r="E319" i="6"/>
  <c r="M323" i="6"/>
  <c r="K324" i="6"/>
  <c r="L328" i="6"/>
  <c r="S318" i="6" l="1"/>
  <c r="G319" i="6"/>
  <c r="E320" i="6"/>
  <c r="Q319" i="6"/>
  <c r="F320" i="6"/>
  <c r="R319" i="6"/>
  <c r="K325" i="6"/>
  <c r="M324" i="6"/>
  <c r="L329" i="6"/>
  <c r="F321" i="6" l="1"/>
  <c r="R320" i="6"/>
  <c r="S319" i="6"/>
  <c r="E321" i="6"/>
  <c r="Q320" i="6"/>
  <c r="G320" i="6"/>
  <c r="K326" i="6"/>
  <c r="M325" i="6"/>
  <c r="L330" i="6"/>
  <c r="S320" i="6" l="1"/>
  <c r="E322" i="6"/>
  <c r="G321" i="6"/>
  <c r="Q321" i="6"/>
  <c r="F322" i="6"/>
  <c r="R321" i="6"/>
  <c r="M326" i="6"/>
  <c r="K327" i="6"/>
  <c r="L331" i="6"/>
  <c r="F323" i="6" l="1"/>
  <c r="R322" i="6"/>
  <c r="S321" i="6"/>
  <c r="E323" i="6"/>
  <c r="Q322" i="6"/>
  <c r="G322" i="6"/>
  <c r="M327" i="6"/>
  <c r="K328" i="6"/>
  <c r="L332" i="6"/>
  <c r="S322" i="6" l="1"/>
  <c r="E324" i="6"/>
  <c r="G323" i="6"/>
  <c r="Q323" i="6"/>
  <c r="F324" i="6"/>
  <c r="R323" i="6"/>
  <c r="K329" i="6"/>
  <c r="M328" i="6"/>
  <c r="L333" i="6"/>
  <c r="E325" i="6" l="1"/>
  <c r="Q324" i="6"/>
  <c r="G324" i="6"/>
  <c r="F325" i="6"/>
  <c r="R324" i="6"/>
  <c r="S323" i="6"/>
  <c r="K330" i="6"/>
  <c r="M329" i="6"/>
  <c r="L334" i="6"/>
  <c r="F326" i="6" l="1"/>
  <c r="R325" i="6"/>
  <c r="S324" i="6"/>
  <c r="G325" i="6"/>
  <c r="E326" i="6"/>
  <c r="Q325" i="6"/>
  <c r="M330" i="6"/>
  <c r="K331" i="6"/>
  <c r="L335" i="6"/>
  <c r="S325" i="6" l="1"/>
  <c r="E327" i="6"/>
  <c r="Q326" i="6"/>
  <c r="G326" i="6"/>
  <c r="F327" i="6"/>
  <c r="R326" i="6"/>
  <c r="M331" i="6"/>
  <c r="K332" i="6"/>
  <c r="L336" i="6"/>
  <c r="F328" i="6" l="1"/>
  <c r="R327" i="6"/>
  <c r="S326" i="6"/>
  <c r="E328" i="6"/>
  <c r="G327" i="6"/>
  <c r="Q327" i="6"/>
  <c r="K333" i="6"/>
  <c r="M332" i="6"/>
  <c r="L337" i="6"/>
  <c r="S327" i="6" l="1"/>
  <c r="Q328" i="6"/>
  <c r="E329" i="6"/>
  <c r="G328" i="6"/>
  <c r="R328" i="6"/>
  <c r="F329" i="6"/>
  <c r="M333" i="6"/>
  <c r="K334" i="6"/>
  <c r="L338" i="6"/>
  <c r="F330" i="6" l="1"/>
  <c r="R329" i="6"/>
  <c r="G329" i="6"/>
  <c r="E330" i="6"/>
  <c r="Q329" i="6"/>
  <c r="S328" i="6"/>
  <c r="K335" i="6"/>
  <c r="M334" i="6"/>
  <c r="L339" i="6"/>
  <c r="S329" i="6" l="1"/>
  <c r="E331" i="6"/>
  <c r="G330" i="6"/>
  <c r="Q330" i="6"/>
  <c r="F331" i="6"/>
  <c r="R330" i="6"/>
  <c r="M335" i="6"/>
  <c r="K336" i="6"/>
  <c r="L340" i="6"/>
  <c r="R331" i="6" l="1"/>
  <c r="F332" i="6"/>
  <c r="S330" i="6"/>
  <c r="E332" i="6"/>
  <c r="G331" i="6"/>
  <c r="Q331" i="6"/>
  <c r="M336" i="6"/>
  <c r="K337" i="6"/>
  <c r="L341" i="6"/>
  <c r="S331" i="6" l="1"/>
  <c r="E333" i="6"/>
  <c r="G332" i="6"/>
  <c r="Q332" i="6"/>
  <c r="F333" i="6"/>
  <c r="R332" i="6"/>
  <c r="K338" i="6"/>
  <c r="M337" i="6"/>
  <c r="L342" i="6"/>
  <c r="R333" i="6" l="1"/>
  <c r="F334" i="6"/>
  <c r="S332" i="6"/>
  <c r="E334" i="6"/>
  <c r="G333" i="6"/>
  <c r="Q333" i="6"/>
  <c r="M338" i="6"/>
  <c r="K339" i="6"/>
  <c r="L343" i="6"/>
  <c r="S333" i="6" l="1"/>
  <c r="E335" i="6"/>
  <c r="G334" i="6"/>
  <c r="Q334" i="6"/>
  <c r="F335" i="6"/>
  <c r="R334" i="6"/>
  <c r="K340" i="6"/>
  <c r="M339" i="6"/>
  <c r="L344" i="6"/>
  <c r="R335" i="6" l="1"/>
  <c r="F336" i="6"/>
  <c r="S334" i="6"/>
  <c r="G335" i="6"/>
  <c r="E336" i="6"/>
  <c r="Q335" i="6"/>
  <c r="M340" i="6"/>
  <c r="K341" i="6"/>
  <c r="L345" i="6"/>
  <c r="S335" i="6" l="1"/>
  <c r="G336" i="6"/>
  <c r="E337" i="6"/>
  <c r="Q336" i="6"/>
  <c r="F337" i="6"/>
  <c r="R336" i="6"/>
  <c r="M341" i="6"/>
  <c r="K342" i="6"/>
  <c r="L346" i="6"/>
  <c r="R337" i="6" l="1"/>
  <c r="F338" i="6"/>
  <c r="S336" i="6"/>
  <c r="E338" i="6"/>
  <c r="G337" i="6"/>
  <c r="Q337" i="6"/>
  <c r="K343" i="6"/>
  <c r="M342" i="6"/>
  <c r="L347" i="6"/>
  <c r="S337" i="6" l="1"/>
  <c r="G338" i="6"/>
  <c r="E339" i="6"/>
  <c r="Q338" i="6"/>
  <c r="F339" i="6"/>
  <c r="R338" i="6"/>
  <c r="M343" i="6"/>
  <c r="K344" i="6"/>
  <c r="L348" i="6"/>
  <c r="F340" i="6" l="1"/>
  <c r="R339" i="6"/>
  <c r="S338" i="6"/>
  <c r="G339" i="6"/>
  <c r="Q339" i="6"/>
  <c r="E340" i="6"/>
  <c r="M344" i="6"/>
  <c r="K345" i="6"/>
  <c r="L349" i="6"/>
  <c r="S339" i="6" l="1"/>
  <c r="G340" i="6"/>
  <c r="E341" i="6"/>
  <c r="Q340" i="6"/>
  <c r="F341" i="6"/>
  <c r="R340" i="6"/>
  <c r="M345" i="6"/>
  <c r="K346" i="6"/>
  <c r="L350" i="6"/>
  <c r="F342" i="6" l="1"/>
  <c r="R341" i="6"/>
  <c r="S340" i="6"/>
  <c r="E342" i="6"/>
  <c r="Q341" i="6"/>
  <c r="S341" i="6" s="1"/>
  <c r="G341" i="6"/>
  <c r="K347" i="6"/>
  <c r="M346" i="6"/>
  <c r="L351" i="6"/>
  <c r="E343" i="6" l="1"/>
  <c r="G342" i="6"/>
  <c r="Q342" i="6"/>
  <c r="F343" i="6"/>
  <c r="R342" i="6"/>
  <c r="M347" i="6"/>
  <c r="K348" i="6"/>
  <c r="L352" i="6"/>
  <c r="F344" i="6" l="1"/>
  <c r="R343" i="6"/>
  <c r="S342" i="6"/>
  <c r="E344" i="6"/>
  <c r="Q343" i="6"/>
  <c r="G343" i="6"/>
  <c r="K349" i="6"/>
  <c r="M348" i="6"/>
  <c r="L353" i="6"/>
  <c r="S343" i="6" l="1"/>
  <c r="E345" i="6"/>
  <c r="G344" i="6"/>
  <c r="Q344" i="6"/>
  <c r="F345" i="6"/>
  <c r="R344" i="6"/>
  <c r="M349" i="6"/>
  <c r="K350" i="6"/>
  <c r="L354" i="6"/>
  <c r="F346" i="6" l="1"/>
  <c r="R345" i="6"/>
  <c r="S344" i="6"/>
  <c r="E346" i="6"/>
  <c r="Q345" i="6"/>
  <c r="G345" i="6"/>
  <c r="M350" i="6"/>
  <c r="K351" i="6"/>
  <c r="L355" i="6"/>
  <c r="S345" i="6" l="1"/>
  <c r="Q346" i="6"/>
  <c r="E347" i="6"/>
  <c r="G346" i="6"/>
  <c r="F347" i="6"/>
  <c r="R346" i="6"/>
  <c r="K352" i="6"/>
  <c r="M351" i="6"/>
  <c r="L356" i="6"/>
  <c r="F348" i="6" l="1"/>
  <c r="R347" i="6"/>
  <c r="G347" i="6"/>
  <c r="Q347" i="6"/>
  <c r="E348" i="6"/>
  <c r="S346" i="6"/>
  <c r="K353" i="6"/>
  <c r="M352" i="6"/>
  <c r="L357" i="6"/>
  <c r="S347" i="6" l="1"/>
  <c r="G348" i="6"/>
  <c r="E349" i="6"/>
  <c r="Q348" i="6"/>
  <c r="F349" i="6"/>
  <c r="R348" i="6"/>
  <c r="K354" i="6"/>
  <c r="M353" i="6"/>
  <c r="L358" i="6"/>
  <c r="F350" i="6" l="1"/>
  <c r="R349" i="6"/>
  <c r="S348" i="6"/>
  <c r="E350" i="6"/>
  <c r="Q349" i="6"/>
  <c r="G349" i="6"/>
  <c r="K355" i="6"/>
  <c r="M354" i="6"/>
  <c r="L359" i="6"/>
  <c r="S349" i="6" l="1"/>
  <c r="G350" i="6"/>
  <c r="Q350" i="6"/>
  <c r="E351" i="6"/>
  <c r="F351" i="6"/>
  <c r="R350" i="6"/>
  <c r="M355" i="6"/>
  <c r="K356" i="6"/>
  <c r="L360" i="6"/>
  <c r="F352" i="6" l="1"/>
  <c r="R351" i="6"/>
  <c r="E352" i="6"/>
  <c r="Q351" i="6"/>
  <c r="G351" i="6"/>
  <c r="S350" i="6"/>
  <c r="K357" i="6"/>
  <c r="M356" i="6"/>
  <c r="L361" i="6"/>
  <c r="S351" i="6" l="1"/>
  <c r="G352" i="6"/>
  <c r="E353" i="6"/>
  <c r="Q352" i="6"/>
  <c r="F353" i="6"/>
  <c r="R352" i="6"/>
  <c r="K358" i="6"/>
  <c r="M357" i="6"/>
  <c r="L362" i="6"/>
  <c r="F354" i="6" l="1"/>
  <c r="R353" i="6"/>
  <c r="S352" i="6"/>
  <c r="E354" i="6"/>
  <c r="Q353" i="6"/>
  <c r="G353" i="6"/>
  <c r="K359" i="6"/>
  <c r="M358" i="6"/>
  <c r="L363" i="6"/>
  <c r="S353" i="6" l="1"/>
  <c r="G354" i="6"/>
  <c r="E355" i="6"/>
  <c r="Q354" i="6"/>
  <c r="F355" i="6"/>
  <c r="R354" i="6"/>
  <c r="M359" i="6"/>
  <c r="K360" i="6"/>
  <c r="L364" i="6"/>
  <c r="F356" i="6" l="1"/>
  <c r="R355" i="6"/>
  <c r="S354" i="6"/>
  <c r="G355" i="6"/>
  <c r="Q355" i="6"/>
  <c r="S355" i="6" s="1"/>
  <c r="E356" i="6"/>
  <c r="M360" i="6"/>
  <c r="K361" i="6"/>
  <c r="L365" i="6"/>
  <c r="Q356" i="6" l="1"/>
  <c r="G356" i="6"/>
  <c r="E357" i="6"/>
  <c r="F357" i="6"/>
  <c r="R356" i="6"/>
  <c r="M361" i="6"/>
  <c r="K362" i="6"/>
  <c r="L366" i="6"/>
  <c r="F358" i="6" l="1"/>
  <c r="R357" i="6"/>
  <c r="G357" i="6"/>
  <c r="Q357" i="6"/>
  <c r="E358" i="6"/>
  <c r="S356" i="6"/>
  <c r="K363" i="6"/>
  <c r="M362" i="6"/>
  <c r="L367" i="6"/>
  <c r="S357" i="6" l="1"/>
  <c r="G358" i="6"/>
  <c r="E359" i="6"/>
  <c r="Q358" i="6"/>
  <c r="F359" i="6"/>
  <c r="R358" i="6"/>
  <c r="M363" i="6"/>
  <c r="K364" i="6"/>
  <c r="L368" i="6"/>
  <c r="F360" i="6" l="1"/>
  <c r="R359" i="6"/>
  <c r="S358" i="6"/>
  <c r="G359" i="6"/>
  <c r="E360" i="6"/>
  <c r="Q359" i="6"/>
  <c r="M364" i="6"/>
  <c r="K365" i="6"/>
  <c r="L369" i="6"/>
  <c r="S359" i="6" l="1"/>
  <c r="E361" i="6"/>
  <c r="G360" i="6"/>
  <c r="Q360" i="6"/>
  <c r="F361" i="6"/>
  <c r="R360" i="6"/>
  <c r="M365" i="6"/>
  <c r="K366" i="6"/>
  <c r="L370" i="6"/>
  <c r="F362" i="6" l="1"/>
  <c r="R361" i="6"/>
  <c r="S360" i="6"/>
  <c r="G361" i="6"/>
  <c r="Q361" i="6"/>
  <c r="S361" i="6" s="1"/>
  <c r="E362" i="6"/>
  <c r="M366" i="6"/>
  <c r="K367" i="6"/>
  <c r="L371" i="6"/>
  <c r="G362" i="6" l="1"/>
  <c r="Q362" i="6"/>
  <c r="E363" i="6"/>
  <c r="F363" i="6"/>
  <c r="R362" i="6"/>
  <c r="M367" i="6"/>
  <c r="K368" i="6"/>
  <c r="L372" i="6"/>
  <c r="F364" i="6" l="1"/>
  <c r="R363" i="6"/>
  <c r="G363" i="6"/>
  <c r="Q363" i="6"/>
  <c r="E364" i="6"/>
  <c r="S362" i="6"/>
  <c r="K369" i="6"/>
  <c r="M368" i="6"/>
  <c r="L373" i="6"/>
  <c r="S363" i="6" l="1"/>
  <c r="E365" i="6"/>
  <c r="G364" i="6"/>
  <c r="Q364" i="6"/>
  <c r="F365" i="6"/>
  <c r="R364" i="6"/>
  <c r="M369" i="6"/>
  <c r="K370" i="6"/>
  <c r="L374" i="6"/>
  <c r="F366" i="6" l="1"/>
  <c r="R365" i="6"/>
  <c r="S364" i="6"/>
  <c r="G365" i="6"/>
  <c r="Q365" i="6"/>
  <c r="E366" i="6"/>
  <c r="M370" i="6"/>
  <c r="K371" i="6"/>
  <c r="L375" i="6"/>
  <c r="S365" i="6" l="1"/>
  <c r="G366" i="6"/>
  <c r="E367" i="6"/>
  <c r="Q366" i="6"/>
  <c r="F367" i="6"/>
  <c r="R366" i="6"/>
  <c r="K372" i="6"/>
  <c r="M371" i="6"/>
  <c r="L376" i="6"/>
  <c r="F368" i="6" l="1"/>
  <c r="R367" i="6"/>
  <c r="S366" i="6"/>
  <c r="E368" i="6"/>
  <c r="Q367" i="6"/>
  <c r="S367" i="6" s="1"/>
  <c r="G367" i="6"/>
  <c r="M372" i="6"/>
  <c r="K373" i="6"/>
  <c r="L377" i="6"/>
  <c r="E369" i="6" l="1"/>
  <c r="G368" i="6"/>
  <c r="Q368" i="6"/>
  <c r="F369" i="6"/>
  <c r="R368" i="6"/>
  <c r="K374" i="6"/>
  <c r="M373" i="6"/>
  <c r="L378" i="6"/>
  <c r="F370" i="6" l="1"/>
  <c r="R369" i="6"/>
  <c r="S368" i="6"/>
  <c r="G369" i="6"/>
  <c r="Q369" i="6"/>
  <c r="E370" i="6"/>
  <c r="K375" i="6"/>
  <c r="M374" i="6"/>
  <c r="L379" i="6"/>
  <c r="S369" i="6" l="1"/>
  <c r="G370" i="6"/>
  <c r="E371" i="6"/>
  <c r="Q370" i="6"/>
  <c r="F371" i="6"/>
  <c r="R370" i="6"/>
  <c r="K376" i="6"/>
  <c r="M375" i="6"/>
  <c r="L380" i="6"/>
  <c r="F372" i="6" l="1"/>
  <c r="R371" i="6"/>
  <c r="S370" i="6"/>
  <c r="E372" i="6"/>
  <c r="Q371" i="6"/>
  <c r="G371" i="6"/>
  <c r="K377" i="6"/>
  <c r="M376" i="6"/>
  <c r="L381" i="6"/>
  <c r="S371" i="6" l="1"/>
  <c r="E373" i="6"/>
  <c r="G372" i="6"/>
  <c r="Q372" i="6"/>
  <c r="F373" i="6"/>
  <c r="R372" i="6"/>
  <c r="M377" i="6"/>
  <c r="K378" i="6"/>
  <c r="L382" i="6"/>
  <c r="F374" i="6" l="1"/>
  <c r="R373" i="6"/>
  <c r="S372" i="6"/>
  <c r="G373" i="6"/>
  <c r="Q373" i="6"/>
  <c r="E374" i="6"/>
  <c r="M378" i="6"/>
  <c r="K379" i="6"/>
  <c r="L383" i="6"/>
  <c r="S373" i="6" l="1"/>
  <c r="G374" i="6"/>
  <c r="E375" i="6"/>
  <c r="Q374" i="6"/>
  <c r="F375" i="6"/>
  <c r="R374" i="6"/>
  <c r="K380" i="6"/>
  <c r="M379" i="6"/>
  <c r="L384" i="6"/>
  <c r="F376" i="6" l="1"/>
  <c r="R375" i="6"/>
  <c r="S374" i="6"/>
  <c r="E376" i="6"/>
  <c r="Q375" i="6"/>
  <c r="G375" i="6"/>
  <c r="M380" i="6"/>
  <c r="K381" i="6"/>
  <c r="L385" i="6"/>
  <c r="S375" i="6" l="1"/>
  <c r="G376" i="6"/>
  <c r="E377" i="6"/>
  <c r="Q376" i="6"/>
  <c r="F377" i="6"/>
  <c r="R376" i="6"/>
  <c r="M381" i="6"/>
  <c r="K382" i="6"/>
  <c r="L386" i="6"/>
  <c r="F378" i="6" l="1"/>
  <c r="R377" i="6"/>
  <c r="S376" i="6"/>
  <c r="E378" i="6"/>
  <c r="Q377" i="6"/>
  <c r="G377" i="6"/>
  <c r="M382" i="6"/>
  <c r="K383" i="6"/>
  <c r="L387" i="6"/>
  <c r="S377" i="6" l="1"/>
  <c r="G378" i="6"/>
  <c r="E379" i="6"/>
  <c r="Q378" i="6"/>
  <c r="F379" i="6"/>
  <c r="R378" i="6"/>
  <c r="M383" i="6"/>
  <c r="K384" i="6"/>
  <c r="L388" i="6"/>
  <c r="F380" i="6" l="1"/>
  <c r="R379" i="6"/>
  <c r="S378" i="6"/>
  <c r="E380" i="6"/>
  <c r="Q379" i="6"/>
  <c r="G379" i="6"/>
  <c r="M384" i="6"/>
  <c r="K385" i="6"/>
  <c r="L389" i="6"/>
  <c r="S379" i="6" l="1"/>
  <c r="E381" i="6"/>
  <c r="G380" i="6"/>
  <c r="Q380" i="6"/>
  <c r="F381" i="6"/>
  <c r="R380" i="6"/>
  <c r="K386" i="6"/>
  <c r="M385" i="6"/>
  <c r="L390" i="6"/>
  <c r="S380" i="6" l="1"/>
  <c r="F382" i="6"/>
  <c r="R381" i="6"/>
  <c r="E382" i="6"/>
  <c r="Q381" i="6"/>
  <c r="G381" i="6"/>
  <c r="M386" i="6"/>
  <c r="K387" i="6"/>
  <c r="L391" i="6"/>
  <c r="S381" i="6" l="1"/>
  <c r="Q382" i="6"/>
  <c r="E383" i="6"/>
  <c r="G382" i="6"/>
  <c r="F383" i="6"/>
  <c r="R382" i="6"/>
  <c r="M387" i="6"/>
  <c r="K388" i="6"/>
  <c r="L392" i="6"/>
  <c r="F384" i="6" l="1"/>
  <c r="R383" i="6"/>
  <c r="G383" i="6"/>
  <c r="Q383" i="6"/>
  <c r="E384" i="6"/>
  <c r="S382" i="6"/>
  <c r="K389" i="6"/>
  <c r="M388" i="6"/>
  <c r="L393" i="6"/>
  <c r="S383" i="6" l="1"/>
  <c r="E385" i="6"/>
  <c r="G384" i="6"/>
  <c r="Q384" i="6"/>
  <c r="F385" i="6"/>
  <c r="R384" i="6"/>
  <c r="M389" i="6"/>
  <c r="K390" i="6"/>
  <c r="L394" i="6"/>
  <c r="F386" i="6" l="1"/>
  <c r="R385" i="6"/>
  <c r="S384" i="6"/>
  <c r="E386" i="6"/>
  <c r="Q385" i="6"/>
  <c r="S385" i="6" s="1"/>
  <c r="G385" i="6"/>
  <c r="M390" i="6"/>
  <c r="K391" i="6"/>
  <c r="L395" i="6"/>
  <c r="E387" i="6" l="1"/>
  <c r="G386" i="6"/>
  <c r="Q386" i="6"/>
  <c r="F387" i="6"/>
  <c r="R386" i="6"/>
  <c r="K392" i="6"/>
  <c r="M391" i="6"/>
  <c r="L396" i="6"/>
  <c r="R387" i="6" l="1"/>
  <c r="F388" i="6"/>
  <c r="S386" i="6"/>
  <c r="E388" i="6"/>
  <c r="Q387" i="6"/>
  <c r="G387" i="6"/>
  <c r="K393" i="6"/>
  <c r="M392" i="6"/>
  <c r="L397" i="6"/>
  <c r="S387" i="6" l="1"/>
  <c r="E389" i="6"/>
  <c r="G388" i="6"/>
  <c r="Q388" i="6"/>
  <c r="R388" i="6"/>
  <c r="F389" i="6"/>
  <c r="K394" i="6"/>
  <c r="M393" i="6"/>
  <c r="L398" i="6"/>
  <c r="R389" i="6" l="1"/>
  <c r="F390" i="6"/>
  <c r="S388" i="6"/>
  <c r="G389" i="6"/>
  <c r="E390" i="6"/>
  <c r="Q389" i="6"/>
  <c r="M394" i="6"/>
  <c r="K395" i="6"/>
  <c r="L399" i="6"/>
  <c r="S389" i="6" l="1"/>
  <c r="E391" i="6"/>
  <c r="G390" i="6"/>
  <c r="Q390" i="6"/>
  <c r="F391" i="6"/>
  <c r="R390" i="6"/>
  <c r="K396" i="6"/>
  <c r="M395" i="6"/>
  <c r="L400" i="6"/>
  <c r="R391" i="6" l="1"/>
  <c r="F392" i="6"/>
  <c r="S390" i="6"/>
  <c r="G391" i="6"/>
  <c r="Q391" i="6"/>
  <c r="E392" i="6"/>
  <c r="K397" i="6"/>
  <c r="M396" i="6"/>
  <c r="L401" i="6"/>
  <c r="S391" i="6" l="1"/>
  <c r="G392" i="6"/>
  <c r="E393" i="6"/>
  <c r="Q392" i="6"/>
  <c r="F393" i="6"/>
  <c r="R392" i="6"/>
  <c r="K398" i="6"/>
  <c r="M397" i="6"/>
  <c r="L402" i="6"/>
  <c r="R393" i="6" l="1"/>
  <c r="F394" i="6"/>
  <c r="S392" i="6"/>
  <c r="E394" i="6"/>
  <c r="Q393" i="6"/>
  <c r="G393" i="6"/>
  <c r="K399" i="6"/>
  <c r="M398" i="6"/>
  <c r="L403" i="6"/>
  <c r="S393" i="6" l="1"/>
  <c r="E395" i="6"/>
  <c r="G394" i="6"/>
  <c r="Q394" i="6"/>
  <c r="F395" i="6"/>
  <c r="R394" i="6"/>
  <c r="K400" i="6"/>
  <c r="M399" i="6"/>
  <c r="L404" i="6"/>
  <c r="R395" i="6" l="1"/>
  <c r="F396" i="6"/>
  <c r="S394" i="6"/>
  <c r="G395" i="6"/>
  <c r="E396" i="6"/>
  <c r="Q395" i="6"/>
  <c r="K401" i="6"/>
  <c r="M400" i="6"/>
  <c r="L405" i="6"/>
  <c r="S395" i="6" l="1"/>
  <c r="G396" i="6"/>
  <c r="E397" i="6"/>
  <c r="Q396" i="6"/>
  <c r="F397" i="6"/>
  <c r="R396" i="6"/>
  <c r="K402" i="6"/>
  <c r="M401" i="6"/>
  <c r="L406" i="6"/>
  <c r="R397" i="6" l="1"/>
  <c r="F398" i="6"/>
  <c r="S396" i="6"/>
  <c r="E398" i="6"/>
  <c r="G397" i="6"/>
  <c r="Q397" i="6"/>
  <c r="K403" i="6"/>
  <c r="M402" i="6"/>
  <c r="L407" i="6"/>
  <c r="S397" i="6" l="1"/>
  <c r="E399" i="6"/>
  <c r="G398" i="6"/>
  <c r="Q398" i="6"/>
  <c r="F399" i="6"/>
  <c r="R398" i="6"/>
  <c r="M403" i="6"/>
  <c r="K404" i="6"/>
  <c r="L408" i="6"/>
  <c r="R399" i="6" l="1"/>
  <c r="F400" i="6"/>
  <c r="S398" i="6"/>
  <c r="Q399" i="6"/>
  <c r="G399" i="6"/>
  <c r="E400" i="6"/>
  <c r="K405" i="6"/>
  <c r="M404" i="6"/>
  <c r="L409" i="6"/>
  <c r="S399" i="6" l="1"/>
  <c r="G400" i="6"/>
  <c r="E401" i="6"/>
  <c r="Q400" i="6"/>
  <c r="F401" i="6"/>
  <c r="R400" i="6"/>
  <c r="M405" i="6"/>
  <c r="K406" i="6"/>
  <c r="L410" i="6"/>
  <c r="R401" i="6" l="1"/>
  <c r="F402" i="6"/>
  <c r="S400" i="6"/>
  <c r="G401" i="6"/>
  <c r="Q401" i="6"/>
  <c r="E402" i="6"/>
  <c r="M406" i="6"/>
  <c r="K407" i="6"/>
  <c r="L411" i="6"/>
  <c r="S401" i="6" l="1"/>
  <c r="F403" i="6"/>
  <c r="R402" i="6"/>
  <c r="E403" i="6"/>
  <c r="G402" i="6"/>
  <c r="Q402" i="6"/>
  <c r="K408" i="6"/>
  <c r="M407" i="6"/>
  <c r="L412" i="6"/>
  <c r="S402" i="6" l="1"/>
  <c r="E404" i="6"/>
  <c r="G403" i="6"/>
  <c r="Q403" i="6"/>
  <c r="R403" i="6"/>
  <c r="F404" i="6"/>
  <c r="M408" i="6"/>
  <c r="K409" i="6"/>
  <c r="L413" i="6"/>
  <c r="F405" i="6" l="1"/>
  <c r="R404" i="6"/>
  <c r="S403" i="6"/>
  <c r="E405" i="6"/>
  <c r="G404" i="6"/>
  <c r="Q404" i="6"/>
  <c r="K410" i="6"/>
  <c r="M409" i="6"/>
  <c r="L414" i="6"/>
  <c r="S404" i="6" l="1"/>
  <c r="G405" i="6"/>
  <c r="E406" i="6"/>
  <c r="Q405" i="6"/>
  <c r="R405" i="6"/>
  <c r="F406" i="6"/>
  <c r="M410" i="6"/>
  <c r="K411" i="6"/>
  <c r="L415" i="6"/>
  <c r="F407" i="6" l="1"/>
  <c r="R406" i="6"/>
  <c r="S405" i="6"/>
  <c r="G406" i="6"/>
  <c r="E407" i="6"/>
  <c r="Q406" i="6"/>
  <c r="K412" i="6"/>
  <c r="M411" i="6"/>
  <c r="L416" i="6"/>
  <c r="S406" i="6" l="1"/>
  <c r="G407" i="6"/>
  <c r="E408" i="6"/>
  <c r="Q407" i="6"/>
  <c r="R407" i="6"/>
  <c r="F408" i="6"/>
  <c r="K413" i="6"/>
  <c r="M412" i="6"/>
  <c r="L417" i="6"/>
  <c r="F409" i="6" l="1"/>
  <c r="R408" i="6"/>
  <c r="S407" i="6"/>
  <c r="G408" i="6"/>
  <c r="Q408" i="6"/>
  <c r="E409" i="6"/>
  <c r="K414" i="6"/>
  <c r="M413" i="6"/>
  <c r="L418" i="6"/>
  <c r="S408" i="6" l="1"/>
  <c r="E410" i="6"/>
  <c r="G409" i="6"/>
  <c r="Q409" i="6"/>
  <c r="F410" i="6"/>
  <c r="R409" i="6"/>
  <c r="K415" i="6"/>
  <c r="M414" i="6"/>
  <c r="L419" i="6"/>
  <c r="F411" i="6" l="1"/>
  <c r="R410" i="6"/>
  <c r="S409" i="6"/>
  <c r="E411" i="6"/>
  <c r="Q410" i="6"/>
  <c r="G410" i="6"/>
  <c r="M415" i="6"/>
  <c r="K416" i="6"/>
  <c r="L420" i="6"/>
  <c r="S410" i="6" l="1"/>
  <c r="G411" i="6"/>
  <c r="E412" i="6"/>
  <c r="Q411" i="6"/>
  <c r="F412" i="6"/>
  <c r="R411" i="6"/>
  <c r="K417" i="6"/>
  <c r="M416" i="6"/>
  <c r="L421" i="6"/>
  <c r="F413" i="6" l="1"/>
  <c r="R412" i="6"/>
  <c r="S411" i="6"/>
  <c r="E413" i="6"/>
  <c r="Q412" i="6"/>
  <c r="G412" i="6"/>
  <c r="M417" i="6"/>
  <c r="K418" i="6"/>
  <c r="L422" i="6"/>
  <c r="S412" i="6" l="1"/>
  <c r="G413" i="6"/>
  <c r="Q413" i="6"/>
  <c r="E414" i="6"/>
  <c r="F414" i="6"/>
  <c r="R413" i="6"/>
  <c r="K419" i="6"/>
  <c r="M418" i="6"/>
  <c r="L423" i="6"/>
  <c r="F415" i="6" l="1"/>
  <c r="R414" i="6"/>
  <c r="G414" i="6"/>
  <c r="Q414" i="6"/>
  <c r="E415" i="6"/>
  <c r="S413" i="6"/>
  <c r="K420" i="6"/>
  <c r="M419" i="6"/>
  <c r="L424" i="6"/>
  <c r="S414" i="6" l="1"/>
  <c r="Q415" i="6"/>
  <c r="G415" i="6"/>
  <c r="E416" i="6"/>
  <c r="F416" i="6"/>
  <c r="R415" i="6"/>
  <c r="M420" i="6"/>
  <c r="K421" i="6"/>
  <c r="L425" i="6"/>
  <c r="F417" i="6" l="1"/>
  <c r="R416" i="6"/>
  <c r="G416" i="6"/>
  <c r="Q416" i="6"/>
  <c r="E417" i="6"/>
  <c r="S415" i="6"/>
  <c r="M421" i="6"/>
  <c r="K422" i="6"/>
  <c r="L426" i="6"/>
  <c r="S416" i="6" l="1"/>
  <c r="E418" i="6"/>
  <c r="G417" i="6"/>
  <c r="Q417" i="6"/>
  <c r="F418" i="6"/>
  <c r="R417" i="6"/>
  <c r="K423" i="6"/>
  <c r="M422" i="6"/>
  <c r="L427" i="6"/>
  <c r="F419" i="6" l="1"/>
  <c r="R418" i="6"/>
  <c r="S417" i="6"/>
  <c r="E419" i="6"/>
  <c r="Q418" i="6"/>
  <c r="G418" i="6"/>
  <c r="M423" i="6"/>
  <c r="K424" i="6"/>
  <c r="L428" i="6"/>
  <c r="S418" i="6" l="1"/>
  <c r="G419" i="6"/>
  <c r="E420" i="6"/>
  <c r="Q419" i="6"/>
  <c r="F420" i="6"/>
  <c r="R419" i="6"/>
  <c r="K425" i="6"/>
  <c r="M424" i="6"/>
  <c r="L429" i="6"/>
  <c r="F421" i="6" l="1"/>
  <c r="R420" i="6"/>
  <c r="S419" i="6"/>
  <c r="E421" i="6"/>
  <c r="Q420" i="6"/>
  <c r="G420" i="6"/>
  <c r="K426" i="6"/>
  <c r="M425" i="6"/>
  <c r="L430" i="6"/>
  <c r="S420" i="6" l="1"/>
  <c r="E422" i="6"/>
  <c r="G421" i="6"/>
  <c r="Q421" i="6"/>
  <c r="F422" i="6"/>
  <c r="R421" i="6"/>
  <c r="K427" i="6"/>
  <c r="M426" i="6"/>
  <c r="L431" i="6"/>
  <c r="F423" i="6" l="1"/>
  <c r="R422" i="6"/>
  <c r="S421" i="6"/>
  <c r="G422" i="6"/>
  <c r="Q422" i="6"/>
  <c r="E423" i="6"/>
  <c r="M427" i="6"/>
  <c r="K428" i="6"/>
  <c r="L432" i="6"/>
  <c r="S422" i="6" l="1"/>
  <c r="E424" i="6"/>
  <c r="G423" i="6"/>
  <c r="Q423" i="6"/>
  <c r="F424" i="6"/>
  <c r="R423" i="6"/>
  <c r="M428" i="6"/>
  <c r="K429" i="6"/>
  <c r="L433" i="6"/>
  <c r="F425" i="6" l="1"/>
  <c r="R424" i="6"/>
  <c r="S423" i="6"/>
  <c r="G424" i="6"/>
  <c r="Q424" i="6"/>
  <c r="E425" i="6"/>
  <c r="M429" i="6"/>
  <c r="K430" i="6"/>
  <c r="L434" i="6"/>
  <c r="S424" i="6" l="1"/>
  <c r="G425" i="6"/>
  <c r="E426" i="6"/>
  <c r="Q425" i="6"/>
  <c r="F426" i="6"/>
  <c r="R425" i="6"/>
  <c r="K431" i="6"/>
  <c r="M430" i="6"/>
  <c r="L435" i="6"/>
  <c r="F427" i="6" l="1"/>
  <c r="R426" i="6"/>
  <c r="S425" i="6"/>
  <c r="E427" i="6"/>
  <c r="Q426" i="6"/>
  <c r="G426" i="6"/>
  <c r="M431" i="6"/>
  <c r="K432" i="6"/>
  <c r="L436" i="6"/>
  <c r="S426" i="6" l="1"/>
  <c r="E428" i="6"/>
  <c r="Q427" i="6"/>
  <c r="G427" i="6"/>
  <c r="F428" i="6"/>
  <c r="R427" i="6"/>
  <c r="M432" i="6"/>
  <c r="K433" i="6"/>
  <c r="L437" i="6"/>
  <c r="F429" i="6" l="1"/>
  <c r="R428" i="6"/>
  <c r="S427" i="6"/>
  <c r="G428" i="6"/>
  <c r="Q428" i="6"/>
  <c r="S428" i="6" s="1"/>
  <c r="E429" i="6"/>
  <c r="M433" i="6"/>
  <c r="K434" i="6"/>
  <c r="L438" i="6"/>
  <c r="G429" i="6" l="1"/>
  <c r="E430" i="6"/>
  <c r="Q429" i="6"/>
  <c r="F430" i="6"/>
  <c r="R429" i="6"/>
  <c r="M434" i="6"/>
  <c r="K435" i="6"/>
  <c r="L439" i="6"/>
  <c r="F431" i="6" l="1"/>
  <c r="R430" i="6"/>
  <c r="S429" i="6"/>
  <c r="G430" i="6"/>
  <c r="Q430" i="6"/>
  <c r="E431" i="6"/>
  <c r="K436" i="6"/>
  <c r="M435" i="6"/>
  <c r="L440" i="6"/>
  <c r="S430" i="6" l="1"/>
  <c r="E432" i="6"/>
  <c r="G431" i="6"/>
  <c r="Q431" i="6"/>
  <c r="F432" i="6"/>
  <c r="R431" i="6"/>
  <c r="M436" i="6"/>
  <c r="K437" i="6"/>
  <c r="L441" i="6"/>
  <c r="F433" i="6" l="1"/>
  <c r="R432" i="6"/>
  <c r="S431" i="6"/>
  <c r="G432" i="6"/>
  <c r="Q432" i="6"/>
  <c r="E433" i="6"/>
  <c r="M437" i="6"/>
  <c r="K438" i="6"/>
  <c r="L442" i="6"/>
  <c r="S432" i="6" l="1"/>
  <c r="E434" i="6"/>
  <c r="G433" i="6"/>
  <c r="Q433" i="6"/>
  <c r="F434" i="6"/>
  <c r="R433" i="6"/>
  <c r="K439" i="6"/>
  <c r="M438" i="6"/>
  <c r="L443" i="6"/>
  <c r="R434" i="6" l="1"/>
  <c r="F435" i="6"/>
  <c r="S433" i="6"/>
  <c r="G434" i="6"/>
  <c r="Q434" i="6"/>
  <c r="E435" i="6"/>
  <c r="M439" i="6"/>
  <c r="K440" i="6"/>
  <c r="L444" i="6"/>
  <c r="S434" i="6" l="1"/>
  <c r="E436" i="6"/>
  <c r="Q435" i="6"/>
  <c r="G435" i="6"/>
  <c r="F436" i="6"/>
  <c r="R435" i="6"/>
  <c r="K441" i="6"/>
  <c r="M440" i="6"/>
  <c r="L445" i="6"/>
  <c r="R436" i="6" l="1"/>
  <c r="F437" i="6"/>
  <c r="S435" i="6"/>
  <c r="G436" i="6"/>
  <c r="Q436" i="6"/>
  <c r="E437" i="6"/>
  <c r="K442" i="6"/>
  <c r="M441" i="6"/>
  <c r="L446" i="6"/>
  <c r="S436" i="6" l="1"/>
  <c r="G437" i="6"/>
  <c r="Q437" i="6"/>
  <c r="E438" i="6"/>
  <c r="F438" i="6"/>
  <c r="R437" i="6"/>
  <c r="M442" i="6"/>
  <c r="K443" i="6"/>
  <c r="L447" i="6"/>
  <c r="F439" i="6" l="1"/>
  <c r="R438" i="6"/>
  <c r="G438" i="6"/>
  <c r="Q438" i="6"/>
  <c r="E439" i="6"/>
  <c r="S437" i="6"/>
  <c r="M443" i="6"/>
  <c r="K444" i="6"/>
  <c r="L448" i="6"/>
  <c r="S438" i="6" l="1"/>
  <c r="G439" i="6"/>
  <c r="E440" i="6"/>
  <c r="Q439" i="6"/>
  <c r="F440" i="6"/>
  <c r="R439" i="6"/>
  <c r="K445" i="6"/>
  <c r="M444" i="6"/>
  <c r="L449" i="6"/>
  <c r="F441" i="6" l="1"/>
  <c r="R440" i="6"/>
  <c r="S439" i="6"/>
  <c r="G440" i="6"/>
  <c r="Q440" i="6"/>
  <c r="E441" i="6"/>
  <c r="K446" i="6"/>
  <c r="M445" i="6"/>
  <c r="L450" i="6"/>
  <c r="S440" i="6" l="1"/>
  <c r="E442" i="6"/>
  <c r="G441" i="6"/>
  <c r="Q441" i="6"/>
  <c r="F442" i="6"/>
  <c r="R441" i="6"/>
  <c r="M446" i="6"/>
  <c r="K447" i="6"/>
  <c r="L451" i="6"/>
  <c r="R442" i="6" l="1"/>
  <c r="F443" i="6"/>
  <c r="S441" i="6"/>
  <c r="G442" i="6"/>
  <c r="Q442" i="6"/>
  <c r="E443" i="6"/>
  <c r="M447" i="6"/>
  <c r="K448" i="6"/>
  <c r="L452" i="6"/>
  <c r="S442" i="6" l="1"/>
  <c r="G443" i="6"/>
  <c r="E444" i="6"/>
  <c r="Q443" i="6"/>
  <c r="F444" i="6"/>
  <c r="R443" i="6"/>
  <c r="M448" i="6"/>
  <c r="K449" i="6"/>
  <c r="L453" i="6"/>
  <c r="F445" i="6" l="1"/>
  <c r="R444" i="6"/>
  <c r="S443" i="6"/>
  <c r="E445" i="6"/>
  <c r="Q444" i="6"/>
  <c r="S444" i="6" s="1"/>
  <c r="G444" i="6"/>
  <c r="M449" i="6"/>
  <c r="K450" i="6"/>
  <c r="L454" i="6"/>
  <c r="G445" i="6" l="1"/>
  <c r="E446" i="6"/>
  <c r="Q445" i="6"/>
  <c r="F446" i="6"/>
  <c r="R445" i="6"/>
  <c r="K451" i="6"/>
  <c r="M450" i="6"/>
  <c r="L455" i="6"/>
  <c r="F447" i="6" l="1"/>
  <c r="R446" i="6"/>
  <c r="S445" i="6"/>
  <c r="G446" i="6"/>
  <c r="Q446" i="6"/>
  <c r="E447" i="6"/>
  <c r="M451" i="6"/>
  <c r="K452" i="6"/>
  <c r="L456" i="6"/>
  <c r="S446" i="6" l="1"/>
  <c r="G447" i="6"/>
  <c r="E448" i="6"/>
  <c r="Q447" i="6"/>
  <c r="F448" i="6"/>
  <c r="R447" i="6"/>
  <c r="M452" i="6"/>
  <c r="K453" i="6"/>
  <c r="L457" i="6"/>
  <c r="F449" i="6" l="1"/>
  <c r="R448" i="6"/>
  <c r="E449" i="6"/>
  <c r="Q448" i="6"/>
  <c r="G448" i="6"/>
  <c r="S447" i="6"/>
  <c r="K454" i="6"/>
  <c r="M453" i="6"/>
  <c r="L458" i="6"/>
  <c r="S448" i="6" l="1"/>
  <c r="E450" i="6"/>
  <c r="G449" i="6"/>
  <c r="Q449" i="6"/>
  <c r="F450" i="6"/>
  <c r="R449" i="6"/>
  <c r="M454" i="6"/>
  <c r="K455" i="6"/>
  <c r="L459" i="6"/>
  <c r="F451" i="6" l="1"/>
  <c r="R450" i="6"/>
  <c r="S449" i="6"/>
  <c r="E451" i="6"/>
  <c r="Q450" i="6"/>
  <c r="S450" i="6" s="1"/>
  <c r="G450" i="6"/>
  <c r="K456" i="6"/>
  <c r="M455" i="6"/>
  <c r="L460" i="6"/>
  <c r="E452" i="6" l="1"/>
  <c r="Q451" i="6"/>
  <c r="G451" i="6"/>
  <c r="F452" i="6"/>
  <c r="R451" i="6"/>
  <c r="K457" i="6"/>
  <c r="M456" i="6"/>
  <c r="L461" i="6"/>
  <c r="F453" i="6" l="1"/>
  <c r="R452" i="6"/>
  <c r="S451" i="6"/>
  <c r="G452" i="6"/>
  <c r="Q452" i="6"/>
  <c r="E453" i="6"/>
  <c r="K458" i="6"/>
  <c r="M457" i="6"/>
  <c r="L462" i="6"/>
  <c r="S452" i="6" l="1"/>
  <c r="G453" i="6"/>
  <c r="E454" i="6"/>
  <c r="Q453" i="6"/>
  <c r="F454" i="6"/>
  <c r="R453" i="6"/>
  <c r="K459" i="6"/>
  <c r="M458" i="6"/>
  <c r="L463" i="6"/>
  <c r="F455" i="6" l="1"/>
  <c r="R454" i="6"/>
  <c r="S453" i="6"/>
  <c r="E455" i="6"/>
  <c r="Q454" i="6"/>
  <c r="G454" i="6"/>
  <c r="K460" i="6"/>
  <c r="M459" i="6"/>
  <c r="L464" i="6"/>
  <c r="S454" i="6" l="1"/>
  <c r="G455" i="6"/>
  <c r="E456" i="6"/>
  <c r="Q455" i="6"/>
  <c r="F456" i="6"/>
  <c r="R455" i="6"/>
  <c r="K461" i="6"/>
  <c r="M460" i="6"/>
  <c r="L465" i="6"/>
  <c r="F457" i="6" l="1"/>
  <c r="R456" i="6"/>
  <c r="S455" i="6"/>
  <c r="G456" i="6"/>
  <c r="Q456" i="6"/>
  <c r="E457" i="6"/>
  <c r="M461" i="6"/>
  <c r="K462" i="6"/>
  <c r="L466" i="6"/>
  <c r="S456" i="6" l="1"/>
  <c r="G457" i="6"/>
  <c r="E458" i="6"/>
  <c r="Q457" i="6"/>
  <c r="F458" i="6"/>
  <c r="R457" i="6"/>
  <c r="M462" i="6"/>
  <c r="K463" i="6"/>
  <c r="L467" i="6"/>
  <c r="F459" i="6" l="1"/>
  <c r="R458" i="6"/>
  <c r="S457" i="6"/>
  <c r="G458" i="6"/>
  <c r="Q458" i="6"/>
  <c r="E459" i="6"/>
  <c r="K464" i="6"/>
  <c r="M463" i="6"/>
  <c r="L468" i="6"/>
  <c r="S458" i="6" l="1"/>
  <c r="G459" i="6"/>
  <c r="Q459" i="6"/>
  <c r="E460" i="6"/>
  <c r="F460" i="6"/>
  <c r="R459" i="6"/>
  <c r="K465" i="6"/>
  <c r="M464" i="6"/>
  <c r="L469" i="6"/>
  <c r="F461" i="6" l="1"/>
  <c r="R460" i="6"/>
  <c r="G460" i="6"/>
  <c r="Q460" i="6"/>
  <c r="E461" i="6"/>
  <c r="S459" i="6"/>
  <c r="M465" i="6"/>
  <c r="K466" i="6"/>
  <c r="L470" i="6"/>
  <c r="S460" i="6" l="1"/>
  <c r="E462" i="6"/>
  <c r="G461" i="6"/>
  <c r="Q461" i="6"/>
  <c r="F462" i="6"/>
  <c r="R461" i="6"/>
  <c r="K467" i="6"/>
  <c r="M466" i="6"/>
  <c r="L471" i="6"/>
  <c r="F463" i="6" l="1"/>
  <c r="R462" i="6"/>
  <c r="S461" i="6"/>
  <c r="E463" i="6"/>
  <c r="Q462" i="6"/>
  <c r="G462" i="6"/>
  <c r="M467" i="6"/>
  <c r="K468" i="6"/>
  <c r="L472" i="6"/>
  <c r="S462" i="6" l="1"/>
  <c r="E464" i="6"/>
  <c r="G463" i="6"/>
  <c r="Q463" i="6"/>
  <c r="F464" i="6"/>
  <c r="R463" i="6"/>
  <c r="K469" i="6"/>
  <c r="M468" i="6"/>
  <c r="L473" i="6"/>
  <c r="R464" i="6" l="1"/>
  <c r="F465" i="6"/>
  <c r="S463" i="6"/>
  <c r="G464" i="6"/>
  <c r="Q464" i="6"/>
  <c r="E465" i="6"/>
  <c r="K470" i="6"/>
  <c r="M469" i="6"/>
  <c r="L474" i="6"/>
  <c r="S464" i="6" l="1"/>
  <c r="E466" i="6"/>
  <c r="Q465" i="6"/>
  <c r="G465" i="6"/>
  <c r="F466" i="6"/>
  <c r="R465" i="6"/>
  <c r="K471" i="6"/>
  <c r="M470" i="6"/>
  <c r="L475" i="6"/>
  <c r="F467" i="6" l="1"/>
  <c r="R466" i="6"/>
  <c r="S465" i="6"/>
  <c r="G466" i="6"/>
  <c r="E467" i="6"/>
  <c r="Q466" i="6"/>
  <c r="S466" i="6" s="1"/>
  <c r="M471" i="6"/>
  <c r="K472" i="6"/>
  <c r="L476" i="6"/>
  <c r="G467" i="6" l="1"/>
  <c r="Q467" i="6"/>
  <c r="E468" i="6"/>
  <c r="F468" i="6"/>
  <c r="R467" i="6"/>
  <c r="K473" i="6"/>
  <c r="M472" i="6"/>
  <c r="L477" i="6"/>
  <c r="R468" i="6" l="1"/>
  <c r="F469" i="6"/>
  <c r="G468" i="6"/>
  <c r="Q468" i="6"/>
  <c r="E469" i="6"/>
  <c r="S467" i="6"/>
  <c r="K474" i="6"/>
  <c r="M473" i="6"/>
  <c r="L478" i="6"/>
  <c r="S468" i="6" l="1"/>
  <c r="G469" i="6"/>
  <c r="Q469" i="6"/>
  <c r="E470" i="6"/>
  <c r="F470" i="6"/>
  <c r="R469" i="6"/>
  <c r="K475" i="6"/>
  <c r="M474" i="6"/>
  <c r="L479" i="6"/>
  <c r="F471" i="6" l="1"/>
  <c r="R470" i="6"/>
  <c r="G470" i="6"/>
  <c r="Q470" i="6"/>
  <c r="E471" i="6"/>
  <c r="S469" i="6"/>
  <c r="M475" i="6"/>
  <c r="K476" i="6"/>
  <c r="L480" i="6"/>
  <c r="S470" i="6" l="1"/>
  <c r="G471" i="6"/>
  <c r="E472" i="6"/>
  <c r="Q471" i="6"/>
  <c r="F472" i="6"/>
  <c r="R471" i="6"/>
  <c r="K477" i="6"/>
  <c r="M476" i="6"/>
  <c r="L481" i="6"/>
  <c r="F473" i="6" l="1"/>
  <c r="R472" i="6"/>
  <c r="S471" i="6"/>
  <c r="G472" i="6"/>
  <c r="Q472" i="6"/>
  <c r="E473" i="6"/>
  <c r="M477" i="6"/>
  <c r="K478" i="6"/>
  <c r="L482" i="6"/>
  <c r="S472" i="6" l="1"/>
  <c r="E474" i="6"/>
  <c r="Q473" i="6"/>
  <c r="G473" i="6"/>
  <c r="F474" i="6"/>
  <c r="R473" i="6"/>
  <c r="K479" i="6"/>
  <c r="M478" i="6"/>
  <c r="L483" i="6"/>
  <c r="F475" i="6" l="1"/>
  <c r="R474" i="6"/>
  <c r="S473" i="6"/>
  <c r="G474" i="6"/>
  <c r="Q474" i="6"/>
  <c r="S474" i="6" s="1"/>
  <c r="E475" i="6"/>
  <c r="K480" i="6"/>
  <c r="M479" i="6"/>
  <c r="L484" i="6"/>
  <c r="Q475" i="6" l="1"/>
  <c r="G475" i="6"/>
  <c r="E476" i="6"/>
  <c r="F476" i="6"/>
  <c r="R475" i="6"/>
  <c r="K481" i="6"/>
  <c r="M480" i="6"/>
  <c r="L485" i="6"/>
  <c r="F477" i="6" l="1"/>
  <c r="R476" i="6"/>
  <c r="E477" i="6"/>
  <c r="Q476" i="6"/>
  <c r="G476" i="6"/>
  <c r="S475" i="6"/>
  <c r="K482" i="6"/>
  <c r="M481" i="6"/>
  <c r="L486" i="6"/>
  <c r="S476" i="6" l="1"/>
  <c r="E478" i="6"/>
  <c r="G477" i="6"/>
  <c r="Q477" i="6"/>
  <c r="F478" i="6"/>
  <c r="R477" i="6"/>
  <c r="K483" i="6"/>
  <c r="M482" i="6"/>
  <c r="L487" i="6"/>
  <c r="R478" i="6" l="1"/>
  <c r="F479" i="6"/>
  <c r="S477" i="6"/>
  <c r="E479" i="6"/>
  <c r="Q478" i="6"/>
  <c r="G478" i="6"/>
  <c r="K484" i="6"/>
  <c r="M483" i="6"/>
  <c r="L488" i="6"/>
  <c r="S478" i="6" l="1"/>
  <c r="E480" i="6"/>
  <c r="Q479" i="6"/>
  <c r="G479" i="6"/>
  <c r="F480" i="6"/>
  <c r="R479" i="6"/>
  <c r="M484" i="6"/>
  <c r="K485" i="6"/>
  <c r="L489" i="6"/>
  <c r="F481" i="6" l="1"/>
  <c r="R480" i="6"/>
  <c r="S479" i="6"/>
  <c r="G480" i="6"/>
  <c r="Q480" i="6"/>
  <c r="E481" i="6"/>
  <c r="M485" i="6"/>
  <c r="K486" i="6"/>
  <c r="L490" i="6"/>
  <c r="S480" i="6" l="1"/>
  <c r="G481" i="6"/>
  <c r="Q481" i="6"/>
  <c r="E482" i="6"/>
  <c r="F482" i="6"/>
  <c r="R481" i="6"/>
  <c r="M486" i="6"/>
  <c r="K487" i="6"/>
  <c r="L491" i="6"/>
  <c r="F483" i="6" l="1"/>
  <c r="R482" i="6"/>
  <c r="E483" i="6"/>
  <c r="Q482" i="6"/>
  <c r="G482" i="6"/>
  <c r="S481" i="6"/>
  <c r="K488" i="6"/>
  <c r="M487" i="6"/>
  <c r="L492" i="6"/>
  <c r="S482" i="6" l="1"/>
  <c r="G483" i="6"/>
  <c r="Q483" i="6"/>
  <c r="E484" i="6"/>
  <c r="F484" i="6"/>
  <c r="R483" i="6"/>
  <c r="M488" i="6"/>
  <c r="K489" i="6"/>
  <c r="L493" i="6"/>
  <c r="E485" i="6" l="1"/>
  <c r="Q484" i="6"/>
  <c r="G484" i="6"/>
  <c r="F485" i="6"/>
  <c r="R484" i="6"/>
  <c r="S483" i="6"/>
  <c r="K490" i="6"/>
  <c r="M489" i="6"/>
  <c r="L494" i="6"/>
  <c r="F486" i="6" l="1"/>
  <c r="R485" i="6"/>
  <c r="S484" i="6"/>
  <c r="G485" i="6"/>
  <c r="E486" i="6"/>
  <c r="Q485" i="6"/>
  <c r="K491" i="6"/>
  <c r="M490" i="6"/>
  <c r="L495" i="6"/>
  <c r="S485" i="6" l="1"/>
  <c r="E487" i="6"/>
  <c r="Q486" i="6"/>
  <c r="G486" i="6"/>
  <c r="F487" i="6"/>
  <c r="R486" i="6"/>
  <c r="K492" i="6"/>
  <c r="M491" i="6"/>
  <c r="L496" i="6"/>
  <c r="F488" i="6" l="1"/>
  <c r="R487" i="6"/>
  <c r="S486" i="6"/>
  <c r="G487" i="6"/>
  <c r="E488" i="6"/>
  <c r="Q487" i="6"/>
  <c r="K493" i="6"/>
  <c r="M492" i="6"/>
  <c r="L497" i="6"/>
  <c r="S487" i="6" l="1"/>
  <c r="E489" i="6"/>
  <c r="Q488" i="6"/>
  <c r="G488" i="6"/>
  <c r="F489" i="6"/>
  <c r="R488" i="6"/>
  <c r="M493" i="6"/>
  <c r="K494" i="6"/>
  <c r="L498" i="6"/>
  <c r="F490" i="6" l="1"/>
  <c r="R489" i="6"/>
  <c r="S488" i="6"/>
  <c r="G489" i="6"/>
  <c r="E490" i="6"/>
  <c r="Q489" i="6"/>
  <c r="S489" i="6" s="1"/>
  <c r="K495" i="6"/>
  <c r="M494" i="6"/>
  <c r="L499" i="6"/>
  <c r="E491" i="6" l="1"/>
  <c r="G490" i="6"/>
  <c r="Q490" i="6"/>
  <c r="F491" i="6"/>
  <c r="R490" i="6"/>
  <c r="K496" i="6"/>
  <c r="M495" i="6"/>
  <c r="L500" i="6"/>
  <c r="R491" i="6" l="1"/>
  <c r="F492" i="6"/>
  <c r="S490" i="6"/>
  <c r="G491" i="6"/>
  <c r="E492" i="6"/>
  <c r="Q491" i="6"/>
  <c r="M496" i="6"/>
  <c r="K497" i="6"/>
  <c r="L501" i="6"/>
  <c r="S491" i="6" l="1"/>
  <c r="G492" i="6"/>
  <c r="Q492" i="6"/>
  <c r="E493" i="6"/>
  <c r="F493" i="6"/>
  <c r="R492" i="6"/>
  <c r="K498" i="6"/>
  <c r="M497" i="6"/>
  <c r="L502" i="6"/>
  <c r="R493" i="6" l="1"/>
  <c r="F494" i="6"/>
  <c r="G493" i="6"/>
  <c r="Q493" i="6"/>
  <c r="E494" i="6"/>
  <c r="S492" i="6"/>
  <c r="K499" i="6"/>
  <c r="M498" i="6"/>
  <c r="L503" i="6"/>
  <c r="S493" i="6" l="1"/>
  <c r="G494" i="6"/>
  <c r="E495" i="6"/>
  <c r="Q494" i="6"/>
  <c r="F495" i="6"/>
  <c r="R494" i="6"/>
  <c r="M499" i="6"/>
  <c r="K500" i="6"/>
  <c r="L504" i="6"/>
  <c r="R495" i="6" l="1"/>
  <c r="F496" i="6"/>
  <c r="S494" i="6"/>
  <c r="G495" i="6"/>
  <c r="E496" i="6"/>
  <c r="Q495" i="6"/>
  <c r="K501" i="6"/>
  <c r="M500" i="6"/>
  <c r="L505" i="6"/>
  <c r="S495" i="6" l="1"/>
  <c r="G496" i="6"/>
  <c r="E497" i="6"/>
  <c r="Q496" i="6"/>
  <c r="R496" i="6"/>
  <c r="F497" i="6"/>
  <c r="M501" i="6"/>
  <c r="K502" i="6"/>
  <c r="L506" i="6"/>
  <c r="R497" i="6" l="1"/>
  <c r="F498" i="6"/>
  <c r="S496" i="6"/>
  <c r="G497" i="6"/>
  <c r="Q497" i="6"/>
  <c r="E498" i="6"/>
  <c r="K503" i="6"/>
  <c r="M502" i="6"/>
  <c r="L507" i="6"/>
  <c r="L508" i="6" s="1"/>
  <c r="L509" i="6" s="1"/>
  <c r="L510" i="6" s="1"/>
  <c r="L511" i="6" s="1"/>
  <c r="L512" i="6" s="1"/>
  <c r="L513" i="6" s="1"/>
  <c r="L514" i="6" s="1"/>
  <c r="L515" i="6" s="1"/>
  <c r="L516" i="6" s="1"/>
  <c r="L517" i="6" s="1"/>
  <c r="L518" i="6" s="1"/>
  <c r="L519" i="6" s="1"/>
  <c r="L520" i="6" s="1"/>
  <c r="S497" i="6" l="1"/>
  <c r="L521" i="6"/>
  <c r="R520" i="6"/>
  <c r="G498" i="6"/>
  <c r="E499" i="6"/>
  <c r="Q498" i="6"/>
  <c r="F499" i="6"/>
  <c r="R498" i="6"/>
  <c r="M503" i="6"/>
  <c r="K504" i="6"/>
  <c r="R521" i="6" l="1"/>
  <c r="L522" i="6"/>
  <c r="R499" i="6"/>
  <c r="F500" i="6"/>
  <c r="S498" i="6"/>
  <c r="G499" i="6"/>
  <c r="E500" i="6"/>
  <c r="Q499" i="6"/>
  <c r="K505" i="6"/>
  <c r="M504" i="6"/>
  <c r="S499" i="6" l="1"/>
  <c r="R522" i="6"/>
  <c r="L523" i="6"/>
  <c r="E501" i="6"/>
  <c r="G500" i="6"/>
  <c r="Q500" i="6"/>
  <c r="F501" i="6"/>
  <c r="R500" i="6"/>
  <c r="M505" i="6"/>
  <c r="K506" i="6"/>
  <c r="R523" i="6" l="1"/>
  <c r="L524" i="6"/>
  <c r="R501" i="6"/>
  <c r="F502" i="6"/>
  <c r="S500" i="6"/>
  <c r="G501" i="6"/>
  <c r="E502" i="6"/>
  <c r="Q501" i="6"/>
  <c r="K507" i="6"/>
  <c r="K508" i="6" s="1"/>
  <c r="M506" i="6"/>
  <c r="S501" i="6" l="1"/>
  <c r="L525" i="6"/>
  <c r="R524" i="6"/>
  <c r="K509" i="6"/>
  <c r="M508" i="6"/>
  <c r="G502" i="6"/>
  <c r="E503" i="6"/>
  <c r="Q502" i="6"/>
  <c r="F503" i="6"/>
  <c r="R502" i="6"/>
  <c r="M507" i="6"/>
  <c r="K510" i="6" l="1"/>
  <c r="M509" i="6"/>
  <c r="R525" i="6"/>
  <c r="L526" i="6"/>
  <c r="R503" i="6"/>
  <c r="F504" i="6"/>
  <c r="S502" i="6"/>
  <c r="E504" i="6"/>
  <c r="Q503" i="6"/>
  <c r="G503" i="6"/>
  <c r="R526" i="6" l="1"/>
  <c r="L527" i="6"/>
  <c r="S503" i="6"/>
  <c r="M510" i="6"/>
  <c r="K511" i="6"/>
  <c r="G504" i="6"/>
  <c r="E505" i="6"/>
  <c r="Q504" i="6"/>
  <c r="R504" i="6"/>
  <c r="F505" i="6"/>
  <c r="K512" i="6" l="1"/>
  <c r="M511" i="6"/>
  <c r="R527" i="6"/>
  <c r="L528" i="6"/>
  <c r="R505" i="6"/>
  <c r="F506" i="6"/>
  <c r="S504" i="6"/>
  <c r="E506" i="6"/>
  <c r="Q505" i="6"/>
  <c r="G505" i="6"/>
  <c r="R528" i="6" l="1"/>
  <c r="L529" i="6"/>
  <c r="M512" i="6"/>
  <c r="K513" i="6"/>
  <c r="S505" i="6"/>
  <c r="G506" i="6"/>
  <c r="E507" i="6"/>
  <c r="Q506" i="6"/>
  <c r="R506" i="6"/>
  <c r="F507" i="6"/>
  <c r="K514" i="6" l="1"/>
  <c r="M513" i="6"/>
  <c r="R529" i="6"/>
  <c r="L530" i="6"/>
  <c r="R507" i="6"/>
  <c r="F508" i="6"/>
  <c r="R508" i="6" s="1"/>
  <c r="S506" i="6"/>
  <c r="Q507" i="6"/>
  <c r="S507" i="6" s="1"/>
  <c r="G507" i="6"/>
  <c r="E508" i="6"/>
  <c r="Q508" i="6" s="1"/>
  <c r="L531" i="6" l="1"/>
  <c r="R530" i="6"/>
  <c r="S508" i="6"/>
  <c r="K515" i="6"/>
  <c r="M514" i="6"/>
  <c r="E509" i="6"/>
  <c r="Q509" i="6" s="1"/>
  <c r="G508" i="6"/>
  <c r="F509" i="6"/>
  <c r="R509" i="6" s="1"/>
  <c r="S509" i="6" l="1"/>
  <c r="K516" i="6"/>
  <c r="M515" i="6"/>
  <c r="R531" i="6"/>
  <c r="L532" i="6"/>
  <c r="F510" i="6"/>
  <c r="R510" i="6" s="1"/>
  <c r="E510" i="6"/>
  <c r="Q510" i="6" s="1"/>
  <c r="G509" i="6"/>
  <c r="S510" i="6" l="1"/>
  <c r="L533" i="6"/>
  <c r="R532" i="6"/>
  <c r="K517" i="6"/>
  <c r="M516" i="6"/>
  <c r="F511" i="6"/>
  <c r="R511" i="6" s="1"/>
  <c r="E511" i="6"/>
  <c r="Q511" i="6" s="1"/>
  <c r="G510" i="6"/>
  <c r="S511" i="6" l="1"/>
  <c r="M517" i="6"/>
  <c r="K518" i="6"/>
  <c r="R533" i="6"/>
  <c r="L534" i="6"/>
  <c r="E512" i="6"/>
  <c r="Q512" i="6" s="1"/>
  <c r="G511" i="6"/>
  <c r="F512" i="6"/>
  <c r="R512" i="6" s="1"/>
  <c r="S512" i="6" l="1"/>
  <c r="R534" i="6"/>
  <c r="L535" i="6"/>
  <c r="K519" i="6"/>
  <c r="M518" i="6"/>
  <c r="F513" i="6"/>
  <c r="R513" i="6" s="1"/>
  <c r="G512" i="6"/>
  <c r="E513" i="6"/>
  <c r="Q513" i="6" s="1"/>
  <c r="S513" i="6" l="1"/>
  <c r="M519" i="6"/>
  <c r="K520" i="6"/>
  <c r="R535" i="6"/>
  <c r="L536" i="6"/>
  <c r="G513" i="6"/>
  <c r="E514" i="6"/>
  <c r="Q514" i="6" s="1"/>
  <c r="F514" i="6"/>
  <c r="R514" i="6" s="1"/>
  <c r="S514" i="6" l="1"/>
  <c r="R536" i="6"/>
  <c r="L537" i="6"/>
  <c r="M520" i="6"/>
  <c r="Q520" i="6"/>
  <c r="S520" i="6" s="1"/>
  <c r="K521" i="6"/>
  <c r="F515" i="6"/>
  <c r="R515" i="6" s="1"/>
  <c r="E515" i="6"/>
  <c r="Q515" i="6" s="1"/>
  <c r="G514" i="6"/>
  <c r="S515" i="6" l="1"/>
  <c r="M521" i="6"/>
  <c r="K522" i="6"/>
  <c r="Q521" i="6"/>
  <c r="S521" i="6" s="1"/>
  <c r="R537" i="6"/>
  <c r="L538" i="6"/>
  <c r="E516" i="6"/>
  <c r="Q516" i="6" s="1"/>
  <c r="G515" i="6"/>
  <c r="F516" i="6"/>
  <c r="R516" i="6" s="1"/>
  <c r="S516" i="6" l="1"/>
  <c r="L539" i="6"/>
  <c r="R538" i="6"/>
  <c r="Q522" i="6"/>
  <c r="S522" i="6" s="1"/>
  <c r="M522" i="6"/>
  <c r="K523" i="6"/>
  <c r="F517" i="6"/>
  <c r="R517" i="6" s="1"/>
  <c r="E517" i="6"/>
  <c r="Q517" i="6" s="1"/>
  <c r="G516" i="6"/>
  <c r="S517" i="6" l="1"/>
  <c r="M523" i="6"/>
  <c r="K524" i="6"/>
  <c r="Q523" i="6"/>
  <c r="S523" i="6" s="1"/>
  <c r="R539" i="6"/>
  <c r="L540" i="6"/>
  <c r="G517" i="6"/>
  <c r="E518" i="6"/>
  <c r="Q518" i="6" s="1"/>
  <c r="F518" i="6"/>
  <c r="R518" i="6" s="1"/>
  <c r="S518" i="6" l="1"/>
  <c r="R540" i="6"/>
  <c r="L541" i="6"/>
  <c r="M524" i="6"/>
  <c r="Q524" i="6"/>
  <c r="S524" i="6" s="1"/>
  <c r="K525" i="6"/>
  <c r="F519" i="6"/>
  <c r="R519" i="6" s="1"/>
  <c r="G518" i="6"/>
  <c r="E519" i="6"/>
  <c r="Q519" i="6" s="1"/>
  <c r="Q525" i="6" l="1"/>
  <c r="S525" i="6" s="1"/>
  <c r="K526" i="6"/>
  <c r="M525" i="6"/>
  <c r="R541" i="6"/>
  <c r="L542" i="6"/>
  <c r="S519" i="6"/>
  <c r="G519" i="6"/>
  <c r="L543" i="6" l="1"/>
  <c r="R542" i="6"/>
  <c r="Q526" i="6"/>
  <c r="S526" i="6" s="1"/>
  <c r="K527" i="6"/>
  <c r="M526" i="6"/>
  <c r="Q527" i="6" l="1"/>
  <c r="S527" i="6" s="1"/>
  <c r="K528" i="6"/>
  <c r="M527" i="6"/>
  <c r="L544" i="6"/>
  <c r="R543" i="6"/>
  <c r="L545" i="6" l="1"/>
  <c r="R544" i="6"/>
  <c r="Q528" i="6"/>
  <c r="S528" i="6" s="1"/>
  <c r="M528" i="6"/>
  <c r="K529" i="6"/>
  <c r="Q529" i="6" l="1"/>
  <c r="S529" i="6" s="1"/>
  <c r="M529" i="6"/>
  <c r="K530" i="6"/>
  <c r="L546" i="6"/>
  <c r="R545" i="6"/>
  <c r="R546" i="6" l="1"/>
  <c r="L547" i="6"/>
  <c r="K531" i="6"/>
  <c r="M530" i="6"/>
  <c r="Q530" i="6"/>
  <c r="S530" i="6" s="1"/>
  <c r="Q531" i="6" l="1"/>
  <c r="S531" i="6" s="1"/>
  <c r="K532" i="6"/>
  <c r="M531" i="6"/>
  <c r="L548" i="6"/>
  <c r="R547" i="6"/>
  <c r="L549" i="6" l="1"/>
  <c r="R548" i="6"/>
  <c r="K533" i="6"/>
  <c r="M532" i="6"/>
  <c r="Q532" i="6"/>
  <c r="S532" i="6" s="1"/>
  <c r="K534" i="6" l="1"/>
  <c r="M533" i="6"/>
  <c r="Q533" i="6"/>
  <c r="S533" i="6" s="1"/>
  <c r="R549" i="6"/>
  <c r="L550" i="6"/>
  <c r="R550" i="6" l="1"/>
  <c r="L551" i="6"/>
  <c r="Q534" i="6"/>
  <c r="S534" i="6" s="1"/>
  <c r="M534" i="6"/>
  <c r="K535" i="6"/>
  <c r="Q535" i="6" l="1"/>
  <c r="S535" i="6" s="1"/>
  <c r="K536" i="6"/>
  <c r="M535" i="6"/>
  <c r="R551" i="6"/>
  <c r="L552" i="6"/>
  <c r="L553" i="6" l="1"/>
  <c r="R552" i="6"/>
  <c r="Q536" i="6"/>
  <c r="S536" i="6" s="1"/>
  <c r="M536" i="6"/>
  <c r="K537" i="6"/>
  <c r="M537" i="6" l="1"/>
  <c r="Q537" i="6"/>
  <c r="S537" i="6" s="1"/>
  <c r="K538" i="6"/>
  <c r="L554" i="6"/>
  <c r="R553" i="6"/>
  <c r="L555" i="6" l="1"/>
  <c r="R554" i="6"/>
  <c r="Q538" i="6"/>
  <c r="S538" i="6" s="1"/>
  <c r="M538" i="6"/>
  <c r="K539" i="6"/>
  <c r="Q539" i="6" l="1"/>
  <c r="S539" i="6" s="1"/>
  <c r="K540" i="6"/>
  <c r="M539" i="6"/>
  <c r="R555" i="6"/>
  <c r="L556" i="6"/>
  <c r="R556" i="6" l="1"/>
  <c r="L557" i="6"/>
  <c r="M540" i="6"/>
  <c r="K541" i="6"/>
  <c r="Q540" i="6"/>
  <c r="S540" i="6" s="1"/>
  <c r="M541" i="6" l="1"/>
  <c r="K542" i="6"/>
  <c r="Q541" i="6"/>
  <c r="S541" i="6" s="1"/>
  <c r="L558" i="6"/>
  <c r="R557" i="6"/>
  <c r="R558" i="6" l="1"/>
  <c r="L559" i="6"/>
  <c r="K543" i="6"/>
  <c r="M542" i="6"/>
  <c r="Q542" i="6"/>
  <c r="S542" i="6" s="1"/>
  <c r="M543" i="6" l="1"/>
  <c r="K544" i="6"/>
  <c r="Q543" i="6"/>
  <c r="S543" i="6" s="1"/>
  <c r="L560" i="6"/>
  <c r="R559" i="6"/>
  <c r="R560" i="6" l="1"/>
  <c r="L561" i="6"/>
  <c r="Q544" i="6"/>
  <c r="S544" i="6" s="1"/>
  <c r="M544" i="6"/>
  <c r="K545" i="6"/>
  <c r="K546" i="6" l="1"/>
  <c r="M545" i="6"/>
  <c r="Q545" i="6"/>
  <c r="S545" i="6" s="1"/>
  <c r="R561" i="6"/>
  <c r="L562" i="6"/>
  <c r="R562" i="6" l="1"/>
  <c r="L563" i="6"/>
  <c r="Q546" i="6"/>
  <c r="S546" i="6" s="1"/>
  <c r="K547" i="6"/>
  <c r="M546" i="6"/>
  <c r="Q547" i="6" l="1"/>
  <c r="S547" i="6" s="1"/>
  <c r="K548" i="6"/>
  <c r="M547" i="6"/>
  <c r="L564" i="6"/>
  <c r="R563" i="6"/>
  <c r="R564" i="6" l="1"/>
  <c r="L565" i="6"/>
  <c r="M548" i="6"/>
  <c r="Q548" i="6"/>
  <c r="S548" i="6" s="1"/>
  <c r="K549" i="6"/>
  <c r="Q549" i="6" l="1"/>
  <c r="S549" i="6" s="1"/>
  <c r="K550" i="6"/>
  <c r="M549" i="6"/>
  <c r="R565" i="6"/>
  <c r="L566" i="6"/>
  <c r="L567" i="6" l="1"/>
  <c r="R566" i="6"/>
  <c r="K551" i="6"/>
  <c r="M550" i="6"/>
  <c r="Q550" i="6"/>
  <c r="S550" i="6" s="1"/>
  <c r="Q551" i="6" l="1"/>
  <c r="S551" i="6" s="1"/>
  <c r="M551" i="6"/>
  <c r="K552" i="6"/>
  <c r="R567" i="6"/>
  <c r="L568" i="6"/>
  <c r="L569" i="6" l="1"/>
  <c r="R568" i="6"/>
  <c r="M552" i="6"/>
  <c r="Q552" i="6"/>
  <c r="S552" i="6" s="1"/>
  <c r="K553" i="6"/>
  <c r="M553" i="6" l="1"/>
  <c r="Q553" i="6"/>
  <c r="S553" i="6" s="1"/>
  <c r="K554" i="6"/>
  <c r="R569" i="6"/>
  <c r="L570" i="6"/>
  <c r="L571" i="6" l="1"/>
  <c r="R570" i="6"/>
  <c r="K555" i="6"/>
  <c r="M554" i="6"/>
  <c r="Q554" i="6"/>
  <c r="S554" i="6" s="1"/>
  <c r="M555" i="6" l="1"/>
  <c r="Q555" i="6"/>
  <c r="S555" i="6" s="1"/>
  <c r="K556" i="6"/>
  <c r="R571" i="6"/>
  <c r="L572" i="6"/>
  <c r="L573" i="6" l="1"/>
  <c r="R572" i="6"/>
  <c r="Q556" i="6"/>
  <c r="S556" i="6" s="1"/>
  <c r="K557" i="6"/>
  <c r="M556" i="6"/>
  <c r="Q557" i="6" l="1"/>
  <c r="S557" i="6" s="1"/>
  <c r="M557" i="6"/>
  <c r="K558" i="6"/>
  <c r="L574" i="6"/>
  <c r="R573" i="6"/>
  <c r="L575" i="6" l="1"/>
  <c r="R574" i="6"/>
  <c r="K559" i="6"/>
  <c r="Q558" i="6"/>
  <c r="S558" i="6" s="1"/>
  <c r="M558" i="6"/>
  <c r="M559" i="6" l="1"/>
  <c r="Q559" i="6"/>
  <c r="S559" i="6" s="1"/>
  <c r="K560" i="6"/>
  <c r="L576" i="6"/>
  <c r="R575" i="6"/>
  <c r="R576" i="6" l="1"/>
  <c r="L577" i="6"/>
  <c r="K561" i="6"/>
  <c r="Q560" i="6"/>
  <c r="S560" i="6" s="1"/>
  <c r="M560" i="6"/>
  <c r="K562" i="6" l="1"/>
  <c r="M561" i="6"/>
  <c r="Q561" i="6"/>
  <c r="S561" i="6" s="1"/>
  <c r="L578" i="6"/>
  <c r="R577" i="6"/>
  <c r="L579" i="6" l="1"/>
  <c r="R578" i="6"/>
  <c r="Q562" i="6"/>
  <c r="S562" i="6" s="1"/>
  <c r="K563" i="6"/>
  <c r="M562" i="6"/>
  <c r="Q563" i="6" l="1"/>
  <c r="S563" i="6" s="1"/>
  <c r="K564" i="6"/>
  <c r="M563" i="6"/>
  <c r="R579" i="6"/>
  <c r="L580" i="6"/>
  <c r="L581" i="6" l="1"/>
  <c r="R580" i="6"/>
  <c r="M564" i="6"/>
  <c r="Q564" i="6"/>
  <c r="S564" i="6" s="1"/>
  <c r="K565" i="6"/>
  <c r="Q565" i="6" l="1"/>
  <c r="S565" i="6" s="1"/>
  <c r="K566" i="6"/>
  <c r="M565" i="6"/>
  <c r="R581" i="6"/>
  <c r="L582" i="6"/>
  <c r="R582" i="6" l="1"/>
  <c r="L583" i="6"/>
  <c r="Q566" i="6"/>
  <c r="S566" i="6" s="1"/>
  <c r="M566" i="6"/>
  <c r="K567" i="6"/>
  <c r="M567" i="6" l="1"/>
  <c r="K568" i="6"/>
  <c r="Q567" i="6"/>
  <c r="S567" i="6" s="1"/>
  <c r="L584" i="6"/>
  <c r="R583" i="6"/>
  <c r="L585" i="6" l="1"/>
  <c r="R584" i="6"/>
  <c r="M568" i="6"/>
  <c r="K569" i="6"/>
  <c r="Q568" i="6"/>
  <c r="S568" i="6" s="1"/>
  <c r="K570" i="6" l="1"/>
  <c r="M569" i="6"/>
  <c r="Q569" i="6"/>
  <c r="S569" i="6" s="1"/>
  <c r="R585" i="6"/>
  <c r="L586" i="6"/>
  <c r="R586" i="6" l="1"/>
  <c r="L587" i="6"/>
  <c r="Q570" i="6"/>
  <c r="S570" i="6" s="1"/>
  <c r="K571" i="6"/>
  <c r="M570" i="6"/>
  <c r="Q571" i="6" l="1"/>
  <c r="S571" i="6" s="1"/>
  <c r="M571" i="6"/>
  <c r="K572" i="6"/>
  <c r="L588" i="6"/>
  <c r="R587" i="6"/>
  <c r="L589" i="6" l="1"/>
  <c r="R588" i="6"/>
  <c r="M572" i="6"/>
  <c r="K573" i="6"/>
  <c r="Q572" i="6"/>
  <c r="S572" i="6" s="1"/>
  <c r="K574" i="6" l="1"/>
  <c r="Q573" i="6"/>
  <c r="S573" i="6" s="1"/>
  <c r="M573" i="6"/>
  <c r="L590" i="6"/>
  <c r="R589" i="6"/>
  <c r="R590" i="6" l="1"/>
  <c r="L591" i="6"/>
  <c r="Q574" i="6"/>
  <c r="S574" i="6" s="1"/>
  <c r="K575" i="6"/>
  <c r="M574" i="6"/>
  <c r="Q575" i="6" l="1"/>
  <c r="S575" i="6" s="1"/>
  <c r="K576" i="6"/>
  <c r="M575" i="6"/>
  <c r="L592" i="6"/>
  <c r="R591" i="6"/>
  <c r="L593" i="6" l="1"/>
  <c r="R592" i="6"/>
  <c r="Q576" i="6"/>
  <c r="S576" i="6" s="1"/>
  <c r="K577" i="6"/>
  <c r="M576" i="6"/>
  <c r="K578" i="6" l="1"/>
  <c r="Q577" i="6"/>
  <c r="S577" i="6" s="1"/>
  <c r="M577" i="6"/>
  <c r="L594" i="6"/>
  <c r="R593" i="6"/>
  <c r="L595" i="6" l="1"/>
  <c r="R594" i="6"/>
  <c r="M578" i="6"/>
  <c r="K579" i="6"/>
  <c r="Q578" i="6"/>
  <c r="S578" i="6" s="1"/>
  <c r="Q579" i="6" l="1"/>
  <c r="S579" i="6" s="1"/>
  <c r="K580" i="6"/>
  <c r="M579" i="6"/>
  <c r="L596" i="6"/>
  <c r="R595" i="6"/>
  <c r="R596" i="6" l="1"/>
  <c r="L597" i="6"/>
  <c r="Q580" i="6"/>
  <c r="S580" i="6" s="1"/>
  <c r="M580" i="6"/>
  <c r="K581" i="6"/>
  <c r="K582" i="6" l="1"/>
  <c r="Q581" i="6"/>
  <c r="S581" i="6" s="1"/>
  <c r="M581" i="6"/>
  <c r="L598" i="6"/>
  <c r="R597" i="6"/>
  <c r="R598" i="6" l="1"/>
  <c r="L599" i="6"/>
  <c r="K583" i="6"/>
  <c r="Q582" i="6"/>
  <c r="S582" i="6" s="1"/>
  <c r="M582" i="6"/>
  <c r="Q583" i="6" l="1"/>
  <c r="S583" i="6" s="1"/>
  <c r="M583" i="6"/>
  <c r="K584" i="6"/>
  <c r="R599" i="6"/>
  <c r="L600" i="6"/>
  <c r="R600" i="6" l="1"/>
  <c r="L601" i="6"/>
  <c r="Q584" i="6"/>
  <c r="S584" i="6" s="1"/>
  <c r="M584" i="6"/>
  <c r="K585" i="6"/>
  <c r="M585" i="6" l="1"/>
  <c r="K586" i="6"/>
  <c r="Q585" i="6"/>
  <c r="S585" i="6" s="1"/>
  <c r="L602" i="6"/>
  <c r="R601" i="6"/>
  <c r="L603" i="6" l="1"/>
  <c r="R602" i="6"/>
  <c r="M586" i="6"/>
  <c r="K587" i="6"/>
  <c r="Q586" i="6"/>
  <c r="S586" i="6" s="1"/>
  <c r="K588" i="6" l="1"/>
  <c r="Q587" i="6"/>
  <c r="S587" i="6" s="1"/>
  <c r="M587" i="6"/>
  <c r="L604" i="6"/>
  <c r="R603" i="6"/>
  <c r="R604" i="6" l="1"/>
  <c r="L605" i="6"/>
  <c r="K589" i="6"/>
  <c r="M588" i="6"/>
  <c r="Q588" i="6"/>
  <c r="S588" i="6" s="1"/>
  <c r="M589" i="6" l="1"/>
  <c r="Q589" i="6"/>
  <c r="S589" i="6" s="1"/>
  <c r="K590" i="6"/>
  <c r="L606" i="6"/>
  <c r="R605" i="6"/>
  <c r="R606" i="6" l="1"/>
  <c r="L607" i="6"/>
  <c r="M590" i="6"/>
  <c r="K591" i="6"/>
  <c r="Q590" i="6"/>
  <c r="S590" i="6" s="1"/>
  <c r="Q591" i="6" l="1"/>
  <c r="S591" i="6" s="1"/>
  <c r="K592" i="6"/>
  <c r="M591" i="6"/>
  <c r="L608" i="6"/>
  <c r="R607" i="6"/>
  <c r="L609" i="6" l="1"/>
  <c r="R608" i="6"/>
  <c r="K593" i="6"/>
  <c r="Q592" i="6"/>
  <c r="S592" i="6" s="1"/>
  <c r="M592" i="6"/>
  <c r="M593" i="6" l="1"/>
  <c r="K594" i="6"/>
  <c r="Q593" i="6"/>
  <c r="S593" i="6" s="1"/>
  <c r="L610" i="6"/>
  <c r="R609" i="6"/>
  <c r="R610" i="6" l="1"/>
  <c r="L611" i="6"/>
  <c r="M594" i="6"/>
  <c r="Q594" i="6"/>
  <c r="S594" i="6" s="1"/>
  <c r="K595" i="6"/>
  <c r="K596" i="6" l="1"/>
  <c r="M595" i="6"/>
  <c r="Q595" i="6"/>
  <c r="S595" i="6" s="1"/>
  <c r="R611" i="6"/>
  <c r="L612" i="6"/>
  <c r="L613" i="6" l="1"/>
  <c r="R612" i="6"/>
  <c r="Q596" i="6"/>
  <c r="S596" i="6" s="1"/>
  <c r="K597" i="6"/>
  <c r="M596" i="6"/>
  <c r="M597" i="6" l="1"/>
  <c r="Q597" i="6"/>
  <c r="S597" i="6" s="1"/>
  <c r="K598" i="6"/>
  <c r="L614" i="6"/>
  <c r="R613" i="6"/>
  <c r="L615" i="6" l="1"/>
  <c r="R614" i="6"/>
  <c r="Q598" i="6"/>
  <c r="S598" i="6" s="1"/>
  <c r="K599" i="6"/>
  <c r="M598" i="6"/>
  <c r="M599" i="6" l="1"/>
  <c r="Q599" i="6"/>
  <c r="S599" i="6" s="1"/>
  <c r="K600" i="6"/>
  <c r="R615" i="6"/>
  <c r="L616" i="6"/>
  <c r="R616" i="6" l="1"/>
  <c r="L617" i="6"/>
  <c r="M600" i="6"/>
  <c r="Q600" i="6"/>
  <c r="S600" i="6" s="1"/>
  <c r="K601" i="6"/>
  <c r="Q601" i="6" l="1"/>
  <c r="S601" i="6" s="1"/>
  <c r="M601" i="6"/>
  <c r="K602" i="6"/>
  <c r="L618" i="6"/>
  <c r="R617" i="6"/>
  <c r="R618" i="6" l="1"/>
  <c r="L619" i="6"/>
  <c r="Q602" i="6"/>
  <c r="S602" i="6" s="1"/>
  <c r="K603" i="6"/>
  <c r="M602" i="6"/>
  <c r="K604" i="6" l="1"/>
  <c r="M603" i="6"/>
  <c r="Q603" i="6"/>
  <c r="S603" i="6" s="1"/>
  <c r="R619" i="6"/>
  <c r="L620" i="6"/>
  <c r="R620" i="6" l="1"/>
  <c r="L621" i="6"/>
  <c r="Q604" i="6"/>
  <c r="S604" i="6" s="1"/>
  <c r="K605" i="6"/>
  <c r="M604" i="6"/>
  <c r="K606" i="6" l="1"/>
  <c r="Q605" i="6"/>
  <c r="S605" i="6" s="1"/>
  <c r="M605" i="6"/>
  <c r="L622" i="6"/>
  <c r="R621" i="6"/>
  <c r="R622" i="6" l="1"/>
  <c r="L623" i="6"/>
  <c r="Q606" i="6"/>
  <c r="S606" i="6" s="1"/>
  <c r="M606" i="6"/>
  <c r="K607" i="6"/>
  <c r="K608" i="6" l="1"/>
  <c r="M607" i="6"/>
  <c r="Q607" i="6"/>
  <c r="S607" i="6" s="1"/>
  <c r="R623" i="6"/>
  <c r="L624" i="6"/>
  <c r="R624" i="6" l="1"/>
  <c r="L625" i="6"/>
  <c r="K609" i="6"/>
  <c r="Q608" i="6"/>
  <c r="S608" i="6" s="1"/>
  <c r="M608" i="6"/>
  <c r="M609" i="6" l="1"/>
  <c r="K610" i="6"/>
  <c r="Q609" i="6"/>
  <c r="S609" i="6" s="1"/>
  <c r="L626" i="6"/>
  <c r="R625" i="6"/>
  <c r="L627" i="6" l="1"/>
  <c r="R626" i="6"/>
  <c r="K611" i="6"/>
  <c r="Q610" i="6"/>
  <c r="S610" i="6" s="1"/>
  <c r="M610" i="6"/>
  <c r="K612" i="6" l="1"/>
  <c r="M611" i="6"/>
  <c r="Q611" i="6"/>
  <c r="S611" i="6" s="1"/>
  <c r="L628" i="6"/>
  <c r="R627" i="6"/>
  <c r="L629" i="6" l="1"/>
  <c r="R628" i="6"/>
  <c r="K613" i="6"/>
  <c r="Q612" i="6"/>
  <c r="S612" i="6" s="1"/>
  <c r="M612" i="6"/>
  <c r="K614" i="6" l="1"/>
  <c r="Q613" i="6"/>
  <c r="S613" i="6" s="1"/>
  <c r="M613" i="6"/>
  <c r="L630" i="6"/>
  <c r="R629" i="6"/>
  <c r="L631" i="6" l="1"/>
  <c r="R630" i="6"/>
  <c r="Q614" i="6"/>
  <c r="S614" i="6" s="1"/>
  <c r="K615" i="6"/>
  <c r="M614" i="6"/>
  <c r="Q615" i="6" l="1"/>
  <c r="S615" i="6" s="1"/>
  <c r="K616" i="6"/>
  <c r="M615" i="6"/>
  <c r="L632" i="6"/>
  <c r="R631" i="6"/>
  <c r="R632" i="6" l="1"/>
  <c r="L633" i="6"/>
  <c r="K617" i="6"/>
  <c r="M616" i="6"/>
  <c r="Q616" i="6"/>
  <c r="S616" i="6" s="1"/>
  <c r="K618" i="6" l="1"/>
  <c r="M617" i="6"/>
  <c r="Q617" i="6"/>
  <c r="S617" i="6" s="1"/>
  <c r="L634" i="6"/>
  <c r="R633" i="6"/>
  <c r="L635" i="6" l="1"/>
  <c r="R634" i="6"/>
  <c r="K619" i="6"/>
  <c r="M618" i="6"/>
  <c r="Q618" i="6"/>
  <c r="S618" i="6" s="1"/>
  <c r="M619" i="6" l="1"/>
  <c r="Q619" i="6"/>
  <c r="S619" i="6" s="1"/>
  <c r="K620" i="6"/>
  <c r="R635" i="6"/>
  <c r="L636" i="6"/>
  <c r="R636" i="6" l="1"/>
  <c r="L637" i="6"/>
  <c r="M620" i="6"/>
  <c r="K621" i="6"/>
  <c r="Q620" i="6"/>
  <c r="S620" i="6" s="1"/>
  <c r="K622" i="6" l="1"/>
  <c r="M621" i="6"/>
  <c r="Q621" i="6"/>
  <c r="S621" i="6" s="1"/>
  <c r="R637" i="6"/>
  <c r="L638" i="6"/>
  <c r="L639" i="6" l="1"/>
  <c r="R638" i="6"/>
  <c r="Q622" i="6"/>
  <c r="S622" i="6" s="1"/>
  <c r="M622" i="6"/>
  <c r="K623" i="6"/>
  <c r="M623" i="6" l="1"/>
  <c r="Q623" i="6"/>
  <c r="S623" i="6" s="1"/>
  <c r="K624" i="6"/>
  <c r="L640" i="6"/>
  <c r="R639" i="6"/>
  <c r="L641" i="6" l="1"/>
  <c r="R640" i="6"/>
  <c r="K625" i="6"/>
  <c r="Q624" i="6"/>
  <c r="S624" i="6" s="1"/>
  <c r="M624" i="6"/>
  <c r="M625" i="6" l="1"/>
  <c r="K626" i="6"/>
  <c r="Q625" i="6"/>
  <c r="S625" i="6" s="1"/>
  <c r="L642" i="6"/>
  <c r="R641" i="6"/>
  <c r="L643" i="6" l="1"/>
  <c r="R642" i="6"/>
  <c r="K627" i="6"/>
  <c r="Q626" i="6"/>
  <c r="S626" i="6" s="1"/>
  <c r="M626" i="6"/>
  <c r="M627" i="6" l="1"/>
  <c r="Q627" i="6"/>
  <c r="S627" i="6" s="1"/>
  <c r="K628" i="6"/>
  <c r="R643" i="6"/>
  <c r="L644" i="6"/>
  <c r="R644" i="6" l="1"/>
  <c r="L645" i="6"/>
  <c r="M628" i="6"/>
  <c r="K629" i="6"/>
  <c r="Q628" i="6"/>
  <c r="S628" i="6" s="1"/>
  <c r="M629" i="6" l="1"/>
  <c r="K630" i="6"/>
  <c r="Q629" i="6"/>
  <c r="S629" i="6" s="1"/>
  <c r="L646" i="6"/>
  <c r="R645" i="6"/>
  <c r="L647" i="6" l="1"/>
  <c r="R646" i="6"/>
  <c r="K631" i="6"/>
  <c r="Q630" i="6"/>
  <c r="S630" i="6" s="1"/>
  <c r="M630" i="6"/>
  <c r="Q631" i="6" l="1"/>
  <c r="S631" i="6" s="1"/>
  <c r="K632" i="6"/>
  <c r="M631" i="6"/>
  <c r="R647" i="6"/>
  <c r="L648" i="6"/>
  <c r="L649" i="6" l="1"/>
  <c r="R648" i="6"/>
  <c r="Q632" i="6"/>
  <c r="S632" i="6" s="1"/>
  <c r="K633" i="6"/>
  <c r="M632" i="6"/>
  <c r="K634" i="6" l="1"/>
  <c r="Q633" i="6"/>
  <c r="S633" i="6" s="1"/>
  <c r="M633" i="6"/>
  <c r="R649" i="6"/>
  <c r="L650" i="6"/>
  <c r="R650" i="6" l="1"/>
  <c r="L651" i="6"/>
  <c r="K635" i="6"/>
  <c r="M634" i="6"/>
  <c r="Q634" i="6"/>
  <c r="S634" i="6" s="1"/>
  <c r="M635" i="6" l="1"/>
  <c r="K636" i="6"/>
  <c r="Q635" i="6"/>
  <c r="S635" i="6" s="1"/>
  <c r="R651" i="6"/>
  <c r="L652" i="6"/>
  <c r="L653" i="6" l="1"/>
  <c r="R652" i="6"/>
  <c r="Q636" i="6"/>
  <c r="S636" i="6" s="1"/>
  <c r="M636" i="6"/>
  <c r="K637" i="6"/>
  <c r="K638" i="6" l="1"/>
  <c r="Q637" i="6"/>
  <c r="S637" i="6" s="1"/>
  <c r="M637" i="6"/>
  <c r="R653" i="6"/>
  <c r="L654" i="6"/>
  <c r="L655" i="6" l="1"/>
  <c r="R654" i="6"/>
  <c r="K639" i="6"/>
  <c r="Q638" i="6"/>
  <c r="S638" i="6" s="1"/>
  <c r="M638" i="6"/>
  <c r="Q639" i="6" l="1"/>
  <c r="S639" i="6" s="1"/>
  <c r="M639" i="6"/>
  <c r="K640" i="6"/>
  <c r="L656" i="6"/>
  <c r="R655" i="6"/>
  <c r="R656" i="6" l="1"/>
  <c r="L657" i="6"/>
  <c r="Q640" i="6"/>
  <c r="S640" i="6" s="1"/>
  <c r="K641" i="6"/>
  <c r="M640" i="6"/>
  <c r="K642" i="6" l="1"/>
  <c r="Q641" i="6"/>
  <c r="S641" i="6" s="1"/>
  <c r="M641" i="6"/>
  <c r="R657" i="6"/>
  <c r="L658" i="6"/>
  <c r="R658" i="6" l="1"/>
  <c r="L659" i="6"/>
  <c r="K643" i="6"/>
  <c r="Q642" i="6"/>
  <c r="S642" i="6" s="1"/>
  <c r="M642" i="6"/>
  <c r="M643" i="6" l="1"/>
  <c r="K644" i="6"/>
  <c r="Q643" i="6"/>
  <c r="S643" i="6" s="1"/>
  <c r="R659" i="6"/>
  <c r="L660" i="6"/>
  <c r="L661" i="6" l="1"/>
  <c r="R660" i="6"/>
  <c r="M644" i="6"/>
  <c r="Q644" i="6"/>
  <c r="S644" i="6" s="1"/>
  <c r="K645" i="6"/>
  <c r="Q645" i="6" l="1"/>
  <c r="S645" i="6" s="1"/>
  <c r="K646" i="6"/>
  <c r="M645" i="6"/>
  <c r="L662" i="6"/>
  <c r="R661" i="6"/>
  <c r="L663" i="6" l="1"/>
  <c r="R662" i="6"/>
  <c r="Q646" i="6"/>
  <c r="S646" i="6" s="1"/>
  <c r="M646" i="6"/>
  <c r="K647" i="6"/>
  <c r="Q647" i="6" l="1"/>
  <c r="S647" i="6" s="1"/>
  <c r="K648" i="6"/>
  <c r="M647" i="6"/>
  <c r="L664" i="6"/>
  <c r="R663" i="6"/>
  <c r="L665" i="6" l="1"/>
  <c r="R664" i="6"/>
  <c r="K649" i="6"/>
  <c r="M648" i="6"/>
  <c r="Q648" i="6"/>
  <c r="S648" i="6" s="1"/>
  <c r="M649" i="6" l="1"/>
  <c r="Q649" i="6"/>
  <c r="S649" i="6" s="1"/>
  <c r="K650" i="6"/>
  <c r="L666" i="6"/>
  <c r="R665" i="6"/>
  <c r="R666" i="6" l="1"/>
  <c r="L667" i="6"/>
  <c r="M650" i="6"/>
  <c r="Q650" i="6"/>
  <c r="S650" i="6" s="1"/>
  <c r="K651" i="6"/>
  <c r="Q651" i="6" l="1"/>
  <c r="S651" i="6" s="1"/>
  <c r="M651" i="6"/>
  <c r="K652" i="6"/>
  <c r="R667" i="6"/>
  <c r="L668" i="6"/>
  <c r="L669" i="6" l="1"/>
  <c r="R668" i="6"/>
  <c r="Q652" i="6"/>
  <c r="S652" i="6" s="1"/>
  <c r="K653" i="6"/>
  <c r="M652" i="6"/>
  <c r="M653" i="6" l="1"/>
  <c r="Q653" i="6"/>
  <c r="S653" i="6" s="1"/>
  <c r="K654" i="6"/>
  <c r="R669" i="6"/>
  <c r="L670" i="6"/>
  <c r="L671" i="6" l="1"/>
  <c r="R670" i="6"/>
  <c r="Q654" i="6"/>
  <c r="S654" i="6" s="1"/>
  <c r="K655" i="6"/>
  <c r="M654" i="6"/>
  <c r="K656" i="6" l="1"/>
  <c r="M655" i="6"/>
  <c r="Q655" i="6"/>
  <c r="S655" i="6" s="1"/>
  <c r="L672" i="6"/>
  <c r="R671" i="6"/>
  <c r="L673" i="6" l="1"/>
  <c r="R672" i="6"/>
  <c r="M656" i="6"/>
  <c r="Q656" i="6"/>
  <c r="S656" i="6" s="1"/>
  <c r="K657" i="6"/>
  <c r="M657" i="6" l="1"/>
  <c r="K658" i="6"/>
  <c r="Q657" i="6"/>
  <c r="S657" i="6" s="1"/>
  <c r="L674" i="6"/>
  <c r="R673" i="6"/>
  <c r="R674" i="6" l="1"/>
  <c r="L675" i="6"/>
  <c r="M658" i="6"/>
  <c r="K659" i="6"/>
  <c r="Q658" i="6"/>
  <c r="S658" i="6" s="1"/>
  <c r="Q659" i="6" l="1"/>
  <c r="S659" i="6" s="1"/>
  <c r="K660" i="6"/>
  <c r="M659" i="6"/>
  <c r="R675" i="6"/>
  <c r="L676" i="6"/>
  <c r="L677" i="6" l="1"/>
  <c r="R676" i="6"/>
  <c r="M660" i="6"/>
  <c r="K661" i="6"/>
  <c r="Q660" i="6"/>
  <c r="S660" i="6" s="1"/>
  <c r="M661" i="6" l="1"/>
  <c r="Q661" i="6"/>
  <c r="S661" i="6" s="1"/>
  <c r="K662" i="6"/>
  <c r="L678" i="6"/>
  <c r="R677" i="6"/>
  <c r="L679" i="6" l="1"/>
  <c r="R678" i="6"/>
  <c r="K663" i="6"/>
  <c r="Q662" i="6"/>
  <c r="S662" i="6" s="1"/>
  <c r="M662" i="6"/>
  <c r="Q663" i="6" l="1"/>
  <c r="S663" i="6" s="1"/>
  <c r="M663" i="6"/>
  <c r="K664" i="6"/>
  <c r="R679" i="6"/>
  <c r="L680" i="6"/>
  <c r="R680" i="6" l="1"/>
  <c r="L681" i="6"/>
  <c r="Q664" i="6"/>
  <c r="S664" i="6" s="1"/>
  <c r="K665" i="6"/>
  <c r="M664" i="6"/>
  <c r="K666" i="6" l="1"/>
  <c r="Q665" i="6"/>
  <c r="S665" i="6" s="1"/>
  <c r="M665" i="6"/>
  <c r="R681" i="6"/>
  <c r="L682" i="6"/>
  <c r="R682" i="6" l="1"/>
  <c r="L683" i="6"/>
  <c r="M666" i="6"/>
  <c r="K667" i="6"/>
  <c r="Q666" i="6"/>
  <c r="S666" i="6" s="1"/>
  <c r="K668" i="6" l="1"/>
  <c r="M667" i="6"/>
  <c r="Q667" i="6"/>
  <c r="S667" i="6" s="1"/>
  <c r="L684" i="6"/>
  <c r="R683" i="6"/>
  <c r="L685" i="6" l="1"/>
  <c r="R684" i="6"/>
  <c r="Q668" i="6"/>
  <c r="S668" i="6" s="1"/>
  <c r="K669" i="6"/>
  <c r="M668" i="6"/>
  <c r="K670" i="6" l="1"/>
  <c r="M669" i="6"/>
  <c r="Q669" i="6"/>
  <c r="S669" i="6" s="1"/>
  <c r="L686" i="6"/>
  <c r="R685" i="6"/>
  <c r="R686" i="6" l="1"/>
  <c r="L687" i="6"/>
  <c r="R687" i="6" s="1"/>
  <c r="M670" i="6"/>
  <c r="Q670" i="6"/>
  <c r="S670" i="6" s="1"/>
  <c r="K671" i="6"/>
  <c r="K672" i="6" l="1"/>
  <c r="Q671" i="6"/>
  <c r="S671" i="6" s="1"/>
  <c r="M671" i="6"/>
  <c r="Q672" i="6" l="1"/>
  <c r="S672" i="6" s="1"/>
  <c r="M672" i="6"/>
  <c r="K673" i="6"/>
  <c r="K674" i="6" l="1"/>
  <c r="Q673" i="6"/>
  <c r="S673" i="6" s="1"/>
  <c r="M673" i="6"/>
  <c r="M674" i="6" l="1"/>
  <c r="Q674" i="6"/>
  <c r="S674" i="6" s="1"/>
  <c r="K675" i="6"/>
  <c r="K676" i="6" l="1"/>
  <c r="M675" i="6"/>
  <c r="Q675" i="6"/>
  <c r="S675" i="6" s="1"/>
  <c r="Q676" i="6" l="1"/>
  <c r="S676" i="6" s="1"/>
  <c r="M676" i="6"/>
  <c r="K677" i="6"/>
  <c r="Q677" i="6" l="1"/>
  <c r="S677" i="6" s="1"/>
  <c r="K678" i="6"/>
  <c r="M677" i="6"/>
  <c r="Q678" i="6" l="1"/>
  <c r="S678" i="6" s="1"/>
  <c r="K679" i="6"/>
  <c r="M678" i="6"/>
  <c r="Q679" i="6" l="1"/>
  <c r="S679" i="6" s="1"/>
  <c r="K680" i="6"/>
  <c r="M679" i="6"/>
  <c r="Q680" i="6" l="1"/>
  <c r="S680" i="6" s="1"/>
  <c r="M680" i="6"/>
  <c r="K681" i="6"/>
  <c r="Q681" i="6" l="1"/>
  <c r="S681" i="6" s="1"/>
  <c r="M681" i="6"/>
  <c r="K682" i="6"/>
  <c r="K683" i="6" l="1"/>
  <c r="Q682" i="6"/>
  <c r="S682" i="6" s="1"/>
  <c r="M682" i="6"/>
  <c r="Q683" i="6" l="1"/>
  <c r="S683" i="6" s="1"/>
  <c r="M683" i="6"/>
  <c r="K684" i="6"/>
  <c r="M684" i="6" l="1"/>
  <c r="Q684" i="6"/>
  <c r="S684" i="6" s="1"/>
  <c r="K685" i="6"/>
  <c r="Q685" i="6" l="1"/>
  <c r="S685" i="6" s="1"/>
  <c r="K686" i="6"/>
  <c r="M685" i="6"/>
  <c r="M686" i="6" l="1"/>
  <c r="Q686" i="6"/>
  <c r="S686" i="6" s="1"/>
  <c r="K687" i="6"/>
  <c r="Q687" i="6" l="1"/>
  <c r="S687" i="6" s="1"/>
  <c r="M68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<sst xmlns="http://schemas.openxmlformats.org/spreadsheetml/2006/main" count="12045" uniqueCount="3820">
  <si>
    <t>火箭</t>
  </si>
  <si>
    <t>日期</t>
  </si>
  <si>
    <t>地点</t>
  </si>
  <si>
    <t>-</t>
  </si>
  <si>
    <t>长征一号</t>
  </si>
  <si>
    <t>遥4</t>
  </si>
  <si>
    <t>东方红一号卫星</t>
  </si>
  <si>
    <t>21时35分44.7秒</t>
  </si>
  <si>
    <t>椭圆轨道</t>
  </si>
  <si>
    <t>酒泉</t>
  </si>
  <si>
    <t>成功</t>
  </si>
  <si>
    <t>实践一号</t>
  </si>
  <si>
    <t>20时03分</t>
  </si>
  <si>
    <t>风暴一号</t>
  </si>
  <si>
    <t>2703X</t>
  </si>
  <si>
    <t>长空一号电子侦察卫星</t>
  </si>
  <si>
    <t>20时12分</t>
  </si>
  <si>
    <t>近地轨道</t>
  </si>
  <si>
    <t>失败</t>
  </si>
  <si>
    <t>21时55分</t>
  </si>
  <si>
    <t>长征二号</t>
  </si>
  <si>
    <t>遥3</t>
  </si>
  <si>
    <t>尖兵一号国土普查卫星00星</t>
  </si>
  <si>
    <t>17时40分</t>
  </si>
  <si>
    <t>21时30分</t>
  </si>
  <si>
    <t>尖兵一号国土普查卫星01星</t>
  </si>
  <si>
    <t>11时29分52秒</t>
  </si>
  <si>
    <t>17时21分</t>
  </si>
  <si>
    <t>19时45分</t>
  </si>
  <si>
    <t>17时05分</t>
  </si>
  <si>
    <t>遥5</t>
  </si>
  <si>
    <t>尖兵一号国土普查卫星02星</t>
  </si>
  <si>
    <t>12时38分</t>
  </si>
  <si>
    <t>遥6</t>
  </si>
  <si>
    <t>尖兵一号国土普查卫星03星</t>
  </si>
  <si>
    <t>12时58分</t>
  </si>
  <si>
    <t>8701</t>
  </si>
  <si>
    <t>05时28分</t>
  </si>
  <si>
    <t>1802</t>
  </si>
  <si>
    <t>实践二号</t>
  </si>
  <si>
    <t>05时28分39.857秒</t>
  </si>
  <si>
    <t>长征二号丙</t>
  </si>
  <si>
    <t>遥1</t>
  </si>
  <si>
    <t>尖兵一号国土普查卫星04星</t>
  </si>
  <si>
    <t>15时19分</t>
  </si>
  <si>
    <t>遥2</t>
  </si>
  <si>
    <t>尖兵一号国土普查卫星05星</t>
  </si>
  <si>
    <t>14时00分</t>
  </si>
  <si>
    <t>长征三号</t>
  </si>
  <si>
    <t>东方红二号试验通信卫星</t>
  </si>
  <si>
    <t>20时25分</t>
  </si>
  <si>
    <t>地球同步转移轨道</t>
  </si>
  <si>
    <t>西昌</t>
  </si>
  <si>
    <t>19时20分02秒</t>
  </si>
  <si>
    <t>尖兵一号国土普查卫星06星</t>
  </si>
  <si>
    <t>13时44分</t>
  </si>
  <si>
    <t>尖兵一号国土普查卫星07星</t>
  </si>
  <si>
    <t>13时04分</t>
  </si>
  <si>
    <t>东方红二号通信卫星</t>
  </si>
  <si>
    <t>20时36分</t>
  </si>
  <si>
    <t>尖兵一号国土普查卫星08星</t>
  </si>
  <si>
    <t>13时40分</t>
  </si>
  <si>
    <t>尖兵一号国土普查卫星09星</t>
  </si>
  <si>
    <t>遥7</t>
  </si>
  <si>
    <t>尖兵一号甲摄影测绘卫星01星</t>
  </si>
  <si>
    <t>东方红二号甲通信卫星</t>
  </si>
  <si>
    <t>20时41分</t>
  </si>
  <si>
    <t>遥8</t>
  </si>
  <si>
    <t>尖兵一号甲摄影测绘卫星02星</t>
  </si>
  <si>
    <t>长征四号甲</t>
  </si>
  <si>
    <t>太阳同步轨道</t>
  </si>
  <si>
    <t>太原</t>
  </si>
  <si>
    <t>20时40分</t>
  </si>
  <si>
    <t>20时27分03秒</t>
  </si>
  <si>
    <t>亚卫一号通信卫星</t>
  </si>
  <si>
    <t>21时30分02.281秒</t>
  </si>
  <si>
    <t>长征二号捆</t>
  </si>
  <si>
    <t>巴达尔A科学实验卫星</t>
  </si>
  <si>
    <t>遥9</t>
  </si>
  <si>
    <t>14时15分</t>
  </si>
  <si>
    <t>20时02分</t>
  </si>
  <si>
    <t>澳星B1通信卫星</t>
  </si>
  <si>
    <t>18时40分</t>
  </si>
  <si>
    <t>长征二号丁</t>
  </si>
  <si>
    <t>16时00分</t>
  </si>
  <si>
    <t>07时00分</t>
  </si>
  <si>
    <t>遥10</t>
  </si>
  <si>
    <t>14时20分05秒</t>
  </si>
  <si>
    <t>澳星B2通信卫星</t>
  </si>
  <si>
    <t>19时20分05.466秒</t>
  </si>
  <si>
    <t>遥11</t>
  </si>
  <si>
    <t>长征三号甲</t>
  </si>
  <si>
    <t>实践四号</t>
  </si>
  <si>
    <t>16时33分53秒</t>
  </si>
  <si>
    <t>高椭圆轨道</t>
  </si>
  <si>
    <t>18时31分</t>
  </si>
  <si>
    <t>澳星B3通信卫星</t>
  </si>
  <si>
    <t>07时10分</t>
  </si>
  <si>
    <t>东方红三号通信卫星01星</t>
  </si>
  <si>
    <t>01时02分</t>
  </si>
  <si>
    <t>06时40分</t>
  </si>
  <si>
    <t>亚卫二号通信卫星</t>
  </si>
  <si>
    <t>19时30分05秒</t>
  </si>
  <si>
    <t>艾科斯达一号通信卫星</t>
  </si>
  <si>
    <t>19时50分</t>
  </si>
  <si>
    <t>长征三号乙</t>
  </si>
  <si>
    <t>国际通信卫星七号A08星</t>
  </si>
  <si>
    <t>03时01分07秒171毫秒</t>
  </si>
  <si>
    <t>18时47分</t>
  </si>
  <si>
    <t>遥14</t>
  </si>
  <si>
    <t>18时27分</t>
  </si>
  <si>
    <t>15时20分</t>
  </si>
  <si>
    <t>00时17分</t>
  </si>
  <si>
    <t>20时01分</t>
  </si>
  <si>
    <t>亞洲廣播衛星三号</t>
  </si>
  <si>
    <t>01时50分</t>
  </si>
  <si>
    <t>铱星模拟卫星A/B</t>
  </si>
  <si>
    <t>22时00分15.7秒</t>
  </si>
  <si>
    <t>电星十号</t>
  </si>
  <si>
    <t>03时13分</t>
  </si>
  <si>
    <t>铱42/44号通信卫星</t>
  </si>
  <si>
    <t>15时16分49秒</t>
  </si>
  <si>
    <t>铱51/61号通信卫星</t>
  </si>
  <si>
    <t>01时01分06秒</t>
  </si>
  <si>
    <t>铱69/71号通信卫星</t>
  </si>
  <si>
    <t>17时16分53秒</t>
  </si>
  <si>
    <t>18时00分04秒</t>
  </si>
  <si>
    <t>17时20分</t>
  </si>
  <si>
    <t>铱76/78号通信卫星</t>
  </si>
  <si>
    <t>07时01分46秒</t>
  </si>
  <si>
    <t>铱88/89号通信卫星</t>
  </si>
  <si>
    <t>19时39分43.801秒</t>
  </si>
  <si>
    <t>长征四号乙</t>
  </si>
  <si>
    <t>09时33分00.755秒</t>
  </si>
  <si>
    <t>铱92/93号通信卫星</t>
  </si>
  <si>
    <t>01时15分33秒</t>
  </si>
  <si>
    <t>实践三号</t>
  </si>
  <si>
    <t>11时16分</t>
  </si>
  <si>
    <t>长征二号己</t>
  </si>
  <si>
    <t>神舟一号试验飞船</t>
  </si>
  <si>
    <t>06时30分03.500秒</t>
  </si>
  <si>
    <t>00时45分05秒</t>
  </si>
  <si>
    <t>遥12</t>
  </si>
  <si>
    <t>11时25分</t>
  </si>
  <si>
    <t>00时02分</t>
  </si>
  <si>
    <t>00时20分</t>
  </si>
  <si>
    <t>神舟二号试验飞船</t>
  </si>
  <si>
    <t>01时00分03.561秒</t>
  </si>
  <si>
    <t>神舟三号试验飞船</t>
  </si>
  <si>
    <t>22时15分03.544秒</t>
  </si>
  <si>
    <t>09时50分</t>
  </si>
  <si>
    <t>开拓者一号</t>
  </si>
  <si>
    <t>开拓一号皮卫星01星</t>
  </si>
  <si>
    <t>10时30分</t>
  </si>
  <si>
    <t>11时17分</t>
  </si>
  <si>
    <t>神舟四号试验飞船</t>
  </si>
  <si>
    <t>00时40分03.543秒</t>
  </si>
  <si>
    <t>00时34分04秒</t>
  </si>
  <si>
    <t>开拓一号皮卫星02星</t>
  </si>
  <si>
    <t>09时00分03.497秒</t>
  </si>
  <si>
    <t>15时20分04秒</t>
  </si>
  <si>
    <t>00时01分</t>
  </si>
  <si>
    <t>探测一号卫星</t>
  </si>
  <si>
    <t>03时06分18秒</t>
  </si>
  <si>
    <t>试验一号</t>
  </si>
  <si>
    <t>23时59分03.521秒</t>
  </si>
  <si>
    <t>探测二号卫星</t>
  </si>
  <si>
    <t>15时05分18秒</t>
  </si>
  <si>
    <t>高橢圓极轨道</t>
  </si>
  <si>
    <t>15时50分05秒</t>
  </si>
  <si>
    <t>07时14分05秒</t>
  </si>
  <si>
    <t>16时00分04秒</t>
  </si>
  <si>
    <t>09时20分04.635秒</t>
  </si>
  <si>
    <t>11时10分</t>
  </si>
  <si>
    <t>遥15</t>
  </si>
  <si>
    <t>试验二号</t>
  </si>
  <si>
    <t>18时45分</t>
  </si>
  <si>
    <t>20时00分</t>
  </si>
  <si>
    <t>遥13</t>
  </si>
  <si>
    <t>15时30分02秒</t>
  </si>
  <si>
    <t>16时45分04秒</t>
  </si>
  <si>
    <t>09时00分03.583秒</t>
  </si>
  <si>
    <t>长征四号丙</t>
  </si>
  <si>
    <t>06时48分11秒</t>
  </si>
  <si>
    <t>遥16</t>
  </si>
  <si>
    <t>实践八号</t>
  </si>
  <si>
    <t>15时00分04秒</t>
  </si>
  <si>
    <t>07时34分03秒</t>
  </si>
  <si>
    <t>鑫诺二号通信卫星</t>
  </si>
  <si>
    <t>00时20分52秒</t>
  </si>
  <si>
    <t>08时53分22.656秒</t>
  </si>
  <si>
    <t>00时28分</t>
  </si>
  <si>
    <t>遥18</t>
  </si>
  <si>
    <t>11时27分15.033秒</t>
  </si>
  <si>
    <t>04时11分08秒</t>
  </si>
  <si>
    <t>尼日利亚通信卫星一号</t>
  </si>
  <si>
    <t>00时01分02.937秒</t>
  </si>
  <si>
    <t>15时12分</t>
  </si>
  <si>
    <t>00时08分</t>
  </si>
  <si>
    <t>20时08分03.807秒</t>
  </si>
  <si>
    <t>遥17</t>
  </si>
  <si>
    <t>11时26分13.445秒</t>
  </si>
  <si>
    <t>06时48分14.843秒</t>
  </si>
  <si>
    <t>长征三号丙</t>
  </si>
  <si>
    <t>23时35分07.852秒</t>
  </si>
  <si>
    <t>11时02分33.070秒</t>
  </si>
  <si>
    <t>20时15分04.393秒</t>
  </si>
  <si>
    <t>11时25分07秒</t>
  </si>
  <si>
    <t>21时10分04.988秒</t>
  </si>
  <si>
    <t>遥22</t>
  </si>
  <si>
    <t>09时15分04.484秒</t>
  </si>
  <si>
    <t>委内瑞拉通信卫星一号</t>
  </si>
  <si>
    <t>00时53分43.093秒</t>
  </si>
  <si>
    <t>08时15分03.909秒</t>
  </si>
  <si>
    <t>遥感四号</t>
  </si>
  <si>
    <t>12时42分03.654秒</t>
  </si>
  <si>
    <t>遥20</t>
  </si>
  <si>
    <t>遥感五号</t>
  </si>
  <si>
    <t>11时22分04.521秒</t>
  </si>
  <si>
    <t>08时54分04.330秒</t>
  </si>
  <si>
    <t>00时16分03秒</t>
  </si>
  <si>
    <t>遥19</t>
  </si>
  <si>
    <t>10时55分04.562秒</t>
  </si>
  <si>
    <t>帕拉帕D通信卫星</t>
  </si>
  <si>
    <t>17时28分</t>
  </si>
  <si>
    <t>遥21</t>
  </si>
  <si>
    <t>实践十一号01</t>
  </si>
  <si>
    <t>10时45分04秒</t>
  </si>
  <si>
    <t>16时42分</t>
  </si>
  <si>
    <t>10时31分04.790秒</t>
  </si>
  <si>
    <t>00时12分04.391秒</t>
  </si>
  <si>
    <t>12时55分05.227秒</t>
  </si>
  <si>
    <t>23时53分04.524秒</t>
  </si>
  <si>
    <t>实践十二号</t>
  </si>
  <si>
    <t>09时39分04.115秒</t>
  </si>
  <si>
    <t>05时30分04.278秒</t>
  </si>
  <si>
    <t>06时49分05.551秒</t>
  </si>
  <si>
    <t>15时10分04.075秒</t>
  </si>
  <si>
    <t>00时14分04.227秒</t>
  </si>
  <si>
    <t>10时42分03.835秒</t>
  </si>
  <si>
    <t>地月转移轨道</t>
  </si>
  <si>
    <t>遥23</t>
  </si>
  <si>
    <t>08时49分05.433秒</t>
  </si>
  <si>
    <t>00时26分03.956秒</t>
  </si>
  <si>
    <t>02时37分12.089秒</t>
  </si>
  <si>
    <t>00时09分04.339秒</t>
  </si>
  <si>
    <t>04时20分04.378秒</t>
  </si>
  <si>
    <t>04时47分04.570秒</t>
  </si>
  <si>
    <t>00时13分04.358秒</t>
  </si>
  <si>
    <t>遥25</t>
  </si>
  <si>
    <t>实践十一号03</t>
  </si>
  <si>
    <t>12时28分03.993秒</t>
  </si>
  <si>
    <t>23时41分03.700秒</t>
  </si>
  <si>
    <t>05时44分28.206秒</t>
  </si>
  <si>
    <t>遥24</t>
  </si>
  <si>
    <t>实践十一号02</t>
  </si>
  <si>
    <t>15时42分03.570秒</t>
  </si>
  <si>
    <t>巴基斯坦通信卫星一号R</t>
  </si>
  <si>
    <t>00时15分04.434秒</t>
  </si>
  <si>
    <t>06时57分19.319秒</t>
  </si>
  <si>
    <t>遥26</t>
  </si>
  <si>
    <t>实践十一号04</t>
  </si>
  <si>
    <t>17时28分03.744秒</t>
  </si>
  <si>
    <t>00时33分03.621秒</t>
  </si>
  <si>
    <t>天1</t>
  </si>
  <si>
    <t>天宫一号目标飞行器</t>
  </si>
  <si>
    <t>21时16分03.507秒</t>
  </si>
  <si>
    <t>欧洲通信卫星16号A</t>
  </si>
  <si>
    <t>16时21分04.348秒</t>
  </si>
  <si>
    <t>05时58分10.430秒</t>
  </si>
  <si>
    <t>11时21分05.279秒</t>
  </si>
  <si>
    <t>试验四号</t>
  </si>
  <si>
    <t>08时15分04.609秒</t>
  </si>
  <si>
    <t>02时50分04.467秒</t>
  </si>
  <si>
    <t>05时07分04.189秒</t>
  </si>
  <si>
    <t>尼日利亚通信卫星一号R</t>
  </si>
  <si>
    <t>00时41分03.663秒</t>
  </si>
  <si>
    <t>11时26分14.025秒</t>
  </si>
  <si>
    <t>11时17分09.979秒</t>
  </si>
  <si>
    <t>08时56分04.326秒</t>
  </si>
  <si>
    <t>00时12分04.289秒</t>
  </si>
  <si>
    <t>18时27分04.438秒</t>
  </si>
  <si>
    <t>04时50分03.968秒</t>
  </si>
  <si>
    <t>15时10分04.736秒</t>
  </si>
  <si>
    <t>15时06分04.493秒</t>
  </si>
  <si>
    <t>23时56分04.241秒</t>
  </si>
  <si>
    <t>15时31分05.187秒</t>
  </si>
  <si>
    <t>18时37分24.558秒</t>
  </si>
  <si>
    <t>23时43分03.769秒</t>
  </si>
  <si>
    <t>03时10分04.179秒</t>
  </si>
  <si>
    <t>12时12分04.576秒</t>
  </si>
  <si>
    <t>11时25分05.010秒</t>
  </si>
  <si>
    <t>23时33分04.198秒</t>
  </si>
  <si>
    <t>新技术试验卫星一号</t>
  </si>
  <si>
    <t>06时53分04.688秒</t>
  </si>
  <si>
    <t>12时06分04秒</t>
  </si>
  <si>
    <t>18时13分03.960秒</t>
  </si>
  <si>
    <t>格克图尔克2号地球观测卫星</t>
  </si>
  <si>
    <t>00时13分04.719秒</t>
  </si>
  <si>
    <t>12时13分04.505秒</t>
  </si>
  <si>
    <t>00时06分04.031秒</t>
  </si>
  <si>
    <t>17时38分02.666秒</t>
  </si>
  <si>
    <t>实践十一号05</t>
  </si>
  <si>
    <t>17时27分03秒</t>
  </si>
  <si>
    <t>实践十五号</t>
  </si>
  <si>
    <t>07时37分55.685秒</t>
  </si>
  <si>
    <t>03时16分</t>
  </si>
  <si>
    <t>快舟一号</t>
  </si>
  <si>
    <t>快舟一号卫星</t>
  </si>
  <si>
    <t>12时37分</t>
  </si>
  <si>
    <t>机动</t>
  </si>
  <si>
    <t>11时07分17.055秒</t>
  </si>
  <si>
    <t>实践十六号01</t>
  </si>
  <si>
    <t>11时50分03.536秒</t>
  </si>
  <si>
    <t>遥28</t>
  </si>
  <si>
    <t>10时50分04.666秒</t>
  </si>
  <si>
    <t>11时31分04.708秒</t>
  </si>
  <si>
    <t>试验五号</t>
  </si>
  <si>
    <t>10时12分04.397秒</t>
  </si>
  <si>
    <t>11时26分</t>
  </si>
  <si>
    <t>遥27</t>
  </si>
  <si>
    <t>玻利维亚通信卫星一号</t>
  </si>
  <si>
    <t>00时42分04秒</t>
  </si>
  <si>
    <t>实践十一号06</t>
  </si>
  <si>
    <t>10时46分03.445秒</t>
  </si>
  <si>
    <t>13时45分03.343秒</t>
  </si>
  <si>
    <t>11时15分04.947秒</t>
  </si>
  <si>
    <t>08时15分04秒</t>
  </si>
  <si>
    <t>11时22分05.053秒</t>
  </si>
  <si>
    <t>遥31</t>
  </si>
  <si>
    <t>实践十一号07</t>
  </si>
  <si>
    <t>13时13分09.954秒</t>
  </si>
  <si>
    <t>14时31分04.803秒</t>
  </si>
  <si>
    <t>02时00分04.829秒</t>
  </si>
  <si>
    <t>地月自由返回轨道</t>
  </si>
  <si>
    <t>遥32</t>
  </si>
  <si>
    <t>实践十一号08</t>
  </si>
  <si>
    <t>14时59分03.654秒</t>
  </si>
  <si>
    <t>遥35</t>
  </si>
  <si>
    <t>02时53分05.153秒</t>
  </si>
  <si>
    <t>15时12分03.787秒</t>
  </si>
  <si>
    <t>快舟二号卫星</t>
  </si>
  <si>
    <t>14时37分08秒</t>
  </si>
  <si>
    <t>11时26分04.613秒</t>
  </si>
  <si>
    <t>03时33分03.880秒</t>
  </si>
  <si>
    <t>遥29</t>
  </si>
  <si>
    <t>09时02分04.197秒</t>
  </si>
  <si>
    <t>21时52分30.598秒</t>
  </si>
  <si>
    <t>遥30</t>
  </si>
  <si>
    <t>14时22分04.731秒</t>
  </si>
  <si>
    <t>20时29分04.411秒</t>
  </si>
  <si>
    <t>中地球轨道</t>
  </si>
  <si>
    <t>10时31分34.989秒</t>
  </si>
  <si>
    <t>23时42分04.418秒</t>
  </si>
  <si>
    <t>12时42分</t>
  </si>
  <si>
    <t>长征六号</t>
  </si>
  <si>
    <t>07时01分14.331秒</t>
  </si>
  <si>
    <t>长征十一号</t>
  </si>
  <si>
    <t>4颗小卫星</t>
  </si>
  <si>
    <t>09时41分40秒</t>
  </si>
  <si>
    <t>遥33</t>
  </si>
  <si>
    <t>07时13分04.225秒</t>
  </si>
  <si>
    <t>遥37</t>
  </si>
  <si>
    <t>12时13分04.760秒</t>
  </si>
  <si>
    <t>遥36</t>
  </si>
  <si>
    <t>00时16分04.272秒</t>
  </si>
  <si>
    <t>15时10分04.462秒</t>
  </si>
  <si>
    <t>遥34</t>
  </si>
  <si>
    <t>00时25分04.238秒</t>
  </si>
  <si>
    <t>15时06分04.806秒</t>
  </si>
  <si>
    <t>遥38</t>
  </si>
  <si>
    <t>老挝通信卫星一号</t>
  </si>
  <si>
    <t>00时07分04.308秒</t>
  </si>
  <si>
    <t>05时24分04.681秒</t>
  </si>
  <si>
    <t>00时46分04.320秒</t>
  </si>
  <si>
    <t>暗物质粒子探测卫星“悟空”</t>
  </si>
  <si>
    <t>08时12分04.713秒</t>
  </si>
  <si>
    <t>00时04分04.262秒</t>
  </si>
  <si>
    <t>00时57分04.080秒</t>
  </si>
  <si>
    <t>15时29分04秒</t>
  </si>
  <si>
    <t>04时11分04.682秒</t>
  </si>
  <si>
    <t>实践十号返回式空间科学实验卫星</t>
  </si>
  <si>
    <t>01时38分04.160秒</t>
  </si>
  <si>
    <t>10时43分</t>
  </si>
  <si>
    <t>11时17分04.523秒</t>
  </si>
  <si>
    <t>23时30分04.361秒</t>
  </si>
  <si>
    <t>长征七号</t>
  </si>
  <si>
    <t>20时00分07.413秒</t>
  </si>
  <si>
    <t>文昌</t>
  </si>
  <si>
    <t>11时21分</t>
  </si>
  <si>
    <t>00时22分04.273秒</t>
  </si>
  <si>
    <t>06时55分25.077秒</t>
  </si>
  <si>
    <t>量子科学实验卫星“墨子”</t>
  </si>
  <si>
    <t>01时40分04.546秒</t>
  </si>
  <si>
    <t>02时55分</t>
  </si>
  <si>
    <t>天2</t>
  </si>
  <si>
    <t>天宫二号空间实验室</t>
  </si>
  <si>
    <t>22时04分12.428秒</t>
  </si>
  <si>
    <t>07时30分31.409秒</t>
  </si>
  <si>
    <t>长征五号</t>
  </si>
  <si>
    <t>07时42分</t>
  </si>
  <si>
    <t>07时14分</t>
  </si>
  <si>
    <t>23时24分04.194秒</t>
  </si>
  <si>
    <t>遥42</t>
  </si>
  <si>
    <t>00时11分04.063秒</t>
  </si>
  <si>
    <t>03时22分04.443秒</t>
  </si>
  <si>
    <t>遥39</t>
  </si>
  <si>
    <t>11时23分56.1210秒</t>
  </si>
  <si>
    <t>23时18分</t>
  </si>
  <si>
    <t>快舟一号甲</t>
  </si>
  <si>
    <t>12时11分12秒</t>
  </si>
  <si>
    <t>开拓者二号</t>
  </si>
  <si>
    <t>天鲲一号</t>
  </si>
  <si>
    <t>07时53分</t>
  </si>
  <si>
    <t>遥43</t>
  </si>
  <si>
    <t>19时04分</t>
  </si>
  <si>
    <t>天舟一号货运飞船</t>
  </si>
  <si>
    <t>19时41分35秒361毫秒</t>
  </si>
  <si>
    <t>11时00分</t>
  </si>
  <si>
    <t>中星9A</t>
  </si>
  <si>
    <t>00时11分</t>
  </si>
  <si>
    <t>19时23分</t>
  </si>
  <si>
    <t>12时21分</t>
  </si>
  <si>
    <t>12时13分</t>
  </si>
  <si>
    <t>02时35分</t>
  </si>
  <si>
    <t>吉林一号视频04-06</t>
  </si>
  <si>
    <t>12时50分</t>
  </si>
  <si>
    <t>02时10分</t>
  </si>
  <si>
    <t>遥47</t>
  </si>
  <si>
    <t>陆地勘查卫星一号</t>
  </si>
  <si>
    <t>12时11分</t>
  </si>
  <si>
    <t>遥40</t>
  </si>
  <si>
    <t>阿尔及利亚一号通信卫星</t>
  </si>
  <si>
    <t>00时40分</t>
  </si>
  <si>
    <t>遥48</t>
  </si>
  <si>
    <t>陆地勘查卫星二号</t>
  </si>
  <si>
    <t>12时14分</t>
  </si>
  <si>
    <t>03时44分</t>
  </si>
  <si>
    <t>11时24分</t>
  </si>
  <si>
    <t>遥45</t>
  </si>
  <si>
    <t>07时18分</t>
  </si>
  <si>
    <t>遥49</t>
  </si>
  <si>
    <t>陆地勘查卫星三号</t>
  </si>
  <si>
    <t>15时10分</t>
  </si>
  <si>
    <t>12时12分</t>
  </si>
  <si>
    <t>13时39分</t>
  </si>
  <si>
    <t>张衡一号</t>
  </si>
  <si>
    <t>15时51分</t>
  </si>
  <si>
    <t>极地轨道</t>
  </si>
  <si>
    <t>13时03分</t>
  </si>
  <si>
    <t>遥50</t>
  </si>
  <si>
    <t>陆地勘查卫星四号</t>
  </si>
  <si>
    <t>01时56分</t>
  </si>
  <si>
    <t>11时22分</t>
  </si>
  <si>
    <t>12时25分</t>
  </si>
  <si>
    <t>遥55</t>
  </si>
  <si>
    <t>00时06分</t>
  </si>
  <si>
    <t>高分五号</t>
  </si>
  <si>
    <t>02时28分</t>
  </si>
  <si>
    <t>高分六号</t>
  </si>
  <si>
    <t>21时07分</t>
  </si>
  <si>
    <t>遥44</t>
  </si>
  <si>
    <t>新技术试验双星</t>
  </si>
  <si>
    <t>11时30分</t>
  </si>
  <si>
    <t>11时56分</t>
  </si>
  <si>
    <t>04时58分</t>
  </si>
  <si>
    <t>09时48分</t>
  </si>
  <si>
    <t>高分十一号</t>
  </si>
  <si>
    <t>07时52分</t>
  </si>
  <si>
    <t>11时15分</t>
  </si>
  <si>
    <t>遥51</t>
  </si>
  <si>
    <t>22时07分</t>
  </si>
  <si>
    <t>遥52</t>
  </si>
  <si>
    <t>12时23分</t>
  </si>
  <si>
    <t>06时57分</t>
  </si>
  <si>
    <t>朱雀一号</t>
  </si>
  <si>
    <t>朱雀·南太湖号</t>
  </si>
  <si>
    <t>08时43分</t>
  </si>
  <si>
    <t>遥41</t>
  </si>
  <si>
    <t>23时57分</t>
  </si>
  <si>
    <t>遥53</t>
  </si>
  <si>
    <t>02时07分</t>
  </si>
  <si>
    <t>试验六号</t>
  </si>
  <si>
    <t>07时40分</t>
  </si>
  <si>
    <t>虹云工程技术验证卫星</t>
  </si>
  <si>
    <t>07时51分</t>
  </si>
  <si>
    <t>00时53分</t>
  </si>
  <si>
    <t>遥56</t>
  </si>
  <si>
    <t>中星2D</t>
  </si>
  <si>
    <t>01时11分</t>
  </si>
  <si>
    <t>13时42分</t>
  </si>
  <si>
    <t>遥54</t>
  </si>
  <si>
    <t>中星6C</t>
  </si>
  <si>
    <t>OS-M</t>
  </si>
  <si>
    <t>17时39分</t>
  </si>
  <si>
    <t>23时51分</t>
  </si>
  <si>
    <t>遥59</t>
  </si>
  <si>
    <t>22时41分</t>
  </si>
  <si>
    <t>06时52分</t>
  </si>
  <si>
    <t>23时48分</t>
  </si>
  <si>
    <t>06时49分</t>
  </si>
  <si>
    <t>长征十一号海</t>
  </si>
  <si>
    <t>12时06分</t>
  </si>
  <si>
    <t>海上</t>
  </si>
  <si>
    <t>遥60</t>
  </si>
  <si>
    <t>02时09分</t>
  </si>
  <si>
    <t>双曲线一号</t>
  </si>
  <si>
    <t>13时00分</t>
  </si>
  <si>
    <t>11时57分</t>
  </si>
  <si>
    <t>捷龙一号</t>
  </si>
  <si>
    <t>遥58</t>
  </si>
  <si>
    <t>07时41分</t>
  </si>
  <si>
    <t>14时42分</t>
  </si>
  <si>
    <t>遥65</t>
  </si>
  <si>
    <t>05时10分</t>
  </si>
  <si>
    <t>08时54分</t>
  </si>
  <si>
    <t>高分十号</t>
  </si>
  <si>
    <t>02时51分</t>
  </si>
  <si>
    <t>遥57</t>
  </si>
  <si>
    <t>23时21分</t>
  </si>
  <si>
    <t>高分七号</t>
  </si>
  <si>
    <t>遥61</t>
  </si>
  <si>
    <t>01时43分</t>
  </si>
  <si>
    <t>吉林一号高分02A</t>
  </si>
  <si>
    <t>11时40分</t>
  </si>
  <si>
    <t>14时35分</t>
  </si>
  <si>
    <t>全球多媒体卫星系统α阶段A/B卫星</t>
  </si>
  <si>
    <t>18时00分</t>
  </si>
  <si>
    <t>遥66</t>
  </si>
  <si>
    <t>08时55分</t>
  </si>
  <si>
    <t>吉林一号高分02B</t>
  </si>
  <si>
    <t>10时55分</t>
  </si>
  <si>
    <t>16时52分</t>
  </si>
  <si>
    <t>遥67</t>
  </si>
  <si>
    <t>15时22分</t>
  </si>
  <si>
    <t>遥62</t>
  </si>
  <si>
    <t>23时20分</t>
  </si>
  <si>
    <t>10时53分04.636秒</t>
  </si>
  <si>
    <t>银河航天首发星</t>
  </si>
  <si>
    <t>11时02分</t>
  </si>
  <si>
    <t>05时07分</t>
  </si>
  <si>
    <t>遥69</t>
  </si>
  <si>
    <t>19时55分</t>
  </si>
  <si>
    <t>长征七号甲</t>
  </si>
  <si>
    <t>21时34分</t>
  </si>
  <si>
    <t>11时43分</t>
  </si>
  <si>
    <t>遥71</t>
  </si>
  <si>
    <t>19时46分</t>
  </si>
  <si>
    <t>长征五号乙</t>
  </si>
  <si>
    <t>新一代载人飞船试验船</t>
  </si>
  <si>
    <t>18时00分27.092秒</t>
  </si>
  <si>
    <t>09时16分40秒</t>
  </si>
  <si>
    <t>04时13分</t>
  </si>
  <si>
    <t>16时53分</t>
  </si>
  <si>
    <t>02时31分</t>
  </si>
  <si>
    <t>遥68</t>
  </si>
  <si>
    <t>09时43分</t>
  </si>
  <si>
    <t>高分辨率多模综合成像卫星</t>
  </si>
  <si>
    <t>试验六号B</t>
  </si>
  <si>
    <t>07时44分</t>
  </si>
  <si>
    <t>遥64</t>
  </si>
  <si>
    <t>20时11分</t>
  </si>
  <si>
    <t>快舟十一号</t>
  </si>
  <si>
    <t>12时17分</t>
  </si>
  <si>
    <t>天问一号火星探測器</t>
  </si>
  <si>
    <t>12时41分15秒167毫秒</t>
  </si>
  <si>
    <t>地火转移轨道</t>
  </si>
  <si>
    <t>11时13分</t>
  </si>
  <si>
    <t>12时01分</t>
  </si>
  <si>
    <t>10时27分</t>
  </si>
  <si>
    <t>遥46</t>
  </si>
  <si>
    <t>13时57分04秒918毫秒</t>
  </si>
  <si>
    <t>13时02分</t>
  </si>
  <si>
    <t>09时23分</t>
  </si>
  <si>
    <t>11时23分</t>
  </si>
  <si>
    <t>遥63</t>
  </si>
  <si>
    <t>00时57分04秒250毫秒</t>
  </si>
  <si>
    <t>23时19分05秒115毫秒</t>
  </si>
  <si>
    <t>11时19分14秒901毫秒</t>
  </si>
  <si>
    <t>谷神星一号</t>
  </si>
  <si>
    <t>遥73</t>
  </si>
  <si>
    <t>23时59分04秒058毫秒</t>
  </si>
  <si>
    <t>遥70</t>
  </si>
  <si>
    <t>11时58分14秒250毫秒</t>
  </si>
  <si>
    <t>04时14分43秒253毫秒</t>
  </si>
  <si>
    <t>长征八号</t>
  </si>
  <si>
    <t>12时37分37秒198毫秒</t>
  </si>
  <si>
    <t>遥感三十三号</t>
  </si>
  <si>
    <t>23时44分</t>
  </si>
  <si>
    <t>遥74</t>
  </si>
  <si>
    <t>00时25分04秒723毫秒</t>
  </si>
  <si>
    <t>12时47分</t>
  </si>
  <si>
    <t>16时15分</t>
  </si>
  <si>
    <t>遥77</t>
  </si>
  <si>
    <t>通信技术试验六号</t>
  </si>
  <si>
    <t>23时36分04秒286毫秒</t>
  </si>
  <si>
    <t>10时22分</t>
  </si>
  <si>
    <t>试验九号</t>
  </si>
  <si>
    <t>10时19分</t>
  </si>
  <si>
    <t>06时45分</t>
  </si>
  <si>
    <t>试验六号C</t>
  </si>
  <si>
    <t>11时20分</t>
  </si>
  <si>
    <t>11时23分15秒613毫秒</t>
  </si>
  <si>
    <t>遥感三十四号</t>
  </si>
  <si>
    <t>15时27分</t>
  </si>
  <si>
    <t>02时11分04秒959毫秒</t>
  </si>
  <si>
    <t>12时03分</t>
  </si>
  <si>
    <t>天舟二号货运飞船</t>
  </si>
  <si>
    <t>20时55分29秒373毫秒</t>
  </si>
  <si>
    <t>遥72</t>
  </si>
  <si>
    <t>00时17分04.273秒</t>
  </si>
  <si>
    <t>11时03分</t>
  </si>
  <si>
    <t>09时22分31.693秒</t>
  </si>
  <si>
    <t>14时30分</t>
  </si>
  <si>
    <t>10时51分</t>
  </si>
  <si>
    <t>07时28分</t>
  </si>
  <si>
    <t>23时53分</t>
  </si>
  <si>
    <t>19时59分</t>
  </si>
  <si>
    <t>08时19分</t>
  </si>
  <si>
    <t>吉林一号魔方01A</t>
  </si>
  <si>
    <t>15时39分</t>
  </si>
  <si>
    <t>19时01分</t>
  </si>
  <si>
    <t>遥76</t>
  </si>
  <si>
    <t>00时30分04秒926毫秒</t>
  </si>
  <si>
    <t>06时32分</t>
  </si>
  <si>
    <t>19时15分</t>
  </si>
  <si>
    <t>遥78</t>
  </si>
  <si>
    <t>23时41分</t>
  </si>
  <si>
    <t>11时01分</t>
  </si>
  <si>
    <t>遥86</t>
  </si>
  <si>
    <t>中星9B</t>
  </si>
  <si>
    <t>天舟三号货运飞船</t>
  </si>
  <si>
    <t>15时10分11秒392毫秒</t>
  </si>
  <si>
    <t>14时19分</t>
  </si>
  <si>
    <t>遥81</t>
  </si>
  <si>
    <t>16时20分</t>
  </si>
  <si>
    <t>18时51分</t>
  </si>
  <si>
    <t>遥83</t>
  </si>
  <si>
    <t>实践二十一号星</t>
  </si>
  <si>
    <t>09时27分03秒780毫秒</t>
  </si>
  <si>
    <t>15时43分</t>
  </si>
  <si>
    <t>可持续发展科学卫星1号</t>
  </si>
  <si>
    <t>高分十一号03</t>
  </si>
  <si>
    <t>09时51分</t>
  </si>
  <si>
    <t>高分三号02</t>
  </si>
  <si>
    <t>07时45分</t>
  </si>
  <si>
    <t>试验十一号</t>
  </si>
  <si>
    <t>遥79</t>
  </si>
  <si>
    <t>中星1D</t>
  </si>
  <si>
    <t>00时40分04秒531毫秒</t>
  </si>
  <si>
    <t>12时12分30秒</t>
  </si>
  <si>
    <t>08时11分</t>
  </si>
  <si>
    <t>遥82</t>
  </si>
  <si>
    <t>00时09分</t>
  </si>
  <si>
    <t>GeeSAT双星</t>
  </si>
  <si>
    <t>10时00分</t>
  </si>
  <si>
    <t>18时12分</t>
  </si>
  <si>
    <t>11时11分31秒</t>
  </si>
  <si>
    <t>天绘四号</t>
  </si>
  <si>
    <t>19时13分</t>
  </si>
  <si>
    <t>遥84</t>
  </si>
  <si>
    <t>通信技术试验九号</t>
  </si>
  <si>
    <t>00时43分03秒</t>
  </si>
  <si>
    <t>试验十三号</t>
  </si>
  <si>
    <t>10时35分</t>
  </si>
  <si>
    <t>陆地探测一号01A</t>
  </si>
  <si>
    <t>陆地探测一号01B</t>
  </si>
  <si>
    <t>11时06分</t>
  </si>
  <si>
    <t>14时01分</t>
  </si>
  <si>
    <t>15时09分</t>
  </si>
  <si>
    <t>长征六号甲</t>
  </si>
  <si>
    <t>17时50分</t>
  </si>
  <si>
    <t>9A</t>
  </si>
  <si>
    <t>天平二号A-C</t>
  </si>
  <si>
    <t>10时29分</t>
  </si>
  <si>
    <t>07时47分</t>
  </si>
  <si>
    <t>遥89</t>
  </si>
  <si>
    <t>中星6D</t>
  </si>
  <si>
    <t>02时16分</t>
  </si>
  <si>
    <t>12时11分33秒</t>
  </si>
  <si>
    <t>10时38分</t>
  </si>
  <si>
    <t>01时56分37秒376毫秒</t>
  </si>
  <si>
    <t>18时30分</t>
  </si>
  <si>
    <t>12时00分</t>
  </si>
  <si>
    <t>10时44分07秒460`毫秒</t>
  </si>
  <si>
    <t>天行一号</t>
  </si>
  <si>
    <t>10时08分</t>
  </si>
  <si>
    <t>95A</t>
  </si>
  <si>
    <t>高分十二号03</t>
  </si>
  <si>
    <t>23时46分</t>
  </si>
  <si>
    <t>遥85</t>
  </si>
  <si>
    <t>天链二号03</t>
  </si>
  <si>
    <t>00时30分</t>
  </si>
  <si>
    <t>问天实验舱</t>
  </si>
  <si>
    <t>14时22分32秒57毫秒</t>
  </si>
  <si>
    <t>力箭一号</t>
  </si>
  <si>
    <t>21时25分</t>
  </si>
  <si>
    <t>11时08分</t>
  </si>
  <si>
    <t>01时37分</t>
  </si>
  <si>
    <t>10时36分</t>
  </si>
  <si>
    <t>遥75</t>
  </si>
  <si>
    <t>11时05分</t>
  </si>
  <si>
    <t>遥感三十三号02</t>
  </si>
  <si>
    <t>10时24分</t>
  </si>
  <si>
    <t>12时19分</t>
  </si>
  <si>
    <t>中星1E</t>
  </si>
  <si>
    <t>21时18分24秒</t>
  </si>
  <si>
    <t>云海一号03</t>
  </si>
  <si>
    <t>07时15分</t>
  </si>
  <si>
    <t>试验十四号/试验十五号</t>
  </si>
  <si>
    <t>06时55分</t>
  </si>
  <si>
    <t>21时38分</t>
  </si>
  <si>
    <t>07时50分</t>
  </si>
  <si>
    <t>21时10分</t>
  </si>
  <si>
    <t>夸父一号(先进天基太阳天文台ASO-S)</t>
  </si>
  <si>
    <t>07时43分</t>
  </si>
  <si>
    <t>06时53分</t>
  </si>
  <si>
    <t>03时12分</t>
  </si>
  <si>
    <t>试验二十号C</t>
  </si>
  <si>
    <t>09时01分</t>
  </si>
  <si>
    <t>梦天实验舱</t>
  </si>
  <si>
    <t>15时37分23秒191毫秒</t>
  </si>
  <si>
    <t>遥91</t>
  </si>
  <si>
    <t>天舟五号货运飞船</t>
  </si>
  <si>
    <t>10时03分12秒374毫秒</t>
  </si>
  <si>
    <t>09时38分</t>
  </si>
  <si>
    <t>14时20分</t>
  </si>
  <si>
    <t>20时23分</t>
  </si>
  <si>
    <t>23时08分17秒457毫秒</t>
  </si>
  <si>
    <t>行云交通VDES试验卫星</t>
  </si>
  <si>
    <t>09时15分</t>
  </si>
  <si>
    <t>高分五号01A</t>
  </si>
  <si>
    <t>捷龙三号</t>
  </si>
  <si>
    <t>16时23分</t>
  </si>
  <si>
    <t>朱雀二号</t>
  </si>
  <si>
    <t>首飞</t>
  </si>
  <si>
    <t>17时10分</t>
  </si>
  <si>
    <t>遥80</t>
  </si>
  <si>
    <t>02时25分</t>
  </si>
  <si>
    <t>试验二十一号</t>
  </si>
  <si>
    <t>14时17分</t>
  </si>
  <si>
    <t>15时37分</t>
  </si>
  <si>
    <t>遥88</t>
  </si>
  <si>
    <t>试验十号02</t>
  </si>
  <si>
    <t>12时43分</t>
  </si>
  <si>
    <t>实践二十三号</t>
  </si>
  <si>
    <t>06时00分</t>
  </si>
  <si>
    <t>亚太6E</t>
  </si>
  <si>
    <t>15时00分</t>
  </si>
  <si>
    <t>11时14分</t>
  </si>
  <si>
    <t>遥93</t>
  </si>
  <si>
    <t>中星26</t>
  </si>
  <si>
    <t>19时49分</t>
  </si>
  <si>
    <t>荷鲁斯1号</t>
  </si>
  <si>
    <t>06时41分</t>
  </si>
  <si>
    <t>荷鲁斯2号</t>
  </si>
  <si>
    <t>12时02分</t>
  </si>
  <si>
    <t>试验十九号</t>
  </si>
  <si>
    <t>19时41分</t>
  </si>
  <si>
    <t>遥90</t>
  </si>
  <si>
    <t>高分十三号02</t>
  </si>
  <si>
    <t>16时33分</t>
  </si>
  <si>
    <t>天目一号03-06</t>
  </si>
  <si>
    <t>17时09分</t>
  </si>
  <si>
    <t>18时50分</t>
  </si>
  <si>
    <t>14时27分</t>
  </si>
  <si>
    <t>天龙二号</t>
  </si>
  <si>
    <t>爱太空科学号(金塔号)</t>
  </si>
  <si>
    <t>16时48分16秒459毫秒</t>
  </si>
  <si>
    <t>验证飞行</t>
  </si>
  <si>
    <t>09时36分</t>
  </si>
  <si>
    <t>遥87</t>
  </si>
  <si>
    <t>引力一号</t>
  </si>
  <si>
    <t>发射日期</t>
  </si>
  <si>
    <t>返回日期</t>
  </si>
  <si>
    <t>FIR</t>
  </si>
  <si>
    <t>Start</t>
  </si>
  <si>
    <t>End</t>
  </si>
  <si>
    <t>实际发射时间</t>
  </si>
  <si>
    <t>发射地</t>
  </si>
  <si>
    <t>ZPKM</t>
  </si>
  <si>
    <t>ZJSA</t>
  </si>
  <si>
    <t>ZHWH</t>
  </si>
  <si>
    <t>VVHN</t>
  </si>
  <si>
    <t>ZLHW</t>
  </si>
  <si>
    <t>YMMM</t>
  </si>
  <si>
    <t xml:space="preserve">	长征四号丙</t>
  </si>
  <si>
    <t>VYYF</t>
  </si>
  <si>
    <t>RJJJ</t>
  </si>
  <si>
    <t>VVHM</t>
  </si>
  <si>
    <t>ZSHA</t>
  </si>
  <si>
    <t>东海</t>
  </si>
  <si>
    <t>VCCF</t>
  </si>
  <si>
    <t xml:space="preserve">RJJJ </t>
  </si>
  <si>
    <t>VOMF</t>
  </si>
  <si>
    <t>ZGZU</t>
  </si>
  <si>
    <t>NFFF</t>
  </si>
  <si>
    <t>YBBB</t>
  </si>
  <si>
    <t>ZKPM</t>
  </si>
  <si>
    <t>ZBPE</t>
  </si>
  <si>
    <t>黄海</t>
  </si>
  <si>
    <t>RPHI</t>
  </si>
  <si>
    <t>VHHK</t>
  </si>
  <si>
    <t>RCAA</t>
  </si>
  <si>
    <t>MSAC</t>
  </si>
  <si>
    <t>春节</t>
  </si>
  <si>
    <t>KZAK</t>
  </si>
  <si>
    <t>ZPKW</t>
  </si>
  <si>
    <t>长征三号丙/远征一号</t>
  </si>
  <si>
    <t>开拓者二号A</t>
  </si>
  <si>
    <t>年份</t>
  </si>
  <si>
    <t>总计</t>
  </si>
  <si>
    <t>长征
合计</t>
  </si>
  <si>
    <t>长征
一号</t>
  </si>
  <si>
    <t>长征
二号</t>
  </si>
  <si>
    <t>长征
三号</t>
  </si>
  <si>
    <t>其他
合计</t>
  </si>
  <si>
    <t>风暴
一号</t>
  </si>
  <si>
    <t>开拓者
一号</t>
  </si>
  <si>
    <t>开拓者
二号</t>
  </si>
  <si>
    <t>快舟
一号</t>
  </si>
  <si>
    <t>朱雀
一号</t>
  </si>
  <si>
    <t>捷龙
一号</t>
  </si>
  <si>
    <t>成功率</t>
  </si>
  <si>
    <t>成功数</t>
  </si>
  <si>
    <t>发射数</t>
  </si>
  <si>
    <t>长征运载火箭逐年发射成败统计</t>
  </si>
  <si>
    <t>非长征运载火箭逐年发射成败统计</t>
  </si>
  <si>
    <t>中国运载火箭逐年发射成败统计</t>
  </si>
  <si>
    <t>年计
发射次</t>
  </si>
  <si>
    <t>年计
成功次</t>
  </si>
  <si>
    <t>年计
成功率</t>
  </si>
  <si>
    <t>累计
发射次</t>
  </si>
  <si>
    <t>累计
成功次</t>
  </si>
  <si>
    <t>累计
成功率</t>
  </si>
  <si>
    <t>长征运载火箭逐年发射地统计</t>
  </si>
  <si>
    <t>非长征运载火箭逐年发射地统计</t>
  </si>
  <si>
    <t>中国运载火箭逐年发射统计</t>
  </si>
  <si>
    <t>合计</t>
  </si>
  <si>
    <t>累计发射</t>
  </si>
  <si>
    <t>年月</t>
  </si>
  <si>
    <t>长征运载火箭逐月发射成败统计</t>
  </si>
  <si>
    <t>非长征运载火箭逐月发射成败统计</t>
  </si>
  <si>
    <t>中国运载火箭逐月发射成败统计</t>
  </si>
  <si>
    <t>月计
发射次</t>
  </si>
  <si>
    <t>月计
成功次</t>
  </si>
  <si>
    <t>月计
成功率</t>
  </si>
  <si>
    <t>长征运载火箭逐月发射地统计</t>
  </si>
  <si>
    <t>非长征运载火箭逐月发射地统计</t>
  </si>
  <si>
    <t>中国运载火箭逐月发射地统计</t>
  </si>
  <si>
    <t>累计</t>
  </si>
  <si>
    <t>2021年累计</t>
  </si>
  <si>
    <t>2022年累计</t>
  </si>
  <si>
    <t>2023年累计</t>
  </si>
  <si>
    <t>No</t>
  </si>
  <si>
    <t>型号</t>
  </si>
  <si>
    <t>服役期间</t>
  </si>
  <si>
    <t>推进剂</t>
  </si>
  <si>
    <t>级数</t>
  </si>
  <si>
    <t>落区</t>
  </si>
  <si>
    <t>长度
（m）</t>
  </si>
  <si>
    <t>直径
（m）</t>
  </si>
  <si>
    <t>起飞质量
（t）</t>
  </si>
  <si>
    <t>起飞推力
（kN）</t>
  </si>
  <si>
    <t>LEO（200km）
载荷（t）</t>
  </si>
  <si>
    <t>轨道</t>
  </si>
  <si>
    <t>无毒燃料</t>
  </si>
  <si>
    <t>非长征系列</t>
  </si>
  <si>
    <t>退役</t>
  </si>
  <si>
    <t>国内</t>
  </si>
  <si>
    <t>国外</t>
  </si>
  <si>
    <t>2019～</t>
  </si>
  <si>
    <t>固体</t>
  </si>
  <si>
    <t>SSO</t>
  </si>
  <si>
    <t>2017～</t>
  </si>
  <si>
    <t>LEO, SSO</t>
  </si>
  <si>
    <t>2020～</t>
  </si>
  <si>
    <t>2015～</t>
  </si>
  <si>
    <t>1-2</t>
  </si>
  <si>
    <t>2021～</t>
  </si>
  <si>
    <t>2022～</t>
  </si>
  <si>
    <t>2023～</t>
  </si>
  <si>
    <t>液氧+煤油</t>
  </si>
  <si>
    <t>1982～</t>
  </si>
  <si>
    <t>四氧化二氮+偏二甲肼</t>
  </si>
  <si>
    <t>1992～</t>
  </si>
  <si>
    <t>1999～</t>
  </si>
  <si>
    <t>2007～</t>
  </si>
  <si>
    <t>液氧+煤油/固体</t>
  </si>
  <si>
    <t>液氧+煤油/液氧+液氢</t>
  </si>
  <si>
    <t>2-3</t>
  </si>
  <si>
    <t>ETO</t>
  </si>
  <si>
    <t>液氧+甲烷</t>
  </si>
  <si>
    <t>1994～2017</t>
  </si>
  <si>
    <t>四氧化二氮+偏二甲肼/液氧+液氢</t>
  </si>
  <si>
    <t>LEO</t>
  </si>
  <si>
    <t>2008～2021</t>
  </si>
  <si>
    <t>1996～</t>
  </si>
  <si>
    <t>2016～</t>
  </si>
  <si>
    <t>中国相关飞行情报区代号</t>
  </si>
  <si>
    <t>城市</t>
  </si>
  <si>
    <t>国家</t>
  </si>
  <si>
    <t>A3271/21 NOTAMN</t>
  </si>
  <si>
    <t>北京</t>
  </si>
  <si>
    <t>中国</t>
  </si>
  <si>
    <t>Q) ZLHW/QRTCA/IV/BO/W/000/999/3257N09917E021</t>
  </si>
  <si>
    <t>飞行情报区代号/</t>
  </si>
  <si>
    <t>广州</t>
  </si>
  <si>
    <t xml:space="preserve">A) ZLHW </t>
  </si>
  <si>
    <t>飞行情报区代号</t>
  </si>
  <si>
    <t>武汉</t>
  </si>
  <si>
    <t xml:space="preserve">B) 2112291105 </t>
  </si>
  <si>
    <t>开始时间(UTC)</t>
  </si>
  <si>
    <t>三亚</t>
  </si>
  <si>
    <t>C) 2112291200</t>
  </si>
  <si>
    <t>结束时间(UTC)</t>
  </si>
  <si>
    <t>兰州</t>
  </si>
  <si>
    <t xml:space="preserve">E) A TEMPORARY RESTRICTED AREA ESTABLISHED BOUNDED BY: N323741E0992645-N323932E0990430-N331713E0990849-N331522E0993112, </t>
  </si>
  <si>
    <t>昆明</t>
  </si>
  <si>
    <t xml:space="preserve">     BACK TO START. ALL ACFT ARE FORBIDDEN TO FLY INTO THE TEMPORARY RESTRICTED AREA. VERTICAL LIMITS: GND-UNL.</t>
  </si>
  <si>
    <t>上海</t>
  </si>
  <si>
    <t xml:space="preserve">F) GND </t>
  </si>
  <si>
    <t>从地面</t>
  </si>
  <si>
    <t>ZWUQ</t>
  </si>
  <si>
    <t>乌鲁木齐</t>
  </si>
  <si>
    <t>G) UNL</t>
  </si>
  <si>
    <t>到高空</t>
  </si>
  <si>
    <t>ZYSH</t>
  </si>
  <si>
    <t>沈阳</t>
  </si>
  <si>
    <t>CREATED: 24 Dec 2021 06:32:00</t>
  </si>
  <si>
    <t>香港</t>
  </si>
  <si>
    <t>SOURCE: ZBBBYNYX</t>
  </si>
  <si>
    <t>台北</t>
  </si>
  <si>
    <t>福冈</t>
  </si>
  <si>
    <t>日本</t>
  </si>
  <si>
    <t>马尼拉</t>
  </si>
  <si>
    <t>菲律宾</t>
  </si>
  <si>
    <t>LC-90: CZ-2F</t>
  </si>
  <si>
    <t>科伦坡</t>
  </si>
  <si>
    <t>斯里兰卡</t>
  </si>
  <si>
    <t>LC-94: CZ-2C/2D/4B/4C</t>
  </si>
  <si>
    <t>欽奈</t>
  </si>
  <si>
    <t>印度</t>
  </si>
  <si>
    <t>LC-95A/B:  CZ-11/KZ-1A/KZ-11/Gushenxing-1/Shuangquxian-1</t>
  </si>
  <si>
    <t>胡志明</t>
  </si>
  <si>
    <t>越南</t>
  </si>
  <si>
    <t>LC-96: ZQ-2</t>
  </si>
  <si>
    <t>河内</t>
  </si>
  <si>
    <t>仰光</t>
  </si>
  <si>
    <t>缅甸</t>
  </si>
  <si>
    <t>LC-138: CZ-2/2C/2D</t>
  </si>
  <si>
    <t>墨尔本</t>
  </si>
  <si>
    <t>澳大利亚</t>
  </si>
  <si>
    <t>LC-5020: CZ-1</t>
  </si>
  <si>
    <t>布里斯班</t>
  </si>
  <si>
    <t>纳迪</t>
  </si>
  <si>
    <t>斐济</t>
  </si>
  <si>
    <t>美国</t>
  </si>
  <si>
    <t>RKRR</t>
  </si>
  <si>
    <t>仁川</t>
  </si>
  <si>
    <t>韩国</t>
  </si>
  <si>
    <t>NTTT</t>
  </si>
  <si>
    <t>北斗三号IGSO1</t>
    <phoneticPr fontId="2"/>
  </si>
  <si>
    <t>北斗三号IGSO2</t>
    <phoneticPr fontId="2"/>
  </si>
  <si>
    <t>北斗三号IGSO3</t>
    <phoneticPr fontId="2"/>
  </si>
  <si>
    <t>北斗三号G1</t>
    <phoneticPr fontId="2"/>
  </si>
  <si>
    <t>北斗三号G2</t>
    <phoneticPr fontId="2"/>
  </si>
  <si>
    <t>北斗三号G3</t>
    <phoneticPr fontId="2"/>
  </si>
  <si>
    <t>ZBPE</t>
    <phoneticPr fontId="2"/>
  </si>
  <si>
    <t>长征系列运载火箭发展演变简图</t>
    <phoneticPr fontId="2"/>
  </si>
  <si>
    <t>非长征系列运载火箭</t>
    <phoneticPr fontId="2"/>
  </si>
  <si>
    <t>长征二号丙</t>
    <phoneticPr fontId="2"/>
  </si>
  <si>
    <t>遥60</t>
    <phoneticPr fontId="2"/>
  </si>
  <si>
    <r>
      <t>2020年累</t>
    </r>
    <r>
      <rPr>
        <sz val="11"/>
        <color theme="1"/>
        <rFont val="Microsoft YaHei"/>
        <family val="2"/>
        <charset val="134"/>
      </rPr>
      <t>计</t>
    </r>
    <phoneticPr fontId="2"/>
  </si>
  <si>
    <t xml:space="preserve">ZSHA </t>
    <phoneticPr fontId="2"/>
  </si>
  <si>
    <t>TLE</t>
    <phoneticPr fontId="2"/>
  </si>
  <si>
    <t>朱雀二号</t>
    <phoneticPr fontId="2"/>
  </si>
  <si>
    <t>YMMM</t>
    <phoneticPr fontId="2"/>
  </si>
  <si>
    <t>ZLHW</t>
    <phoneticPr fontId="2"/>
  </si>
  <si>
    <t>长征二号丁</t>
    <phoneticPr fontId="2"/>
  </si>
  <si>
    <t>2023～</t>
    <phoneticPr fontId="2"/>
  </si>
  <si>
    <t>KZAK</t>
    <phoneticPr fontId="2"/>
  </si>
  <si>
    <t>遥20</t>
    <phoneticPr fontId="2"/>
  </si>
  <si>
    <t>ZHWH</t>
    <phoneticPr fontId="2"/>
  </si>
  <si>
    <t>遥88</t>
    <phoneticPr fontId="2"/>
  </si>
  <si>
    <t>遥52</t>
    <phoneticPr fontId="2"/>
  </si>
  <si>
    <t>遥12</t>
    <phoneticPr fontId="2"/>
  </si>
  <si>
    <t>液氧+煤油</t>
    <phoneticPr fontId="2"/>
  </si>
  <si>
    <t>快舟一号甲</t>
    <phoneticPr fontId="2"/>
  </si>
  <si>
    <t>RJJJ</t>
    <phoneticPr fontId="2"/>
  </si>
  <si>
    <t>长征三号乙</t>
    <phoneticPr fontId="2"/>
  </si>
  <si>
    <t>谷神星一号</t>
    <phoneticPr fontId="2"/>
  </si>
  <si>
    <t>遥6</t>
    <phoneticPr fontId="2"/>
  </si>
  <si>
    <t>遥2</t>
    <phoneticPr fontId="2"/>
  </si>
  <si>
    <t>遥44</t>
    <phoneticPr fontId="2"/>
  </si>
  <si>
    <t>长征四号丙</t>
    <phoneticPr fontId="2"/>
  </si>
  <si>
    <t>遥8</t>
    <phoneticPr fontId="2"/>
  </si>
  <si>
    <t>遥7</t>
    <phoneticPr fontId="2"/>
  </si>
  <si>
    <t>遥3</t>
    <phoneticPr fontId="2"/>
  </si>
  <si>
    <t>文昌</t>
    <phoneticPr fontId="2"/>
  </si>
  <si>
    <t>遥22</t>
    <phoneticPr fontId="2"/>
  </si>
  <si>
    <t>ZPKM</t>
    <phoneticPr fontId="2"/>
  </si>
  <si>
    <t>A1846/23</t>
    <phoneticPr fontId="2"/>
  </si>
  <si>
    <t>-</t>
    <phoneticPr fontId="2"/>
  </si>
  <si>
    <t>A1850/23</t>
    <phoneticPr fontId="2"/>
  </si>
  <si>
    <t>A1851/23</t>
    <phoneticPr fontId="2"/>
  </si>
  <si>
    <t>UTC</t>
    <phoneticPr fontId="2"/>
  </si>
  <si>
    <t>F2421/23</t>
    <phoneticPr fontId="2"/>
  </si>
  <si>
    <t>力箭一号</t>
    <phoneticPr fontId="2"/>
  </si>
  <si>
    <t>捷龙三号</t>
    <phoneticPr fontId="2"/>
  </si>
  <si>
    <t>酒泉卫星发射中心</t>
  </si>
  <si>
    <t>西昌卫星发射中心</t>
  </si>
  <si>
    <t/>
  </si>
  <si>
    <t>遥17</t>
    <phoneticPr fontId="2"/>
  </si>
  <si>
    <t>遥91</t>
    <phoneticPr fontId="2"/>
  </si>
  <si>
    <r>
      <t>2019年累</t>
    </r>
    <r>
      <rPr>
        <sz val="11"/>
        <color theme="1"/>
        <rFont val="Microsoft YaHei"/>
        <family val="2"/>
        <charset val="134"/>
      </rPr>
      <t>计</t>
    </r>
    <phoneticPr fontId="2"/>
  </si>
  <si>
    <t>遥81</t>
    <phoneticPr fontId="2"/>
  </si>
  <si>
    <t>企业名</t>
    <phoneticPr fontId="2"/>
  </si>
  <si>
    <t>成立时间</t>
    <phoneticPr fontId="2"/>
  </si>
  <si>
    <t>火箭名</t>
    <phoneticPr fontId="2"/>
  </si>
  <si>
    <t>蓝箭航天</t>
    <phoneticPr fontId="2"/>
  </si>
  <si>
    <t>零壹空间</t>
    <phoneticPr fontId="2"/>
  </si>
  <si>
    <t>星际荣耀</t>
    <phoneticPr fontId="2"/>
  </si>
  <si>
    <t>深蓝航天</t>
    <phoneticPr fontId="2"/>
  </si>
  <si>
    <t>星途探索</t>
    <phoneticPr fontId="2"/>
  </si>
  <si>
    <t>九州云箭</t>
    <phoneticPr fontId="2"/>
  </si>
  <si>
    <t>星河动力</t>
    <phoneticPr fontId="2"/>
  </si>
  <si>
    <t>中科宇航</t>
    <phoneticPr fontId="2"/>
  </si>
  <si>
    <t>天兵科技</t>
    <phoneticPr fontId="2"/>
  </si>
  <si>
    <t>东方空间</t>
    <phoneticPr fontId="2"/>
  </si>
  <si>
    <t>双曲线一号</t>
    <phoneticPr fontId="2"/>
  </si>
  <si>
    <t>天龙二号</t>
    <phoneticPr fontId="2"/>
  </si>
  <si>
    <t>OS-M</t>
    <phoneticPr fontId="2"/>
  </si>
  <si>
    <t>首飞日</t>
    <phoneticPr fontId="2"/>
  </si>
  <si>
    <t>成功数</t>
    <phoneticPr fontId="2"/>
  </si>
  <si>
    <t>引力一号</t>
    <phoneticPr fontId="2"/>
  </si>
  <si>
    <t>成功率</t>
    <phoneticPr fontId="2"/>
  </si>
  <si>
    <t>进取空间</t>
    <rPh sb="1" eb="2">
      <t>トリ</t>
    </rPh>
    <rPh sb="2" eb="3">
      <t>ソラ</t>
    </rPh>
    <phoneticPr fontId="2"/>
  </si>
  <si>
    <t>A2035/23</t>
    <phoneticPr fontId="2"/>
  </si>
  <si>
    <t>朱雀一号</t>
    <rPh sb="2" eb="3">
      <t>イチ</t>
    </rPh>
    <phoneticPr fontId="2"/>
  </si>
  <si>
    <t>中星18</t>
    <phoneticPr fontId="2"/>
  </si>
  <si>
    <t>中星2E</t>
    <phoneticPr fontId="2"/>
  </si>
  <si>
    <t>中星19</t>
    <phoneticPr fontId="2"/>
  </si>
  <si>
    <t>中星5B</t>
    <phoneticPr fontId="2"/>
  </si>
  <si>
    <t>中星6A</t>
    <phoneticPr fontId="2"/>
  </si>
  <si>
    <t>中星10</t>
    <phoneticPr fontId="2"/>
  </si>
  <si>
    <t>中星1A</t>
    <phoneticPr fontId="2"/>
  </si>
  <si>
    <t>中星2A</t>
    <phoneticPr fontId="2"/>
  </si>
  <si>
    <t>中星12</t>
    <phoneticPr fontId="2"/>
  </si>
  <si>
    <t>中星11</t>
    <phoneticPr fontId="2"/>
  </si>
  <si>
    <t>中星2C</t>
    <phoneticPr fontId="2"/>
  </si>
  <si>
    <t>中星1C</t>
    <phoneticPr fontId="2"/>
  </si>
  <si>
    <t>中星15</t>
    <phoneticPr fontId="2"/>
  </si>
  <si>
    <t>中星5E</t>
    <phoneticPr fontId="2"/>
  </si>
  <si>
    <t>中星5D</t>
    <phoneticPr fontId="2"/>
  </si>
  <si>
    <t>中星5A</t>
    <phoneticPr fontId="2"/>
  </si>
  <si>
    <t>中星5C</t>
    <phoneticPr fontId="2"/>
  </si>
  <si>
    <t>中星22</t>
    <phoneticPr fontId="2"/>
  </si>
  <si>
    <t>中星20</t>
    <phoneticPr fontId="2"/>
  </si>
  <si>
    <t>中星20A</t>
    <phoneticPr fontId="2"/>
  </si>
  <si>
    <t>中星22A</t>
    <phoneticPr fontId="2"/>
  </si>
  <si>
    <t>中星2</t>
    <phoneticPr fontId="2"/>
  </si>
  <si>
    <t>中星3</t>
    <phoneticPr fontId="2"/>
  </si>
  <si>
    <t>中星4</t>
    <phoneticPr fontId="2"/>
  </si>
  <si>
    <t>中星7</t>
    <phoneticPr fontId="2"/>
  </si>
  <si>
    <t>中星9</t>
    <phoneticPr fontId="2"/>
  </si>
  <si>
    <t>成功</t>
    <phoneticPr fontId="2"/>
  </si>
  <si>
    <t>返回式遥感3号03星</t>
    <phoneticPr fontId="2"/>
  </si>
  <si>
    <t>遥感一号</t>
    <phoneticPr fontId="2"/>
  </si>
  <si>
    <t>遥感二号</t>
    <phoneticPr fontId="2"/>
  </si>
  <si>
    <t>遥感三号</t>
    <phoneticPr fontId="2"/>
  </si>
  <si>
    <t>遥感六号</t>
    <phoneticPr fontId="2"/>
  </si>
  <si>
    <t>遥感十号</t>
    <phoneticPr fontId="2"/>
  </si>
  <si>
    <t>遥感十一号</t>
    <phoneticPr fontId="2"/>
  </si>
  <si>
    <t>遥感十二号</t>
    <phoneticPr fontId="2"/>
  </si>
  <si>
    <t>遥感十三号</t>
    <phoneticPr fontId="2"/>
  </si>
  <si>
    <t>遥感十四号</t>
    <phoneticPr fontId="2"/>
  </si>
  <si>
    <t>遥感十五号</t>
    <phoneticPr fontId="2"/>
  </si>
  <si>
    <t>委内瑞拉遥感一号</t>
    <phoneticPr fontId="2"/>
  </si>
  <si>
    <t>遥感十八号</t>
    <phoneticPr fontId="2"/>
  </si>
  <si>
    <t>遥感十九号</t>
    <phoneticPr fontId="2"/>
  </si>
  <si>
    <t>遥感二十一号</t>
    <phoneticPr fontId="2"/>
  </si>
  <si>
    <t>遥感二十二号</t>
    <phoneticPr fontId="2"/>
  </si>
  <si>
    <t>遥感二十三号</t>
    <phoneticPr fontId="2"/>
  </si>
  <si>
    <t>遥感二十四号</t>
    <phoneticPr fontId="2"/>
  </si>
  <si>
    <t>遥感二十六号</t>
    <phoneticPr fontId="2"/>
  </si>
  <si>
    <t>遥感二十七号</t>
    <phoneticPr fontId="2"/>
  </si>
  <si>
    <t>遥感二十八号</t>
    <phoneticPr fontId="2"/>
  </si>
  <si>
    <t>遥感二十九号</t>
    <phoneticPr fontId="2"/>
  </si>
  <si>
    <t>遥感三十号</t>
    <phoneticPr fontId="2"/>
  </si>
  <si>
    <t>委内瑞拉遥感二号</t>
    <phoneticPr fontId="2"/>
  </si>
  <si>
    <t>巴基斯坦遥感一号</t>
    <phoneticPr fontId="2"/>
  </si>
  <si>
    <t>遥感三十三号</t>
    <phoneticPr fontId="2"/>
  </si>
  <si>
    <r>
      <t>2018年累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</si>
  <si>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2010年累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</si>
  <si>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2011年累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</si>
  <si>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2012年累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</si>
  <si>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2013年累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</si>
  <si>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2014年累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</si>
  <si>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2015年累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</si>
  <si>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2016年累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</si>
  <si>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2017年累</t>
    </r>
    <r>
      <rPr>
        <sz val="11"/>
        <color theme="1"/>
        <rFont val="Microsoft YaHei"/>
        <family val="2"/>
        <charset val="134"/>
      </rPr>
      <t>计</t>
    </r>
    <phoneticPr fontId="2"/>
  </si>
  <si>
    <t>高分一号</t>
    <phoneticPr fontId="2"/>
  </si>
  <si>
    <t>高分二号</t>
    <phoneticPr fontId="2"/>
  </si>
  <si>
    <t>高分八号</t>
    <phoneticPr fontId="2"/>
  </si>
  <si>
    <t>高分九号</t>
    <phoneticPr fontId="2"/>
  </si>
  <si>
    <t>高分四号</t>
    <phoneticPr fontId="2"/>
  </si>
  <si>
    <t>高分三号</t>
    <phoneticPr fontId="2"/>
  </si>
  <si>
    <t>高分十号</t>
    <phoneticPr fontId="2"/>
  </si>
  <si>
    <t>高分九号02</t>
    <phoneticPr fontId="2"/>
  </si>
  <si>
    <t>高分九号03</t>
    <phoneticPr fontId="2"/>
  </si>
  <si>
    <t>高分九号04</t>
    <phoneticPr fontId="2"/>
  </si>
  <si>
    <t>高分九号05</t>
    <phoneticPr fontId="2"/>
  </si>
  <si>
    <t>高分十一号02</t>
    <phoneticPr fontId="2"/>
  </si>
  <si>
    <t>高分十三号</t>
    <phoneticPr fontId="2"/>
  </si>
  <si>
    <t>高分十二号02</t>
    <phoneticPr fontId="2"/>
  </si>
  <si>
    <t>高分五号02</t>
    <phoneticPr fontId="2"/>
  </si>
  <si>
    <t>高分三号03</t>
    <phoneticPr fontId="2"/>
  </si>
  <si>
    <t>高分十二号</t>
    <phoneticPr fontId="2"/>
  </si>
  <si>
    <t>海洋一号B</t>
    <phoneticPr fontId="2"/>
  </si>
  <si>
    <t>海洋二号A</t>
    <phoneticPr fontId="2"/>
  </si>
  <si>
    <t>海洋一号C</t>
    <phoneticPr fontId="2"/>
  </si>
  <si>
    <t>海洋二号B</t>
    <phoneticPr fontId="2"/>
  </si>
  <si>
    <t>海洋一号D</t>
    <phoneticPr fontId="2"/>
  </si>
  <si>
    <t>海洋二号C</t>
    <phoneticPr fontId="2"/>
  </si>
  <si>
    <t>海洋二号D</t>
    <phoneticPr fontId="2"/>
  </si>
  <si>
    <t>06时53分</t>
    <phoneticPr fontId="2"/>
  </si>
  <si>
    <t>高分十二号04</t>
    <phoneticPr fontId="2"/>
  </si>
  <si>
    <t>A0181/23</t>
  </si>
  <si>
    <t>遥92</t>
    <phoneticPr fontId="2"/>
  </si>
  <si>
    <t>遥感三十四号03</t>
    <phoneticPr fontId="2"/>
  </si>
  <si>
    <t>遥感三十四号04</t>
    <phoneticPr fontId="2"/>
  </si>
  <si>
    <t>遥感三十四号02</t>
    <phoneticPr fontId="2"/>
  </si>
  <si>
    <t>18时05分04秒602毫秒</t>
    <phoneticPr fontId="2"/>
  </si>
  <si>
    <t>天链一号01</t>
    <phoneticPr fontId="2"/>
  </si>
  <si>
    <t>天绘一号01</t>
    <phoneticPr fontId="2"/>
  </si>
  <si>
    <t>18时59分57秒345毫秒</t>
    <phoneticPr fontId="2"/>
  </si>
  <si>
    <t>天链一号02</t>
    <phoneticPr fontId="2"/>
  </si>
  <si>
    <t>天绘一号02</t>
    <phoneticPr fontId="2"/>
  </si>
  <si>
    <t>天链一号03</t>
    <phoneticPr fontId="2"/>
  </si>
  <si>
    <t>01时30分00秒344毫秒</t>
    <phoneticPr fontId="2"/>
  </si>
  <si>
    <t>天绘一号03</t>
    <phoneticPr fontId="2"/>
  </si>
  <si>
    <t>天链一号04</t>
    <phoneticPr fontId="2"/>
  </si>
  <si>
    <t>高分辨率微纳</t>
    <phoneticPr fontId="2"/>
  </si>
  <si>
    <t>02时23分34秒366毫秒</t>
    <phoneticPr fontId="2"/>
  </si>
  <si>
    <t>天链二号01</t>
    <phoneticPr fontId="2"/>
  </si>
  <si>
    <t>04时30分21秒806毫秒</t>
    <phoneticPr fontId="2"/>
  </si>
  <si>
    <t>天链一号05</t>
    <phoneticPr fontId="2"/>
  </si>
  <si>
    <t>天绘一号04</t>
    <phoneticPr fontId="2"/>
  </si>
  <si>
    <t>21时22分51秒405毫秒</t>
    <phoneticPr fontId="2"/>
  </si>
  <si>
    <t>10时49分</t>
    <phoneticPr fontId="2"/>
  </si>
  <si>
    <t>16时00分</t>
    <phoneticPr fontId="2"/>
  </si>
  <si>
    <t>09时31分13秒480毫秒</t>
    <phoneticPr fontId="2"/>
  </si>
  <si>
    <t>12时10分</t>
    <phoneticPr fontId="2"/>
  </si>
  <si>
    <t>龙江三号</t>
    <phoneticPr fontId="2"/>
  </si>
  <si>
    <t>10时35分</t>
    <phoneticPr fontId="2"/>
  </si>
  <si>
    <t>13时30分</t>
    <phoneticPr fontId="2"/>
  </si>
  <si>
    <t>长征六号</t>
    <rPh sb="2" eb="3">
      <t>ロク</t>
    </rPh>
    <phoneticPr fontId="2"/>
  </si>
  <si>
    <t>试验二十五号</t>
    <phoneticPr fontId="2"/>
  </si>
  <si>
    <t>11时18分</t>
    <phoneticPr fontId="2"/>
  </si>
  <si>
    <t>19时00分</t>
    <phoneticPr fontId="2"/>
  </si>
  <si>
    <t>09时00分</t>
    <phoneticPr fontId="2"/>
  </si>
  <si>
    <t>11时20分</t>
    <phoneticPr fontId="2"/>
  </si>
  <si>
    <t>13时07分</t>
    <phoneticPr fontId="2"/>
  </si>
  <si>
    <t>10时50分</t>
    <phoneticPr fontId="2"/>
  </si>
  <si>
    <t>04时02分</t>
    <phoneticPr fontId="2"/>
  </si>
  <si>
    <t>11时47分</t>
    <phoneticPr fontId="2"/>
  </si>
  <si>
    <t>陆地探测四号A</t>
    <phoneticPr fontId="2"/>
  </si>
  <si>
    <t>YWWW</t>
  </si>
  <si>
    <t>F2540/23</t>
  </si>
  <si>
    <t>北斗三号G4</t>
    <phoneticPr fontId="2"/>
  </si>
  <si>
    <t>RCAA</t>
    <phoneticPr fontId="2"/>
  </si>
  <si>
    <t>遥46</t>
    <phoneticPr fontId="2"/>
  </si>
  <si>
    <t>环境减灾二号06</t>
    <phoneticPr fontId="2"/>
  </si>
  <si>
    <t>A2284/23</t>
    <phoneticPr fontId="2"/>
  </si>
  <si>
    <t>A2285/23</t>
    <phoneticPr fontId="2"/>
  </si>
  <si>
    <t>P4296/23</t>
    <phoneticPr fontId="2"/>
  </si>
  <si>
    <t>A3826/23</t>
    <phoneticPr fontId="2"/>
  </si>
  <si>
    <t>A2287/23</t>
    <phoneticPr fontId="2"/>
  </si>
  <si>
    <t>A2289/23</t>
    <phoneticPr fontId="2"/>
  </si>
  <si>
    <t>A2291/23</t>
  </si>
  <si>
    <t>遥21</t>
    <phoneticPr fontId="2"/>
  </si>
  <si>
    <t>12时03分50秒</t>
    <rPh sb="8" eb="9">
      <t>ビョウ</t>
    </rPh>
    <phoneticPr fontId="2"/>
  </si>
  <si>
    <t>01时26分</t>
    <phoneticPr fontId="2"/>
  </si>
  <si>
    <t>酒泉</t>
    <phoneticPr fontId="2"/>
  </si>
  <si>
    <t>A2315/23</t>
    <phoneticPr fontId="2"/>
  </si>
  <si>
    <t>遥56</t>
    <phoneticPr fontId="2"/>
  </si>
  <si>
    <t>01时45分</t>
    <phoneticPr fontId="2"/>
  </si>
  <si>
    <t>地球同步转移轨道</t>
    <phoneticPr fontId="2"/>
  </si>
  <si>
    <t>倾斜地球同步转移轨道</t>
    <phoneticPr fontId="2"/>
  </si>
  <si>
    <t>遥57</t>
    <phoneticPr fontId="2"/>
  </si>
  <si>
    <t>遥感三十三号03</t>
    <phoneticPr fontId="2"/>
  </si>
  <si>
    <t>遥53</t>
    <phoneticPr fontId="2"/>
  </si>
  <si>
    <t>黄海</t>
    <phoneticPr fontId="2"/>
  </si>
  <si>
    <t>F2742/23</t>
    <phoneticPr fontId="2"/>
  </si>
  <si>
    <t>遥82</t>
    <phoneticPr fontId="2"/>
  </si>
  <si>
    <t>12时59分</t>
    <phoneticPr fontId="2"/>
  </si>
  <si>
    <t>谷神星一号海</t>
    <phoneticPr fontId="2"/>
  </si>
  <si>
    <t>遥1</t>
    <phoneticPr fontId="2"/>
  </si>
  <si>
    <t>谷神星
一号海</t>
    <rPh sb="6" eb="7">
      <t>ウミ</t>
    </rPh>
    <phoneticPr fontId="2"/>
  </si>
  <si>
    <t>快舟
一号甲</t>
    <phoneticPr fontId="2"/>
  </si>
  <si>
    <t>长征六号丙</t>
    <phoneticPr fontId="2"/>
  </si>
  <si>
    <t>A2549/23</t>
  </si>
  <si>
    <t>A2550/23</t>
  </si>
  <si>
    <t>12时30分</t>
    <phoneticPr fontId="2"/>
  </si>
  <si>
    <t>A2551/23</t>
  </si>
  <si>
    <t>谷神星一号海</t>
    <rPh sb="5" eb="6">
      <t>ウミ</t>
    </rPh>
    <phoneticPr fontId="2"/>
  </si>
  <si>
    <t>AGGG</t>
    <phoneticPr fontId="2"/>
  </si>
  <si>
    <t>A0187/23</t>
    <phoneticPr fontId="2"/>
  </si>
  <si>
    <t>所罗门群岛</t>
    <phoneticPr fontId="2"/>
  </si>
  <si>
    <t>霍尼亚拉</t>
    <phoneticPr fontId="2"/>
  </si>
  <si>
    <t>P4711/23</t>
    <phoneticPr fontId="2"/>
  </si>
  <si>
    <t>A2587/23</t>
  </si>
  <si>
    <t>A2588/23</t>
  </si>
  <si>
    <t>遥54</t>
    <phoneticPr fontId="2"/>
  </si>
  <si>
    <t>A0203/23</t>
  </si>
  <si>
    <t>A0223/23</t>
  </si>
  <si>
    <t>火箭</t>
    <phoneticPr fontId="2"/>
  </si>
  <si>
    <t>退役</t>
    <phoneticPr fontId="2"/>
  </si>
  <si>
    <t>A0875/23</t>
  </si>
  <si>
    <t>长征六号甲</t>
    <phoneticPr fontId="2"/>
  </si>
  <si>
    <t>总计</t>
    <phoneticPr fontId="2"/>
  </si>
  <si>
    <t>9A</t>
    <phoneticPr fontId="2"/>
  </si>
  <si>
    <t>长征三号乙</t>
    <rPh sb="2" eb="3">
      <t>サン</t>
    </rPh>
    <rPh sb="4" eb="5">
      <t>オツ</t>
    </rPh>
    <phoneticPr fontId="2"/>
  </si>
  <si>
    <t>A2739/23</t>
  </si>
  <si>
    <t>F3038/23</t>
  </si>
  <si>
    <t>00时23分56秒469毫秒</t>
    <phoneticPr fontId="2"/>
  </si>
  <si>
    <t>DTG</t>
    <phoneticPr fontId="2"/>
  </si>
  <si>
    <t>12时13分</t>
    <phoneticPr fontId="2"/>
  </si>
  <si>
    <t>高分十一号04</t>
    <phoneticPr fontId="2"/>
  </si>
  <si>
    <t>12时59分</t>
  </si>
  <si>
    <t>长征五号</t>
    <phoneticPr fontId="2"/>
  </si>
  <si>
    <t>遥感三十三号04</t>
    <phoneticPr fontId="2"/>
  </si>
  <si>
    <t>A3064/23</t>
  </si>
  <si>
    <t>A3063/23</t>
  </si>
  <si>
    <t>遥84</t>
    <phoneticPr fontId="2"/>
  </si>
  <si>
    <t>08时24分</t>
    <phoneticPr fontId="2"/>
  </si>
  <si>
    <t>近地轨道</t>
    <phoneticPr fontId="2"/>
  </si>
  <si>
    <t>长征七号甲</t>
    <rPh sb="2" eb="3">
      <t>ナナ</t>
    </rPh>
    <rPh sb="4" eb="5">
      <t>コウ</t>
    </rPh>
    <phoneticPr fontId="2"/>
  </si>
  <si>
    <t>A3124/23</t>
  </si>
  <si>
    <t>云海一号04</t>
    <phoneticPr fontId="2"/>
  </si>
  <si>
    <t>中星6E</t>
    <phoneticPr fontId="2"/>
  </si>
  <si>
    <t>遥94</t>
    <phoneticPr fontId="2"/>
  </si>
  <si>
    <t>A3228/23</t>
  </si>
  <si>
    <t>A3229/23</t>
  </si>
  <si>
    <t>遥4</t>
    <phoneticPr fontId="2"/>
  </si>
  <si>
    <t>06时50分</t>
    <phoneticPr fontId="2"/>
  </si>
  <si>
    <t>22时54分</t>
    <phoneticPr fontId="2"/>
  </si>
  <si>
    <t>A3333/23</t>
  </si>
  <si>
    <t>A3335/23</t>
  </si>
  <si>
    <t>A3386/23</t>
  </si>
  <si>
    <t>B4294/23</t>
  </si>
  <si>
    <t>B4292/23</t>
  </si>
  <si>
    <t>A4539/23</t>
  </si>
  <si>
    <t>A3447/23</t>
  </si>
  <si>
    <t>A3448/23</t>
  </si>
  <si>
    <t>A3449/23</t>
  </si>
  <si>
    <t>西昌</t>
    <phoneticPr fontId="2"/>
  </si>
  <si>
    <t>P6402/23</t>
  </si>
  <si>
    <t>天龙三号</t>
    <rPh sb="2" eb="3">
      <t>サン</t>
    </rPh>
    <phoneticPr fontId="2"/>
  </si>
  <si>
    <t>长征十一号</t>
    <phoneticPr fontId="2"/>
  </si>
  <si>
    <t>遥9</t>
    <phoneticPr fontId="2"/>
  </si>
  <si>
    <t>智神星一号</t>
    <rPh sb="0" eb="1">
      <t>トモ</t>
    </rPh>
    <phoneticPr fontId="2"/>
  </si>
  <si>
    <t>智神星一号甲</t>
    <rPh sb="0" eb="1">
      <t>トモ</t>
    </rPh>
    <rPh sb="5" eb="6">
      <t>コウ</t>
    </rPh>
    <phoneticPr fontId="2"/>
  </si>
  <si>
    <t>A3609/23</t>
  </si>
  <si>
    <t>F3793/23</t>
  </si>
  <si>
    <t>长征二号丙
远征一号商</t>
    <phoneticPr fontId="2"/>
  </si>
  <si>
    <t>11时55分</t>
    <phoneticPr fontId="2"/>
  </si>
  <si>
    <t>返回日期</t>
    <phoneticPr fontId="2"/>
  </si>
  <si>
    <t>长征七号</t>
    <phoneticPr fontId="2"/>
  </si>
  <si>
    <t>亚太二号</t>
    <phoneticPr fontId="2"/>
  </si>
  <si>
    <t>亚太六号</t>
    <phoneticPr fontId="2"/>
  </si>
  <si>
    <t>亚太七号</t>
    <phoneticPr fontId="2"/>
  </si>
  <si>
    <t>亚太九号</t>
    <phoneticPr fontId="2"/>
  </si>
  <si>
    <t>亚太6C</t>
    <phoneticPr fontId="2"/>
  </si>
  <si>
    <t>亚太6D</t>
    <phoneticPr fontId="2"/>
  </si>
  <si>
    <t>A3694/23</t>
  </si>
  <si>
    <t>A3695/23</t>
  </si>
  <si>
    <t>N3864/23</t>
  </si>
  <si>
    <t>GX125/23</t>
    <phoneticPr fontId="2"/>
  </si>
  <si>
    <t>MSA</t>
    <phoneticPr fontId="2"/>
  </si>
  <si>
    <t>资源一号02B</t>
    <phoneticPr fontId="2"/>
  </si>
  <si>
    <t>资源一号02C</t>
    <phoneticPr fontId="2"/>
  </si>
  <si>
    <t>资源一号02D</t>
    <phoneticPr fontId="2"/>
  </si>
  <si>
    <t>资源二号01</t>
    <phoneticPr fontId="2"/>
  </si>
  <si>
    <t>资源二号02</t>
    <phoneticPr fontId="2"/>
  </si>
  <si>
    <t>资源二号03</t>
    <phoneticPr fontId="2"/>
  </si>
  <si>
    <t>资源三号01</t>
    <phoneticPr fontId="2"/>
  </si>
  <si>
    <t>资源一号03</t>
    <phoneticPr fontId="2"/>
  </si>
  <si>
    <t>资源三号02</t>
    <phoneticPr fontId="2"/>
  </si>
  <si>
    <t>长征二号丁
远征三号</t>
    <phoneticPr fontId="2"/>
  </si>
  <si>
    <t>南海</t>
    <rPh sb="0" eb="1">
      <t>ミナミ</t>
    </rPh>
    <phoneticPr fontId="2"/>
  </si>
  <si>
    <t>A3748/23</t>
  </si>
  <si>
    <t>A3749/23</t>
  </si>
  <si>
    <t>F3971/23</t>
  </si>
  <si>
    <t>日期</t>
    <phoneticPr fontId="2"/>
  </si>
  <si>
    <t>结果</t>
    <phoneticPr fontId="2"/>
  </si>
  <si>
    <t>地点</t>
    <phoneticPr fontId="2"/>
  </si>
  <si>
    <t>星云一号</t>
    <rPh sb="0" eb="1">
      <t>ホシ</t>
    </rPh>
    <rPh sb="1" eb="2">
      <t>ウン</t>
    </rPh>
    <phoneticPr fontId="2"/>
  </si>
  <si>
    <t>长征二号甲</t>
    <phoneticPr fontId="2"/>
  </si>
  <si>
    <t>西昌卫星发射中心</t>
    <phoneticPr fontId="2"/>
  </si>
  <si>
    <t>长征七号</t>
    <rPh sb="2" eb="3">
      <t>ナナ</t>
    </rPh>
    <phoneticPr fontId="2"/>
  </si>
  <si>
    <t>遥86</t>
    <phoneticPr fontId="2"/>
  </si>
  <si>
    <t>引力一号</t>
    <rPh sb="0" eb="2">
      <t>インリョク</t>
    </rPh>
    <rPh sb="2" eb="3">
      <t>イチ</t>
    </rPh>
    <phoneticPr fontId="2"/>
  </si>
  <si>
    <t>WSJC</t>
  </si>
  <si>
    <t>WSJC</t>
    <phoneticPr fontId="2"/>
  </si>
  <si>
    <t>新加坡</t>
    <phoneticPr fontId="2"/>
  </si>
  <si>
    <t>A3267/23</t>
  </si>
  <si>
    <t>A3268/23</t>
  </si>
  <si>
    <t>F4033/23</t>
  </si>
  <si>
    <t>A3826/23</t>
  </si>
  <si>
    <t>A3827/23</t>
  </si>
  <si>
    <t>GD184/23</t>
    <phoneticPr fontId="2"/>
  </si>
  <si>
    <t>A3864/23</t>
  </si>
  <si>
    <t>A3865/23</t>
  </si>
  <si>
    <t>文昌航天发射场</t>
    <phoneticPr fontId="2"/>
  </si>
  <si>
    <t>A3885/23</t>
  </si>
  <si>
    <t>LEO,SSO</t>
    <phoneticPr fontId="2"/>
  </si>
  <si>
    <t>力箭二号</t>
    <rPh sb="2" eb="3">
      <t>ニ</t>
    </rPh>
    <phoneticPr fontId="2"/>
  </si>
  <si>
    <t>SD476/23</t>
    <phoneticPr fontId="2"/>
  </si>
  <si>
    <t>GD136/23</t>
    <phoneticPr fontId="2"/>
  </si>
  <si>
    <t>备注</t>
    <phoneticPr fontId="2"/>
  </si>
  <si>
    <t>朱雀三号</t>
    <rPh sb="2" eb="3">
      <t>サン</t>
    </rPh>
    <phoneticPr fontId="2"/>
  </si>
  <si>
    <t>双曲线三号</t>
    <rPh sb="3" eb="4">
      <t>サン</t>
    </rPh>
    <phoneticPr fontId="2"/>
  </si>
  <si>
    <t>达尔文一号</t>
    <phoneticPr fontId="2"/>
  </si>
  <si>
    <t>火箭派</t>
    <phoneticPr fontId="2"/>
  </si>
  <si>
    <t>箭元科技</t>
    <phoneticPr fontId="2"/>
  </si>
  <si>
    <t>元行者一号</t>
    <phoneticPr fontId="2"/>
  </si>
  <si>
    <t>空天引擎</t>
    <phoneticPr fontId="2"/>
  </si>
  <si>
    <t>星镝一号</t>
    <phoneticPr fontId="2"/>
  </si>
  <si>
    <t>A3953/23</t>
  </si>
  <si>
    <t>A3948/23</t>
  </si>
  <si>
    <t>A3950/23</t>
  </si>
  <si>
    <t>天5</t>
    <phoneticPr fontId="2"/>
  </si>
  <si>
    <t>天4</t>
    <phoneticPr fontId="2"/>
  </si>
  <si>
    <t>天3</t>
    <phoneticPr fontId="2"/>
  </si>
  <si>
    <t>WIIF</t>
  </si>
  <si>
    <t>WIIF</t>
    <phoneticPr fontId="2"/>
  </si>
  <si>
    <t>印尼</t>
    <phoneticPr fontId="2"/>
  </si>
  <si>
    <t>雅加达</t>
    <phoneticPr fontId="2"/>
  </si>
  <si>
    <t>A5264/23</t>
  </si>
  <si>
    <t>奥克兰</t>
    <phoneticPr fontId="2"/>
  </si>
  <si>
    <t>20时45分10秒526毫秒</t>
    <phoneticPr fontId="2"/>
  </si>
  <si>
    <t>20时43分13秒9983毫秒</t>
    <phoneticPr fontId="2"/>
  </si>
  <si>
    <t>实践十七号</t>
    <phoneticPr fontId="2"/>
  </si>
  <si>
    <t>实践十八号</t>
    <phoneticPr fontId="2"/>
  </si>
  <si>
    <t>实践二十号</t>
    <phoneticPr fontId="2"/>
  </si>
  <si>
    <t>23时30分</t>
    <phoneticPr fontId="2"/>
  </si>
  <si>
    <t>B4845/23</t>
  </si>
  <si>
    <t>B4843/23</t>
  </si>
  <si>
    <t>长征十一号海</t>
    <phoneticPr fontId="2"/>
  </si>
  <si>
    <t>遥5</t>
    <phoneticPr fontId="2"/>
  </si>
  <si>
    <t>B4862/23</t>
  </si>
  <si>
    <t>15时00分</t>
    <phoneticPr fontId="2"/>
  </si>
  <si>
    <t>可重复使用试验航天器3</t>
    <phoneticPr fontId="2"/>
  </si>
  <si>
    <t>资源一号04A</t>
    <phoneticPr fontId="2"/>
  </si>
  <si>
    <t>10时00分</t>
    <phoneticPr fontId="2"/>
  </si>
  <si>
    <t>可重复使用试验航天器2</t>
    <phoneticPr fontId="2"/>
  </si>
  <si>
    <t>13时32分</t>
    <phoneticPr fontId="2"/>
  </si>
  <si>
    <t>15时36分</t>
    <phoneticPr fontId="2"/>
  </si>
  <si>
    <t>17时34分45秒88豪秒</t>
    <rPh sb="8" eb="9">
      <t>ビョウ</t>
    </rPh>
    <rPh sb="11" eb="13">
      <t>ゴウビョウ</t>
    </rPh>
    <phoneticPr fontId="2"/>
  </si>
  <si>
    <t>02时14分</t>
    <phoneticPr fontId="2"/>
  </si>
  <si>
    <t>遥83</t>
    <phoneticPr fontId="2"/>
  </si>
  <si>
    <t>遥11</t>
    <phoneticPr fontId="2"/>
  </si>
  <si>
    <t>04时15分</t>
    <phoneticPr fontId="2"/>
  </si>
  <si>
    <t>遥77</t>
    <phoneticPr fontId="2"/>
  </si>
  <si>
    <t>08时54分</t>
    <phoneticPr fontId="2"/>
  </si>
  <si>
    <t>遥85</t>
    <phoneticPr fontId="2"/>
  </si>
  <si>
    <t>04时03分</t>
    <phoneticPr fontId="2"/>
  </si>
  <si>
    <t>11时05分25秒</t>
    <rPh sb="8" eb="9">
      <t>ビョウ</t>
    </rPh>
    <phoneticPr fontId="2"/>
  </si>
  <si>
    <t>19时23分</t>
    <phoneticPr fontId="2"/>
  </si>
  <si>
    <t>海洋三号A</t>
    <phoneticPr fontId="2"/>
  </si>
  <si>
    <t>遥59</t>
    <phoneticPr fontId="2"/>
  </si>
  <si>
    <t>18时00分04秒</t>
    <phoneticPr fontId="2"/>
  </si>
  <si>
    <t>07时33分</t>
    <phoneticPr fontId="2"/>
  </si>
  <si>
    <t>03时24分</t>
    <phoneticPr fontId="2"/>
  </si>
  <si>
    <t>07时39分</t>
    <phoneticPr fontId="2"/>
  </si>
  <si>
    <t>09时58分</t>
    <phoneticPr fontId="2"/>
  </si>
  <si>
    <t>22时10分</t>
    <phoneticPr fontId="2"/>
  </si>
  <si>
    <t>遥75</t>
    <phoneticPr fontId="2"/>
  </si>
  <si>
    <t>南海</t>
    <phoneticPr fontId="2"/>
  </si>
  <si>
    <t>时间
（UTC+8）</t>
    <phoneticPr fontId="2"/>
  </si>
  <si>
    <t>迪迩一号</t>
    <phoneticPr fontId="2"/>
  </si>
  <si>
    <t>遥感四十一号</t>
    <phoneticPr fontId="2"/>
  </si>
  <si>
    <t>A0723/23</t>
    <phoneticPr fontId="2"/>
  </si>
  <si>
    <t>遥24</t>
    <phoneticPr fontId="2"/>
  </si>
  <si>
    <t>F4385/23</t>
  </si>
  <si>
    <t>21时41分</t>
    <phoneticPr fontId="2"/>
  </si>
  <si>
    <t>遥26</t>
    <phoneticPr fontId="2"/>
  </si>
  <si>
    <t>遥27</t>
    <phoneticPr fontId="2"/>
  </si>
  <si>
    <t>长征五号乙</t>
    <phoneticPr fontId="2"/>
  </si>
  <si>
    <t>A4056/23</t>
  </si>
  <si>
    <t>A4057/23</t>
  </si>
  <si>
    <t>A4058/23</t>
  </si>
  <si>
    <t>A4059/23</t>
  </si>
  <si>
    <t>A4060/23</t>
  </si>
  <si>
    <t>F4431/23</t>
  </si>
  <si>
    <t>A4065/23</t>
  </si>
  <si>
    <t>A4066/23</t>
  </si>
  <si>
    <t>A4067/23</t>
  </si>
  <si>
    <t>A4068/23</t>
  </si>
  <si>
    <t>B4995/23</t>
  </si>
  <si>
    <t>F4446/23</t>
  </si>
  <si>
    <t>F4447/23</t>
  </si>
  <si>
    <t>A3579/23</t>
  </si>
  <si>
    <t>HN149/23</t>
    <phoneticPr fontId="2"/>
  </si>
  <si>
    <t>HN150/23</t>
    <phoneticPr fontId="2"/>
  </si>
  <si>
    <t>MSA</t>
  </si>
  <si>
    <t>GD189/23</t>
  </si>
  <si>
    <t>ZSHA</t>
    <phoneticPr fontId="2"/>
  </si>
  <si>
    <t>RKRR</t>
    <phoneticPr fontId="2"/>
  </si>
  <si>
    <t>天目一号15-18</t>
    <phoneticPr fontId="2"/>
  </si>
  <si>
    <t>A4096/23</t>
  </si>
  <si>
    <t>A4097/23</t>
  </si>
  <si>
    <t>N4392/23</t>
  </si>
  <si>
    <t>地月转移轨道</t>
    <phoneticPr fontId="2"/>
  </si>
  <si>
    <t>长征八号</t>
    <phoneticPr fontId="2"/>
  </si>
  <si>
    <t>A2034/23</t>
    <phoneticPr fontId="2"/>
  </si>
  <si>
    <t>A2546/23</t>
    <phoneticPr fontId="2"/>
  </si>
  <si>
    <t>A2283/23</t>
    <phoneticPr fontId="2"/>
  </si>
  <si>
    <t>HN152/23</t>
    <phoneticPr fontId="2"/>
  </si>
  <si>
    <t>A0199/23</t>
    <phoneticPr fontId="2"/>
  </si>
  <si>
    <t>A3352/23</t>
    <phoneticPr fontId="2"/>
  </si>
  <si>
    <t>F2386/23</t>
    <phoneticPr fontId="2"/>
  </si>
  <si>
    <t>A3694/23</t>
    <phoneticPr fontId="2"/>
  </si>
  <si>
    <t>长征二号己</t>
    <phoneticPr fontId="2"/>
  </si>
  <si>
    <t>遥18</t>
    <phoneticPr fontId="2"/>
  </si>
  <si>
    <t>遥19</t>
    <phoneticPr fontId="2"/>
  </si>
  <si>
    <t>距春节
日数</t>
    <phoneticPr fontId="2"/>
  </si>
  <si>
    <t>可重复使用试验航天器1</t>
    <phoneticPr fontId="2"/>
  </si>
  <si>
    <t>06时39分</t>
    <phoneticPr fontId="2"/>
  </si>
  <si>
    <t>11时26分</t>
    <phoneticPr fontId="2"/>
  </si>
  <si>
    <t>14时50分</t>
    <phoneticPr fontId="2"/>
  </si>
  <si>
    <t>08时13分</t>
    <phoneticPr fontId="2"/>
  </si>
  <si>
    <t>A0007/24</t>
  </si>
  <si>
    <t>A0008/24</t>
  </si>
  <si>
    <t>长征二号丁</t>
    <rPh sb="4" eb="5">
      <t>テイ</t>
    </rPh>
    <phoneticPr fontId="2"/>
  </si>
  <si>
    <t>A0034/24</t>
  </si>
  <si>
    <t>A0035/24</t>
  </si>
  <si>
    <r>
      <t>2024年累</t>
    </r>
    <r>
      <rPr>
        <sz val="11"/>
        <color theme="1"/>
        <rFont val="Microsoft YaHei"/>
        <family val="2"/>
        <charset val="134"/>
      </rPr>
      <t>计</t>
    </r>
    <phoneticPr fontId="2"/>
  </si>
  <si>
    <t>SD008/24</t>
  </si>
  <si>
    <t>A0057/24</t>
  </si>
  <si>
    <t>A0058/24</t>
  </si>
  <si>
    <t>A0061/24</t>
  </si>
  <si>
    <t>A0062/24</t>
  </si>
  <si>
    <t>P0106/24</t>
  </si>
  <si>
    <t>F0092/24</t>
  </si>
  <si>
    <t>A0079/24</t>
  </si>
  <si>
    <t>遥28</t>
    <phoneticPr fontId="2"/>
  </si>
  <si>
    <t>19时20分</t>
    <phoneticPr fontId="2"/>
  </si>
  <si>
    <t>15时03分</t>
    <phoneticPr fontId="2"/>
  </si>
  <si>
    <t>快舟一号甲</t>
    <rPh sb="4" eb="5">
      <t>コウ</t>
    </rPh>
    <phoneticPr fontId="2"/>
  </si>
  <si>
    <t>天行一号02</t>
    <phoneticPr fontId="2"/>
  </si>
  <si>
    <t>11时52分</t>
    <phoneticPr fontId="2"/>
  </si>
  <si>
    <t>遥30</t>
    <phoneticPr fontId="2"/>
  </si>
  <si>
    <t>首飞</t>
    <phoneticPr fontId="2"/>
  </si>
  <si>
    <t>星云一号（遥1）</t>
    <phoneticPr fontId="2"/>
  </si>
  <si>
    <t>智神星一号（遥1）</t>
    <phoneticPr fontId="2"/>
  </si>
  <si>
    <t>2024～</t>
    <phoneticPr fontId="2"/>
  </si>
  <si>
    <t>引力二号</t>
    <rPh sb="2" eb="3">
      <t>ニ</t>
    </rPh>
    <phoneticPr fontId="2"/>
  </si>
  <si>
    <t>力箭二号</t>
    <phoneticPr fontId="2"/>
  </si>
  <si>
    <t>2025～</t>
    <phoneticPr fontId="2"/>
  </si>
  <si>
    <t>A0075/24</t>
  </si>
  <si>
    <t>B0131/24</t>
  </si>
  <si>
    <t>B0132/24</t>
  </si>
  <si>
    <t>B0130/24</t>
  </si>
  <si>
    <t>载荷</t>
    <phoneticPr fontId="2"/>
  </si>
  <si>
    <t>轨道</t>
    <phoneticPr fontId="2"/>
  </si>
  <si>
    <t>开拓一号皮卫星03星</t>
    <phoneticPr fontId="2"/>
  </si>
  <si>
    <t>北斗一号1A</t>
    <phoneticPr fontId="2"/>
  </si>
  <si>
    <t>北斗一号1B</t>
    <phoneticPr fontId="2"/>
  </si>
  <si>
    <t>北斗一号1C</t>
    <phoneticPr fontId="2"/>
  </si>
  <si>
    <t>北斗一号1D</t>
    <phoneticPr fontId="2"/>
  </si>
  <si>
    <t>北斗二号G6</t>
    <phoneticPr fontId="2"/>
  </si>
  <si>
    <t>北斗二号G5</t>
    <phoneticPr fontId="2"/>
  </si>
  <si>
    <t>北斗二号I5</t>
    <phoneticPr fontId="2"/>
  </si>
  <si>
    <t>北斗二号I4</t>
    <phoneticPr fontId="2"/>
  </si>
  <si>
    <t>北斗二号I3</t>
    <phoneticPr fontId="2"/>
  </si>
  <si>
    <t>北斗二号I2</t>
    <phoneticPr fontId="2"/>
  </si>
  <si>
    <t>北斗二号G4</t>
    <phoneticPr fontId="2"/>
  </si>
  <si>
    <t>北斗二号I1</t>
    <phoneticPr fontId="2"/>
  </si>
  <si>
    <t>北斗二号G3</t>
    <phoneticPr fontId="2"/>
  </si>
  <si>
    <t>北斗二号M1</t>
    <phoneticPr fontId="2"/>
  </si>
  <si>
    <t>北斗二号G2</t>
    <phoneticPr fontId="2"/>
  </si>
  <si>
    <t>北斗二号G1</t>
    <phoneticPr fontId="2"/>
  </si>
  <si>
    <t>北斗三号I6</t>
    <phoneticPr fontId="2"/>
  </si>
  <si>
    <t>北斗三号G7</t>
    <phoneticPr fontId="2"/>
  </si>
  <si>
    <t>北斗三号I1</t>
    <phoneticPr fontId="2"/>
  </si>
  <si>
    <t>北斗三号I2</t>
    <phoneticPr fontId="2"/>
  </si>
  <si>
    <t>北斗三号M3</t>
    <phoneticPr fontId="2"/>
  </si>
  <si>
    <t>珠海一号02</t>
    <phoneticPr fontId="2"/>
  </si>
  <si>
    <t>微厘空间一号S1</t>
    <phoneticPr fontId="2"/>
  </si>
  <si>
    <t>灵鹊-1B</t>
    <phoneticPr fontId="2"/>
  </si>
  <si>
    <t>北斗二号G8</t>
    <phoneticPr fontId="2"/>
  </si>
  <si>
    <t>珠海一号03</t>
    <phoneticPr fontId="2"/>
  </si>
  <si>
    <t>云海一号02</t>
    <phoneticPr fontId="2"/>
  </si>
  <si>
    <t>天通一号02</t>
    <phoneticPr fontId="2"/>
  </si>
  <si>
    <t>环境一号A/B</t>
    <phoneticPr fontId="2"/>
  </si>
  <si>
    <t>创新一号04</t>
    <phoneticPr fontId="2"/>
  </si>
  <si>
    <t>北斗三号I7</t>
    <phoneticPr fontId="2"/>
  </si>
  <si>
    <t>返回式遥感1号03</t>
    <phoneticPr fontId="2"/>
  </si>
  <si>
    <t>返回式遥感2号01</t>
    <phoneticPr fontId="2"/>
  </si>
  <si>
    <t>返回式遥感1号04</t>
    <phoneticPr fontId="2"/>
  </si>
  <si>
    <t>返回式遥感1号05</t>
    <phoneticPr fontId="2"/>
  </si>
  <si>
    <t>返回式遥感2号03</t>
    <phoneticPr fontId="2"/>
  </si>
  <si>
    <t>返回式遥感3号01</t>
    <phoneticPr fontId="2"/>
  </si>
  <si>
    <t>返回式遥感2号02</t>
    <phoneticPr fontId="2"/>
  </si>
  <si>
    <t>返回式遥感4号01</t>
    <phoneticPr fontId="2"/>
  </si>
  <si>
    <t>返回式遥感3号02</t>
    <phoneticPr fontId="2"/>
  </si>
  <si>
    <t>返回式遥感4号02</t>
    <phoneticPr fontId="2"/>
  </si>
  <si>
    <t>遥感三十号01</t>
    <phoneticPr fontId="2"/>
  </si>
  <si>
    <t>遥感三十号02</t>
    <phoneticPr fontId="2"/>
  </si>
  <si>
    <t>遥感三十号03</t>
    <phoneticPr fontId="2"/>
  </si>
  <si>
    <t>吉林一号高分02F</t>
    <phoneticPr fontId="2"/>
  </si>
  <si>
    <t>嫦娥一号</t>
    <phoneticPr fontId="2"/>
  </si>
  <si>
    <t>嫦娥二号</t>
    <phoneticPr fontId="2"/>
  </si>
  <si>
    <t>嫦娥三号</t>
    <phoneticPr fontId="2"/>
  </si>
  <si>
    <t>嫦娥四号</t>
    <phoneticPr fontId="2"/>
  </si>
  <si>
    <t>嫦娥五号</t>
    <phoneticPr fontId="2"/>
  </si>
  <si>
    <t>嫦娥四号中继鹊桥号</t>
    <phoneticPr fontId="2"/>
  </si>
  <si>
    <t>嫦娥五号再入返回试验</t>
    <phoneticPr fontId="2"/>
  </si>
  <si>
    <t>天通一号01</t>
    <phoneticPr fontId="2"/>
  </si>
  <si>
    <t>天通一号03</t>
    <phoneticPr fontId="2"/>
  </si>
  <si>
    <t>长征五号</t>
    <rPh sb="2" eb="3">
      <t>ゴ</t>
    </rPh>
    <phoneticPr fontId="2"/>
  </si>
  <si>
    <t>海南</t>
    <rPh sb="0" eb="2">
      <t>カイナン</t>
    </rPh>
    <phoneticPr fontId="2"/>
  </si>
  <si>
    <t>实践六号01A/B</t>
    <phoneticPr fontId="2"/>
  </si>
  <si>
    <t>实践六号02A/B</t>
    <phoneticPr fontId="2"/>
  </si>
  <si>
    <t>实践六号03A/B</t>
    <phoneticPr fontId="2"/>
  </si>
  <si>
    <t>实践六号04A/B</t>
    <phoneticPr fontId="2"/>
  </si>
  <si>
    <t>北斗二号M3-4</t>
    <phoneticPr fontId="2"/>
  </si>
  <si>
    <t>北斗二号M5-6</t>
    <phoneticPr fontId="2"/>
  </si>
  <si>
    <t>珠海一号A-B</t>
    <phoneticPr fontId="2"/>
  </si>
  <si>
    <t>北斗三号M01-02</t>
    <phoneticPr fontId="2"/>
  </si>
  <si>
    <t>高景一号03-04</t>
    <phoneticPr fontId="2"/>
  </si>
  <si>
    <t>北斗三号M03-04</t>
    <phoneticPr fontId="2"/>
  </si>
  <si>
    <t>吉林一号视频07-08</t>
    <phoneticPr fontId="2"/>
  </si>
  <si>
    <t>北斗三号M05-06</t>
    <phoneticPr fontId="2"/>
  </si>
  <si>
    <t>北斗三号M07-08</t>
    <phoneticPr fontId="2"/>
  </si>
  <si>
    <t>高分一号02-04</t>
    <phoneticPr fontId="2"/>
  </si>
  <si>
    <t>北斗三号M09-10</t>
    <phoneticPr fontId="2"/>
  </si>
  <si>
    <t>北斗三号M11-12</t>
    <phoneticPr fontId="2"/>
  </si>
  <si>
    <t>北斗三号M13-14</t>
    <phoneticPr fontId="2"/>
  </si>
  <si>
    <t>北斗三号M15-16</t>
    <phoneticPr fontId="2"/>
  </si>
  <si>
    <t>北斗三号M17-18</t>
    <phoneticPr fontId="2"/>
  </si>
  <si>
    <t>吉林一号光谱01-02</t>
    <phoneticPr fontId="2"/>
  </si>
  <si>
    <t>遥感三十号05A-C</t>
    <phoneticPr fontId="2"/>
  </si>
  <si>
    <t>北斗三号M23-24</t>
    <phoneticPr fontId="2"/>
  </si>
  <si>
    <t>北斗三号M21-22</t>
    <phoneticPr fontId="2"/>
  </si>
  <si>
    <t>北斗三号M19-20</t>
    <phoneticPr fontId="2"/>
  </si>
  <si>
    <t>新技术试验卫星C-F</t>
    <phoneticPr fontId="2"/>
  </si>
  <si>
    <t>新技术试验卫星G-H</t>
    <phoneticPr fontId="2"/>
  </si>
  <si>
    <t>多媒体贝塔试验卫星A-B</t>
    <phoneticPr fontId="2"/>
  </si>
  <si>
    <t>融合试验卫星01-02</t>
    <phoneticPr fontId="2"/>
  </si>
  <si>
    <t>遥感三十二号02A-B</t>
    <phoneticPr fontId="2"/>
  </si>
  <si>
    <t>遥感三十五号A-C</t>
    <phoneticPr fontId="2"/>
  </si>
  <si>
    <t>试验十二号A-B</t>
    <phoneticPr fontId="2"/>
  </si>
  <si>
    <t>四维高景一号01-02</t>
    <phoneticPr fontId="2"/>
  </si>
  <si>
    <t>遥感三十五号02A-C</t>
    <phoneticPr fontId="2"/>
  </si>
  <si>
    <t>四维高景二号01-02</t>
    <phoneticPr fontId="2"/>
  </si>
  <si>
    <t>遥感三十五号03A-C</t>
    <phoneticPr fontId="2"/>
  </si>
  <si>
    <t>遥感三十五号04-C</t>
    <phoneticPr fontId="2"/>
  </si>
  <si>
    <t>创新十六号A-B</t>
    <phoneticPr fontId="2"/>
  </si>
  <si>
    <t>微厘空间一号系统S3-S4</t>
    <phoneticPr fontId="2"/>
  </si>
  <si>
    <t>遥感三十五号05A-C</t>
    <phoneticPr fontId="2"/>
  </si>
  <si>
    <t>遥感三十六号01A-C</t>
    <phoneticPr fontId="2"/>
  </si>
  <si>
    <t>微厘空间一号系统S5-S6</t>
    <phoneticPr fontId="2"/>
  </si>
  <si>
    <t>遥感三十六号02A-C</t>
    <phoneticPr fontId="2"/>
  </si>
  <si>
    <t>遥感三十六号03A-C</t>
    <phoneticPr fontId="2"/>
  </si>
  <si>
    <t>试验二十号A-B</t>
    <phoneticPr fontId="2"/>
  </si>
  <si>
    <t>遥感三十六号04A-C</t>
    <phoneticPr fontId="2"/>
  </si>
  <si>
    <t>遥感三十六号05A-C</t>
    <phoneticPr fontId="2"/>
  </si>
  <si>
    <t>遥感三十九号01A-C</t>
    <rPh sb="4" eb="5">
      <t>ク</t>
    </rPh>
    <phoneticPr fontId="2"/>
  </si>
  <si>
    <t>遥感三十九号02A-C</t>
    <phoneticPr fontId="2"/>
  </si>
  <si>
    <t>遥感三十九号03A-C</t>
    <phoneticPr fontId="2"/>
  </si>
  <si>
    <t>遥感三十九号04A-C</t>
    <phoneticPr fontId="2"/>
  </si>
  <si>
    <t>遥73</t>
    <phoneticPr fontId="2"/>
  </si>
  <si>
    <t>A0119/24</t>
  </si>
  <si>
    <t>F0247/24</t>
  </si>
  <si>
    <t>F0332/24</t>
  </si>
  <si>
    <t>P0613/24</t>
  </si>
  <si>
    <t>遥95</t>
    <phoneticPr fontId="2"/>
  </si>
  <si>
    <t>A0194/24</t>
  </si>
  <si>
    <t>神舟八号试验飞船</t>
    <phoneticPr fontId="2"/>
  </si>
  <si>
    <t>LC-130: Lijian1</t>
    <phoneticPr fontId="2"/>
  </si>
  <si>
    <t>A0252/24</t>
  </si>
  <si>
    <t>A0253/24</t>
  </si>
  <si>
    <t>GD008/24</t>
    <phoneticPr fontId="2"/>
  </si>
  <si>
    <t>长征八号</t>
    <rPh sb="2" eb="3">
      <t>ハチ</t>
    </rPh>
    <phoneticPr fontId="2"/>
  </si>
  <si>
    <t>长征
二号甲</t>
    <phoneticPr fontId="2"/>
  </si>
  <si>
    <t>长征
二号捆</t>
    <phoneticPr fontId="2"/>
  </si>
  <si>
    <t>长征
三号甲</t>
    <phoneticPr fontId="2"/>
  </si>
  <si>
    <t>长征
三号丙</t>
    <phoneticPr fontId="2"/>
  </si>
  <si>
    <t>长征
四号甲</t>
    <phoneticPr fontId="2"/>
  </si>
  <si>
    <t>长征
四号乙</t>
    <phoneticPr fontId="2"/>
  </si>
  <si>
    <t>长征
五号乙</t>
    <phoneticPr fontId="2"/>
  </si>
  <si>
    <t>长征
十一号海</t>
    <phoneticPr fontId="2"/>
  </si>
  <si>
    <t>引力
一号</t>
    <phoneticPr fontId="2"/>
  </si>
  <si>
    <t>A0295/24</t>
  </si>
  <si>
    <t>A0296/24</t>
  </si>
  <si>
    <t>22时27分30秒728毫秒</t>
    <phoneticPr fontId="2"/>
  </si>
  <si>
    <t>F0469/24</t>
  </si>
  <si>
    <t>A0390/24</t>
  </si>
  <si>
    <t>A0220/24</t>
  </si>
  <si>
    <t>07时37分</t>
    <phoneticPr fontId="2"/>
  </si>
  <si>
    <t>12时06分</t>
    <phoneticPr fontId="2"/>
  </si>
  <si>
    <t>11时06分</t>
    <phoneticPr fontId="2"/>
  </si>
  <si>
    <t>远征一号遥16</t>
  </si>
  <si>
    <t>远征三号遥2</t>
  </si>
  <si>
    <t>远征一号商遥9</t>
  </si>
  <si>
    <t>通信技术试验十一号</t>
    <phoneticPr fontId="2"/>
  </si>
  <si>
    <t>通信技术试验一号</t>
    <phoneticPr fontId="2"/>
  </si>
  <si>
    <t>通信技术试验二号</t>
    <phoneticPr fontId="2"/>
  </si>
  <si>
    <t>通信技术试验三号</t>
    <phoneticPr fontId="2"/>
  </si>
  <si>
    <t>通信技术试验四号</t>
    <phoneticPr fontId="2"/>
  </si>
  <si>
    <t>通信技术试验五号</t>
    <phoneticPr fontId="2"/>
  </si>
  <si>
    <t>通信技术试验七号</t>
    <phoneticPr fontId="2"/>
  </si>
  <si>
    <t>通信技术试验十号</t>
    <phoneticPr fontId="2"/>
  </si>
  <si>
    <t>试验十号</t>
    <phoneticPr fontId="2"/>
  </si>
  <si>
    <t>海上</t>
    <phoneticPr fontId="2"/>
  </si>
  <si>
    <t>B0566/24</t>
  </si>
  <si>
    <t>A0728/24</t>
  </si>
  <si>
    <t>B0574/24</t>
  </si>
  <si>
    <t>GD17/24</t>
  </si>
  <si>
    <t>A0401/24</t>
  </si>
  <si>
    <t>A0402/24</t>
  </si>
  <si>
    <t>A0403/24</t>
  </si>
  <si>
    <t>21时03分</t>
    <phoneticPr fontId="2"/>
  </si>
  <si>
    <t>19时30分10秒068毫秒</t>
    <phoneticPr fontId="2"/>
  </si>
  <si>
    <t>P1239/24</t>
  </si>
  <si>
    <t>A0497/24</t>
  </si>
  <si>
    <t>A0498/24</t>
  </si>
  <si>
    <t>A0499/24</t>
  </si>
  <si>
    <t>DRO-A/B</t>
    <phoneticPr fontId="2"/>
  </si>
  <si>
    <t>20时51分</t>
    <phoneticPr fontId="2"/>
  </si>
  <si>
    <t>地月远距离逆行轨道</t>
    <phoneticPr fontId="2"/>
  </si>
  <si>
    <t>A0535/24</t>
  </si>
  <si>
    <t>VVHM</t>
    <phoneticPr fontId="2"/>
  </si>
  <si>
    <t>A0537/24</t>
  </si>
  <si>
    <t>A0538/24</t>
  </si>
  <si>
    <t>CZ</t>
    <phoneticPr fontId="2"/>
  </si>
  <si>
    <t>2D</t>
    <phoneticPr fontId="2"/>
  </si>
  <si>
    <t>2</t>
    <phoneticPr fontId="2"/>
  </si>
  <si>
    <t>0</t>
    <phoneticPr fontId="2"/>
  </si>
  <si>
    <t>KZ</t>
    <phoneticPr fontId="2"/>
  </si>
  <si>
    <t>1A</t>
    <phoneticPr fontId="2"/>
  </si>
  <si>
    <t>4</t>
    <phoneticPr fontId="2"/>
  </si>
  <si>
    <t>S</t>
    <phoneticPr fontId="2"/>
  </si>
  <si>
    <t>燃料类型：S固体，无液体</t>
    <phoneticPr fontId="2"/>
  </si>
  <si>
    <t>助推器数</t>
    <phoneticPr fontId="2"/>
  </si>
  <si>
    <t>级数</t>
    <phoneticPr fontId="2"/>
  </si>
  <si>
    <t>分隔符</t>
    <phoneticPr fontId="2"/>
  </si>
  <si>
    <t>火箭名称</t>
    <phoneticPr fontId="2"/>
  </si>
  <si>
    <t>火箭系列</t>
    <phoneticPr fontId="2"/>
  </si>
  <si>
    <t>B0927/24</t>
  </si>
  <si>
    <t>B0930/24</t>
  </si>
  <si>
    <t>A1195/24</t>
  </si>
  <si>
    <t>－</t>
  </si>
  <si>
    <t>－</t>
    <phoneticPr fontId="2"/>
  </si>
  <si>
    <t>３B</t>
    <phoneticPr fontId="2"/>
  </si>
  <si>
    <t>3</t>
    <phoneticPr fontId="2"/>
  </si>
  <si>
    <t>5</t>
    <phoneticPr fontId="2"/>
  </si>
  <si>
    <t>A5479/18</t>
    <phoneticPr fontId="2"/>
  </si>
  <si>
    <t>A5478/18</t>
    <phoneticPr fontId="2"/>
  </si>
  <si>
    <t>A0593/24</t>
  </si>
  <si>
    <t>A0594/24</t>
  </si>
  <si>
    <t>08时31分28秒152毫秒</t>
    <phoneticPr fontId="2"/>
  </si>
  <si>
    <t>13时27分</t>
    <phoneticPr fontId="2"/>
  </si>
  <si>
    <t>遥87</t>
    <phoneticPr fontId="2"/>
  </si>
  <si>
    <t>云海一号01</t>
    <phoneticPr fontId="2"/>
  </si>
  <si>
    <t>HN29/24</t>
  </si>
  <si>
    <t>06时51分</t>
    <phoneticPr fontId="2"/>
  </si>
  <si>
    <t>云海三号02</t>
    <phoneticPr fontId="2"/>
  </si>
  <si>
    <t>云海三号01</t>
    <phoneticPr fontId="2"/>
  </si>
  <si>
    <t>缩写</t>
    <phoneticPr fontId="2"/>
  </si>
  <si>
    <t>发射</t>
    <phoneticPr fontId="2"/>
  </si>
  <si>
    <t>占比率</t>
    <phoneticPr fontId="2"/>
  </si>
  <si>
    <t>长征七号　</t>
  </si>
  <si>
    <t>长征五号　</t>
  </si>
  <si>
    <t>力箭一号　</t>
  </si>
  <si>
    <t>捷龙三号　</t>
  </si>
  <si>
    <t>朱雀二号　</t>
  </si>
  <si>
    <t>长征八号　</t>
  </si>
  <si>
    <t>天龙二号　</t>
  </si>
  <si>
    <t>引力一号　</t>
  </si>
  <si>
    <t>长征三号　</t>
  </si>
  <si>
    <t>风暴一号　</t>
  </si>
  <si>
    <t>长征二号甲</t>
  </si>
  <si>
    <t>长征一号　</t>
  </si>
  <si>
    <t>快舟一号　</t>
  </si>
  <si>
    <t>捷龙一号　</t>
  </si>
  <si>
    <t>长征二号　</t>
  </si>
  <si>
    <t>朱雀一号　</t>
  </si>
  <si>
    <t>OS-M 　　</t>
  </si>
  <si>
    <t>长征十一号海</t>
    <rPh sb="5" eb="6">
      <t>ウミ</t>
    </rPh>
    <phoneticPr fontId="2"/>
  </si>
  <si>
    <t>CZ</t>
  </si>
  <si>
    <t>3B</t>
    <phoneticPr fontId="2"/>
  </si>
  <si>
    <t>34</t>
  </si>
  <si>
    <t>20</t>
  </si>
  <si>
    <t>30</t>
  </si>
  <si>
    <t>40S</t>
  </si>
  <si>
    <t>24</t>
  </si>
  <si>
    <t>14</t>
  </si>
  <si>
    <t>34S</t>
  </si>
  <si>
    <t>2D</t>
  </si>
  <si>
    <t>2C</t>
  </si>
  <si>
    <t>4C</t>
  </si>
  <si>
    <t>4B</t>
  </si>
  <si>
    <t>KZ</t>
  </si>
  <si>
    <t>1A</t>
  </si>
  <si>
    <t>2F</t>
  </si>
  <si>
    <t>11</t>
  </si>
  <si>
    <t>6</t>
  </si>
  <si>
    <t>GSX</t>
  </si>
  <si>
    <t>1</t>
  </si>
  <si>
    <t>7</t>
  </si>
  <si>
    <t>5</t>
  </si>
  <si>
    <t>7A</t>
  </si>
  <si>
    <t>SQX</t>
  </si>
  <si>
    <t>11H</t>
  </si>
  <si>
    <t>6A</t>
  </si>
  <si>
    <t>5B</t>
  </si>
  <si>
    <t>LJ</t>
  </si>
  <si>
    <t>SD</t>
  </si>
  <si>
    <t>3</t>
  </si>
  <si>
    <t>ZQ</t>
  </si>
  <si>
    <t>2</t>
  </si>
  <si>
    <t>8</t>
  </si>
  <si>
    <t>TL</t>
  </si>
  <si>
    <t>1S</t>
  </si>
  <si>
    <t>YL</t>
  </si>
  <si>
    <t>3A</t>
  </si>
  <si>
    <t>3C</t>
  </si>
  <si>
    <t>FB</t>
  </si>
  <si>
    <t>2E</t>
  </si>
  <si>
    <t>2A</t>
  </si>
  <si>
    <t>KTZ</t>
  </si>
  <si>
    <t>4A</t>
  </si>
  <si>
    <t>30S</t>
  </si>
  <si>
    <t>OS</t>
  </si>
  <si>
    <t>M</t>
  </si>
  <si>
    <t>6C</t>
    <phoneticPr fontId="2"/>
  </si>
  <si>
    <t>8A</t>
    <phoneticPr fontId="2"/>
  </si>
  <si>
    <t>系列</t>
    <phoneticPr fontId="2"/>
  </si>
  <si>
    <t>22</t>
    <phoneticPr fontId="2"/>
  </si>
  <si>
    <t>其他</t>
    <phoneticPr fontId="2"/>
  </si>
  <si>
    <t>A0676/24</t>
  </si>
  <si>
    <t>A0677/24</t>
  </si>
  <si>
    <t>A0746/20</t>
    <phoneticPr fontId="2"/>
  </si>
  <si>
    <t>A0747/20</t>
    <phoneticPr fontId="2"/>
  </si>
  <si>
    <t>在研</t>
    <phoneticPr fontId="2"/>
  </si>
  <si>
    <t>20</t>
    <phoneticPr fontId="2"/>
  </si>
  <si>
    <t>现役</t>
    <phoneticPr fontId="2"/>
  </si>
  <si>
    <t>状态</t>
    <phoneticPr fontId="2"/>
  </si>
  <si>
    <t>长征八号甲</t>
    <phoneticPr fontId="2"/>
  </si>
  <si>
    <t>长征十二号</t>
    <phoneticPr fontId="2"/>
  </si>
  <si>
    <t>12</t>
    <phoneticPr fontId="2"/>
  </si>
  <si>
    <t>TL</t>
    <phoneticPr fontId="2"/>
  </si>
  <si>
    <t>ZSX</t>
    <phoneticPr fontId="2"/>
  </si>
  <si>
    <t>1</t>
    <phoneticPr fontId="2"/>
  </si>
  <si>
    <t>智神星一号</t>
    <phoneticPr fontId="2"/>
  </si>
  <si>
    <t xml:space="preserve">首飞
</t>
    <phoneticPr fontId="2"/>
  </si>
  <si>
    <t>远征一号遥1</t>
  </si>
  <si>
    <t>远征一号遥2</t>
  </si>
  <si>
    <t>远征一号遥3</t>
  </si>
  <si>
    <t>远征一号甲遥1</t>
  </si>
  <si>
    <t>远征二号遥1</t>
  </si>
  <si>
    <t>远征一号商遥1</t>
  </si>
  <si>
    <t>远征一号遥11</t>
  </si>
  <si>
    <t>远征一号遥12</t>
  </si>
  <si>
    <t>远征三号遥1</t>
  </si>
  <si>
    <t>远征一号遥13</t>
  </si>
  <si>
    <t>远征一号遥14</t>
  </si>
  <si>
    <t>远征一号遥15</t>
  </si>
  <si>
    <t>远征一号商遥2</t>
  </si>
  <si>
    <t>远征一号商遥4</t>
  </si>
  <si>
    <t>远征一号商遥5</t>
  </si>
  <si>
    <t>远征一号商遥3</t>
  </si>
  <si>
    <t>远征一号商遥18</t>
  </si>
  <si>
    <t>远征三号遥3</t>
  </si>
  <si>
    <t>06时56分</t>
    <phoneticPr fontId="2"/>
  </si>
  <si>
    <t>遥感四十二号01</t>
    <phoneticPr fontId="2"/>
  </si>
  <si>
    <t>遥102</t>
    <phoneticPr fontId="2"/>
  </si>
  <si>
    <t>A0806/24</t>
  </si>
  <si>
    <t>B1185/24</t>
  </si>
  <si>
    <t>B1187/24</t>
  </si>
  <si>
    <t>中地球轨道</t>
    <phoneticPr fontId="2"/>
  </si>
  <si>
    <t>遥97</t>
    <phoneticPr fontId="2"/>
  </si>
  <si>
    <t>成立者</t>
    <phoneticPr fontId="2"/>
  </si>
  <si>
    <t>出身</t>
    <phoneticPr fontId="2"/>
  </si>
  <si>
    <t>发射数</t>
    <phoneticPr fontId="2"/>
  </si>
  <si>
    <t>王建蒙</t>
    <phoneticPr fontId="2"/>
  </si>
  <si>
    <t>吴树范</t>
    <phoneticPr fontId="2"/>
  </si>
  <si>
    <t>中国卫星发射测控系统部原高级工程师</t>
    <phoneticPr fontId="2"/>
  </si>
  <si>
    <t>欧洲航天局</t>
    <phoneticPr fontId="2"/>
  </si>
  <si>
    <t>刘百奇</t>
    <phoneticPr fontId="2"/>
  </si>
  <si>
    <t>夏东坤</t>
    <phoneticPr fontId="2"/>
  </si>
  <si>
    <t>康永来</t>
    <phoneticPr fontId="2"/>
  </si>
  <si>
    <t>航天一院一部总体室主任</t>
    <phoneticPr fontId="2"/>
  </si>
  <si>
    <t>布向伟</t>
    <phoneticPr fontId="2"/>
  </si>
  <si>
    <t>航天一院</t>
    <phoneticPr fontId="2"/>
  </si>
  <si>
    <t>航天一院长征十一号火箭结构总体设计师</t>
    <phoneticPr fontId="2"/>
  </si>
  <si>
    <t>魏凯</t>
    <phoneticPr fontId="2"/>
  </si>
  <si>
    <t>杨毅强</t>
    <phoneticPr fontId="2"/>
  </si>
  <si>
    <t>姚博文</t>
    <phoneticPr fontId="2"/>
  </si>
  <si>
    <t>彭小波</t>
    <phoneticPr fontId="2"/>
  </si>
  <si>
    <t>航天一院长征十一号运载火箭的项目办主任</t>
    <phoneticPr fontId="2"/>
  </si>
  <si>
    <t>航天一院长征十一号首任总指挥</t>
    <phoneticPr fontId="2"/>
  </si>
  <si>
    <t>航天一院（中国运载火箭技术研究院）</t>
    <phoneticPr fontId="2"/>
  </si>
  <si>
    <t>航天一院十余年航天型号研制与战略管理经验</t>
    <phoneticPr fontId="2"/>
  </si>
  <si>
    <t>长征三号乙
远征一号</t>
    <phoneticPr fontId="2"/>
  </si>
  <si>
    <t>A0864/24</t>
  </si>
  <si>
    <t>A0865/24</t>
  </si>
  <si>
    <t>遥103</t>
    <phoneticPr fontId="2"/>
  </si>
  <si>
    <t>遥感四十二号02</t>
    <phoneticPr fontId="2"/>
  </si>
  <si>
    <t>12时12分</t>
    <phoneticPr fontId="2"/>
  </si>
  <si>
    <t>四维高景三号01</t>
    <phoneticPr fontId="2"/>
  </si>
  <si>
    <t>HN013/24</t>
    <phoneticPr fontId="2"/>
  </si>
  <si>
    <t>A0877/24</t>
    <phoneticPr fontId="2"/>
  </si>
  <si>
    <t>A0878/24</t>
    <phoneticPr fontId="2"/>
  </si>
  <si>
    <t>921</t>
  </si>
  <si>
    <t>921</t>
    <phoneticPr fontId="2"/>
  </si>
  <si>
    <t>20时59分00秒479毫秒</t>
    <phoneticPr fontId="2"/>
  </si>
  <si>
    <t>07时45分</t>
    <phoneticPr fontId="2"/>
  </si>
  <si>
    <t>杨利伟</t>
  </si>
  <si>
    <t>费俊龙</t>
  </si>
  <si>
    <t>聂海胜</t>
  </si>
  <si>
    <t>翟志刚</t>
  </si>
  <si>
    <t>刘伯明</t>
  </si>
  <si>
    <t>景海鹏</t>
  </si>
  <si>
    <t>刘旺</t>
  </si>
  <si>
    <t>张晓光</t>
  </si>
  <si>
    <t>陈冬</t>
  </si>
  <si>
    <t>汤洪波</t>
  </si>
  <si>
    <t>叶光富</t>
  </si>
  <si>
    <t>蔡旭哲</t>
  </si>
  <si>
    <t>载人飞船</t>
    <phoneticPr fontId="2"/>
  </si>
  <si>
    <t>神舟五号</t>
    <phoneticPr fontId="2"/>
  </si>
  <si>
    <t>神舟六号</t>
  </si>
  <si>
    <t>神舟十五号</t>
  </si>
  <si>
    <t>神舟十号</t>
  </si>
  <si>
    <t>神舟十二号</t>
  </si>
  <si>
    <t>神舟七号</t>
  </si>
  <si>
    <t>神舟十三号</t>
  </si>
  <si>
    <t>神舟九号</t>
  </si>
  <si>
    <t>神舟十一号</t>
  </si>
  <si>
    <t>神舟十六号</t>
  </si>
  <si>
    <t>神舟十四号</t>
  </si>
  <si>
    <t>神舟十七号</t>
  </si>
  <si>
    <t>神舟十八号</t>
  </si>
  <si>
    <t>Yang Liwei</t>
    <phoneticPr fontId="2"/>
  </si>
  <si>
    <t>Fei Junlong</t>
    <phoneticPr fontId="2"/>
  </si>
  <si>
    <t>Nie Haisheng</t>
    <phoneticPr fontId="2"/>
  </si>
  <si>
    <t>Liu Boming</t>
    <phoneticPr fontId="2"/>
  </si>
  <si>
    <t>Jing Haipeng</t>
    <phoneticPr fontId="2"/>
  </si>
  <si>
    <t>Liu Wang</t>
    <phoneticPr fontId="2"/>
  </si>
  <si>
    <t>Zhang Xiaoguang</t>
    <phoneticPr fontId="2"/>
  </si>
  <si>
    <t>年龄</t>
    <phoneticPr fontId="2"/>
  </si>
  <si>
    <t>批次</t>
    <phoneticPr fontId="2"/>
  </si>
  <si>
    <t>着陆日期</t>
    <phoneticPr fontId="2"/>
  </si>
  <si>
    <t>航天员</t>
    <phoneticPr fontId="2"/>
  </si>
  <si>
    <t>Ship</t>
    <phoneticPr fontId="2"/>
  </si>
  <si>
    <t>出生日期</t>
    <phoneticPr fontId="2"/>
  </si>
  <si>
    <t>王亚平(女)</t>
    <phoneticPr fontId="2"/>
  </si>
  <si>
    <t>Chen Dong</t>
    <phoneticPr fontId="2"/>
  </si>
  <si>
    <t>Ye Guangfu</t>
    <phoneticPr fontId="2"/>
  </si>
  <si>
    <t>Cai Xuzhe</t>
    <phoneticPr fontId="2"/>
  </si>
  <si>
    <t>Zhang Lu</t>
    <phoneticPr fontId="2"/>
  </si>
  <si>
    <t>Zhu Yangzhu</t>
    <phoneticPr fontId="2"/>
  </si>
  <si>
    <t>Gui Haichao</t>
    <phoneticPr fontId="2"/>
  </si>
  <si>
    <t>Tang hongbo</t>
    <phoneticPr fontId="2"/>
  </si>
  <si>
    <t>Tang Shengjie</t>
    <phoneticPr fontId="2"/>
  </si>
  <si>
    <t>Jiang xinlin</t>
    <phoneticPr fontId="2"/>
  </si>
  <si>
    <t>Li Chong</t>
    <phoneticPr fontId="2"/>
  </si>
  <si>
    <t>Li Guangsu</t>
    <phoneticPr fontId="2"/>
  </si>
  <si>
    <t>Zhai Zhigang</t>
    <phoneticPr fontId="2"/>
  </si>
  <si>
    <t>A1043/24</t>
  </si>
  <si>
    <t>A1044/24</t>
  </si>
  <si>
    <t>叶光富</t>
    <phoneticPr fontId="2"/>
  </si>
  <si>
    <t>SZ-10</t>
  </si>
  <si>
    <t>SZ-13</t>
  </si>
  <si>
    <t>SZ-18</t>
  </si>
  <si>
    <t>SZ-7</t>
  </si>
  <si>
    <t>SZ-9</t>
  </si>
  <si>
    <t>SZ-11</t>
  </si>
  <si>
    <t>SZ-16</t>
  </si>
  <si>
    <t>SZ-17</t>
  </si>
  <si>
    <t>SZ-14</t>
  </si>
  <si>
    <t>SZ-12</t>
  </si>
  <si>
    <t>SZ-15</t>
  </si>
  <si>
    <t>SZ-5</t>
  </si>
  <si>
    <t>SZ-6</t>
  </si>
  <si>
    <t>费俊龙</t>
    <phoneticPr fontId="2"/>
  </si>
  <si>
    <t>邓清明</t>
    <phoneticPr fontId="2"/>
  </si>
  <si>
    <t>张陆</t>
    <phoneticPr fontId="2"/>
  </si>
  <si>
    <t>桂海潮</t>
    <phoneticPr fontId="2"/>
  </si>
  <si>
    <t>江新林</t>
    <phoneticPr fontId="2"/>
  </si>
  <si>
    <t>朱杨柱</t>
    <phoneticPr fontId="2"/>
  </si>
  <si>
    <t>刘洋(女)</t>
    <rPh sb="3" eb="4">
      <t>ジョ</t>
    </rPh>
    <phoneticPr fontId="2"/>
  </si>
  <si>
    <t>B1346/24</t>
  </si>
  <si>
    <t>A1748/24</t>
  </si>
  <si>
    <t>A1060/24</t>
  </si>
  <si>
    <t>陈冬</t>
    <phoneticPr fontId="2"/>
  </si>
  <si>
    <t>汤洪波</t>
    <phoneticPr fontId="2"/>
  </si>
  <si>
    <t>B1484/24</t>
  </si>
  <si>
    <t>B1485/24</t>
  </si>
  <si>
    <t>发射日期</t>
    <phoneticPr fontId="2"/>
  </si>
  <si>
    <t>A1083/24</t>
  </si>
  <si>
    <t>A1084/24</t>
  </si>
  <si>
    <t>A1085/24</t>
  </si>
  <si>
    <t>09时43分</t>
    <phoneticPr fontId="2"/>
  </si>
  <si>
    <t>北斗三号M1/M2</t>
    <phoneticPr fontId="2"/>
  </si>
  <si>
    <t>Liu Yang(F)</t>
    <phoneticPr fontId="2"/>
  </si>
  <si>
    <t>Wang Yaping(F)</t>
    <phoneticPr fontId="2"/>
  </si>
  <si>
    <t>HN47/24</t>
    <phoneticPr fontId="2"/>
  </si>
  <si>
    <t>P2469/24</t>
  </si>
  <si>
    <t>遥96</t>
    <phoneticPr fontId="2"/>
  </si>
  <si>
    <t>赤兔一号（遥1）</t>
    <rPh sb="0" eb="1">
      <t>アカ</t>
    </rPh>
    <rPh sb="1" eb="2">
      <t>ウサギ</t>
    </rPh>
    <rPh sb="2" eb="3">
      <t>ヒト</t>
    </rPh>
    <rPh sb="3" eb="4">
      <t>ゴウ</t>
    </rPh>
    <phoneticPr fontId="2"/>
  </si>
  <si>
    <t>A0099/24</t>
  </si>
  <si>
    <t>B1514/24</t>
  </si>
  <si>
    <t>B1504/24</t>
  </si>
  <si>
    <t>B1519/24</t>
  </si>
  <si>
    <t>17时27分29秒132毫秒</t>
    <phoneticPr fontId="2"/>
  </si>
  <si>
    <t>现役</t>
  </si>
  <si>
    <t>11时21分</t>
    <phoneticPr fontId="2"/>
  </si>
  <si>
    <t>A1102/24</t>
  </si>
  <si>
    <t>A0102/24</t>
    <phoneticPr fontId="2"/>
  </si>
  <si>
    <t>07时43分</t>
    <phoneticPr fontId="2"/>
  </si>
  <si>
    <t>遥50</t>
    <phoneticPr fontId="2"/>
  </si>
  <si>
    <t>试验二十三号</t>
    <phoneticPr fontId="2"/>
  </si>
  <si>
    <t>ZQ</t>
    <phoneticPr fontId="2"/>
  </si>
  <si>
    <t>朱雀三号</t>
    <phoneticPr fontId="2"/>
  </si>
  <si>
    <t>海南</t>
    <phoneticPr fontId="2"/>
  </si>
  <si>
    <t>P2692/24</t>
  </si>
  <si>
    <t>A1230/24</t>
  </si>
  <si>
    <t>A1231/24</t>
  </si>
  <si>
    <t>快舟十一号</t>
    <phoneticPr fontId="2"/>
  </si>
  <si>
    <t>A1232/24</t>
  </si>
  <si>
    <t>A1233/24</t>
  </si>
  <si>
    <t>F1830/24</t>
  </si>
  <si>
    <t>F1832/24</t>
  </si>
  <si>
    <t>遥13</t>
    <phoneticPr fontId="2"/>
  </si>
  <si>
    <t>遥98</t>
    <phoneticPr fontId="2"/>
  </si>
  <si>
    <t>12时15分</t>
    <phoneticPr fontId="2"/>
  </si>
  <si>
    <t>A1309/24</t>
  </si>
  <si>
    <t>P2835/24</t>
  </si>
  <si>
    <t>F1894/24</t>
  </si>
  <si>
    <t>A1330/24</t>
  </si>
  <si>
    <t>A1331/24</t>
  </si>
  <si>
    <t>SZ-19</t>
  </si>
  <si>
    <t>神舟十九号</t>
    <rPh sb="3" eb="4">
      <t>ク</t>
    </rPh>
    <phoneticPr fontId="2"/>
  </si>
  <si>
    <t>低轨通信试验1~3</t>
    <phoneticPr fontId="2"/>
  </si>
  <si>
    <t>出生日不详</t>
    <phoneticPr fontId="2"/>
  </si>
  <si>
    <t>蔡旭哲</t>
    <phoneticPr fontId="2"/>
  </si>
  <si>
    <t>神舟十九号</t>
  </si>
  <si>
    <t>神舟九号　</t>
  </si>
  <si>
    <t xml:space="preserve">SZ-9 </t>
  </si>
  <si>
    <t>刘洋(女)</t>
  </si>
  <si>
    <t>神舟七号　</t>
  </si>
  <si>
    <t>神舟十号　</t>
  </si>
  <si>
    <t>王亚平(女)</t>
  </si>
  <si>
    <t>神舟六号　</t>
  </si>
  <si>
    <t>在轨日数</t>
    <rPh sb="3" eb="4">
      <t>カズ</t>
    </rPh>
    <phoneticPr fontId="2"/>
  </si>
  <si>
    <t>神舟廿二号</t>
    <rPh sb="3" eb="4">
      <t>ニ</t>
    </rPh>
    <phoneticPr fontId="2"/>
  </si>
  <si>
    <t>SZ-22</t>
    <phoneticPr fontId="2"/>
  </si>
  <si>
    <t>李广苏</t>
    <phoneticPr fontId="2"/>
  </si>
  <si>
    <t>景海鹏</t>
    <phoneticPr fontId="2"/>
  </si>
  <si>
    <t>SZ-7</t>
    <phoneticPr fontId="2"/>
  </si>
  <si>
    <t>序号差</t>
    <phoneticPr fontId="2"/>
  </si>
  <si>
    <t>神舟二十号</t>
    <rPh sb="2" eb="3">
      <t>ニ</t>
    </rPh>
    <phoneticPr fontId="2"/>
  </si>
  <si>
    <t>P2927/24</t>
  </si>
  <si>
    <t>SD264/24</t>
    <phoneticPr fontId="2"/>
  </si>
  <si>
    <t>16时12分</t>
    <phoneticPr fontId="2"/>
  </si>
  <si>
    <t>20时12分</t>
    <phoneticPr fontId="2"/>
  </si>
  <si>
    <t>巴基斯坦多任务通信MM1</t>
    <phoneticPr fontId="2"/>
  </si>
  <si>
    <t>F2001/24</t>
  </si>
  <si>
    <t>13时00分30秒</t>
    <phoneticPr fontId="2"/>
  </si>
  <si>
    <t>长征七号甲</t>
    <phoneticPr fontId="2"/>
  </si>
  <si>
    <t>太阳同步轨道</t>
    <phoneticPr fontId="2"/>
  </si>
  <si>
    <t>WAAF</t>
  </si>
  <si>
    <t>望加锡</t>
  </si>
  <si>
    <r>
      <rPr>
        <sz val="14"/>
        <color theme="1"/>
        <rFont val="Segoe UI Symbol"/>
        <family val="1"/>
      </rPr>
      <t>❶</t>
    </r>
    <r>
      <rPr>
        <sz val="14"/>
        <color theme="1"/>
        <rFont val="Microsoft YaHei"/>
        <family val="2"/>
      </rPr>
      <t>LC-90：CZ-2F；</t>
    </r>
    <phoneticPr fontId="2"/>
  </si>
  <si>
    <r>
      <rPr>
        <sz val="14"/>
        <color theme="1"/>
        <rFont val="Segoe UI Symbol"/>
        <family val="1"/>
      </rPr>
      <t>❷</t>
    </r>
    <r>
      <rPr>
        <sz val="14"/>
        <color theme="1"/>
        <rFont val="Microsoft YaHei"/>
        <family val="2"/>
      </rPr>
      <t>LC-94：CZ-2C/2D/4B/4C；</t>
    </r>
    <phoneticPr fontId="2"/>
  </si>
  <si>
    <r>
      <rPr>
        <sz val="14"/>
        <color theme="1"/>
        <rFont val="Segoe UI Symbol"/>
        <family val="1"/>
      </rPr>
      <t>❺</t>
    </r>
    <r>
      <rPr>
        <sz val="14"/>
        <color theme="1"/>
        <rFont val="Microsoft YaHei"/>
        <family val="2"/>
      </rPr>
      <t>LC-96：ZQ-2/ZQ-3/VTVL-1</t>
    </r>
    <phoneticPr fontId="2"/>
  </si>
  <si>
    <r>
      <rPr>
        <sz val="14"/>
        <color theme="1"/>
        <rFont val="Segoe UI Symbol"/>
        <family val="1"/>
      </rPr>
      <t>❻</t>
    </r>
    <r>
      <rPr>
        <sz val="14"/>
        <color theme="1"/>
        <rFont val="Microsoft YaHei"/>
        <family val="2"/>
      </rPr>
      <t>LC-120：TL-2/SQX-2Y</t>
    </r>
    <phoneticPr fontId="2"/>
  </si>
  <si>
    <r>
      <rPr>
        <sz val="14"/>
        <color theme="1"/>
        <rFont val="Segoe UI Symbol"/>
        <family val="1"/>
      </rPr>
      <t>❼</t>
    </r>
    <r>
      <rPr>
        <sz val="14"/>
        <color theme="1"/>
        <rFont val="Microsoft YaHei"/>
        <family val="2"/>
      </rPr>
      <t>LC-130：LJ-1</t>
    </r>
    <phoneticPr fontId="2"/>
  </si>
  <si>
    <t>LEO(t)</t>
    <phoneticPr fontId="2"/>
  </si>
  <si>
    <t>SSO(t)</t>
    <phoneticPr fontId="2"/>
  </si>
  <si>
    <t>长征十号</t>
    <phoneticPr fontId="2"/>
  </si>
  <si>
    <r>
      <rPr>
        <sz val="14"/>
        <color theme="1"/>
        <rFont val="Segoe UI Symbol"/>
        <family val="1"/>
      </rPr>
      <t>❸</t>
    </r>
    <r>
      <rPr>
        <sz val="14"/>
        <color theme="1"/>
        <rFont val="Microsoft YaHei"/>
        <family val="2"/>
      </rPr>
      <t>LC-95A：CZ-11/KZ-1A/KZ-11/KT-2/GSX-1/SQX-1</t>
    </r>
    <phoneticPr fontId="2"/>
  </si>
  <si>
    <r>
      <rPr>
        <sz val="14"/>
        <color theme="1"/>
        <rFont val="Segoe UI Symbol"/>
        <family val="1"/>
      </rPr>
      <t>❹</t>
    </r>
    <r>
      <rPr>
        <sz val="14"/>
        <color theme="1"/>
        <rFont val="Microsoft YaHei"/>
        <family val="2"/>
      </rPr>
      <t>LC-95B：CZ-11/KZ-1A/KZ-11/KT-2/GSX-1/SQX-1</t>
    </r>
    <phoneticPr fontId="2"/>
  </si>
  <si>
    <t>长征
二号己</t>
    <phoneticPr fontId="2"/>
  </si>
  <si>
    <t>长征
三号乙</t>
    <phoneticPr fontId="2"/>
  </si>
  <si>
    <t>长征
四号丙</t>
    <phoneticPr fontId="2"/>
  </si>
  <si>
    <t>长征
六号甲</t>
    <phoneticPr fontId="2"/>
  </si>
  <si>
    <t>长征
六号丙</t>
    <phoneticPr fontId="2"/>
  </si>
  <si>
    <t>A2551/24</t>
  </si>
  <si>
    <t>A1603/24</t>
  </si>
  <si>
    <t>A1604/24</t>
  </si>
  <si>
    <t>B2239/24</t>
  </si>
  <si>
    <t>B2240/24</t>
  </si>
  <si>
    <t>A1415/24</t>
  </si>
  <si>
    <t>A1417/24</t>
  </si>
  <si>
    <t>神舟一号</t>
    <phoneticPr fontId="2"/>
  </si>
  <si>
    <t>神舟二号</t>
    <phoneticPr fontId="2"/>
  </si>
  <si>
    <t>神舟三号</t>
    <phoneticPr fontId="2"/>
  </si>
  <si>
    <t>神舟四号</t>
    <phoneticPr fontId="2"/>
  </si>
  <si>
    <t>SZ-1</t>
  </si>
  <si>
    <t>SZ-2</t>
  </si>
  <si>
    <t>SZ-3</t>
  </si>
  <si>
    <t>SZ-4</t>
  </si>
  <si>
    <t>神舟八号</t>
    <rPh sb="2" eb="3">
      <t>ハチ</t>
    </rPh>
    <phoneticPr fontId="2"/>
  </si>
  <si>
    <t>CE-5</t>
    <phoneticPr fontId="2"/>
  </si>
  <si>
    <t>SZ-8</t>
    <phoneticPr fontId="2"/>
  </si>
  <si>
    <t>嫦娥六号</t>
    <rPh sb="2" eb="3">
      <t>ロク</t>
    </rPh>
    <phoneticPr fontId="2"/>
  </si>
  <si>
    <t>CE-6</t>
    <phoneticPr fontId="2"/>
  </si>
  <si>
    <t>A1711/24</t>
  </si>
  <si>
    <t>A1712/24</t>
  </si>
  <si>
    <t>A1713/24</t>
  </si>
  <si>
    <t>19时57分</t>
    <phoneticPr fontId="2"/>
  </si>
  <si>
    <t>B2393/24</t>
  </si>
  <si>
    <t>B2391/24</t>
  </si>
  <si>
    <t>A2677/24</t>
  </si>
  <si>
    <t>A1495/24</t>
  </si>
  <si>
    <t>HN63/24</t>
    <phoneticPr fontId="2"/>
  </si>
  <si>
    <t>中星3A</t>
    <phoneticPr fontId="2"/>
  </si>
  <si>
    <t>有效载荷名称</t>
    <phoneticPr fontId="2"/>
  </si>
  <si>
    <t>发射轨道</t>
    <phoneticPr fontId="2"/>
  </si>
  <si>
    <t>发射地点</t>
    <phoneticPr fontId="2"/>
  </si>
  <si>
    <t>HN65/24</t>
  </si>
  <si>
    <t>06时49分</t>
    <phoneticPr fontId="2"/>
  </si>
  <si>
    <t>9</t>
    <phoneticPr fontId="2"/>
  </si>
  <si>
    <t>高分十一号05</t>
    <phoneticPr fontId="2"/>
  </si>
  <si>
    <t>长征四号乙</t>
    <phoneticPr fontId="2"/>
  </si>
  <si>
    <t>长征
七号甲</t>
    <phoneticPr fontId="2"/>
  </si>
  <si>
    <t>新技术验证六号</t>
    <phoneticPr fontId="2"/>
  </si>
  <si>
    <t>A0439/24</t>
  </si>
  <si>
    <t>07时40分</t>
    <phoneticPr fontId="2"/>
  </si>
  <si>
    <t xml:space="preserve"> WIIF</t>
  </si>
  <si>
    <t>A2051/24</t>
  </si>
  <si>
    <t>A1951/24</t>
  </si>
  <si>
    <t>A1952/24</t>
  </si>
  <si>
    <t>A1953/24</t>
  </si>
  <si>
    <t>A1655/24</t>
  </si>
  <si>
    <t>P3857/24</t>
  </si>
  <si>
    <t>HN75/24</t>
  </si>
  <si>
    <t>11时03分</t>
    <phoneticPr fontId="2"/>
  </si>
  <si>
    <t>天和核心舱</t>
    <phoneticPr fontId="2"/>
  </si>
  <si>
    <t>ZJSA</t>
    <phoneticPr fontId="2"/>
  </si>
  <si>
    <t>A2244/24</t>
  </si>
  <si>
    <t>A2245/24</t>
  </si>
  <si>
    <t>A2246/24</t>
    <phoneticPr fontId="2"/>
  </si>
  <si>
    <t>21时14分</t>
    <phoneticPr fontId="2"/>
  </si>
  <si>
    <t>遥58</t>
    <phoneticPr fontId="2"/>
  </si>
  <si>
    <t>P4291/24</t>
  </si>
  <si>
    <t>HN84/24</t>
    <phoneticPr fontId="2"/>
  </si>
  <si>
    <t>A2312/24</t>
  </si>
  <si>
    <t>A2313/24</t>
  </si>
  <si>
    <t>A2314/24</t>
  </si>
  <si>
    <t>14时42分</t>
    <phoneticPr fontId="2"/>
  </si>
  <si>
    <t>B3159/24</t>
  </si>
  <si>
    <t>B3157/24</t>
  </si>
  <si>
    <t>B3158/24</t>
  </si>
  <si>
    <t>A2409/24</t>
  </si>
  <si>
    <t>A2410/24</t>
  </si>
  <si>
    <t>15时35分</t>
    <phoneticPr fontId="2"/>
  </si>
  <si>
    <t>A2411/24</t>
  </si>
  <si>
    <t>机动</t>
    <phoneticPr fontId="2"/>
  </si>
  <si>
    <t>B3245/24</t>
  </si>
  <si>
    <t>遥72</t>
    <phoneticPr fontId="2"/>
  </si>
  <si>
    <t>B3277/24</t>
  </si>
  <si>
    <t>B3279/24</t>
  </si>
  <si>
    <t>A3421/24</t>
  </si>
  <si>
    <t>预测发射时间</t>
    <phoneticPr fontId="2"/>
  </si>
  <si>
    <t>20时25分</t>
    <phoneticPr fontId="2"/>
  </si>
  <si>
    <t>N3700/24</t>
  </si>
  <si>
    <t>A2431/24</t>
  </si>
  <si>
    <t>YBBB</t>
    <phoneticPr fontId="2"/>
  </si>
  <si>
    <t>HN95/24</t>
    <phoneticPr fontId="2"/>
  </si>
  <si>
    <t>13时22分</t>
    <phoneticPr fontId="2"/>
  </si>
  <si>
    <t>中星4A</t>
    <phoneticPr fontId="2"/>
  </si>
  <si>
    <t>A2531/24</t>
  </si>
  <si>
    <t>A2532/24</t>
  </si>
  <si>
    <t>A2489/24</t>
    <phoneticPr fontId="2"/>
  </si>
  <si>
    <t>N3791/24</t>
  </si>
  <si>
    <t>A2556/24</t>
  </si>
  <si>
    <t>SD519/24</t>
  </si>
  <si>
    <t>B3447/24</t>
  </si>
  <si>
    <t>A2628/24</t>
  </si>
  <si>
    <t>A2630/24</t>
  </si>
  <si>
    <t>A2631/24</t>
  </si>
  <si>
    <t>长征六号</t>
    <phoneticPr fontId="2"/>
  </si>
  <si>
    <t>09时22分</t>
    <phoneticPr fontId="2"/>
  </si>
  <si>
    <t>A1414/21</t>
    <phoneticPr fontId="2"/>
  </si>
  <si>
    <t>A5709/19</t>
    <phoneticPr fontId="2"/>
  </si>
  <si>
    <t>B3463/24</t>
  </si>
  <si>
    <t>B3553/24</t>
  </si>
  <si>
    <t>远征一号遥4</t>
    <phoneticPr fontId="2"/>
  </si>
  <si>
    <t>远征一号遥5</t>
    <phoneticPr fontId="2"/>
  </si>
  <si>
    <t>远征一号遥6</t>
    <phoneticPr fontId="2"/>
  </si>
  <si>
    <t>远征一号遥7</t>
    <phoneticPr fontId="2"/>
  </si>
  <si>
    <t>远征一号遥8</t>
    <phoneticPr fontId="2"/>
  </si>
  <si>
    <t>远征一号遥9</t>
    <phoneticPr fontId="2"/>
  </si>
  <si>
    <t>远征一号遥10</t>
    <phoneticPr fontId="2"/>
  </si>
  <si>
    <t>远征一号遥17</t>
    <phoneticPr fontId="2"/>
  </si>
  <si>
    <t>遥99</t>
    <phoneticPr fontId="2"/>
  </si>
  <si>
    <t>远征一号商遥17</t>
    <phoneticPr fontId="2"/>
  </si>
  <si>
    <t>北斗三号M26+M28</t>
    <phoneticPr fontId="2"/>
  </si>
  <si>
    <t>北斗三号M25+M27</t>
    <phoneticPr fontId="2"/>
  </si>
  <si>
    <t>02时30分</t>
    <phoneticPr fontId="2"/>
  </si>
  <si>
    <t>A2849/24</t>
  </si>
  <si>
    <t>A2850/24</t>
  </si>
  <si>
    <t>F3342/24</t>
    <phoneticPr fontId="2"/>
  </si>
  <si>
    <t>P5224/24</t>
  </si>
  <si>
    <t>94</t>
    <phoneticPr fontId="2"/>
  </si>
  <si>
    <t>N4199/24</t>
  </si>
  <si>
    <t>95</t>
    <phoneticPr fontId="2"/>
  </si>
  <si>
    <t>A0215/24</t>
  </si>
  <si>
    <t>HN116/24</t>
  </si>
  <si>
    <t>A2916/24</t>
  </si>
  <si>
    <t>A2918/24</t>
  </si>
  <si>
    <t>A2917/24</t>
  </si>
  <si>
    <t>A2919/24</t>
  </si>
  <si>
    <t>A2920/24</t>
  </si>
  <si>
    <t>A2921/24</t>
  </si>
  <si>
    <t>17时43分</t>
    <phoneticPr fontId="2"/>
  </si>
  <si>
    <t>B3784/24</t>
  </si>
  <si>
    <t>A2892/24</t>
  </si>
  <si>
    <t>GD160/24</t>
  </si>
  <si>
    <t>09时14分32秒</t>
    <phoneticPr fontId="2"/>
  </si>
  <si>
    <t>P5310/24</t>
  </si>
  <si>
    <t>12时11分</t>
    <phoneticPr fontId="2"/>
  </si>
  <si>
    <t>A2947/24</t>
  </si>
  <si>
    <t>P5376/24</t>
  </si>
  <si>
    <t>A3009/24</t>
  </si>
  <si>
    <t>A3011/24</t>
  </si>
  <si>
    <t>18时30分</t>
    <phoneticPr fontId="2"/>
  </si>
  <si>
    <t>F3478/24</t>
  </si>
  <si>
    <t>A3331/22</t>
    <phoneticPr fontId="2"/>
  </si>
  <si>
    <t>A3332/22</t>
    <phoneticPr fontId="2"/>
  </si>
  <si>
    <t>P5012/22</t>
    <phoneticPr fontId="2"/>
  </si>
  <si>
    <t>A6934/22</t>
    <phoneticPr fontId="2"/>
  </si>
  <si>
    <t>A6935/22</t>
    <phoneticPr fontId="2"/>
  </si>
  <si>
    <t>N3761/22</t>
    <phoneticPr fontId="2"/>
  </si>
  <si>
    <t>A2932/24</t>
  </si>
  <si>
    <t>A3056/24</t>
  </si>
  <si>
    <t>N4353/24</t>
  </si>
  <si>
    <t>天启一号04A/B</t>
    <phoneticPr fontId="2"/>
  </si>
  <si>
    <t>SD</t>
    <phoneticPr fontId="2"/>
  </si>
  <si>
    <t>SM</t>
    <phoneticPr fontId="2"/>
  </si>
  <si>
    <t>SMA</t>
    <phoneticPr fontId="2"/>
  </si>
  <si>
    <t>实践十六号02</t>
    <phoneticPr fontId="2"/>
  </si>
  <si>
    <t>07时33分01秒</t>
    <phoneticPr fontId="2"/>
  </si>
  <si>
    <t>10时31分41秒</t>
    <phoneticPr fontId="2"/>
  </si>
  <si>
    <t>长征
五号</t>
    <phoneticPr fontId="2"/>
  </si>
  <si>
    <t>长征
六号</t>
    <phoneticPr fontId="2"/>
  </si>
  <si>
    <t>长征
七号</t>
    <phoneticPr fontId="2"/>
  </si>
  <si>
    <t>长征
八号</t>
    <phoneticPr fontId="2"/>
  </si>
  <si>
    <t>长征
十一号</t>
    <phoneticPr fontId="2"/>
  </si>
  <si>
    <t>快舟
十一号</t>
    <phoneticPr fontId="2"/>
  </si>
  <si>
    <t>朱雀
二号</t>
    <phoneticPr fontId="2"/>
  </si>
  <si>
    <t>谷神星
一号</t>
    <phoneticPr fontId="2"/>
  </si>
  <si>
    <t>力箭
一号</t>
    <phoneticPr fontId="2"/>
  </si>
  <si>
    <t>双曲线
一号</t>
    <phoneticPr fontId="2"/>
  </si>
  <si>
    <t>捷龙
三号</t>
    <phoneticPr fontId="2"/>
  </si>
  <si>
    <t>天龙
二号</t>
    <phoneticPr fontId="2"/>
  </si>
  <si>
    <t>遥80</t>
    <phoneticPr fontId="2"/>
  </si>
  <si>
    <t>发射地链接</t>
    <phoneticPr fontId="2"/>
  </si>
  <si>
    <t>星空一号（遥1）</t>
    <phoneticPr fontId="2"/>
  </si>
  <si>
    <t>智龙三号（遥1）</t>
    <phoneticPr fontId="2"/>
  </si>
  <si>
    <t>腾龙一号（遥1）</t>
    <phoneticPr fontId="2"/>
  </si>
  <si>
    <t>太原</t>
    <phoneticPr fontId="2"/>
  </si>
  <si>
    <t>神舟十五号</t>
    <rPh sb="3" eb="4">
      <t>ゴ</t>
    </rPh>
    <phoneticPr fontId="2"/>
  </si>
  <si>
    <t>SZ-20</t>
    <phoneticPr fontId="2"/>
  </si>
  <si>
    <t>SZ-15</t>
    <phoneticPr fontId="2"/>
  </si>
  <si>
    <t>A3249/24</t>
  </si>
  <si>
    <t>A3250/24</t>
  </si>
  <si>
    <t>A3248/24</t>
  </si>
  <si>
    <t>F3660/24</t>
  </si>
  <si>
    <t>A3251/24</t>
  </si>
  <si>
    <t>21时50分</t>
    <phoneticPr fontId="2"/>
  </si>
  <si>
    <t>P5563/24</t>
    <phoneticPr fontId="2"/>
  </si>
  <si>
    <t>高分十二号05</t>
    <phoneticPr fontId="2"/>
  </si>
  <si>
    <t>16</t>
    <phoneticPr fontId="2"/>
  </si>
  <si>
    <t>J4030/18</t>
  </si>
  <si>
    <t>遥感三十九号05A-C</t>
    <phoneticPr fontId="2"/>
  </si>
  <si>
    <t>01时51分</t>
    <phoneticPr fontId="2"/>
  </si>
  <si>
    <t>07时01分</t>
    <phoneticPr fontId="2"/>
  </si>
  <si>
    <t>总日数</t>
    <phoneticPr fontId="2"/>
  </si>
  <si>
    <t>A3290/24</t>
  </si>
  <si>
    <t>A0244/24</t>
  </si>
  <si>
    <t>A3345/24</t>
  </si>
  <si>
    <t>A3347/24</t>
  </si>
  <si>
    <t>遥31</t>
    <phoneticPr fontId="2"/>
  </si>
  <si>
    <t>19时06分</t>
    <phoneticPr fontId="2"/>
  </si>
  <si>
    <t>F3863/24</t>
  </si>
  <si>
    <t>极地轨道</t>
    <phoneticPr fontId="2"/>
  </si>
  <si>
    <t>A3412/24</t>
  </si>
  <si>
    <t>08时10分</t>
    <phoneticPr fontId="2"/>
  </si>
  <si>
    <t>A3413/24</t>
  </si>
  <si>
    <t>A3414/24</t>
  </si>
  <si>
    <t>A3415/24</t>
  </si>
  <si>
    <t>F3911/24</t>
  </si>
  <si>
    <t>09时09分</t>
    <phoneticPr fontId="2"/>
  </si>
  <si>
    <t xml:space="preserve">ZSHA </t>
  </si>
  <si>
    <t>A3545/24</t>
  </si>
  <si>
    <t>A3546/24</t>
  </si>
  <si>
    <t>部分成功</t>
    <phoneticPr fontId="2"/>
  </si>
  <si>
    <t>星云二号</t>
    <rPh sb="0" eb="1">
      <t>ホシ</t>
    </rPh>
    <rPh sb="1" eb="2">
      <t>ウン</t>
    </rPh>
    <rPh sb="2" eb="3">
      <t>ニ</t>
    </rPh>
    <phoneticPr fontId="2"/>
  </si>
  <si>
    <t>酒泉卫星发射中心</t>
    <rPh sb="0" eb="1">
      <t>サケ</t>
    </rPh>
    <rPh sb="1" eb="2">
      <t>イズミ</t>
    </rPh>
    <rPh sb="3" eb="4">
      <t>セイ</t>
    </rPh>
    <rPh sb="5" eb="6">
      <t>シャ</t>
    </rPh>
    <rPh sb="6" eb="8">
      <t>チュウシン</t>
    </rPh>
    <phoneticPr fontId="2"/>
  </si>
  <si>
    <t>宋令东</t>
    <phoneticPr fontId="2"/>
  </si>
  <si>
    <t>Song Lingdong</t>
    <phoneticPr fontId="2"/>
  </si>
  <si>
    <t>王浩泽(女)</t>
    <phoneticPr fontId="2"/>
  </si>
  <si>
    <t>Wang Haoze(F)</t>
    <phoneticPr fontId="2"/>
  </si>
  <si>
    <t>出生日不详</t>
  </si>
  <si>
    <t>A3409/24</t>
  </si>
  <si>
    <t>04时27分34秒469毫秒</t>
    <phoneticPr fontId="2"/>
  </si>
  <si>
    <t>在轨日数</t>
    <phoneticPr fontId="2"/>
  </si>
  <si>
    <t>遥55</t>
    <phoneticPr fontId="2"/>
  </si>
  <si>
    <t>A3732/24</t>
  </si>
  <si>
    <t>A3750/24</t>
  </si>
  <si>
    <t>A3507/24</t>
  </si>
  <si>
    <t>空间站建成</t>
    <phoneticPr fontId="2"/>
  </si>
  <si>
    <t>无人</t>
    <phoneticPr fontId="2"/>
  </si>
  <si>
    <t>天宫二号</t>
    <phoneticPr fontId="2"/>
  </si>
  <si>
    <t>天宫一号</t>
    <phoneticPr fontId="2"/>
  </si>
  <si>
    <t>TG-1</t>
    <phoneticPr fontId="2"/>
  </si>
  <si>
    <t>TG-2</t>
    <phoneticPr fontId="2"/>
  </si>
  <si>
    <t>TH</t>
    <phoneticPr fontId="2"/>
  </si>
  <si>
    <t>梦天实验舱</t>
    <phoneticPr fontId="2"/>
  </si>
  <si>
    <t>问天实验舱</t>
    <phoneticPr fontId="2"/>
  </si>
  <si>
    <t>WT</t>
    <phoneticPr fontId="2"/>
  </si>
  <si>
    <t>MT</t>
    <phoneticPr fontId="2"/>
  </si>
  <si>
    <t>KJZ</t>
    <phoneticPr fontId="2"/>
  </si>
  <si>
    <t>飞船</t>
    <phoneticPr fontId="2"/>
  </si>
  <si>
    <t>拼音</t>
    <phoneticPr fontId="2"/>
  </si>
  <si>
    <t>排名</t>
    <phoneticPr fontId="2"/>
  </si>
  <si>
    <t>天舟一号</t>
    <phoneticPr fontId="2"/>
  </si>
  <si>
    <t>TZ-1</t>
    <phoneticPr fontId="2"/>
  </si>
  <si>
    <t>TZ-2</t>
    <phoneticPr fontId="2"/>
  </si>
  <si>
    <t>天舟二号</t>
    <phoneticPr fontId="2"/>
  </si>
  <si>
    <t>天舟三号</t>
    <phoneticPr fontId="2"/>
  </si>
  <si>
    <t>TZ-3</t>
    <phoneticPr fontId="2"/>
  </si>
  <si>
    <t>天舟四号</t>
    <phoneticPr fontId="2"/>
  </si>
  <si>
    <t>TZ-4</t>
    <phoneticPr fontId="2"/>
  </si>
  <si>
    <t>天舟五号</t>
    <phoneticPr fontId="2"/>
  </si>
  <si>
    <t>TZ-5</t>
    <phoneticPr fontId="2"/>
  </si>
  <si>
    <t>天舟六号</t>
    <phoneticPr fontId="2"/>
  </si>
  <si>
    <t>TZ-6</t>
    <phoneticPr fontId="2"/>
  </si>
  <si>
    <t>TZ-7</t>
    <phoneticPr fontId="2"/>
  </si>
  <si>
    <t>天舟七号</t>
    <phoneticPr fontId="2"/>
  </si>
  <si>
    <t>天舟八号</t>
    <rPh sb="2" eb="3">
      <t>ハチ</t>
    </rPh>
    <phoneticPr fontId="2"/>
  </si>
  <si>
    <t>TZ-8</t>
    <phoneticPr fontId="2"/>
  </si>
  <si>
    <t>入选</t>
    <phoneticPr fontId="2"/>
  </si>
  <si>
    <t>在轨</t>
    <phoneticPr fontId="2"/>
  </si>
  <si>
    <t>北纬042°21'01"
东经111°12'44"</t>
  </si>
  <si>
    <t>北纬042.5°
东经112.2°</t>
  </si>
  <si>
    <t>北纬041.9263°
东经110.7800°</t>
  </si>
  <si>
    <t>北纬042°31'
东经111°23'</t>
  </si>
  <si>
    <t>北纬042°14'35.95"
东经111°29'36.02"</t>
  </si>
  <si>
    <t>北纬042°20'35"
东经111°16'15"</t>
  </si>
  <si>
    <t>北纬042°20'19"
东经111°26'20"</t>
  </si>
  <si>
    <t>着陆经纬度</t>
    <phoneticPr fontId="2"/>
  </si>
  <si>
    <t>神舟六号</t>
    <phoneticPr fontId="2"/>
  </si>
  <si>
    <t>神舟十一号</t>
    <phoneticPr fontId="2"/>
  </si>
  <si>
    <t>神舟九号</t>
    <rPh sb="2" eb="3">
      <t>ク</t>
    </rPh>
    <phoneticPr fontId="2"/>
  </si>
  <si>
    <t>神舟七号</t>
    <phoneticPr fontId="2"/>
  </si>
  <si>
    <t>神舟九号</t>
    <phoneticPr fontId="2"/>
  </si>
  <si>
    <t>神舟十号</t>
    <phoneticPr fontId="2"/>
  </si>
  <si>
    <t>神舟十二号</t>
    <phoneticPr fontId="2"/>
  </si>
  <si>
    <t>神舟十三号</t>
    <phoneticPr fontId="2"/>
  </si>
  <si>
    <t>神舟十四号</t>
    <phoneticPr fontId="2"/>
  </si>
  <si>
    <t>神舟十五号</t>
    <phoneticPr fontId="2"/>
  </si>
  <si>
    <t>神舟十六号</t>
    <phoneticPr fontId="2"/>
  </si>
  <si>
    <t>神舟十七号</t>
    <phoneticPr fontId="2"/>
  </si>
  <si>
    <t>神舟十八号</t>
    <phoneticPr fontId="2"/>
  </si>
  <si>
    <t>神舟十九号</t>
    <phoneticPr fontId="2"/>
  </si>
  <si>
    <t>神舟二十号</t>
    <phoneticPr fontId="2"/>
  </si>
  <si>
    <t>梦舟一号</t>
    <phoneticPr fontId="2"/>
  </si>
  <si>
    <t>梦舟二号</t>
    <phoneticPr fontId="2"/>
  </si>
  <si>
    <t>梦舟三号</t>
    <phoneticPr fontId="2"/>
  </si>
  <si>
    <t>梦舟四号</t>
    <phoneticPr fontId="2"/>
  </si>
  <si>
    <t>B4973/24</t>
  </si>
  <si>
    <t>B4974/24</t>
  </si>
  <si>
    <t>B4975/24</t>
  </si>
  <si>
    <t>2E</t>
    <phoneticPr fontId="2"/>
  </si>
  <si>
    <t>A3843/24</t>
  </si>
  <si>
    <t>F4229/24</t>
  </si>
  <si>
    <t>11时39分</t>
    <phoneticPr fontId="2"/>
  </si>
  <si>
    <t>工位</t>
    <phoneticPr fontId="2"/>
  </si>
  <si>
    <t>风云一号A(01)</t>
  </si>
  <si>
    <t>风云一号B(02)</t>
  </si>
  <si>
    <t>风云二号A(01)</t>
  </si>
  <si>
    <t>风云二号B(02)</t>
  </si>
  <si>
    <t>风云二号C(03)</t>
  </si>
  <si>
    <t>风云二号D(04)</t>
  </si>
  <si>
    <t>风云三号A(01)</t>
  </si>
  <si>
    <t>风云二号E(05)</t>
  </si>
  <si>
    <t>遥感七号(尖兵六号03)</t>
  </si>
  <si>
    <t>风云三号B(02)</t>
  </si>
  <si>
    <t>风云二号F(06)</t>
  </si>
  <si>
    <t>风云三号C(03)</t>
  </si>
  <si>
    <t>风云二号G(07)</t>
  </si>
  <si>
    <t>风云四号A(01)</t>
  </si>
  <si>
    <t>风云三号D(04)</t>
  </si>
  <si>
    <t>风云二号H(08)</t>
  </si>
  <si>
    <t>星时代-6(直播地球号)</t>
  </si>
  <si>
    <t>风云四号B(02)</t>
  </si>
  <si>
    <t>风云三号E(05)</t>
  </si>
  <si>
    <t>风云三号G(07)</t>
  </si>
  <si>
    <t>风云三号F(06)</t>
  </si>
  <si>
    <t>15时39分(UTC+9)</t>
  </si>
  <si>
    <t>16时15分(UTC+9)</t>
  </si>
  <si>
    <t>16时28分35秒(UTC+9)</t>
  </si>
  <si>
    <t>05时30分19秒(UTC+9)</t>
  </si>
  <si>
    <t>09时40分(UTC+9)</t>
  </si>
  <si>
    <t>09时53分(UTC+9)</t>
  </si>
  <si>
    <t>黄海泰瑞号(连云港近海)</t>
  </si>
  <si>
    <t>黄海德渤3号()</t>
  </si>
  <si>
    <t>东海泰瑞号(上海近海)</t>
  </si>
  <si>
    <t>黄海德浮15002号(海阳近海)</t>
  </si>
  <si>
    <t>黄海泰瑞号(海阳)</t>
  </si>
  <si>
    <t>黄海德浮15002号(海阳)</t>
  </si>
  <si>
    <t>南海博润九州号(阳江N2117E11200)</t>
    <rPh sb="6" eb="7">
      <t>ゴウ</t>
    </rPh>
    <phoneticPr fontId="2"/>
  </si>
  <si>
    <t>黄海东方航天港号(海阳近岸363787N1211190E)</t>
  </si>
  <si>
    <t>南海博润九州号(阳江近岸N2134E11202)</t>
    <rPh sb="6" eb="7">
      <t>ゴウ</t>
    </rPh>
    <phoneticPr fontId="2"/>
  </si>
  <si>
    <t>黄海东方航天港号(海阳近海362649N1211146E)</t>
    <rPh sb="11" eb="13">
      <t>キンカイ</t>
    </rPh>
    <phoneticPr fontId="2"/>
  </si>
  <si>
    <t>资源一号02A(创新一号)</t>
  </si>
  <si>
    <t>试验三号(天讯一号)</t>
  </si>
  <si>
    <t>吉林一号视频03(林业一号)</t>
  </si>
  <si>
    <t>吉林一号高分02C(内蒙古一号)</t>
  </si>
  <si>
    <t>天启一号06(青岛西海岸号)</t>
  </si>
  <si>
    <t>天启一号11(济南国科中心号)</t>
  </si>
  <si>
    <t>吉林一号高分02D(和平精英号)</t>
  </si>
  <si>
    <t>北京三号B(南宁一号)</t>
  </si>
  <si>
    <t>环境减灾二号05星(5米S-SAR01星)</t>
  </si>
  <si>
    <t>吉林一号宽幅02A(香港科大－雄彬一号)</t>
  </si>
  <si>
    <t>吉林一号高分04B(联信盈达一号)</t>
  </si>
  <si>
    <t>爱因斯坦探针EP(天关)</t>
  </si>
  <si>
    <t>实践十九号(2024年10月11日10时39分成功返回东风着陆场)</t>
    <rPh sb="10" eb="11">
      <t>ネン</t>
    </rPh>
    <phoneticPr fontId="2"/>
  </si>
  <si>
    <t>风云一号C(03),实践五号</t>
  </si>
  <si>
    <t>风云一号D(04),海洋一号A</t>
  </si>
  <si>
    <t>探索二号,实践七号</t>
  </si>
  <si>
    <t>遥感八号(尖兵九号01),希望一号(中国业余电台一号)</t>
  </si>
  <si>
    <t>遨龙一号,空间碎片主动清理飞行器,空间碎片模拟器</t>
  </si>
  <si>
    <t>脉冲星试验卫星,中国业余电台二号T</t>
  </si>
  <si>
    <t>高景一号01-02,八一少年星</t>
  </si>
  <si>
    <t>中星16,实践十三号</t>
  </si>
  <si>
    <t>天启一号01,中法海洋,潇湘一号02,照金一号(铜川一号),长沙高新号,星时代-4(天府国星一号/星河号),BSUSat-1</t>
  </si>
  <si>
    <t>星时代-2(天府国星二号),星时代-7(潇湘一号05/新疆交通-01号/新疆交建号),星时代-9(天府星河号/斗鱼666号)</t>
  </si>
  <si>
    <t>星时代-5(三星堆号),天启一号02(沧州号)</t>
  </si>
  <si>
    <t>太极一号(微重力实验卫星),潇湘一号07</t>
  </si>
  <si>
    <t>天琴一号,天雁01,星时代-8(科幻世界号/天雁02)</t>
  </si>
  <si>
    <t>吉林一号宽幅01(红旗一号H9),天启一号05(忻州号/云江号)</t>
  </si>
  <si>
    <t>行云二号01,行云二号02星(武汉号)</t>
  </si>
  <si>
    <t>吉林一号高分02E(哔哩哔哩视频卫星),微厘空间一号系统S2星</t>
  </si>
  <si>
    <t>资源三号03,龙睛一号,天启一号10</t>
  </si>
  <si>
    <t>星时代-11(电子科技大学号/天雁05),星时代-12(北航空事卫星一号),阿根廷NewSat卫星09-18</t>
  </si>
  <si>
    <t>新技术验证七号,元光号,天启一号08(平安号),智星一号A,海丝一号</t>
  </si>
  <si>
    <t>遥感三十号08A-C,天启一号12</t>
  </si>
  <si>
    <t>北京三号A,海丝二号,仰望一号,太空试验1号天健</t>
  </si>
  <si>
    <t>遥感三十号10A-C,天启一号15(瑞金号)</t>
  </si>
  <si>
    <t>资源一号02E,一零一中学科普小卫星(希望四号/中国业余电台九号)</t>
  </si>
  <si>
    <t>银河航天02批01-06,暄铭星愿</t>
  </si>
  <si>
    <t>天鲲二号,浦江二号</t>
  </si>
  <si>
    <t>天舟四号货运飞船,智星三号A</t>
  </si>
  <si>
    <t>陆地生态系统碳监测,和德二号G星(交通四号),闵行少年星(零碳小先锋)</t>
  </si>
  <si>
    <t>泰景一号01(平安三号),泰景一号02,东海一号</t>
  </si>
  <si>
    <t>试验十六号A.试验十六号B,试验十七号</t>
  </si>
  <si>
    <t>科技壹号,天启一号13,天目一号01/02,南通中学号</t>
  </si>
  <si>
    <t>遥感三十七号,试验二十二号A-B</t>
  </si>
  <si>
    <t>吉林一号MF02A07(华水一号),吉林一号红外A07(沃福曼号),吉林一号红外A08(海河一号),吉林一号高分03D34,吉林一号MF02A03,吉林一号MF02A04,齐鲁二号/三号,珞珈三号01(烟台一号),金紫荆三号,金紫荆四号,金紫荆六号,北邮一号,天智二号D(日照三号)</t>
  </si>
  <si>
    <t>宏图一号01A(中原一号),宏图一号01B(鹤壁一号),宏图一号01C(鹤壁二号),宏图一号01D(鹤壁三号)</t>
  </si>
  <si>
    <t>天舟六号货运飞船,大连一号连理</t>
  </si>
  <si>
    <t>澳门科学一号AB双星,珞珈二号01</t>
  </si>
  <si>
    <t>试验二十四号A,试验二十四号B,西安航投8号,涪城一号,X射线偏振探测立方星,天仪26</t>
  </si>
  <si>
    <t>天目一号07(新疆能源一号),天目一号08(南信大一号),天目一号09(南宁01),天目一号10(南宁02)</t>
  </si>
  <si>
    <t>四象01(矿大南湖号),四象02(虹口复兴号),四象03(中电农创号),银河航天灵犀03</t>
  </si>
  <si>
    <t>西光壹号01(MN100-2),西安航投88号,西安航投96号,西安航投104号,西安航投112号,地卫智能应急一号(河南理工·一号),星池一号1B(MN30-3)</t>
  </si>
  <si>
    <t>天启一号21(合肥高新一号),天启一号22(中国民权双拥号),天启一号23(河北交投一号),天启一号24(赣州号/东江源号)</t>
  </si>
  <si>
    <t>埃及二号,星池一号02A-B</t>
  </si>
  <si>
    <t>天雁16星(玑衡一号/黄渤海一号),星池一号1A</t>
  </si>
  <si>
    <t>天目一号11(桐乡振石号),天目一号12(桐乡桐昆号),天目一号13(桐乡新凤鸣号),天目一号14(桐乡哪吒汽车号)</t>
  </si>
  <si>
    <t>天目一号19(西永微电园3号),天目一号20(贵安01),天目一号21(贵安02),天目一号22</t>
  </si>
  <si>
    <t>云遥一号18(联信盈达一号),云遥一号19(三峡遥感一号),云遥一号20(廊坊空间一号)</t>
  </si>
  <si>
    <t>嫦娥七号中继鹊桥二号,天都一号,天都二号</t>
  </si>
  <si>
    <t>海王星01,智星一号C(三江源一号),宽幅光学,高分视频</t>
  </si>
  <si>
    <t>北京三号C01,北京三号C02,北京三号C03(南宁二号),北京三号C04(郑州航空港号)</t>
  </si>
  <si>
    <t>天启一号25(长春净月一号),天启一号26(皖投一号),天启一号27(河北交投二号),天启一号28(河北交投三号)</t>
  </si>
  <si>
    <t>极光星座01,极光星座02,张江高科号(云遥一号25),云遥一号26(逆水寒二号),河北临西一号(云遥一号14)</t>
  </si>
  <si>
    <t>TEE-01B(地球之眼一号),纳星三号A,纳星三号B,爱神星一号留轨试验平台</t>
    <rPh sb="12" eb="13">
      <t>イチ</t>
    </rPh>
    <phoneticPr fontId="2"/>
  </si>
  <si>
    <t>中法天文卫星(SVOM),全变源追踪猎人星座01(CATCH-1)</t>
  </si>
  <si>
    <t>云遥一号15(北洋海棠基金一号),云遥一号16(天津大学科技园一号),云遥一号17(创业知本社一号)</t>
  </si>
  <si>
    <t>天启一号29,天启一号30,天启一号31(长春净月二号),天启一号32</t>
    <rPh sb="25" eb="26">
      <t>ニ</t>
    </rPh>
    <phoneticPr fontId="2"/>
  </si>
  <si>
    <t>宏图二号01(陇原水利一号/株洲天元号),宏图二号02(株洲芦淞号),宏图二号03(株洲醴陵号),宏图二号04(株洲田心号)</t>
  </si>
  <si>
    <t>黄海东方航天港号(日照近岸N35.39167,E119.59861)</t>
    <rPh sb="12" eb="13">
      <t>キシ</t>
    </rPh>
    <phoneticPr fontId="2"/>
  </si>
  <si>
    <t>黄海东方航天港号(石岛远海N36°25'00",E123°12'00")</t>
  </si>
  <si>
    <t>实践二号,实践二号甲,实践二号乙</t>
  </si>
  <si>
    <t>遥感三十号09A-C,天启一号14(嘉兴号)</t>
    <phoneticPr fontId="2"/>
  </si>
  <si>
    <t>遥感九号A-C</t>
    <phoneticPr fontId="2"/>
  </si>
  <si>
    <t>实践九号A-B</t>
    <phoneticPr fontId="2"/>
  </si>
  <si>
    <t>遥感十六号A-C</t>
    <phoneticPr fontId="2"/>
  </si>
  <si>
    <t>遥感十七号A-C</t>
    <phoneticPr fontId="2"/>
  </si>
  <si>
    <t>遥感二十号A-C</t>
    <phoneticPr fontId="2"/>
  </si>
  <si>
    <t>遥感二十五号A-C</t>
    <phoneticPr fontId="2"/>
  </si>
  <si>
    <t>希望二号A-F(中国业余电台三号A-F),其他14颗小卫星</t>
    <phoneticPr fontId="2"/>
  </si>
  <si>
    <t>吉林一号光学A+视频01-02+视频验证</t>
    <phoneticPr fontId="2"/>
  </si>
  <si>
    <t>遥感三十号04A-C</t>
    <phoneticPr fontId="2"/>
  </si>
  <si>
    <t>遥感三十一号01A-C</t>
    <phoneticPr fontId="2"/>
  </si>
  <si>
    <t>遥感三十二号01A-B</t>
    <phoneticPr fontId="2"/>
  </si>
  <si>
    <t>天绘二号01A-B</t>
    <phoneticPr fontId="2"/>
  </si>
  <si>
    <t>遥感三十号06A-C</t>
    <phoneticPr fontId="2"/>
  </si>
  <si>
    <t>印尼PALAPA-N1</t>
    <phoneticPr fontId="2"/>
  </si>
  <si>
    <t>环境减灾二号01卫星A-B</t>
    <phoneticPr fontId="2"/>
  </si>
  <si>
    <t>遥感三十一号02A-C</t>
    <phoneticPr fontId="2"/>
  </si>
  <si>
    <t>遥感三十一号03A-C</t>
    <phoneticPr fontId="2"/>
  </si>
  <si>
    <t>遥感三十一号04A-B</t>
    <phoneticPr fontId="2"/>
  </si>
  <si>
    <t>天绘二号02A-B</t>
    <phoneticPr fontId="2"/>
  </si>
  <si>
    <t>吉林一号高分03D44-46(东坡08-10),高分03D47,高分03D48-49(天罗星-天芯星),高分03D50,平台01A01,交通五号(和德二号H),金紫荆齐鲁一号05-06,天启一号07,丰台少年二号(少年梦想二号CAS-5A),火炬一号</t>
    <phoneticPr fontId="2"/>
  </si>
  <si>
    <t>天绘六号A-B</t>
    <phoneticPr fontId="2"/>
  </si>
  <si>
    <t>和德三号A-E(交通六号-十号)</t>
    <phoneticPr fontId="2"/>
  </si>
  <si>
    <t>天绘五号02A-B</t>
    <phoneticPr fontId="2"/>
  </si>
  <si>
    <t>千帆极轨01A-R</t>
    <phoneticPr fontId="2"/>
  </si>
  <si>
    <t>遥感四十三号01A-I</t>
    <phoneticPr fontId="2"/>
  </si>
  <si>
    <t>遥感四十三号02A-F</t>
    <phoneticPr fontId="2"/>
  </si>
  <si>
    <t>吉林一号宽幅02B01-06</t>
    <phoneticPr fontId="2"/>
  </si>
  <si>
    <t>千帆极轨02A-R</t>
    <phoneticPr fontId="2"/>
  </si>
  <si>
    <t>遥感四十三号03A-C</t>
    <phoneticPr fontId="2"/>
  </si>
  <si>
    <t>12时03分</t>
    <phoneticPr fontId="2"/>
  </si>
  <si>
    <t>A3881/24</t>
  </si>
  <si>
    <t>23时13分</t>
    <phoneticPr fontId="2"/>
  </si>
  <si>
    <t>130</t>
    <phoneticPr fontId="2"/>
  </si>
  <si>
    <t>B5076/24</t>
  </si>
  <si>
    <t>B5078/24</t>
  </si>
  <si>
    <t>B5079/24</t>
  </si>
  <si>
    <t>06时42分</t>
    <phoneticPr fontId="2"/>
  </si>
  <si>
    <t>海洋四号A(海洋盐度探测)</t>
    <phoneticPr fontId="2"/>
  </si>
  <si>
    <t>长征五号乙（遥）</t>
    <phoneticPr fontId="2"/>
  </si>
  <si>
    <t>B5123/24</t>
  </si>
  <si>
    <t>B5124/24</t>
  </si>
  <si>
    <t>长征
十二号</t>
    <phoneticPr fontId="2"/>
  </si>
  <si>
    <t>天舟七号货运飞船,南京号暨中国青少年科普卫星(八一08星)</t>
    <phoneticPr fontId="2"/>
  </si>
  <si>
    <t>天舟八号货运飞船,纳星四号A/B</t>
    <phoneticPr fontId="2"/>
  </si>
  <si>
    <t>A4009/24</t>
  </si>
  <si>
    <t>朱雀二号Ｅ</t>
    <phoneticPr fontId="2"/>
  </si>
  <si>
    <t>朱雀
二号Ｅ</t>
    <phoneticPr fontId="2"/>
  </si>
  <si>
    <t>北纬041°37'49"
东经100°03'42"</t>
    <phoneticPr fontId="2"/>
  </si>
  <si>
    <t>吉林一号高分03D19+20~26(秦岭小卫星星座),吉林一号高分06A01~16,吉林一号高分06A17-18(金紫荆37-38),吉林一号高分06A19-29,吉林一号高分06A30(哈测农遥一号),吉林一号平台02A01-02,霍尔果斯一号</t>
    <phoneticPr fontId="2"/>
  </si>
  <si>
    <t>A4063/24</t>
  </si>
  <si>
    <t>A4064/24</t>
  </si>
  <si>
    <t>HN150/24</t>
  </si>
  <si>
    <t>HN151/24</t>
  </si>
  <si>
    <t>HN149/24</t>
  </si>
  <si>
    <t>朱雀二号Ｅ</t>
    <rPh sb="2" eb="3">
      <t>ニ</t>
    </rPh>
    <phoneticPr fontId="2"/>
  </si>
  <si>
    <t>星云一号</t>
    <phoneticPr fontId="2"/>
  </si>
  <si>
    <t>在研</t>
  </si>
  <si>
    <t>SQX</t>
    <phoneticPr fontId="2"/>
  </si>
  <si>
    <t>双曲线三号</t>
    <phoneticPr fontId="2"/>
  </si>
  <si>
    <t>引力二号</t>
    <phoneticPr fontId="2"/>
  </si>
  <si>
    <t>GSX</t>
    <phoneticPr fontId="2"/>
  </si>
  <si>
    <t>谷神星二号</t>
    <phoneticPr fontId="2"/>
  </si>
  <si>
    <t>40S</t>
    <phoneticPr fontId="2"/>
  </si>
  <si>
    <t>LJ</t>
    <phoneticPr fontId="2"/>
  </si>
  <si>
    <t>YL</t>
    <phoneticPr fontId="2"/>
  </si>
  <si>
    <t>XY</t>
    <phoneticPr fontId="2"/>
  </si>
  <si>
    <t>四维高景二号03-04</t>
    <phoneticPr fontId="2"/>
  </si>
  <si>
    <t>A3799/24</t>
  </si>
  <si>
    <t>A3800/24</t>
  </si>
  <si>
    <t>谷神星一号海</t>
  </si>
  <si>
    <t>海南</t>
  </si>
  <si>
    <t>95</t>
  </si>
  <si>
    <t>A4465/24</t>
  </si>
  <si>
    <t>光传01-02</t>
    <phoneticPr fontId="2"/>
  </si>
  <si>
    <t>A4109/24</t>
  </si>
  <si>
    <t>A4110/24</t>
  </si>
  <si>
    <t>A4111/24</t>
  </si>
  <si>
    <t>13时56分</t>
    <phoneticPr fontId="2"/>
  </si>
  <si>
    <t>B5342/24</t>
  </si>
  <si>
    <t>B5341/24</t>
  </si>
  <si>
    <t>22时25分</t>
    <phoneticPr fontId="2"/>
  </si>
  <si>
    <t>A4139/24</t>
  </si>
  <si>
    <t>A4140/24</t>
  </si>
  <si>
    <t>A4141/24</t>
  </si>
  <si>
    <t>GD210/24</t>
  </si>
  <si>
    <t>N5460/24</t>
  </si>
  <si>
    <t>遥103</t>
  </si>
  <si>
    <t>P6412/24</t>
  </si>
  <si>
    <t>中科卫星01(济钢一号),中科卫星02(济钢二号),吉林一号SAR01A,云遥一号21(天津大学宣怀学院号),云遥一号22</t>
    <phoneticPr fontId="2"/>
  </si>
  <si>
    <t>12时46分</t>
    <phoneticPr fontId="2"/>
  </si>
  <si>
    <t>海哨一号(中科卫星08)</t>
    <phoneticPr fontId="2"/>
  </si>
  <si>
    <t>A4184/24</t>
  </si>
  <si>
    <t>A4185/24</t>
  </si>
  <si>
    <t>A4186/24</t>
  </si>
  <si>
    <t>HN158/24</t>
    <phoneticPr fontId="2"/>
  </si>
  <si>
    <t>长征六号甲</t>
    <rPh sb="4" eb="5">
      <t>コウ</t>
    </rPh>
    <phoneticPr fontId="2"/>
  </si>
  <si>
    <t>P6460/24</t>
  </si>
  <si>
    <t>12时41分</t>
    <phoneticPr fontId="2"/>
  </si>
  <si>
    <t>智慧天网一号01A-B</t>
    <phoneticPr fontId="2"/>
  </si>
  <si>
    <t>遥32</t>
    <phoneticPr fontId="2"/>
  </si>
  <si>
    <t>A4198/24</t>
  </si>
  <si>
    <t>N5532/24</t>
  </si>
  <si>
    <t>千帆极轨03A(招银一号),千帆极轨03B-R</t>
    <phoneticPr fontId="2"/>
  </si>
  <si>
    <t>F4802/24</t>
  </si>
  <si>
    <t>HN160/24</t>
  </si>
  <si>
    <t>天绘五号01A-B</t>
    <phoneticPr fontId="2"/>
  </si>
  <si>
    <t>高速激光钻石A-E</t>
    <phoneticPr fontId="2"/>
  </si>
  <si>
    <t>15时17分</t>
    <phoneticPr fontId="2"/>
  </si>
  <si>
    <t>远征三号遥5</t>
    <phoneticPr fontId="2"/>
  </si>
  <si>
    <t>A4066/24</t>
  </si>
  <si>
    <t>A4641/24</t>
  </si>
  <si>
    <t>A4260/24</t>
  </si>
  <si>
    <t>P6587/24</t>
  </si>
  <si>
    <t>A4273/24</t>
  </si>
  <si>
    <t>A4275/24</t>
  </si>
  <si>
    <t>101</t>
  </si>
  <si>
    <t>远征二号遥2</t>
  </si>
  <si>
    <t>齐鲁一号(中科卫星09),齐鲁四号(中科卫星10),佛山一号,中安国通一号,天启一号09,起源太空NEO-1,泰景二号01,金紫荆一号,灵鹊一号D02</t>
    <phoneticPr fontId="2"/>
  </si>
  <si>
    <t>18时00分</t>
    <phoneticPr fontId="2"/>
  </si>
  <si>
    <t>SD834/24</t>
  </si>
  <si>
    <t>黄海东方航天港号(日照近岸N35.39167,E119.59867)</t>
    <phoneticPr fontId="2"/>
  </si>
  <si>
    <t>02时50分</t>
    <phoneticPr fontId="2"/>
  </si>
  <si>
    <t>宏图二号09(中原二号),宏图二号10(水利一号),宏图二号11(黄冈一号),宏图二号12(黄冈二号)</t>
    <phoneticPr fontId="2"/>
  </si>
  <si>
    <t>A4299/24</t>
  </si>
  <si>
    <t>A4300/24</t>
  </si>
  <si>
    <t>23时12分</t>
    <phoneticPr fontId="2"/>
  </si>
  <si>
    <t>P6663/24</t>
  </si>
  <si>
    <t>星网技术试验04A-C</t>
    <phoneticPr fontId="2"/>
  </si>
  <si>
    <t>星网技术试验01A-B</t>
    <phoneticPr fontId="2"/>
  </si>
  <si>
    <t>星网技术试验05,技术试验03</t>
    <phoneticPr fontId="2"/>
  </si>
  <si>
    <t>星网技术试验02A-C</t>
    <phoneticPr fontId="2"/>
  </si>
  <si>
    <t>遥93</t>
    <phoneticPr fontId="2"/>
  </si>
  <si>
    <t>18时18分</t>
    <phoneticPr fontId="2"/>
  </si>
  <si>
    <t>130</t>
  </si>
  <si>
    <t>通信技术试验十二号</t>
    <phoneticPr fontId="2"/>
  </si>
  <si>
    <t>遥100</t>
    <phoneticPr fontId="2"/>
  </si>
  <si>
    <t>天启一号33(汕头数字一号),天启一号34(保定莲池号),天启一号35(徽赢一号),天启一号36(安徽国金一号)</t>
    <phoneticPr fontId="2"/>
  </si>
  <si>
    <t>P6767/24</t>
  </si>
  <si>
    <t>P6768/24</t>
  </si>
  <si>
    <t>A4356/24</t>
  </si>
  <si>
    <t>09时03分</t>
    <phoneticPr fontId="2"/>
  </si>
  <si>
    <t>F4991/24</t>
  </si>
  <si>
    <t>N5836/24</t>
  </si>
  <si>
    <t>04时00分</t>
  </si>
  <si>
    <t>遥104</t>
  </si>
  <si>
    <t>A0018/25</t>
  </si>
  <si>
    <t>A0017/25</t>
  </si>
  <si>
    <t>P0023/25</t>
  </si>
  <si>
    <t>实践二十五号</t>
    <phoneticPr fontId="2"/>
  </si>
  <si>
    <t>A0057/25</t>
  </si>
  <si>
    <t>P0060/25</t>
  </si>
  <si>
    <t>N0098/25</t>
  </si>
  <si>
    <t>F0085/25</t>
  </si>
  <si>
    <t>长征八号甲</t>
  </si>
  <si>
    <t>201</t>
  </si>
  <si>
    <t>SD18/25</t>
    <phoneticPr fontId="2"/>
  </si>
  <si>
    <t>黄海东方航天港号(海阳近岸36.61667N121.18333E)</t>
    <phoneticPr fontId="2"/>
  </si>
  <si>
    <t>黄海海阳东方航天港号
36.61667N,121.18333E
(太原卫星发射中心组织)</t>
    <phoneticPr fontId="2"/>
  </si>
  <si>
    <t>长征
八号甲</t>
    <rPh sb="5" eb="6">
      <t>コウ</t>
    </rPh>
    <phoneticPr fontId="2"/>
  </si>
  <si>
    <t>B0134/25</t>
  </si>
  <si>
    <t>B0136/25</t>
  </si>
  <si>
    <t>B0138/25</t>
  </si>
  <si>
    <t>A0104/25</t>
  </si>
  <si>
    <t>微厘空间01A-J</t>
    <phoneticPr fontId="2"/>
  </si>
  <si>
    <t>F0187/25</t>
  </si>
  <si>
    <t>12时07分</t>
    <phoneticPr fontId="2"/>
  </si>
  <si>
    <t>遥101</t>
    <phoneticPr fontId="2"/>
  </si>
  <si>
    <t>巴基斯坦PRSC-EO1,天路一号,蓝碳一号(杭电智算一号)</t>
    <phoneticPr fontId="2"/>
  </si>
  <si>
    <t>A0203/25</t>
  </si>
  <si>
    <t>A0204/25</t>
  </si>
  <si>
    <t>A0205/25</t>
  </si>
  <si>
    <t>遥16</t>
    <phoneticPr fontId="2"/>
  </si>
  <si>
    <t>18时11分</t>
    <phoneticPr fontId="2"/>
  </si>
  <si>
    <t>A0212/25</t>
  </si>
  <si>
    <t>A0213/25</t>
  </si>
  <si>
    <t>A0214/25</t>
  </si>
  <si>
    <t>23时32分</t>
    <phoneticPr fontId="2"/>
  </si>
  <si>
    <t>遥105</t>
    <phoneticPr fontId="2"/>
  </si>
  <si>
    <t>P0240/25</t>
    <phoneticPr fontId="2"/>
  </si>
  <si>
    <t>13时15分</t>
    <phoneticPr fontId="2"/>
  </si>
  <si>
    <t>千帆极轨06A(佳木斯号),千帆极轨06B-R</t>
    <phoneticPr fontId="2"/>
  </si>
  <si>
    <t>中星10R</t>
    <phoneticPr fontId="2"/>
  </si>
  <si>
    <t>B0490/25</t>
  </si>
  <si>
    <t>B0494/25</t>
  </si>
  <si>
    <t>B0492/25</t>
  </si>
  <si>
    <t>P0549/25</t>
  </si>
  <si>
    <t>HN011/25</t>
  </si>
  <si>
    <t>17时30分</t>
    <phoneticPr fontId="2"/>
  </si>
  <si>
    <t>星网低轨02A-I</t>
    <phoneticPr fontId="2"/>
  </si>
  <si>
    <t>星网高轨01</t>
    <phoneticPr fontId="2"/>
  </si>
  <si>
    <t>星网高轨02</t>
    <phoneticPr fontId="2"/>
  </si>
  <si>
    <t>星网高轨03</t>
    <phoneticPr fontId="2"/>
  </si>
  <si>
    <t>通信技术试验十三号(星网高轨04)</t>
    <phoneticPr fontId="2"/>
  </si>
  <si>
    <t>星网技术试验03A(创新十九号),星网技术试验03B(创新二十号)</t>
    <phoneticPr fontId="2"/>
  </si>
  <si>
    <t>长征三号乙/长征六号甲</t>
    <phoneticPr fontId="2"/>
  </si>
  <si>
    <t>CZ-3A-30</t>
  </si>
  <si>
    <t>CZ-2A-20</t>
  </si>
  <si>
    <t>CZ-1-30</t>
  </si>
  <si>
    <t>CZ-4A-30</t>
  </si>
  <si>
    <t>KZ-1-30S</t>
  </si>
  <si>
    <t>KTZ-2-40S</t>
  </si>
  <si>
    <t>SD-1-40S</t>
  </si>
  <si>
    <t>CZ-3-30</t>
  </si>
  <si>
    <t>FB-1-20</t>
  </si>
  <si>
    <t>CZ-2E-24</t>
  </si>
  <si>
    <t>KTZ-1-40S</t>
  </si>
  <si>
    <t>CZ-2-20</t>
  </si>
  <si>
    <t>ZQ-1-30S</t>
  </si>
  <si>
    <t>OS-M-40S</t>
  </si>
  <si>
    <t>A0391/25</t>
  </si>
  <si>
    <t>A0392/25</t>
  </si>
  <si>
    <t>A0393/25</t>
  </si>
  <si>
    <t>20时11分</t>
    <phoneticPr fontId="2"/>
  </si>
  <si>
    <t>通信技术试验十四号</t>
    <phoneticPr fontId="2"/>
  </si>
  <si>
    <t>P0718/25</t>
  </si>
  <si>
    <t>西昌/太原</t>
    <phoneticPr fontId="2"/>
  </si>
  <si>
    <t>天舟八号</t>
    <phoneticPr fontId="2"/>
  </si>
  <si>
    <t>天舟九号</t>
    <rPh sb="2" eb="3">
      <t>ク</t>
    </rPh>
    <phoneticPr fontId="2"/>
  </si>
  <si>
    <t>天舟十号</t>
    <rPh sb="2" eb="3">
      <t>ジュウ</t>
    </rPh>
    <phoneticPr fontId="2"/>
  </si>
  <si>
    <t>货运飞船</t>
    <phoneticPr fontId="2"/>
  </si>
  <si>
    <t>昊龙一号</t>
    <phoneticPr fontId="2"/>
  </si>
  <si>
    <t>轻舟一号</t>
    <phoneticPr fontId="2"/>
  </si>
  <si>
    <t>A0409/25</t>
  </si>
  <si>
    <t>F0727/25</t>
    <phoneticPr fontId="2"/>
  </si>
  <si>
    <t>P0734/25</t>
  </si>
  <si>
    <t>P0735/25</t>
  </si>
  <si>
    <t>A0511/25</t>
  </si>
  <si>
    <t>SZ-9</t>
    <phoneticPr fontId="2"/>
  </si>
  <si>
    <t>SZ-6</t>
    <phoneticPr fontId="2"/>
  </si>
  <si>
    <t>SZ-21</t>
    <phoneticPr fontId="2"/>
  </si>
  <si>
    <t>神舟廿一号</t>
    <rPh sb="3" eb="4">
      <t>イチ</t>
    </rPh>
    <phoneticPr fontId="2"/>
  </si>
  <si>
    <t>神舟廿一号</t>
    <rPh sb="2" eb="3">
      <t>ジュウ</t>
    </rPh>
    <rPh sb="3" eb="4">
      <t>イチ</t>
    </rPh>
    <phoneticPr fontId="2"/>
  </si>
  <si>
    <t>神舟廿三号</t>
    <rPh sb="3" eb="4">
      <t>サン</t>
    </rPh>
    <phoneticPr fontId="2"/>
  </si>
  <si>
    <t>四维高景一号03-04</t>
  </si>
  <si>
    <t>A0333/25</t>
  </si>
  <si>
    <t>A0468/25</t>
  </si>
  <si>
    <t>18时01分</t>
    <phoneticPr fontId="2"/>
  </si>
  <si>
    <t>F0832/25</t>
  </si>
  <si>
    <t>迪迩三号(王兴记号/B300-L01货运飞船),应龙一号,仰望二号,逸仙-A,CASAA-Sat,云遥一号x6</t>
    <phoneticPr fontId="2"/>
  </si>
  <si>
    <t>15时08分</t>
    <phoneticPr fontId="2"/>
  </si>
  <si>
    <t>A0562/25</t>
    <phoneticPr fontId="2"/>
  </si>
  <si>
    <t>遥33</t>
    <phoneticPr fontId="2"/>
  </si>
  <si>
    <t>载荷不明</t>
    <phoneticPr fontId="2"/>
  </si>
  <si>
    <t>中止</t>
    <phoneticPr fontId="2"/>
  </si>
  <si>
    <t>总数</t>
    <phoneticPr fontId="2"/>
  </si>
  <si>
    <t>长征</t>
    <phoneticPr fontId="2"/>
  </si>
  <si>
    <t>１</t>
    <phoneticPr fontId="2"/>
  </si>
  <si>
    <t>94</t>
  </si>
  <si>
    <t>排序</t>
    <phoneticPr fontId="2"/>
  </si>
  <si>
    <t>唐胜杰</t>
    <phoneticPr fontId="2"/>
  </si>
  <si>
    <t>李聪</t>
    <phoneticPr fontId="2"/>
  </si>
  <si>
    <t>A0539/25</t>
  </si>
  <si>
    <t>A0540/25</t>
  </si>
  <si>
    <t>A0538/25</t>
  </si>
  <si>
    <t>01时17分</t>
    <phoneticPr fontId="2"/>
  </si>
  <si>
    <t>HN016/25</t>
  </si>
  <si>
    <t>A0380/25</t>
  </si>
  <si>
    <t>P0950/25</t>
  </si>
  <si>
    <t>A0655/25</t>
  </si>
  <si>
    <t>WBFC</t>
  </si>
  <si>
    <t>WBFC</t>
    <phoneticPr fontId="2"/>
  </si>
  <si>
    <t>基纳巴卢</t>
    <phoneticPr fontId="2"/>
  </si>
  <si>
    <t>文莱/马来西亚</t>
    <phoneticPr fontId="2"/>
  </si>
  <si>
    <t>SZ-22</t>
  </si>
  <si>
    <t>D0297/25</t>
  </si>
  <si>
    <t>成功率100%</t>
    <phoneticPr fontId="2"/>
  </si>
  <si>
    <t>成功率100%仅有1发</t>
    <phoneticPr fontId="2"/>
  </si>
  <si>
    <t>北纬041°36'15"
东经100°04'08"</t>
    <phoneticPr fontId="2"/>
  </si>
  <si>
    <t>天舟九号</t>
    <phoneticPr fontId="2"/>
  </si>
  <si>
    <t>TZ-9</t>
    <phoneticPr fontId="2"/>
  </si>
  <si>
    <t>遥107</t>
    <phoneticPr fontId="2"/>
  </si>
  <si>
    <t>通信技术试验十六号</t>
    <phoneticPr fontId="2"/>
  </si>
  <si>
    <t>00时38分</t>
    <phoneticPr fontId="2"/>
  </si>
  <si>
    <t>A0568/25</t>
  </si>
  <si>
    <t>双曲线三号（遥1）</t>
    <phoneticPr fontId="2"/>
  </si>
  <si>
    <t>F1075/25</t>
    <phoneticPr fontId="2"/>
  </si>
  <si>
    <t>F1076/25</t>
    <phoneticPr fontId="2"/>
  </si>
  <si>
    <t>A2924/20</t>
    <phoneticPr fontId="2"/>
  </si>
  <si>
    <r>
      <t xml:space="preserve">月
累
</t>
    </r>
    <r>
      <rPr>
        <b/>
        <sz val="11"/>
        <color theme="1"/>
        <rFont val="Microsoft YaHei"/>
        <family val="2"/>
        <charset val="134"/>
      </rPr>
      <t>计</t>
    </r>
    <phoneticPr fontId="2"/>
  </si>
  <si>
    <t>月
累
计</t>
    <phoneticPr fontId="2"/>
  </si>
  <si>
    <t>201</t>
    <phoneticPr fontId="2"/>
  </si>
  <si>
    <t>F1096/25</t>
  </si>
  <si>
    <t>F1097/25</t>
  </si>
  <si>
    <t>滞空日数</t>
    <rPh sb="1" eb="2">
      <t>ソラ</t>
    </rPh>
    <phoneticPr fontId="2"/>
  </si>
  <si>
    <t>B0960/25</t>
  </si>
  <si>
    <t>B0961/25</t>
  </si>
  <si>
    <t>同地相
隔日数</t>
    <phoneticPr fontId="2"/>
  </si>
  <si>
    <t>同箭相
隔日数</t>
    <phoneticPr fontId="2"/>
  </si>
  <si>
    <t>四维高景三号02,天雁23(崇明一号)</t>
    <phoneticPr fontId="2"/>
  </si>
  <si>
    <t>四维高景二号05-06</t>
    <phoneticPr fontId="2"/>
  </si>
  <si>
    <t>16时07分</t>
    <phoneticPr fontId="2"/>
  </si>
  <si>
    <t>云遥一号55-60,中科卫星06(莱芜·遥晟一号),中科卫星07(莱芜·遥晟二号)</t>
    <phoneticPr fontId="2"/>
  </si>
  <si>
    <t>P1071/25</t>
  </si>
  <si>
    <t>快舟一号甲
发射前爆炸
不计入发射</t>
    <phoneticPr fontId="2"/>
  </si>
  <si>
    <t>试验二十六号A-C,吉林一号高分05B,吉林一号平台02A03(天智二号C),云遥一号31(怡亚通号),云遥一号32(清华地学号),云遥一号33(复遥号),云遥一号34,(应州木塔号)云遥一号35(惠山科创号),云遥一号36(天开园号),西光壹号04(鹊华一号),西光壹号05(天仙配号),阿曼智能遥感一号,天雁24(梁平一号)</t>
    <phoneticPr fontId="2"/>
  </si>
  <si>
    <t>费俊龙(40),聂海胜(41)</t>
    <phoneticPr fontId="2"/>
  </si>
  <si>
    <t>空间新技术试验星,轨道大气密度探测试验星,济南一号(低轨道量子密钥分发试验星),电磁组装试验双星,华万·南粤科学</t>
    <phoneticPr fontId="2"/>
  </si>
  <si>
    <t>19时07分</t>
    <phoneticPr fontId="2"/>
  </si>
  <si>
    <t>出舱</t>
    <phoneticPr fontId="2"/>
  </si>
  <si>
    <t>A0701/25</t>
  </si>
  <si>
    <t>A0702/25</t>
  </si>
  <si>
    <t>A0703/25</t>
  </si>
  <si>
    <t>23时55分</t>
    <phoneticPr fontId="2"/>
  </si>
  <si>
    <t>实践六号05A/B</t>
    <phoneticPr fontId="2"/>
  </si>
  <si>
    <t>张陆</t>
  </si>
  <si>
    <t>朱杨柱</t>
  </si>
  <si>
    <t>江新林</t>
  </si>
  <si>
    <t>李广苏</t>
  </si>
  <si>
    <t>李聪</t>
  </si>
  <si>
    <t>宋令东</t>
  </si>
  <si>
    <t>出舱时间</t>
    <phoneticPr fontId="2"/>
  </si>
  <si>
    <t>出舱段</t>
    <phoneticPr fontId="2"/>
  </si>
  <si>
    <t>出舱日期</t>
    <phoneticPr fontId="2"/>
  </si>
  <si>
    <t>P1159/25</t>
  </si>
  <si>
    <t>刘洋(女)</t>
    <phoneticPr fontId="2"/>
  </si>
  <si>
    <t>出舱次数</t>
    <phoneticPr fontId="2"/>
  </si>
  <si>
    <t>B1122/25</t>
  </si>
  <si>
    <t>00时05分</t>
    <phoneticPr fontId="2"/>
  </si>
  <si>
    <t>B1124/25</t>
  </si>
  <si>
    <t>GD048/25</t>
  </si>
  <si>
    <t>A3805/22</t>
    <phoneticPr fontId="2"/>
  </si>
  <si>
    <t>B2452/22</t>
    <phoneticPr fontId="2"/>
  </si>
  <si>
    <t>A2559/22</t>
    <phoneticPr fontId="2"/>
  </si>
  <si>
    <t>A0023/23</t>
    <phoneticPr fontId="2"/>
  </si>
  <si>
    <t>A0755/25</t>
  </si>
  <si>
    <t>12时00分</t>
    <phoneticPr fontId="2"/>
  </si>
  <si>
    <t>A1535/25</t>
  </si>
  <si>
    <t>天链二号04</t>
    <phoneticPr fontId="2"/>
  </si>
  <si>
    <t>天链二号02</t>
    <phoneticPr fontId="2"/>
  </si>
  <si>
    <t>千帆极轨05A(招银二号),千帆极轨05B-R</t>
    <phoneticPr fontId="2"/>
  </si>
  <si>
    <t>HN021/25</t>
  </si>
  <si>
    <t>A0776/25</t>
  </si>
  <si>
    <t>遥14</t>
    <phoneticPr fontId="2"/>
  </si>
  <si>
    <t>钟子号02A-F</t>
    <phoneticPr fontId="2"/>
  </si>
  <si>
    <t>钟子号01A-F(宁夏一号)</t>
    <phoneticPr fontId="2"/>
  </si>
  <si>
    <t>天舟九号货运飞船</t>
  </si>
  <si>
    <t>吉利01A-I</t>
    <phoneticPr fontId="2"/>
  </si>
  <si>
    <t>吉利02A(吉利银河号),吉利02B(远程观星号),吉利02C(浙江台州号),吉利02D(欢乐谷号),吉利02E(港中深一号),吉利02F-K</t>
    <phoneticPr fontId="2"/>
  </si>
  <si>
    <t>遥78</t>
    <phoneticPr fontId="2"/>
  </si>
  <si>
    <t>金紫荆一号03,金紫荆五号,天津大学一号(云遥一号01),丽泽一号,宝酝号</t>
    <phoneticPr fontId="2"/>
  </si>
  <si>
    <t>泰景一号03(北京林业大学生态文明号),泰景二号02(星地通一号/北京环保1号),泰景二号04(默孚龙号/未名一号/云遥一号13),泰景三号02,泰景四号03</t>
    <phoneticPr fontId="2"/>
  </si>
  <si>
    <t>星网技术试验06A-D</t>
    <phoneticPr fontId="2"/>
  </si>
  <si>
    <t>P1302/25</t>
  </si>
  <si>
    <t>天链二号05</t>
    <phoneticPr fontId="2"/>
  </si>
  <si>
    <t>10时12分</t>
    <phoneticPr fontId="2"/>
  </si>
  <si>
    <t>通信技术试验十五号A-B</t>
    <phoneticPr fontId="2"/>
  </si>
  <si>
    <t>A0877/25</t>
  </si>
  <si>
    <t>A0878/25</t>
  </si>
  <si>
    <t>A0879/25</t>
  </si>
  <si>
    <t>P1427/25</t>
  </si>
  <si>
    <t>A1209/25</t>
  </si>
  <si>
    <t>远征二号遥3</t>
    <phoneticPr fontId="2"/>
  </si>
  <si>
    <t>A0984/25</t>
  </si>
  <si>
    <t>A0985/25</t>
  </si>
  <si>
    <t>A0946/25</t>
  </si>
  <si>
    <t>A0947/25</t>
  </si>
  <si>
    <t>00时47分</t>
  </si>
  <si>
    <t>06时51分</t>
  </si>
  <si>
    <t>A0990/25</t>
  </si>
  <si>
    <t>长征十二号</t>
  </si>
  <si>
    <t>陈中瑞</t>
    <phoneticPr fontId="2"/>
  </si>
  <si>
    <t>王杰</t>
    <phoneticPr fontId="2"/>
  </si>
  <si>
    <t>Chen Zhongrui</t>
    <phoneticPr fontId="2"/>
  </si>
  <si>
    <t>Wang Jie</t>
    <phoneticPr fontId="2"/>
  </si>
  <si>
    <t>SZ-23</t>
    <phoneticPr fontId="2"/>
  </si>
  <si>
    <t>通信技术试验十七号</t>
    <phoneticPr fontId="2"/>
  </si>
  <si>
    <t>试验二十七号A-F</t>
    <phoneticPr fontId="2"/>
  </si>
  <si>
    <t>A1032/25</t>
  </si>
  <si>
    <t>A1033/25</t>
  </si>
  <si>
    <t>23时54分</t>
    <phoneticPr fontId="2"/>
  </si>
  <si>
    <t>A1034/25</t>
  </si>
  <si>
    <t>星网低轨03A-J</t>
    <phoneticPr fontId="2"/>
  </si>
  <si>
    <t>P1602/25</t>
  </si>
  <si>
    <t>17时17分31秒441毫秒</t>
    <phoneticPr fontId="2"/>
  </si>
  <si>
    <t>中星9C</t>
  </si>
  <si>
    <t>A1391/25</t>
  </si>
  <si>
    <t>长征五号乙
远征二号</t>
    <phoneticPr fontId="2"/>
  </si>
  <si>
    <t>A1050/25</t>
  </si>
  <si>
    <t>HN041/25</t>
    <phoneticPr fontId="2"/>
  </si>
  <si>
    <t>遥109</t>
    <phoneticPr fontId="2"/>
  </si>
  <si>
    <t>遥108</t>
    <phoneticPr fontId="2"/>
  </si>
  <si>
    <t>04时10分</t>
    <phoneticPr fontId="2"/>
  </si>
  <si>
    <t>霍曼转移轨道</t>
  </si>
  <si>
    <t>B1663/25</t>
  </si>
  <si>
    <t>引力二号（遥1）</t>
    <phoneticPr fontId="2"/>
  </si>
  <si>
    <t>P1693/25</t>
  </si>
  <si>
    <t>北纬042°20'19"
东经111°26'20"</t>
    <phoneticPr fontId="2"/>
  </si>
  <si>
    <t>北纬041°38'32"
东经100°06'53"</t>
    <phoneticPr fontId="2"/>
  </si>
  <si>
    <t>北纬041°39'13"
东经100°03'11"</t>
    <phoneticPr fontId="2"/>
  </si>
  <si>
    <t>A1195/25</t>
  </si>
  <si>
    <t>长征三号丙</t>
    <phoneticPr fontId="2"/>
  </si>
  <si>
    <t>A1164/25</t>
  </si>
  <si>
    <t>A1165/25</t>
  </si>
  <si>
    <t>A1166/25</t>
  </si>
  <si>
    <t>遥110</t>
  </si>
  <si>
    <t>HN044/25</t>
  </si>
  <si>
    <t>F1886/25</t>
  </si>
  <si>
    <t>P1781/25</t>
  </si>
  <si>
    <t>天启一号16-17,天启一号18(海陆丰号),天启一号20</t>
  </si>
  <si>
    <t>A1202/25</t>
  </si>
  <si>
    <t>A1203/25</t>
  </si>
  <si>
    <t>A1204/25</t>
  </si>
  <si>
    <t>A1205/25</t>
  </si>
  <si>
    <t>32</t>
    <phoneticPr fontId="2"/>
  </si>
  <si>
    <t>CZ-3C-32</t>
    <phoneticPr fontId="2"/>
  </si>
  <si>
    <t>P1815/25</t>
  </si>
  <si>
    <t>遥感四十号02A-C</t>
    <phoneticPr fontId="2"/>
  </si>
  <si>
    <t>21时27分</t>
    <phoneticPr fontId="2"/>
  </si>
  <si>
    <t>A1243/25</t>
  </si>
  <si>
    <t>P1828/25</t>
  </si>
  <si>
    <t>通信技术试验十九号</t>
    <phoneticPr fontId="2"/>
  </si>
  <si>
    <t>星时代27(内江号),星时代28(内江高新号),星时代29(台州号),星时代30(海口号),星时代31(马鞍山智算一号),星时代32(崇州号),星时代33(天铁科技号),星时代34(迷岩无聊猿号),星时代35(御空者号),星时代36(大零号湾),星时代37(之江一号),星时代38(之江二号)</t>
    <phoneticPr fontId="2"/>
  </si>
  <si>
    <t>A1274/25</t>
  </si>
  <si>
    <t>A1275/25</t>
  </si>
  <si>
    <t>A1276/25</t>
  </si>
  <si>
    <t>天问二号(小行星采样返回)</t>
  </si>
  <si>
    <t>F1975/25</t>
  </si>
  <si>
    <t>B1957/25</t>
  </si>
  <si>
    <t>B1661/25</t>
  </si>
  <si>
    <t>B1959/25</t>
  </si>
  <si>
    <t>P1888/25</t>
  </si>
  <si>
    <t>15时38分</t>
  </si>
  <si>
    <t>A1312/25</t>
  </si>
  <si>
    <t>A1313/25</t>
  </si>
  <si>
    <t>SD338/25</t>
  </si>
  <si>
    <t>黄海东方航天港号(日照近岸35.39167N119.59867E)</t>
    <phoneticPr fontId="2"/>
  </si>
  <si>
    <t>A2251/25</t>
  </si>
  <si>
    <t>鸿鹄号,鸿鹄二号,天仪33(湖科大一号)</t>
    <phoneticPr fontId="2"/>
  </si>
  <si>
    <t>星时代13,星时代14,方舟二号</t>
    <phoneticPr fontId="2"/>
  </si>
  <si>
    <t>吉林一号宽幅01B,星时代10(广东恒健号)</t>
    <phoneticPr fontId="2"/>
  </si>
  <si>
    <t>乾坤一号,星时代16(泰安号)</t>
    <phoneticPr fontId="2"/>
  </si>
  <si>
    <t>天仪29(地质一号/浙地一号),天仪34(南科一号),天仪35(南昌航空一号),天仪42(神启号02),天仪45(北邮二号),天仪46(北邮三号)</t>
    <phoneticPr fontId="2"/>
  </si>
  <si>
    <t>HN051/25</t>
  </si>
  <si>
    <t>大航跃迁</t>
    <phoneticPr fontId="2"/>
  </si>
  <si>
    <t>跃迁一号</t>
    <phoneticPr fontId="2"/>
  </si>
  <si>
    <t>YQ</t>
    <phoneticPr fontId="2"/>
  </si>
  <si>
    <t>中星3B</t>
    <phoneticPr fontId="2"/>
  </si>
  <si>
    <t>神舟二十号</t>
  </si>
  <si>
    <t>12时05分</t>
    <phoneticPr fontId="2"/>
  </si>
  <si>
    <t>A1407/25</t>
  </si>
  <si>
    <t>A1408/25</t>
  </si>
  <si>
    <t>A1409/25</t>
  </si>
  <si>
    <t>ZGZU</t>
    <phoneticPr fontId="2"/>
  </si>
  <si>
    <t>7小时59分</t>
    <phoneticPr fontId="2"/>
  </si>
  <si>
    <t>4小时37分</t>
    <phoneticPr fontId="2"/>
  </si>
  <si>
    <t>P2019/25</t>
  </si>
  <si>
    <t>A1423/25</t>
  </si>
  <si>
    <t>A1424/25</t>
  </si>
  <si>
    <t>泰景三号04,泰景四号02A,星睿十一号(北理工珠海01),星迹源一号,立方108 001(塔大胡杨一号),西光壹号02(探骊号)</t>
    <phoneticPr fontId="2"/>
  </si>
  <si>
    <t>吉利03A(东方甄选号),吉利03B(36氪探索号),吉利03C(中国鸭鸭号),吉利03D(红丝带公益之星),吉利03组E,吉利03F,吉利03G,吉利03H(星纪魅族幸运星号),吉利03I,吉利03J</t>
    <phoneticPr fontId="2"/>
  </si>
  <si>
    <t>实践二十六号</t>
    <phoneticPr fontId="2"/>
  </si>
  <si>
    <t>遥62</t>
    <phoneticPr fontId="2"/>
  </si>
  <si>
    <t>HN061/25</t>
    <phoneticPr fontId="2"/>
  </si>
  <si>
    <t>A1555/25</t>
  </si>
  <si>
    <t>A1556/25</t>
  </si>
  <si>
    <t>04时45分</t>
    <phoneticPr fontId="2"/>
  </si>
  <si>
    <t>云遥一号43(仁爱学院号),云遥一号44(富景天策号),云遥一号45-46,云遥一号47(阿童木机器人号),云遥一号48(浦东航运号)</t>
    <phoneticPr fontId="2"/>
  </si>
  <si>
    <t>A0798/25</t>
  </si>
  <si>
    <t>P2271/25</t>
  </si>
  <si>
    <t>01时31分24秒123毫秒</t>
    <phoneticPr fontId="2"/>
  </si>
  <si>
    <t>A1688/25</t>
  </si>
  <si>
    <t>A1689/25</t>
  </si>
  <si>
    <t>20时37分</t>
    <phoneticPr fontId="2"/>
  </si>
  <si>
    <t>A1690/25</t>
  </si>
  <si>
    <t>A1692/25</t>
  </si>
  <si>
    <t>P2334/25</t>
  </si>
  <si>
    <t>张衡一号02</t>
    <phoneticPr fontId="2"/>
  </si>
  <si>
    <t>15时56分</t>
    <phoneticPr fontId="2"/>
  </si>
  <si>
    <t>遥42</t>
    <phoneticPr fontId="2"/>
  </si>
  <si>
    <t>B2603/25</t>
  </si>
  <si>
    <t>B2604/25</t>
  </si>
  <si>
    <t>B2605/25</t>
  </si>
  <si>
    <t>陈中瑞</t>
  </si>
  <si>
    <t>6小时30分</t>
  </si>
  <si>
    <t>6小时30分</t>
    <phoneticPr fontId="2"/>
  </si>
  <si>
    <t>A1959/25</t>
  </si>
  <si>
    <t>A1960/25</t>
  </si>
  <si>
    <t>17时35分</t>
    <phoneticPr fontId="2"/>
  </si>
  <si>
    <t>A2966/25</t>
  </si>
  <si>
    <t>试验二十八号B01</t>
    <phoneticPr fontId="2"/>
  </si>
  <si>
    <t>遥63</t>
    <phoneticPr fontId="2"/>
  </si>
  <si>
    <t>A2117/25</t>
  </si>
  <si>
    <t>B3170/25</t>
  </si>
  <si>
    <t>B3171/25</t>
  </si>
  <si>
    <t>B3174/25</t>
  </si>
  <si>
    <t>云遥一号37(微博会员号),云遥一号38(开物星座金顶试验星),云遥一号39(华清海风号),云遥一号40,吉天星A05(南京玄武号)</t>
    <phoneticPr fontId="2"/>
  </si>
  <si>
    <t>05时34分23秒043毫秒</t>
    <phoneticPr fontId="2"/>
  </si>
  <si>
    <t>B3320/25</t>
  </si>
  <si>
    <t>B3321/25</t>
  </si>
  <si>
    <t>B3322/25</t>
  </si>
  <si>
    <t>星网低轨07A-I</t>
    <phoneticPr fontId="2"/>
  </si>
  <si>
    <t>D4695/25</t>
  </si>
  <si>
    <t>A0490/25</t>
  </si>
  <si>
    <t>星网低轨06A-I</t>
  </si>
  <si>
    <t>A2025/25</t>
    <phoneticPr fontId="2"/>
  </si>
  <si>
    <t>星网低轨08A-J</t>
  </si>
  <si>
    <t>遥号</t>
    <phoneticPr fontId="2"/>
  </si>
  <si>
    <t>A2321/25</t>
  </si>
  <si>
    <t>A2322/25</t>
  </si>
  <si>
    <t>A0510/25</t>
  </si>
  <si>
    <t>B3418/25</t>
  </si>
  <si>
    <t>B3420/25</t>
  </si>
  <si>
    <t>B3423/25</t>
  </si>
  <si>
    <t>A2111/25</t>
  </si>
  <si>
    <t>远征二号遥4</t>
  </si>
  <si>
    <t>HN109/25</t>
  </si>
  <si>
    <t>HN108/25</t>
  </si>
  <si>
    <t>A2407/25</t>
  </si>
  <si>
    <t>18时03分</t>
    <phoneticPr fontId="2"/>
  </si>
  <si>
    <t>星网低轨05A-E</t>
    <phoneticPr fontId="2"/>
  </si>
  <si>
    <t>A2642/25</t>
  </si>
  <si>
    <t>遥10</t>
    <phoneticPr fontId="2"/>
  </si>
  <si>
    <t>GD197/25</t>
  </si>
  <si>
    <t>101</t>
    <phoneticPr fontId="2"/>
  </si>
  <si>
    <t>成功率100%未满</t>
    <phoneticPr fontId="2"/>
  </si>
  <si>
    <t>成功率50%</t>
    <phoneticPr fontId="2"/>
  </si>
  <si>
    <t>D4999/25</t>
  </si>
  <si>
    <t>15时49分</t>
    <phoneticPr fontId="2"/>
  </si>
  <si>
    <t>A2472/25</t>
  </si>
  <si>
    <t>恩施硒都山泉号(鲲鹏星座03)</t>
    <phoneticPr fontId="2"/>
  </si>
  <si>
    <t>HN112/25</t>
  </si>
  <si>
    <t>遥34</t>
    <phoneticPr fontId="2"/>
  </si>
  <si>
    <t>巴基斯坦遥感01</t>
    <phoneticPr fontId="2"/>
  </si>
  <si>
    <t>元行者一号（遥1）</t>
    <phoneticPr fontId="2"/>
  </si>
  <si>
    <t>黄海海阳东方航天港号
36.44717°N,121.19633°E
(太原卫星发射中心组织)</t>
    <rPh sb="0" eb="2">
      <t>コウカイ</t>
    </rPh>
    <rPh sb="2" eb="3">
      <t>カイ</t>
    </rPh>
    <rPh sb="3" eb="4">
      <t>ヨウ</t>
    </rPh>
    <rPh sb="5" eb="6">
      <t>カタ</t>
    </rPh>
    <rPh sb="6" eb="8">
      <t>コウテン</t>
    </rPh>
    <rPh sb="8" eb="9">
      <t>ミナト</t>
    </rPh>
    <rPh sb="9" eb="10">
      <t>ゴウ</t>
    </rPh>
    <rPh sb="35" eb="37">
      <t>タハラ</t>
    </rPh>
    <rPh sb="38" eb="39">
      <t>セイ</t>
    </rPh>
    <rPh sb="40" eb="41">
      <t>シャ</t>
    </rPh>
    <rPh sb="41" eb="43">
      <t>チュウシン</t>
    </rPh>
    <phoneticPr fontId="2"/>
  </si>
  <si>
    <t>P3181/25</t>
  </si>
  <si>
    <t>星网低轨01A-J</t>
    <phoneticPr fontId="2"/>
  </si>
  <si>
    <t>星网低轨04A-E</t>
    <phoneticPr fontId="2"/>
  </si>
  <si>
    <t>星网低轨09A-E</t>
  </si>
  <si>
    <t>18时21分</t>
    <phoneticPr fontId="2"/>
  </si>
  <si>
    <t>A2555/25</t>
    <phoneticPr fontId="2"/>
  </si>
  <si>
    <t>P3288/25</t>
  </si>
  <si>
    <t>SD563/25</t>
  </si>
  <si>
    <t>黄海东方航天港号(日照近岸35.39722N119.60889E)</t>
    <phoneticPr fontId="2"/>
  </si>
  <si>
    <t>风云三号H(08)</t>
    <phoneticPr fontId="2"/>
  </si>
  <si>
    <t>A2747/25</t>
    <phoneticPr fontId="2"/>
  </si>
  <si>
    <t>00时31分</t>
    <phoneticPr fontId="2"/>
  </si>
  <si>
    <t>长征十二号海（遥1）</t>
    <phoneticPr fontId="2"/>
  </si>
  <si>
    <t>A2598/25</t>
  </si>
  <si>
    <t>朱雀三号</t>
  </si>
  <si>
    <t>132</t>
  </si>
  <si>
    <t>智神星一号</t>
  </si>
  <si>
    <t>09时17分</t>
    <phoneticPr fontId="2"/>
  </si>
  <si>
    <t>A2640/25</t>
    <phoneticPr fontId="2"/>
  </si>
  <si>
    <t>A2641/25</t>
    <phoneticPr fontId="2"/>
  </si>
  <si>
    <t>A2632/25</t>
    <phoneticPr fontId="2"/>
  </si>
  <si>
    <t>A2633/25</t>
    <phoneticPr fontId="2"/>
  </si>
  <si>
    <t>HN120/25</t>
  </si>
  <si>
    <t>吉利04A(中联重科号),吉利04B(先导科技号),吉利04C-J,吉利04K(千里浩瀚号)</t>
    <phoneticPr fontId="2"/>
  </si>
  <si>
    <t>A2658/25</t>
  </si>
  <si>
    <t>A2659/25</t>
  </si>
  <si>
    <t>试验二十八号B02</t>
  </si>
  <si>
    <t>22时15分</t>
  </si>
  <si>
    <t>14时43分</t>
    <phoneticPr fontId="2"/>
  </si>
  <si>
    <t>B3810/25</t>
  </si>
  <si>
    <t>B3811/25</t>
  </si>
  <si>
    <t>P3455/25</t>
  </si>
  <si>
    <t>HN124/25</t>
  </si>
  <si>
    <t>A3676/25</t>
  </si>
  <si>
    <t>96</t>
    <phoneticPr fontId="2"/>
  </si>
  <si>
    <t>星网低轨10A-I</t>
  </si>
  <si>
    <t>16时55分</t>
    <phoneticPr fontId="2"/>
  </si>
  <si>
    <t>A2714/25</t>
  </si>
  <si>
    <t>A2715/25</t>
  </si>
  <si>
    <t>E2537/25</t>
  </si>
  <si>
    <t>15时33分</t>
    <phoneticPr fontId="2"/>
  </si>
  <si>
    <t>HN131/25</t>
  </si>
  <si>
    <t>P3539/25</t>
  </si>
  <si>
    <t>中科卫星05(海哨二号),多功能试验二号01,多功能试验二号02,多功能试验二号03(天拓六号),天雁26(中原三号/诺维一号),墨西哥ThumbSat-1,墨西哥ThumbSat-2</t>
    <phoneticPr fontId="2"/>
  </si>
  <si>
    <t>03时08分</t>
    <phoneticPr fontId="2"/>
  </si>
  <si>
    <t>B4002/25</t>
  </si>
  <si>
    <t>B4004/25</t>
  </si>
  <si>
    <t>远征一号商遥19</t>
    <phoneticPr fontId="2"/>
  </si>
  <si>
    <t>长征三号丙
远征一号</t>
    <phoneticPr fontId="2"/>
  </si>
  <si>
    <t>远征一号遥18</t>
    <phoneticPr fontId="2"/>
  </si>
  <si>
    <t>以下全部待定未定不定，随时变更甚至取消，仅供参考无需关注再问！</t>
    <phoneticPr fontId="2"/>
  </si>
  <si>
    <t>遥112</t>
    <phoneticPr fontId="2"/>
  </si>
  <si>
    <t>A2887/25</t>
  </si>
  <si>
    <t>A2888/25</t>
  </si>
  <si>
    <t>A2889/25</t>
  </si>
  <si>
    <t>10时34分</t>
    <phoneticPr fontId="2"/>
  </si>
  <si>
    <t>A2890/25</t>
  </si>
  <si>
    <t>A2891/25</t>
  </si>
  <si>
    <t>00时34分</t>
  </si>
  <si>
    <t>遥感四十号03A-C</t>
    <phoneticPr fontId="2"/>
  </si>
  <si>
    <t>吉利05A(领克900号),吉利05B-K</t>
    <phoneticPr fontId="2"/>
  </si>
  <si>
    <t>P3858/25</t>
  </si>
  <si>
    <t>E2804/25</t>
  </si>
  <si>
    <t>试验二十九号</t>
    <phoneticPr fontId="2"/>
  </si>
  <si>
    <t>A2928/25</t>
  </si>
  <si>
    <t>HN140/25</t>
  </si>
  <si>
    <t>P3931/25</t>
  </si>
  <si>
    <t>P3935/25</t>
  </si>
  <si>
    <t>SD659/25</t>
  </si>
  <si>
    <t>B4331/25</t>
  </si>
  <si>
    <t>B4332/25</t>
  </si>
  <si>
    <t>19时39分</t>
    <phoneticPr fontId="2"/>
  </si>
  <si>
    <t>A4039/25</t>
  </si>
  <si>
    <t>HN141/25</t>
  </si>
  <si>
    <t>开运一号(嘉州号/天雁28/数码火炬科创号),驭星三号08(智星一号),云遥一号27(山东海洋集团号)</t>
    <phoneticPr fontId="2"/>
  </si>
  <si>
    <t>03时48分</t>
    <phoneticPr fontId="2"/>
  </si>
  <si>
    <t>遥感四十五号</t>
    <phoneticPr fontId="2"/>
  </si>
  <si>
    <t>1.0</t>
    <phoneticPr fontId="2"/>
  </si>
  <si>
    <t>A3126/25</t>
  </si>
  <si>
    <t>A3127/25</t>
  </si>
  <si>
    <t>D6018/25</t>
    <phoneticPr fontId="2"/>
  </si>
  <si>
    <t>09时06分</t>
    <phoneticPr fontId="2"/>
  </si>
  <si>
    <t>星网技术试验07A-D</t>
    <phoneticPr fontId="2"/>
  </si>
  <si>
    <t>A3264/25</t>
  </si>
  <si>
    <t>A3354/25</t>
  </si>
  <si>
    <t>A3355/25</t>
  </si>
  <si>
    <t>A3356/25</t>
  </si>
  <si>
    <t>星网低轨11A-E</t>
    <phoneticPr fontId="2"/>
  </si>
  <si>
    <t>P4284/25</t>
  </si>
  <si>
    <t>SD719/25</t>
    <phoneticPr fontId="2"/>
  </si>
  <si>
    <t>遥感四十号01A-C</t>
    <phoneticPr fontId="2"/>
  </si>
  <si>
    <t>遥45</t>
    <phoneticPr fontId="2"/>
  </si>
  <si>
    <t>虚线表示其中之一可能！载荷完全瞎猜不需多问！知道的都在此表，没有的就是不知道！</t>
    <phoneticPr fontId="2"/>
  </si>
  <si>
    <t>吉利06A(曹操智行号),吉利06B(浙BA号),吉利06C-K,吉利06L(北大时空01)</t>
    <phoneticPr fontId="2"/>
  </si>
  <si>
    <t>A3452/25</t>
  </si>
  <si>
    <t>A3453/25</t>
  </si>
  <si>
    <t>A3454/25</t>
  </si>
  <si>
    <t>6小时00分</t>
    <phoneticPr fontId="2"/>
  </si>
  <si>
    <t>03时28分</t>
    <phoneticPr fontId="2"/>
  </si>
  <si>
    <t>HN164/25</t>
  </si>
  <si>
    <t>20时40分</t>
    <phoneticPr fontId="2"/>
  </si>
  <si>
    <t>试验三十号01-02</t>
    <phoneticPr fontId="2"/>
  </si>
  <si>
    <t>P4402/25</t>
  </si>
  <si>
    <t>星网低轨12A-I</t>
  </si>
  <si>
    <t>RPHI</t>
    <phoneticPr fontId="2"/>
  </si>
  <si>
    <t>?,?,?</t>
  </si>
  <si>
    <t>A3566/25</t>
  </si>
  <si>
    <t>P4522/25</t>
  </si>
  <si>
    <t>D6595/25</t>
  </si>
  <si>
    <t>B4980/25</t>
  </si>
  <si>
    <t>B4981/25</t>
  </si>
  <si>
    <t>B4986/25</t>
  </si>
  <si>
    <t>B4993/25</t>
    <phoneticPr fontId="2"/>
  </si>
  <si>
    <t>E3160/25</t>
  </si>
  <si>
    <t>SD766/25</t>
  </si>
  <si>
    <t>试验三十号03-04</t>
    <phoneticPr fontId="2"/>
  </si>
  <si>
    <t>黄海东方航天港号(海阳近岸36.64111N121.20833E)</t>
    <phoneticPr fontId="2"/>
  </si>
  <si>
    <t>10时20分</t>
    <phoneticPr fontId="2"/>
  </si>
  <si>
    <t>09时33分</t>
  </si>
  <si>
    <t>试验三十一号</t>
    <phoneticPr fontId="2"/>
  </si>
  <si>
    <t>A3616/25</t>
  </si>
  <si>
    <t>A3665/25</t>
  </si>
  <si>
    <t>A3666/25</t>
  </si>
  <si>
    <t>A3667/25</t>
  </si>
  <si>
    <t>A3669/25</t>
  </si>
  <si>
    <t>A3670/25</t>
  </si>
  <si>
    <t>千帆极轨18A-R</t>
    <phoneticPr fontId="2"/>
  </si>
  <si>
    <t>HN188/25</t>
  </si>
  <si>
    <t>风云三号I</t>
    <phoneticPr fontId="2"/>
  </si>
  <si>
    <t>长征四号丙（遥）</t>
    <phoneticPr fontId="2"/>
  </si>
  <si>
    <t>风云三号J</t>
    <phoneticPr fontId="2"/>
  </si>
  <si>
    <t>风云四号D</t>
    <phoneticPr fontId="2"/>
  </si>
  <si>
    <t>HN189/25</t>
  </si>
  <si>
    <t>B5137/25</t>
  </si>
  <si>
    <t>B5138/25</t>
  </si>
  <si>
    <t>遥48</t>
    <phoneticPr fontId="2"/>
  </si>
  <si>
    <t>15时32分</t>
    <phoneticPr fontId="2"/>
  </si>
  <si>
    <t>E3232/25</t>
  </si>
  <si>
    <t>11时33分</t>
    <phoneticPr fontId="2"/>
  </si>
  <si>
    <t>巴基斯坦遥感02,中科卫星03(TerraX-1),中科卫星04(北部湾一号)</t>
    <phoneticPr fontId="2"/>
  </si>
  <si>
    <t>A3779/25</t>
  </si>
  <si>
    <t>A3780/25</t>
  </si>
  <si>
    <t>B5218/25</t>
  </si>
  <si>
    <t>B5216/25</t>
  </si>
  <si>
    <t>22时30分</t>
    <phoneticPr fontId="2"/>
  </si>
  <si>
    <t>GD367/25</t>
  </si>
  <si>
    <t>A4671/25</t>
  </si>
  <si>
    <t>A3826/25</t>
  </si>
  <si>
    <t>HN195/25</t>
    <phoneticPr fontId="2"/>
  </si>
  <si>
    <t>WMFC</t>
  </si>
  <si>
    <t>WMFC</t>
    <phoneticPr fontId="2"/>
  </si>
  <si>
    <t>马来西亚</t>
  </si>
  <si>
    <t>吉隆坡</t>
    <phoneticPr fontId="2"/>
  </si>
  <si>
    <t>A3238/25</t>
  </si>
  <si>
    <t>VOMF</t>
    <phoneticPr fontId="2"/>
  </si>
  <si>
    <t>A4810/25</t>
    <phoneticPr fontId="2"/>
  </si>
  <si>
    <t>通信技术试验二十号</t>
    <phoneticPr fontId="2"/>
  </si>
  <si>
    <t>11时00分</t>
    <phoneticPr fontId="2"/>
  </si>
  <si>
    <t>法属玻里尼西亞</t>
    <phoneticPr fontId="2"/>
  </si>
  <si>
    <t>大溪地岛</t>
    <phoneticPr fontId="2"/>
  </si>
  <si>
    <t>高分十四号02</t>
    <phoneticPr fontId="2"/>
  </si>
  <si>
    <t>高分十四号01</t>
    <phoneticPr fontId="2"/>
  </si>
  <si>
    <t>神舟十九号载人飞船(蔡旭哲,宋令东,王浩泽2025年4月30日13时14分成功返回酒泉东风着陆场)</t>
    <phoneticPr fontId="2"/>
  </si>
  <si>
    <t>神舟十三号载人飞船(翟志刚,王亚平,叶光富2022年4月16日09时56分成功返回东风着陆场)</t>
    <phoneticPr fontId="2"/>
  </si>
  <si>
    <t>神舟十四号载人飞船(陈冬,刘洋,蔡旭哲2022年12月4日20时09分成功返回东风着陆场)</t>
    <phoneticPr fontId="2"/>
  </si>
  <si>
    <t>神舟十五号载人飞船(费俊龙,邓清明,张陆2023年6月4日06时33分成功返回东风着陆场)</t>
    <phoneticPr fontId="2"/>
  </si>
  <si>
    <t>神舟十六号载人飞船(景海鹏,朱杨柱,桂海潮2023年10月31日8时11分成功返回东风着陆场)</t>
    <phoneticPr fontId="2"/>
  </si>
  <si>
    <t>神舟十七号载人飞船(汤洪波,唐胜杰,江新林2024年4月30日17时46分成功返回东风着陆场)</t>
    <phoneticPr fontId="2"/>
  </si>
  <si>
    <t>神舟十八号载人飞船(叶光富,李聪,李广苏2024年11月4日01时24分成功返回酒泉东风着陆场)</t>
    <phoneticPr fontId="2"/>
  </si>
  <si>
    <t>神舟十二号载人飞船(聂海胜,刘伯明,汤洪波2021年9月17日13時34分成功返回东风着陆场)</t>
    <phoneticPr fontId="2"/>
  </si>
  <si>
    <t>神舟十一号载人飞船(景海鹏,陈冬20216年11月18日14时03分成功返回内蒙古四子王旗着陆场)</t>
    <rPh sb="21" eb="22">
      <t>ネン</t>
    </rPh>
    <phoneticPr fontId="2"/>
  </si>
  <si>
    <t>神舟十号载人飞船(聶海勝,張曉光,王亞平2013年6月26日08时07分成功返回内蒙古四子王旗着陆场)</t>
    <phoneticPr fontId="2"/>
  </si>
  <si>
    <t>神舟九号载人飞船(景海鹏,刘旺,刘洋2012年6月29日10时03分成功返回内蒙古着陆场)</t>
    <phoneticPr fontId="2"/>
  </si>
  <si>
    <t>神舟七号载人飞船(翟志剛,刘伯明,景海鹏2008年9月28日17点37分成功返回内蒙古四子王旗着陆场)</t>
    <phoneticPr fontId="2"/>
  </si>
  <si>
    <t>神舟六号载人飞船(费俊龙,聂海胜2005年10月17日4时33分成功返回内蒙古四子王旗着陆场)</t>
    <phoneticPr fontId="2"/>
  </si>
  <si>
    <t>神舟五号载人飞船(杨利伟2003年10月16日6时23分成功返回内蒙古四子王旗着陆场)</t>
    <phoneticPr fontId="2"/>
  </si>
  <si>
    <t>P4925/25</t>
  </si>
  <si>
    <t>黄海东方航天港号(日照近海35.39722N119.60889E)</t>
  </si>
  <si>
    <t>长征十二号海</t>
  </si>
  <si>
    <t>试验二十四号C1-C3</t>
    <phoneticPr fontId="2"/>
  </si>
  <si>
    <t>吉林一号高分03A,娄星号(潇湘一号04),陶行知教育一号(天启一号03),捕风一号A-B,中电网通一号A-B</t>
    <phoneticPr fontId="2"/>
  </si>
  <si>
    <t>吉林一号高分03B01-06,吉林一号高分C01-03</t>
    <phoneticPr fontId="2"/>
  </si>
  <si>
    <t>怀柔一号01-02(引力波暴高能电磁对应体全天监测器GECAM)</t>
    <phoneticPr fontId="2"/>
  </si>
  <si>
    <t>致航一号（遥1）</t>
    <phoneticPr fontId="2"/>
  </si>
  <si>
    <t>B5379/25</t>
  </si>
  <si>
    <t>长征十二号海</t>
    <phoneticPr fontId="2"/>
  </si>
  <si>
    <t>Zhang Lu</t>
  </si>
  <si>
    <t>武飞</t>
    <phoneticPr fontId="2"/>
  </si>
  <si>
    <t>张洪章</t>
    <phoneticPr fontId="2"/>
  </si>
  <si>
    <t>Wu Fei</t>
    <phoneticPr fontId="2"/>
  </si>
  <si>
    <t>Zhang Hongzhang</t>
    <phoneticPr fontId="2"/>
  </si>
  <si>
    <t>北纬041°12′48″
东经101°04′15″</t>
    <phoneticPr fontId="2"/>
  </si>
  <si>
    <t>在轨航天员和交会日数(括号为返回时年龄)</t>
    <phoneticPr fontId="2"/>
  </si>
  <si>
    <t>B5401/25</t>
  </si>
  <si>
    <t>B5402/25</t>
  </si>
  <si>
    <t>A4816/25</t>
  </si>
  <si>
    <t>遥111</t>
    <phoneticPr fontId="2"/>
  </si>
  <si>
    <t>天舟十一号</t>
    <phoneticPr fontId="2"/>
  </si>
  <si>
    <t>遥感四十六号</t>
    <phoneticPr fontId="2"/>
  </si>
  <si>
    <t>楚天二号01-02</t>
    <phoneticPr fontId="2"/>
  </si>
  <si>
    <t>B5462/25</t>
  </si>
  <si>
    <t>神舟廿四号</t>
    <phoneticPr fontId="2"/>
  </si>
  <si>
    <t>神舟廿五号</t>
    <phoneticPr fontId="2"/>
  </si>
  <si>
    <t>神舟廿六号</t>
    <phoneticPr fontId="2"/>
  </si>
  <si>
    <t>神舟廿七号</t>
    <phoneticPr fontId="2"/>
  </si>
  <si>
    <t>神舟廿八号</t>
    <phoneticPr fontId="2"/>
  </si>
  <si>
    <t>梦舟五号</t>
    <phoneticPr fontId="2"/>
  </si>
  <si>
    <t>梦舟六号</t>
    <phoneticPr fontId="2"/>
  </si>
  <si>
    <t>梦舟七号</t>
    <phoneticPr fontId="2"/>
  </si>
  <si>
    <t>北纬041°38'07"
东经100°03'52"</t>
    <phoneticPr fontId="2"/>
  </si>
  <si>
    <t>北纬041°39'13"
东经100°09'38"</t>
    <phoneticPr fontId="2"/>
  </si>
  <si>
    <t>北纬041°37'43"
东经100°04'28"</t>
    <phoneticPr fontId="2"/>
  </si>
  <si>
    <t>北纬042°29'11.07"
东经112°42'57.36"</t>
    <phoneticPr fontId="2"/>
  </si>
  <si>
    <t>北纬042°19'36"
东经111°21'01"</t>
    <phoneticPr fontId="2"/>
  </si>
  <si>
    <t>北纬042°15'47.81"
东经111°15'44.44"</t>
    <phoneticPr fontId="2"/>
  </si>
  <si>
    <t>北纬042°16'37"
东经111°21'34"</t>
    <phoneticPr fontId="2"/>
  </si>
  <si>
    <t>北纬042°21'58"
东经111°25'52"</t>
    <phoneticPr fontId="2"/>
  </si>
  <si>
    <t>A4081/25</t>
  </si>
  <si>
    <t>B5506/25</t>
  </si>
  <si>
    <t>B5507/25</t>
  </si>
  <si>
    <t>B5510/25</t>
  </si>
  <si>
    <t>P5055/25</t>
  </si>
  <si>
    <t>E3443/25</t>
  </si>
  <si>
    <t>星网低轨13A-I</t>
  </si>
  <si>
    <t>D7489/25</t>
  </si>
  <si>
    <t>A4112/25</t>
  </si>
  <si>
    <t>A4113/25</t>
  </si>
  <si>
    <t>11时32分</t>
    <phoneticPr fontId="2"/>
  </si>
  <si>
    <t>E3459/25</t>
  </si>
  <si>
    <t>SD849/25</t>
  </si>
  <si>
    <t>黄海东方航天港号(海阳近海36.64056N121.20778E)</t>
    <phoneticPr fontId="2"/>
  </si>
  <si>
    <t>HN207/25</t>
  </si>
  <si>
    <t>LYG78/25</t>
  </si>
  <si>
    <t>05时01分</t>
    <phoneticPr fontId="2"/>
  </si>
  <si>
    <t>试验三十二号01-03</t>
    <phoneticPr fontId="2"/>
  </si>
  <si>
    <t>远征三号</t>
    <phoneticPr fontId="2"/>
  </si>
  <si>
    <t>10时41分</t>
    <phoneticPr fontId="2"/>
  </si>
  <si>
    <t>12时02分</t>
    <phoneticPr fontId="2"/>
  </si>
  <si>
    <t>星网低轨14A-I</t>
  </si>
  <si>
    <t>吉林一号高分04C,吉林一号平台02A04(梦启东方号),中北大学一号</t>
    <phoneticPr fontId="2"/>
  </si>
  <si>
    <t>空间站</t>
    <phoneticPr fontId="2"/>
  </si>
  <si>
    <t>CSS</t>
    <phoneticPr fontId="2"/>
  </si>
  <si>
    <t>武飞</t>
  </si>
  <si>
    <t>Wu Fei</t>
  </si>
  <si>
    <t>张洪章</t>
  </si>
  <si>
    <t>Zhang Hongzhang</t>
  </si>
  <si>
    <t>SZ-21</t>
  </si>
  <si>
    <t>Chen Dong</t>
  </si>
  <si>
    <t>Chen Zhongrui</t>
  </si>
  <si>
    <t>王杰</t>
  </si>
  <si>
    <t>Wang Jie</t>
  </si>
  <si>
    <t>SZ-24</t>
    <phoneticPr fontId="2"/>
  </si>
  <si>
    <t>北纬041°40′04″
东经100°03′17″</t>
    <phoneticPr fontId="2"/>
  </si>
  <si>
    <t>标色均根据航警！确定日期时间的99.99%可能！范围日期每一天都可能，时间也不确定，甚至取消！</t>
    <phoneticPr fontId="2"/>
  </si>
  <si>
    <t>A4301/25</t>
  </si>
  <si>
    <t>A4302/25</t>
  </si>
  <si>
    <t>A4314/25</t>
  </si>
  <si>
    <t>A4315/25</t>
  </si>
  <si>
    <t>A4316/25</t>
  </si>
  <si>
    <t>A4318/25</t>
  </si>
  <si>
    <t>A4319/25</t>
  </si>
  <si>
    <t>B5787/25</t>
  </si>
  <si>
    <t>神舟廿二号</t>
  </si>
  <si>
    <t>实践三十号A-C</t>
    <phoneticPr fontId="2"/>
  </si>
  <si>
    <t>12时01分</t>
    <phoneticPr fontId="2"/>
  </si>
  <si>
    <t>HN220/25</t>
  </si>
  <si>
    <t>P5338/25</t>
  </si>
  <si>
    <t>18时55分</t>
    <phoneticPr fontId="2"/>
  </si>
  <si>
    <t>通信技术试验二十一号</t>
    <phoneticPr fontId="2"/>
  </si>
  <si>
    <t>无人返回</t>
    <phoneticPr fontId="2"/>
  </si>
  <si>
    <t>96</t>
  </si>
  <si>
    <t>神舟廿四号</t>
  </si>
  <si>
    <t>SZ-24</t>
  </si>
  <si>
    <t>SZ-23</t>
  </si>
  <si>
    <t>神舟廿三号</t>
  </si>
  <si>
    <t>天龙三号</t>
  </si>
  <si>
    <t>朱雀
三号</t>
    <phoneticPr fontId="2"/>
  </si>
  <si>
    <t>B6009/25</t>
  </si>
  <si>
    <t>B6010/25</t>
  </si>
  <si>
    <t>星网低轨16A-I</t>
    <phoneticPr fontId="2"/>
  </si>
  <si>
    <t>昊龙货运航天飞机</t>
  </si>
  <si>
    <t>长征十二号甲</t>
    <rPh sb="5" eb="6">
      <t>コウ</t>
    </rPh>
    <phoneticPr fontId="2"/>
  </si>
  <si>
    <t>A0742/23</t>
    <phoneticPr fontId="2"/>
  </si>
  <si>
    <t>长征
十二号甲</t>
    <phoneticPr fontId="2"/>
  </si>
  <si>
    <t>B6042/25</t>
  </si>
  <si>
    <t>B6043/25</t>
  </si>
  <si>
    <t>B6044/25</t>
  </si>
  <si>
    <t>B6046/25</t>
  </si>
  <si>
    <t>20时20分</t>
  </si>
  <si>
    <t>GD446/25</t>
  </si>
  <si>
    <t>A5284/25</t>
  </si>
  <si>
    <t>HN231/25</t>
  </si>
  <si>
    <t>通信技术试验二十三号</t>
  </si>
  <si>
    <t>实践二十八号</t>
    <phoneticPr fontId="2"/>
  </si>
  <si>
    <t>B6116/25</t>
  </si>
  <si>
    <t>B6118/25</t>
  </si>
  <si>
    <t>A4523/25</t>
  </si>
  <si>
    <t>A4524/25</t>
  </si>
  <si>
    <t>15时53分</t>
  </si>
  <si>
    <t>17时00分</t>
    <phoneticPr fontId="2"/>
  </si>
  <si>
    <t>遥35</t>
    <phoneticPr fontId="2"/>
  </si>
  <si>
    <t>B6162/25</t>
  </si>
  <si>
    <t>E3782/25</t>
    <phoneticPr fontId="2"/>
  </si>
  <si>
    <t>A3760/25</t>
    <phoneticPr fontId="2"/>
  </si>
  <si>
    <t>天龙
三号</t>
    <phoneticPr fontId="2"/>
  </si>
  <si>
    <t>HN236/25</t>
  </si>
  <si>
    <t>神舟廿一号</t>
    <phoneticPr fontId="2"/>
  </si>
  <si>
    <t>A4555/25</t>
  </si>
  <si>
    <t>A4556/25</t>
  </si>
  <si>
    <t>A4557/25</t>
  </si>
  <si>
    <t>11时41分</t>
    <phoneticPr fontId="2"/>
  </si>
  <si>
    <t>A4558/25</t>
  </si>
  <si>
    <t>A4559/25</t>
  </si>
  <si>
    <t>HN237/25</t>
  </si>
  <si>
    <t>P5541/25</t>
  </si>
  <si>
    <t>交通VDES A-B</t>
    <phoneticPr fontId="2"/>
  </si>
  <si>
    <t>通信技术试验二十二号</t>
  </si>
  <si>
    <t>23时08分</t>
  </si>
  <si>
    <t>星网低轨15A-E</t>
    <phoneticPr fontId="2"/>
  </si>
  <si>
    <t>HN238/25</t>
  </si>
  <si>
    <t>乙某某</t>
    <phoneticPr fontId="2"/>
  </si>
  <si>
    <t>风云四号C(03)</t>
  </si>
  <si>
    <t>A2129/23</t>
    <phoneticPr fontId="2"/>
  </si>
  <si>
    <t>A2819/22</t>
    <phoneticPr fontId="2"/>
  </si>
  <si>
    <t>A2820/22</t>
    <phoneticPr fontId="2"/>
  </si>
  <si>
    <t>A1328/24</t>
    <phoneticPr fontId="2"/>
  </si>
  <si>
    <t>A1329/24</t>
    <phoneticPr fontId="2"/>
  </si>
  <si>
    <t>B6048/25</t>
    <phoneticPr fontId="2"/>
  </si>
  <si>
    <t>B0564/24</t>
    <phoneticPr fontId="2"/>
  </si>
  <si>
    <t>A0208/22</t>
    <phoneticPr fontId="2"/>
  </si>
  <si>
    <t>UTC+8</t>
    <phoneticPr fontId="2"/>
  </si>
  <si>
    <t>ZGZUZSHA</t>
    <phoneticPr fontId="2"/>
  </si>
  <si>
    <t>Start+8</t>
    <phoneticPr fontId="2"/>
  </si>
  <si>
    <t>Location</t>
    <phoneticPr fontId="2"/>
  </si>
  <si>
    <t>Number</t>
    <phoneticPr fontId="2"/>
  </si>
  <si>
    <t>A4931/25</t>
  </si>
  <si>
    <t>Diff</t>
    <phoneticPr fontId="2"/>
  </si>
  <si>
    <t>ZLHW/ZPKM</t>
    <phoneticPr fontId="2"/>
  </si>
  <si>
    <t>ZGZU/ZKPM</t>
    <phoneticPr fontId="2"/>
  </si>
  <si>
    <t>ZGZU/ZSHA</t>
    <phoneticPr fontId="2"/>
  </si>
  <si>
    <t>ZHWH/ZLHW</t>
    <phoneticPr fontId="2"/>
  </si>
  <si>
    <t>ZGZU/ZPKM</t>
    <phoneticPr fontId="2"/>
  </si>
  <si>
    <t>ZBPE/ZLHW</t>
    <phoneticPr fontId="2"/>
  </si>
  <si>
    <t>ZHWH/ZPKM</t>
    <phoneticPr fontId="2"/>
  </si>
  <si>
    <t>ZBPE/ZLHW/ZSHA</t>
    <phoneticPr fontId="2"/>
  </si>
  <si>
    <t>ZGZU/ZHWH/ZSHA</t>
    <phoneticPr fontId="2"/>
  </si>
  <si>
    <t>ZBPE/ZHWH/ZLHW/ZSHA</t>
    <phoneticPr fontId="2"/>
  </si>
  <si>
    <t>ZGZU/ZHWH/ZPKM</t>
    <phoneticPr fontId="2"/>
  </si>
  <si>
    <t>ZGZU/ZHWH</t>
    <phoneticPr fontId="2"/>
  </si>
  <si>
    <t>ZBPE/ZHWH</t>
    <phoneticPr fontId="2"/>
  </si>
  <si>
    <t>ZGZU/ZJSA</t>
    <phoneticPr fontId="2"/>
  </si>
  <si>
    <t>1055/25</t>
    <phoneticPr fontId="2"/>
  </si>
  <si>
    <t>06时11分</t>
    <phoneticPr fontId="2"/>
  </si>
  <si>
    <t>E3847/25</t>
  </si>
  <si>
    <t>遥15</t>
    <phoneticPr fontId="2"/>
  </si>
  <si>
    <t>NAV8</t>
    <phoneticPr fontId="2"/>
  </si>
  <si>
    <t>遥感四十七号</t>
    <phoneticPr fontId="2"/>
  </si>
  <si>
    <t>遥64</t>
    <phoneticPr fontId="2"/>
  </si>
  <si>
    <t>8小时00分</t>
    <phoneticPr fontId="2"/>
  </si>
  <si>
    <t>遥119</t>
    <phoneticPr fontId="2"/>
  </si>
  <si>
    <t>HN241/25</t>
  </si>
  <si>
    <t>A4620/25</t>
  </si>
  <si>
    <t>9</t>
  </si>
  <si>
    <t>无载荷验证飞行</t>
    <phoneticPr fontId="2"/>
  </si>
  <si>
    <t>神舟廿一号</t>
  </si>
  <si>
    <t>阿联酋813,吉林一号高分07B01(水利02),吉林一号高分07C01(瑶海科创号),吉林一号高分07D01(电力工程号B),东坡15号(东坡之眼号),驭星二号09,逸仙-A,埃及SPNEX,尼泊尔Slippers2Sat</t>
    <phoneticPr fontId="2"/>
  </si>
  <si>
    <t>长征十二号甲</t>
  </si>
  <si>
    <t>谷神星
二号</t>
    <rPh sb="4" eb="5">
      <t>ニ</t>
    </rPh>
    <phoneticPr fontId="2"/>
  </si>
  <si>
    <t>A4659/25</t>
  </si>
  <si>
    <t>A4994/25</t>
  </si>
  <si>
    <t>HN244/25</t>
  </si>
  <si>
    <t>09时08分</t>
    <phoneticPr fontId="2"/>
  </si>
  <si>
    <t>P5756/25</t>
  </si>
  <si>
    <t>B6332/25</t>
  </si>
  <si>
    <t>B6333/25</t>
  </si>
  <si>
    <t>11时17分</t>
    <phoneticPr fontId="2"/>
  </si>
  <si>
    <t>资源三号04</t>
    <phoneticPr fontId="2"/>
  </si>
  <si>
    <t>遥61</t>
    <phoneticPr fontId="2"/>
  </si>
  <si>
    <t>A5529/25</t>
  </si>
  <si>
    <t>B6410/25</t>
  </si>
  <si>
    <t>B6412/25</t>
  </si>
  <si>
    <t>南海博润九州号(阳江N2116E11200)</t>
    <phoneticPr fontId="2"/>
  </si>
  <si>
    <t>B6437/25</t>
  </si>
  <si>
    <t>B6438/25</t>
  </si>
  <si>
    <t>20时30分</t>
  </si>
  <si>
    <t>B6434/25</t>
  </si>
  <si>
    <t>B6436/25</t>
  </si>
  <si>
    <t>07时26分</t>
    <phoneticPr fontId="2"/>
  </si>
  <si>
    <t>HN254/25</t>
  </si>
  <si>
    <t>A4737/25</t>
  </si>
  <si>
    <t>A4739/25</t>
  </si>
  <si>
    <t>A4740/25</t>
  </si>
  <si>
    <t>P5898/25</t>
  </si>
  <si>
    <t>无载荷有配重(1级回收失败)</t>
    <phoneticPr fontId="2"/>
  </si>
  <si>
    <t>长征十二号甲(1发1级回收失败)</t>
    <phoneticPr fontId="2"/>
  </si>
  <si>
    <t>朱雀三号(1发1级回收失败)</t>
    <phoneticPr fontId="2"/>
  </si>
  <si>
    <t>VCCF</t>
    <phoneticPr fontId="2"/>
  </si>
  <si>
    <t>HN256/25</t>
  </si>
  <si>
    <t>遥113</t>
  </si>
  <si>
    <t>天绘七号</t>
    <phoneticPr fontId="2"/>
  </si>
  <si>
    <t>A4809/25</t>
  </si>
  <si>
    <t>A4810/25</t>
  </si>
  <si>
    <t>B6514/25</t>
  </si>
  <si>
    <t>B6516/25</t>
  </si>
  <si>
    <t>P5960/25</t>
  </si>
  <si>
    <t>00时07分</t>
    <phoneticPr fontId="2"/>
  </si>
  <si>
    <t>1141/25</t>
  </si>
  <si>
    <t>星网低轨17A-I</t>
    <phoneticPr fontId="2"/>
  </si>
  <si>
    <t>A5659/25</t>
  </si>
  <si>
    <t>遥69</t>
    <phoneticPr fontId="2"/>
  </si>
  <si>
    <t>HN259/25</t>
  </si>
  <si>
    <t>风暴一号</t>
    <phoneticPr fontId="2"/>
  </si>
  <si>
    <t>实践二十九号A-B</t>
    <phoneticPr fontId="2"/>
  </si>
  <si>
    <r>
      <t>20264年累</t>
    </r>
    <r>
      <rPr>
        <sz val="11"/>
        <color theme="1"/>
        <rFont val="Microsoft YaHei"/>
        <family val="2"/>
        <charset val="134"/>
      </rPr>
      <t>计</t>
    </r>
    <phoneticPr fontId="2"/>
  </si>
  <si>
    <r>
      <t>2025年累</t>
    </r>
    <r>
      <rPr>
        <sz val="11"/>
        <color theme="1"/>
        <rFont val="Microsoft YaHei"/>
        <family val="2"/>
        <charset val="134"/>
      </rPr>
      <t>计</t>
    </r>
    <phoneticPr fontId="2"/>
  </si>
  <si>
    <t>迪迩五号(中国科技城号/B300-L02货运飞船),希望五号二期</t>
    <phoneticPr fontId="2"/>
  </si>
  <si>
    <t>云遥一号15(北洋海棠基金一号),云遥一号16(天津大学科技园一号),云遥一号17(创业知本社一号),吉天星A03(苏州一号),苏星一号01,天辅高分二号(华祥苑一号)</t>
    <phoneticPr fontId="2"/>
  </si>
  <si>
    <t>嫦娥七号</t>
    <phoneticPr fontId="2"/>
  </si>
  <si>
    <t>嫦娥六号(返回舱于2024年6月25日14时07分成功返回内蒙四子王旗着陆场),上海交通大学思源二号/巴基斯坦立方星</t>
    <phoneticPr fontId="2"/>
  </si>
  <si>
    <t>嫦娥五号(返回舱于2020年12月17日1时59分成功返回内蒙四子王旗着陆场)</t>
    <phoneticPr fontId="2"/>
  </si>
  <si>
    <t>黄海海阳东方航天港号
36.61667N,121.18333E
(太原卫星发射中心组织)</t>
  </si>
  <si>
    <t>天舟十二号</t>
    <rPh sb="2" eb="3">
      <t>ジュウ</t>
    </rPh>
    <rPh sb="3" eb="4">
      <t>ニ</t>
    </rPh>
    <phoneticPr fontId="2"/>
  </si>
  <si>
    <t>云海二号02A-G</t>
    <phoneticPr fontId="2"/>
  </si>
  <si>
    <t>云海二号01A-G</t>
    <phoneticPr fontId="2"/>
  </si>
  <si>
    <t>吉林一号高分03D09(西安航投一号),吉林一号高分03D35(东坡01眉山天府新区号),吉林一号高分03D36(东坡02东坡号),吉林一号高分03D37(东坡03彭山号),吉林一号高分03D38(东坡04仁寿号),吉林一号高分03D39(东坡05洪雅号),吉林一号高分03D40(东坡06丹棱号),吉林一号高分03D41(东坡07青神号),吉林一号高分03D42(河南一号),吉林一号高分03D43(浦银一号),云遥一号03(天津滨海一号),云遥一号04-08</t>
    <phoneticPr fontId="2"/>
  </si>
  <si>
    <t>遥115</t>
  </si>
  <si>
    <t>星网低轨19A-I</t>
  </si>
  <si>
    <t>星网低轨18A-I</t>
  </si>
  <si>
    <t>B0069/26</t>
  </si>
  <si>
    <t>P0084/26</t>
  </si>
  <si>
    <t>P0083/26</t>
  </si>
  <si>
    <t>A0009/26</t>
  </si>
  <si>
    <t>B0195/26</t>
  </si>
  <si>
    <t>海南商业航天发射场</t>
    <phoneticPr fontId="2"/>
  </si>
  <si>
    <t>HN005/26</t>
  </si>
  <si>
    <t>B0200/26</t>
  </si>
  <si>
    <t>B0202/26</t>
  </si>
  <si>
    <t>A0114/26</t>
  </si>
  <si>
    <t>A0115/26</t>
  </si>
  <si>
    <t>A0116/26</t>
  </si>
  <si>
    <t>04时10分</t>
  </si>
  <si>
    <t>15时48分</t>
  </si>
  <si>
    <t>A0117/26</t>
  </si>
  <si>
    <t>A0119/26</t>
  </si>
  <si>
    <t>A0118/26</t>
  </si>
  <si>
    <t>SD022/26</t>
  </si>
  <si>
    <t>A0014/26</t>
  </si>
  <si>
    <t>23时25分</t>
  </si>
  <si>
    <t>遥感五十号01</t>
    <phoneticPr fontId="2"/>
  </si>
  <si>
    <t>22时16分</t>
    <phoneticPr fontId="2"/>
  </si>
  <si>
    <t>A0064/26</t>
    <phoneticPr fontId="2"/>
  </si>
  <si>
    <t>P0148/26</t>
  </si>
  <si>
    <t>黄海德浮15001号(日照近海35.39722N119.60889E)</t>
  </si>
  <si>
    <t>A0129/26</t>
  </si>
  <si>
    <t>A0130/26</t>
  </si>
  <si>
    <t>00时55分</t>
  </si>
  <si>
    <t>P0159/26</t>
  </si>
  <si>
    <t>E0040/26</t>
  </si>
  <si>
    <t>阿尔及利亚遥感三号A</t>
    <phoneticPr fontId="2"/>
  </si>
  <si>
    <t>长征十号乙（遥1）</t>
    <phoneticPr fontId="2"/>
  </si>
  <si>
    <t>HN006/26</t>
  </si>
  <si>
    <t>12时08分</t>
    <phoneticPr fontId="2"/>
  </si>
  <si>
    <t>酒泉卫星发射中心</t>
    <phoneticPr fontId="2"/>
  </si>
  <si>
    <t>神舟二十号载人飞船(陈冬,陈中瑞,王杰2025年11月14日16时40分乘神舟二十一号成功返回酒泉东风着陆场，26年01月19日09时34分神舟二十号无人成功返回酒泉东风着陆场)</t>
    <phoneticPr fontId="2"/>
  </si>
  <si>
    <t>天启一号37,天启一号38(招银金葵号),天启一号39(浦银数智号),天启一号40(南邮物联网号)</t>
    <phoneticPr fontId="2"/>
  </si>
  <si>
    <t>智神星二号</t>
    <rPh sb="0" eb="1">
      <t>トモ</t>
    </rPh>
    <phoneticPr fontId="2"/>
  </si>
  <si>
    <t>紫丁香三号(太空链一号),吉林一号高分07A01(电力工程号A),锦江星元号,西光壹号06(大佛号)</t>
    <phoneticPr fontId="2"/>
  </si>
  <si>
    <t>A0336/26</t>
  </si>
  <si>
    <t>阿尔及利亚遥感三号B</t>
    <phoneticPr fontId="2"/>
  </si>
  <si>
    <t>A0381/26</t>
  </si>
  <si>
    <t>A0382/26</t>
  </si>
  <si>
    <t>可重复使用试验航天器4</t>
    <phoneticPr fontId="2"/>
  </si>
  <si>
    <t>11时57分</t>
    <phoneticPr fontId="2"/>
  </si>
  <si>
    <t>天6</t>
    <phoneticPr fontId="2"/>
  </si>
  <si>
    <t>天舟十号</t>
    <phoneticPr fontId="2"/>
  </si>
  <si>
    <t>TZ-10</t>
    <phoneticPr fontId="2"/>
  </si>
  <si>
    <t>14时37分</t>
    <phoneticPr fontId="2"/>
  </si>
  <si>
    <t>A0465/26</t>
  </si>
  <si>
    <t>A0466/26</t>
  </si>
  <si>
    <t>A0443/26</t>
  </si>
  <si>
    <t>A0444/26</t>
  </si>
  <si>
    <t>GD060/26</t>
  </si>
  <si>
    <t>GD061/26</t>
  </si>
  <si>
    <t>F0511/26</t>
  </si>
  <si>
    <t>神舟二十四号载人飞船</t>
    <rPh sb="4" eb="5">
      <t>ヨン</t>
    </rPh>
    <phoneticPr fontId="2"/>
  </si>
  <si>
    <t>吉林一号宽幅02B07(江苏地质号),数天宇星一号01-02</t>
    <phoneticPr fontId="2"/>
  </si>
  <si>
    <t>巴基斯坦PRSC-EO2,港中大一号,电力红外A,数天宇星一号03(率土之滨号),数天宇星一号04-05,空间环境监测(瞰宇一号)</t>
    <phoneticPr fontId="2"/>
  </si>
  <si>
    <t>长征二号己（遥24）</t>
    <phoneticPr fontId="2"/>
  </si>
  <si>
    <t>致航一号</t>
    <phoneticPr fontId="2"/>
  </si>
  <si>
    <t>力箭一号海（遥1）</t>
    <phoneticPr fontId="2"/>
  </si>
  <si>
    <t>星网低轨20A-I</t>
  </si>
  <si>
    <t>A0612/26</t>
  </si>
  <si>
    <t>A0613/26</t>
  </si>
  <si>
    <t>遥感五十号02</t>
    <phoneticPr fontId="2"/>
  </si>
  <si>
    <t>A0611/26</t>
  </si>
  <si>
    <t>B1016/26</t>
  </si>
  <si>
    <t>B1014/26</t>
  </si>
  <si>
    <t>遥95</t>
  </si>
  <si>
    <t>HN024/26</t>
  </si>
  <si>
    <t>实践三十二号A</t>
    <phoneticPr fontId="2"/>
  </si>
  <si>
    <t>HN025/26</t>
  </si>
  <si>
    <t>A0638/26</t>
  </si>
  <si>
    <t>F1015/26</t>
  </si>
  <si>
    <t>微厘空间02A-J</t>
    <phoneticPr fontId="2"/>
  </si>
  <si>
    <t>21时22分</t>
    <phoneticPr fontId="2"/>
  </si>
  <si>
    <t>致航
一号</t>
    <phoneticPr fontId="2"/>
  </si>
  <si>
    <t>ZH</t>
    <phoneticPr fontId="2"/>
  </si>
  <si>
    <t>7小时00分</t>
    <phoneticPr fontId="2"/>
  </si>
  <si>
    <t>A0698/26</t>
  </si>
  <si>
    <t>ZLHW/ZPKM</t>
  </si>
  <si>
    <t>远征一号商遥20</t>
    <phoneticPr fontId="2"/>
  </si>
  <si>
    <t>N0821/26</t>
  </si>
  <si>
    <t>SD178/26</t>
  </si>
  <si>
    <t>SD179/26</t>
  </si>
  <si>
    <t>P1361/26</t>
  </si>
  <si>
    <t>P1362/26</t>
  </si>
  <si>
    <t>A0763/26</t>
  </si>
  <si>
    <t>钧天一号04A(天筑一号),东坡11(农交中心一号),东坡12(成电一号),东坡16(锦江星元号),驭星三号05(科创一号),驭星三号06(西垣零号/湖科大二号),微瞳一号01(南湖高新号),西光壹号06(大佛号)</t>
    <phoneticPr fontId="2"/>
  </si>
  <si>
    <t>23时49分</t>
    <phoneticPr fontId="2"/>
  </si>
  <si>
    <t>A0787/26</t>
  </si>
  <si>
    <t>A0788/26</t>
  </si>
  <si>
    <t>06时33分</t>
    <phoneticPr fontId="2"/>
  </si>
  <si>
    <t>F1145/26</t>
  </si>
  <si>
    <t xml:space="preserve"> PAC</t>
  </si>
  <si>
    <t xml:space="preserve">  895/26</t>
  </si>
  <si>
    <t>A0692/26</t>
  </si>
  <si>
    <r>
      <t>天仪41(神启号/甘州一号),星时代15(香港青年科创号),星时代21(氦星梁溪双子星一号),星时代22(氦星梁溪双子星二号),驭星二号05,复旦一号</t>
    </r>
    <r>
      <rPr>
        <sz val="12"/>
        <rFont val="Microsoft YaHei"/>
        <family val="2"/>
      </rPr>
      <t>・</t>
    </r>
    <r>
      <rPr>
        <sz val="12"/>
        <rFont val="Microsoft YaHei UI"/>
        <family val="2"/>
      </rPr>
      <t>澜湄未来星,天雁15(最终前沿一号01),吉天星A01(吉林大学一号),珞珈四号01(武汉大学人民医院健康号)</t>
    </r>
    <phoneticPr fontId="2"/>
  </si>
  <si>
    <t>A0860/26</t>
  </si>
  <si>
    <t>A0861/26</t>
  </si>
  <si>
    <t>试验三十三号</t>
    <phoneticPr fontId="2"/>
  </si>
  <si>
    <t>遥90</t>
    <phoneticPr fontId="2"/>
  </si>
  <si>
    <t>140</t>
    <phoneticPr fontId="2"/>
  </si>
  <si>
    <t>双曲线三号</t>
  </si>
  <si>
    <t>星网低轨21A-E</t>
  </si>
  <si>
    <t>力箭
二号</t>
    <phoneticPr fontId="2"/>
  </si>
  <si>
    <t>A0940/26</t>
  </si>
  <si>
    <t>A0942/26</t>
  </si>
  <si>
    <t>F0892/23</t>
    <phoneticPr fontId="2"/>
  </si>
  <si>
    <t>空间致航</t>
    <phoneticPr fontId="2"/>
  </si>
  <si>
    <t>无载荷有配重</t>
  </si>
  <si>
    <t>长征十号甲（遥1）/立巡一号（遥1）</t>
    <phoneticPr fontId="2"/>
  </si>
  <si>
    <t>时空基准</t>
    <phoneticPr fontId="2"/>
  </si>
  <si>
    <t>A0806/26</t>
  </si>
  <si>
    <t>21时32分</t>
    <phoneticPr fontId="2"/>
  </si>
  <si>
    <t>A1008/26</t>
  </si>
  <si>
    <t>A1009/26</t>
  </si>
  <si>
    <t>03时38分</t>
    <phoneticPr fontId="2"/>
  </si>
  <si>
    <t>吉林一号高分07A02,吉林一号高分07A03(邮储银行号),吉林一号高分07A04,吉林一号高分07B02-04,吉林一号高分07C02-03</t>
  </si>
  <si>
    <t>A1168/26</t>
    <phoneticPr fontId="2"/>
  </si>
  <si>
    <t>A1169/26</t>
    <phoneticPr fontId="2"/>
  </si>
  <si>
    <t>捷龙三号（遥12）</t>
    <phoneticPr fontId="2"/>
  </si>
  <si>
    <t>12时17分</t>
    <phoneticPr fontId="2"/>
  </si>
  <si>
    <t>A1115/26</t>
  </si>
  <si>
    <t>A1116/26</t>
  </si>
  <si>
    <t>南海东方航天港号(阳江N21.36667,E112.11667)</t>
    <phoneticPr fontId="2"/>
  </si>
  <si>
    <t>HN41/26</t>
  </si>
  <si>
    <t>A1034/26</t>
  </si>
  <si>
    <t>A1035/26</t>
  </si>
  <si>
    <t>F1337/26</t>
  </si>
  <si>
    <t>A1051/26</t>
  </si>
  <si>
    <t>A1052/26</t>
  </si>
  <si>
    <t>HN43/26</t>
  </si>
  <si>
    <t>A1139/26</t>
  </si>
  <si>
    <t>A1140/26</t>
  </si>
  <si>
    <t>F1339/26</t>
  </si>
  <si>
    <t>A0648/26</t>
  </si>
  <si>
    <t>VHHK</t>
    <phoneticPr fontId="2"/>
  </si>
  <si>
    <t>长征
十号乙</t>
    <phoneticPr fontId="2"/>
  </si>
  <si>
    <t>长征十号乙</t>
    <phoneticPr fontId="2"/>
  </si>
  <si>
    <t>10B</t>
    <phoneticPr fontId="2"/>
  </si>
  <si>
    <t>长征十号甲</t>
    <phoneticPr fontId="2"/>
  </si>
  <si>
    <t>GD182/26</t>
  </si>
  <si>
    <t>GD183/26</t>
  </si>
  <si>
    <t>天平三号A02</t>
    <phoneticPr fontId="2"/>
  </si>
  <si>
    <t>天平三号A01,B01-02</t>
    <phoneticPr fontId="2"/>
  </si>
  <si>
    <t>智神星
一号</t>
    <phoneticPr fontId="2"/>
  </si>
  <si>
    <t>天龙三号</t>
    <phoneticPr fontId="2"/>
  </si>
  <si>
    <t>A1111/26</t>
  </si>
  <si>
    <t>长征十号乙</t>
  </si>
  <si>
    <t>长征十二号乙</t>
    <phoneticPr fontId="2"/>
  </si>
  <si>
    <t>12A</t>
    <phoneticPr fontId="2"/>
  </si>
  <si>
    <t>19时32分</t>
    <phoneticPr fontId="2"/>
  </si>
  <si>
    <t>吉林一号高分03D27-33,吉林一号宽幅01C</t>
    <phoneticPr fontId="2"/>
  </si>
  <si>
    <t>吉林一号高分03D08,吉林一号高分03D51-54</t>
    <phoneticPr fontId="2"/>
  </si>
  <si>
    <t>遥116</t>
    <phoneticPr fontId="2"/>
  </si>
  <si>
    <t>风云四号M</t>
    <phoneticPr fontId="2"/>
  </si>
  <si>
    <t>新征程01,新征程02(白象号轻舟试验飞船),天视卫星01</t>
    <phoneticPr fontId="2"/>
  </si>
  <si>
    <t>在研准备首飞</t>
    <phoneticPr fontId="2"/>
  </si>
  <si>
    <t>星网技术试验08A-C</t>
    <phoneticPr fontId="2"/>
  </si>
  <si>
    <t>5小时30分</t>
  </si>
  <si>
    <t>5小时30分</t>
    <phoneticPr fontId="2"/>
  </si>
  <si>
    <t>PAC</t>
    <phoneticPr fontId="2"/>
  </si>
  <si>
    <t>1114/26</t>
    <phoneticPr fontId="2"/>
  </si>
  <si>
    <t>遥41</t>
    <phoneticPr fontId="2"/>
  </si>
  <si>
    <t>大气二号(高精度温室气体综合探测)</t>
    <phoneticPr fontId="2"/>
  </si>
  <si>
    <t>羲和号太阳Hα光谱探测,和德二号E/F,VDES交通试验星,低轨导航增强试验卫星,北航亚太一号,上海交大的大学生小卫星(SSS-2A),轨道大气密度探测,商业气象探测卫星,田园一号,金紫荆二号</t>
    <phoneticPr fontId="2"/>
  </si>
  <si>
    <t>大气一号(大气环境监测)</t>
    <phoneticPr fontId="2"/>
  </si>
  <si>
    <t>朱雀三号（遥2）</t>
    <rPh sb="2" eb="3">
      <t>サン</t>
    </rPh>
    <phoneticPr fontId="2"/>
  </si>
  <si>
    <t>A1258/26</t>
  </si>
  <si>
    <t>A1259/26</t>
  </si>
  <si>
    <t>14时35分</t>
    <phoneticPr fontId="2"/>
  </si>
  <si>
    <t>A1286/26</t>
  </si>
  <si>
    <t>A1320/26</t>
    <phoneticPr fontId="2"/>
  </si>
  <si>
    <t>星网技术试验09A-D</t>
    <phoneticPr fontId="2"/>
  </si>
  <si>
    <t>长征三号甲</t>
    <phoneticPr fontId="2"/>
  </si>
  <si>
    <t>液固体+级数(助推器)</t>
    <phoneticPr fontId="2"/>
  </si>
  <si>
    <t>武汉一号(珞珈三号02/海丝三号02),超低轨技术试验(楚天一号001),天雁22(星环号·南信大星),灵鹊三号01(青城一号)</t>
    <phoneticPr fontId="2"/>
  </si>
  <si>
    <t>10</t>
    <phoneticPr fontId="2"/>
  </si>
  <si>
    <t>10A</t>
    <phoneticPr fontId="2"/>
  </si>
  <si>
    <t>12B</t>
    <phoneticPr fontId="2"/>
  </si>
  <si>
    <t>20时15分</t>
    <phoneticPr fontId="2"/>
  </si>
  <si>
    <t>长征六号　</t>
    <phoneticPr fontId="2"/>
  </si>
  <si>
    <t>黄海海阳东方航天港号
36.61667N,121.18333E
(太原卫星发射中心组织)</t>
    <rPh sb="0" eb="2">
      <t>コウカイ</t>
    </rPh>
    <rPh sb="2" eb="3">
      <t>カイ</t>
    </rPh>
    <rPh sb="3" eb="4">
      <t>ヨウ</t>
    </rPh>
    <rPh sb="5" eb="6">
      <t>カタ</t>
    </rPh>
    <rPh sb="6" eb="8">
      <t>コウテン</t>
    </rPh>
    <rPh sb="8" eb="9">
      <t>ミナト</t>
    </rPh>
    <rPh sb="9" eb="10">
      <t>ゴウ</t>
    </rPh>
    <rPh sb="33" eb="35">
      <t>タハラ</t>
    </rPh>
    <rPh sb="36" eb="37">
      <t>セイ</t>
    </rPh>
    <rPh sb="38" eb="39">
      <t>シャ</t>
    </rPh>
    <rPh sb="39" eb="41">
      <t>チュウシン</t>
    </rPh>
    <phoneticPr fontId="2"/>
  </si>
  <si>
    <t>B1767/26</t>
  </si>
  <si>
    <t>B1768/26</t>
  </si>
  <si>
    <t>B1771/26</t>
  </si>
  <si>
    <t>长征三号乙（遥118）</t>
    <phoneticPr fontId="2"/>
  </si>
  <si>
    <t>长征四号丙（遥55）</t>
    <phoneticPr fontId="2"/>
  </si>
  <si>
    <t>巴基斯坦PRSC-EO3</t>
    <phoneticPr fontId="2"/>
  </si>
  <si>
    <t>长征
十号甲</t>
    <phoneticPr fontId="2"/>
  </si>
  <si>
    <t>长征
十号</t>
    <phoneticPr fontId="2"/>
  </si>
  <si>
    <t>长征
十二号乙</t>
    <phoneticPr fontId="2"/>
  </si>
  <si>
    <t>长征
十二号海</t>
    <phoneticPr fontId="2"/>
  </si>
  <si>
    <t>类型</t>
    <phoneticPr fontId="2"/>
  </si>
  <si>
    <t>驾驶员</t>
  </si>
  <si>
    <t>驾驶员</t>
    <phoneticPr fontId="2"/>
  </si>
  <si>
    <t>工程师</t>
  </si>
  <si>
    <t>工程师</t>
    <phoneticPr fontId="2"/>
  </si>
  <si>
    <t>胡拉姆(巴)</t>
    <phoneticPr fontId="2"/>
  </si>
  <si>
    <t>穆罕默德(巴)</t>
    <phoneticPr fontId="2"/>
  </si>
  <si>
    <t>载荷家</t>
    <phoneticPr fontId="2"/>
  </si>
  <si>
    <t>长征十号丙</t>
    <phoneticPr fontId="2"/>
  </si>
  <si>
    <t>10C</t>
    <phoneticPr fontId="2"/>
  </si>
  <si>
    <t>12H</t>
    <phoneticPr fontId="2"/>
  </si>
  <si>
    <t>固体4级(0助推器)</t>
  </si>
  <si>
    <t>1H</t>
    <phoneticPr fontId="2"/>
  </si>
  <si>
    <t>力箭一号海</t>
    <phoneticPr fontId="2"/>
  </si>
  <si>
    <t>引力二号</t>
    <rPh sb="0" eb="2">
      <t>インリョク</t>
    </rPh>
    <phoneticPr fontId="2"/>
  </si>
  <si>
    <t>爱神星一号遥1</t>
    <phoneticPr fontId="2"/>
  </si>
  <si>
    <t>爱神星一号遥2</t>
    <phoneticPr fontId="2"/>
  </si>
  <si>
    <t>相隔日数</t>
    <phoneticPr fontId="2"/>
  </si>
  <si>
    <t>A1417/26</t>
  </si>
  <si>
    <t>A1418/26</t>
  </si>
  <si>
    <t>A1419/26</t>
  </si>
  <si>
    <t>长征六号甲</t>
    <rPh sb="2" eb="3">
      <t>ロク</t>
    </rPh>
    <phoneticPr fontId="2"/>
  </si>
  <si>
    <t>08时14分</t>
    <phoneticPr fontId="2"/>
  </si>
  <si>
    <t>HN56/26</t>
  </si>
  <si>
    <t>千帆极轨09A-R</t>
    <phoneticPr fontId="2"/>
  </si>
  <si>
    <t>B1961/26</t>
  </si>
  <si>
    <t>A1492/26</t>
  </si>
  <si>
    <t>A1493/26</t>
  </si>
  <si>
    <t>12时33分</t>
    <phoneticPr fontId="2"/>
  </si>
  <si>
    <t>HN61/26</t>
  </si>
  <si>
    <t>Li Jiaying(F)</t>
    <phoneticPr fontId="2"/>
  </si>
  <si>
    <t>Muhammad Zeeshan Ali(P)</t>
    <phoneticPr fontId="2"/>
  </si>
  <si>
    <t>Khurram Daud(P)</t>
    <phoneticPr fontId="2"/>
  </si>
  <si>
    <t>吉林一号高分03D10-14,吉林一号高分03D15(韶关一号),吉林一号高分03D16(文昌超算二号),吉林一号高分03D17(文昌超算三号)吉林一号高分03D18(安溪铁观音一号),吉林一号魔方02A01(厦门科技一号),海南一号01-02,文昌一号01-02,微纳星空01(创星雷神号),微纳星空02(天启一号19/平安二号/延安号),大运号(星时代-1),启明星一号,巢湖一号,泰景三号01,泰景四号01,西电一号</t>
    <phoneticPr fontId="2"/>
  </si>
  <si>
    <t>吉林一号高分03D04(天机星),吉林一号高分03D05(天问星),吉林一号高分03D(天钥星),吉林一号高分03D07((天筹星),吉林一号高分04A(安溪铁观音二号)</t>
    <phoneticPr fontId="2"/>
  </si>
  <si>
    <t>A1379/26</t>
  </si>
  <si>
    <t>长征五号（遥12）</t>
    <phoneticPr fontId="2"/>
  </si>
  <si>
    <t>F1759/26</t>
  </si>
  <si>
    <t>A4593/25</t>
    <phoneticPr fontId="2"/>
  </si>
  <si>
    <t>A4594/25</t>
    <phoneticPr fontId="2"/>
  </si>
  <si>
    <t>天舟十号货运飞船,智周号</t>
    <phoneticPr fontId="2"/>
  </si>
  <si>
    <t>A1543/26</t>
  </si>
  <si>
    <t>A1544/26</t>
  </si>
  <si>
    <t>长征三号乙（遥119）</t>
    <phoneticPr fontId="2"/>
  </si>
  <si>
    <t>19时59分</t>
    <phoneticPr fontId="2"/>
  </si>
  <si>
    <t>遥23</t>
    <phoneticPr fontId="2"/>
  </si>
  <si>
    <t>太原卫星发射中心</t>
    <phoneticPr fontId="2"/>
  </si>
  <si>
    <t>千帆极轨10A-R</t>
    <phoneticPr fontId="2"/>
  </si>
  <si>
    <t>A1733/26</t>
  </si>
  <si>
    <t>黎家盈(女)</t>
    <phoneticPr fontId="2"/>
  </si>
  <si>
    <t>定制化试验载荷</t>
    <phoneticPr fontId="2"/>
  </si>
  <si>
    <t>黄海东方航天港号(海阳近海36.64056N121.20778E)</t>
  </si>
  <si>
    <t>A1754/26</t>
  </si>
  <si>
    <t>天卫四号(西邮号/航升八号)</t>
    <phoneticPr fontId="2"/>
  </si>
  <si>
    <t>泰景三号05A(蓉城一号01),泰景三号05B(蓉城一号02),天仪50(电建一号),有戏号(天雁27),吉林一号高分03D55</t>
    <phoneticPr fontId="2"/>
  </si>
  <si>
    <t>HN67/26</t>
  </si>
  <si>
    <t>运载火箭名称（遥号）</t>
    <phoneticPr fontId="2"/>
  </si>
  <si>
    <t>22时42分</t>
    <phoneticPr fontId="2"/>
  </si>
  <si>
    <t>ZBPE/ZHWH/ZLHW/ZSHA</t>
  </si>
  <si>
    <t>A1629/26</t>
  </si>
  <si>
    <t>A1630/26</t>
  </si>
  <si>
    <t>23时08分</t>
    <phoneticPr fontId="2"/>
  </si>
  <si>
    <t>千帆极轨12A-R</t>
    <phoneticPr fontId="2"/>
  </si>
  <si>
    <t>千帆极轨04A-R</t>
    <phoneticPr fontId="2"/>
  </si>
  <si>
    <t>交会日数</t>
    <phoneticPr fontId="2"/>
  </si>
  <si>
    <t>发射日期（UTC+8）</t>
    <rPh sb="3" eb="4">
      <t>キ</t>
    </rPh>
    <phoneticPr fontId="2"/>
  </si>
  <si>
    <t>B2219/26</t>
  </si>
  <si>
    <t>00时16分</t>
    <phoneticPr fontId="2"/>
  </si>
  <si>
    <t>B2228/26</t>
    <phoneticPr fontId="2"/>
  </si>
  <si>
    <t>神舟廿三号</t>
    <phoneticPr fontId="2"/>
  </si>
  <si>
    <t>张志远</t>
    <phoneticPr fontId="2"/>
  </si>
  <si>
    <t>Zhang Zhiyuan</t>
    <phoneticPr fontId="2"/>
  </si>
  <si>
    <t>出生地</t>
    <phoneticPr fontId="2"/>
  </si>
  <si>
    <t>湖北枣阳市</t>
    <phoneticPr fontId="2"/>
  </si>
  <si>
    <t>辽宁绥中县</t>
    <phoneticPr fontId="2"/>
  </si>
  <si>
    <t>江苏昆山市</t>
    <phoneticPr fontId="2"/>
  </si>
  <si>
    <t>黑龙江齐齐哈尔市</t>
    <phoneticPr fontId="2"/>
  </si>
  <si>
    <t>山西运城市</t>
    <phoneticPr fontId="2"/>
  </si>
  <si>
    <t>山西平遥县</t>
    <phoneticPr fontId="2"/>
  </si>
  <si>
    <t>河南林州市</t>
    <phoneticPr fontId="2"/>
  </si>
  <si>
    <t>辽宁锦州市</t>
    <phoneticPr fontId="2"/>
  </si>
  <si>
    <t>山东烟台市</t>
    <phoneticPr fontId="2"/>
  </si>
  <si>
    <t>河南郑州市</t>
    <phoneticPr fontId="2"/>
  </si>
  <si>
    <t>湖南湘潭市</t>
    <phoneticPr fontId="2"/>
  </si>
  <si>
    <t>四川成都市</t>
    <phoneticPr fontId="2"/>
  </si>
  <si>
    <t>河北深州市</t>
    <phoneticPr fontId="2"/>
  </si>
  <si>
    <t>江西宜黄县</t>
    <phoneticPr fontId="2"/>
  </si>
  <si>
    <t>湖南汉寿县</t>
    <phoneticPr fontId="2"/>
  </si>
  <si>
    <t>江苏沛县</t>
    <phoneticPr fontId="2"/>
  </si>
  <si>
    <t>云南施甸县</t>
    <phoneticPr fontId="2"/>
  </si>
  <si>
    <t>甘肃定西市</t>
    <phoneticPr fontId="2"/>
  </si>
  <si>
    <t>河南杞县</t>
    <phoneticPr fontId="2"/>
  </si>
  <si>
    <t>河北邯郸市</t>
    <phoneticPr fontId="2"/>
  </si>
  <si>
    <t>山东曹县</t>
    <phoneticPr fontId="2"/>
  </si>
  <si>
    <t>河北滦平县</t>
    <phoneticPr fontId="2"/>
  </si>
  <si>
    <t>河南滑县</t>
    <phoneticPr fontId="2"/>
  </si>
  <si>
    <t>内蒙古巴彦淖尔市</t>
    <phoneticPr fontId="2"/>
  </si>
  <si>
    <t>山东邹平市</t>
    <phoneticPr fontId="2"/>
  </si>
  <si>
    <t>香港</t>
    <phoneticPr fontId="2"/>
  </si>
  <si>
    <t>内蒙古包头市</t>
    <phoneticPr fontId="2"/>
  </si>
  <si>
    <t>甘肃白银市</t>
    <phoneticPr fontId="2"/>
  </si>
  <si>
    <t>出生日不详*</t>
    <phoneticPr fontId="2"/>
  </si>
  <si>
    <t>天舟十三号</t>
    <rPh sb="2" eb="3">
      <t>ジュウ</t>
    </rPh>
    <rPh sb="3" eb="4">
      <t>サン</t>
    </rPh>
    <phoneticPr fontId="2"/>
  </si>
  <si>
    <t>空间站巡天光学舱</t>
    <phoneticPr fontId="2"/>
  </si>
  <si>
    <t>HN73/26</t>
  </si>
  <si>
    <t>神舟二十三号载人飞船(朱杨柱,张志远,黎家盈)</t>
    <phoneticPr fontId="2"/>
  </si>
  <si>
    <t>人数</t>
    <phoneticPr fontId="2"/>
  </si>
  <si>
    <t>50-59</t>
    <phoneticPr fontId="2"/>
  </si>
  <si>
    <t>40-49</t>
    <phoneticPr fontId="2"/>
  </si>
  <si>
    <t>≧60</t>
    <phoneticPr fontId="2"/>
  </si>
  <si>
    <t>30-39</t>
    <phoneticPr fontId="2"/>
  </si>
  <si>
    <t>巴基斯坦</t>
    <phoneticPr fontId="2"/>
  </si>
  <si>
    <t>出生</t>
    <phoneticPr fontId="2"/>
  </si>
  <si>
    <t>性别</t>
    <phoneticPr fontId="2"/>
  </si>
  <si>
    <t>男</t>
    <phoneticPr fontId="2"/>
  </si>
  <si>
    <t>女</t>
    <phoneticPr fontId="2"/>
  </si>
  <si>
    <t>在轨日</t>
    <phoneticPr fontId="2"/>
  </si>
  <si>
    <t>在轨次</t>
    <phoneticPr fontId="2"/>
  </si>
  <si>
    <t>A1800/26</t>
  </si>
  <si>
    <t>ZGZU/ZJSA</t>
  </si>
  <si>
    <t>A1801/26</t>
  </si>
  <si>
    <t>星网技术试验10A-D</t>
  </si>
  <si>
    <t>东方慧眼高光谱01(东方星链05/金山号),东方慧眼高光谱02(东方星链06/银山号)</t>
  </si>
  <si>
    <t>A1576/26</t>
  </si>
  <si>
    <t>通信技术试验二十四号</t>
    <phoneticPr fontId="2"/>
  </si>
  <si>
    <t>A1871/26</t>
  </si>
  <si>
    <t>A1872/26</t>
  </si>
  <si>
    <t>A1873/26</t>
  </si>
  <si>
    <t>通信技术试验二十五号</t>
    <phoneticPr fontId="2"/>
  </si>
  <si>
    <t>SZ-16</t>
    <phoneticPr fontId="2"/>
  </si>
  <si>
    <t>张陆,武飞,张洪章</t>
  </si>
  <si>
    <t>聂海胜,刘伯明</t>
  </si>
  <si>
    <t>翟志刚,王亚平(女),刘洋(女),蔡旭哲,宋令东,王浩泽(女)</t>
  </si>
  <si>
    <t>张志远,黎家盈(女)</t>
  </si>
  <si>
    <t>Deng Qingming</t>
    <phoneticPr fontId="2"/>
  </si>
  <si>
    <t>陈冬,陈中瑞,王杰</t>
  </si>
  <si>
    <t>叶光富,李聪,李广苏</t>
  </si>
  <si>
    <t>神舟二十一号载人飞船(张陆,武飞,张洪章，2026年5月29日20时11分乘神舟二十二号成功返回东风着陆场，2025年11月14日16时34分载陈冬,陈中瑞,王杰成功返回东风着陆场)</t>
    <phoneticPr fontId="2"/>
  </si>
  <si>
    <t>神舟二十二号载人飞船(无人，2026年5月29日20时11分载张陆,武飞,张洪章成功返回东风着陆场)</t>
    <phoneticPr fontId="2"/>
  </si>
  <si>
    <t>超智算一号</t>
    <phoneticPr fontId="2"/>
  </si>
  <si>
    <t>力箭一号（遥18）</t>
    <phoneticPr fontId="2"/>
  </si>
  <si>
    <t>千帆极轨11A-R</t>
  </si>
  <si>
    <t>长征十二号乙</t>
  </si>
  <si>
    <t>16时40分</t>
    <phoneticPr fontId="2"/>
  </si>
  <si>
    <t>千帆极轨08A-B</t>
    <phoneticPr fontId="2"/>
  </si>
  <si>
    <t>B2304/26</t>
  </si>
  <si>
    <t>B2305/26</t>
  </si>
  <si>
    <t>A1715/26</t>
  </si>
  <si>
    <t>首飞(一级回收验证)</t>
  </si>
  <si>
    <t>HN82/26</t>
  </si>
  <si>
    <t>HN83/26</t>
  </si>
  <si>
    <t>A2019/26</t>
  </si>
  <si>
    <t>B2533/26</t>
  </si>
  <si>
    <t>B2535/26</t>
  </si>
  <si>
    <t>B2534/26</t>
  </si>
  <si>
    <t>15时30分</t>
    <phoneticPr fontId="2"/>
  </si>
  <si>
    <t>14时34分</t>
    <phoneticPr fontId="2"/>
  </si>
  <si>
    <t>长征九号</t>
    <phoneticPr fontId="2"/>
  </si>
  <si>
    <t>连续在轨日</t>
    <phoneticPr fontId="2"/>
  </si>
  <si>
    <t>A2071/26</t>
  </si>
  <si>
    <t>A2073/26</t>
  </si>
  <si>
    <t>A2074/26</t>
  </si>
  <si>
    <t>ZGZU/ZPKM</t>
  </si>
  <si>
    <t>A2070/26</t>
  </si>
  <si>
    <t>A2072/26</t>
  </si>
  <si>
    <t>17时45分</t>
  </si>
  <si>
    <t>遥106</t>
  </si>
  <si>
    <t>-(一级回收验证)</t>
    <phoneticPr fontId="2"/>
  </si>
  <si>
    <t>B2619/26</t>
  </si>
  <si>
    <t>B2621/26</t>
  </si>
  <si>
    <t>B2623/26</t>
  </si>
  <si>
    <t>楚天一号002-004，楚天二号03,开运二号</t>
    <phoneticPr fontId="2"/>
  </si>
  <si>
    <t>千帆DTC01,中国移动02</t>
    <phoneticPr fontId="2"/>
  </si>
  <si>
    <t>16时23分</t>
    <phoneticPr fontId="2"/>
  </si>
  <si>
    <t>谷神星一号海（遥8）</t>
    <phoneticPr fontId="2"/>
  </si>
  <si>
    <t>长征七号甲（遥17）</t>
    <phoneticPr fontId="2"/>
  </si>
  <si>
    <t>长征七号甲（遥19）</t>
    <phoneticPr fontId="2"/>
  </si>
  <si>
    <t>A2780/26</t>
  </si>
  <si>
    <t>HN93/26</t>
  </si>
  <si>
    <t>F2170/26</t>
  </si>
  <si>
    <t>A2184/26</t>
  </si>
  <si>
    <t>A2185/26</t>
  </si>
  <si>
    <t>10时44分</t>
    <phoneticPr fontId="2"/>
  </si>
  <si>
    <t>B2532/26</t>
    <phoneticPr fontId="2"/>
  </si>
  <si>
    <t>B2723/26</t>
  </si>
  <si>
    <t>引力一号（遥4）</t>
    <phoneticPr fontId="2"/>
  </si>
  <si>
    <t>11时44分</t>
    <phoneticPr fontId="2"/>
  </si>
  <si>
    <t>吉林一号高分04D01(文物01),吉林一号高分04D02(彩云光学01),吉林一号高分05D01(安溪铁观音03),吉林一号高分05D02(利川红),吉林一号高分07C04,吉林一号高分07D02-04</t>
    <phoneticPr fontId="2"/>
  </si>
  <si>
    <t>费俊龙,邓清明,汤洪波,唐胜杰,江新林</t>
    <phoneticPr fontId="2"/>
  </si>
  <si>
    <t>景海鹏,桂海潮</t>
    <phoneticPr fontId="2"/>
  </si>
  <si>
    <t>星网低轨22A-I</t>
    <phoneticPr fontId="2"/>
  </si>
  <si>
    <t>力箭一号（遥15）</t>
    <phoneticPr fontId="2"/>
  </si>
  <si>
    <t>实践三十一号</t>
    <phoneticPr fontId="2"/>
  </si>
  <si>
    <t>HN98/26</t>
  </si>
  <si>
    <t>通信技术试验二十七号</t>
    <phoneticPr fontId="2"/>
  </si>
  <si>
    <t>5星</t>
    <phoneticPr fontId="2"/>
  </si>
  <si>
    <t>力箭一号（遥16）</t>
    <phoneticPr fontId="2"/>
  </si>
  <si>
    <t>力箭一号（遥17）</t>
    <phoneticPr fontId="2"/>
  </si>
  <si>
    <t>11时58分</t>
    <phoneticPr fontId="2"/>
  </si>
  <si>
    <t>力箭二号（遥2）</t>
    <phoneticPr fontId="2"/>
  </si>
  <si>
    <t>迪迩六号(B300-L03)
迪迩十一号(B300-F01)</t>
    <phoneticPr fontId="2"/>
  </si>
  <si>
    <t>B2799/26</t>
  </si>
  <si>
    <t>10时10分</t>
    <phoneticPr fontId="2"/>
  </si>
  <si>
    <t>B2800/26</t>
  </si>
  <si>
    <t>快舟十一号（遥12）</t>
    <phoneticPr fontId="2"/>
  </si>
  <si>
    <t>A3022/26</t>
  </si>
  <si>
    <t>微厘空间05A-H(科创郫都01-08)</t>
    <phoneticPr fontId="2"/>
  </si>
  <si>
    <t>此次发射无航警</t>
    <phoneticPr fontId="2"/>
  </si>
  <si>
    <t>长征十二号（遥8）</t>
    <phoneticPr fontId="2"/>
  </si>
  <si>
    <t>N105/26</t>
  </si>
  <si>
    <t>通信技术试验三十六号A</t>
    <phoneticPr fontId="2"/>
  </si>
  <si>
    <t>B2929/26</t>
  </si>
  <si>
    <t>A2429/26</t>
  </si>
  <si>
    <t>A2430/26</t>
  </si>
  <si>
    <t>07时46分</t>
    <phoneticPr fontId="2"/>
  </si>
  <si>
    <t>HYDROPAC /26 BAY OF BENGAL. BURMA/NAVAREA Navigational Warnings</t>
    <phoneticPr fontId="2"/>
  </si>
  <si>
    <t>长征十号甲</t>
  </si>
  <si>
    <t>迪迩六号(B300-L03),迪迩十一号(B300-F01)</t>
  </si>
  <si>
    <t>锋行一号
西光贰号01(彩云高光谱01)
雄安一号(鸿鹄03号)
东坡13,东坡14(西南财经大学号)
东坡17-20</t>
    <phoneticPr fontId="2"/>
  </si>
  <si>
    <t>通信技术试验二十六号B</t>
    <phoneticPr fontId="2"/>
  </si>
  <si>
    <t>长征八号甲（遥10）</t>
    <phoneticPr fontId="2"/>
  </si>
  <si>
    <t>长征八号甲（遥11）</t>
    <phoneticPr fontId="2"/>
  </si>
  <si>
    <t>长征二号丁（遥104）</t>
    <phoneticPr fontId="2"/>
  </si>
  <si>
    <t>姓氏</t>
    <phoneticPr fontId="2"/>
  </si>
  <si>
    <t>长征二号丁（遥106）</t>
    <phoneticPr fontId="2"/>
  </si>
  <si>
    <t>中国移动03</t>
    <phoneticPr fontId="2"/>
  </si>
  <si>
    <t>星时代18(蓉漂号),星时代19(中国移动01·SCA-1号/DRO-L),星时代20(花开天下号),智星二号A(济高科创号),埃及NEXSAT-1,寻茗老家一号,烟台二号(东方慧眼高分01),威海一号01,威海一号02(创新十七01/遂宁一号)</t>
    <phoneticPr fontId="2"/>
  </si>
  <si>
    <t>千帆极轨16A-R</t>
    <phoneticPr fontId="2"/>
  </si>
  <si>
    <t>长征六号甲（遥27）</t>
    <phoneticPr fontId="2"/>
  </si>
  <si>
    <t>VECF</t>
    <phoneticPr fontId="2"/>
  </si>
  <si>
    <t>加尔各答</t>
    <phoneticPr fontId="2"/>
  </si>
  <si>
    <t>NAV8</t>
  </si>
  <si>
    <t xml:space="preserve">  724/26</t>
  </si>
  <si>
    <t>VECF</t>
  </si>
  <si>
    <t>A1351/26</t>
  </si>
  <si>
    <t>HN117/26</t>
  </si>
  <si>
    <t>A2500/26</t>
  </si>
  <si>
    <t>13时20分</t>
    <phoneticPr fontId="2"/>
  </si>
  <si>
    <t>A2503/26</t>
  </si>
  <si>
    <t>海洋二号E</t>
    <phoneticPr fontId="2"/>
  </si>
  <si>
    <t>实践三十二号B</t>
    <phoneticPr fontId="2"/>
  </si>
  <si>
    <t>约20时00分</t>
    <phoneticPr fontId="2"/>
  </si>
  <si>
    <t>2026年7月23-26日</t>
    <phoneticPr fontId="2"/>
  </si>
  <si>
    <t>20时00分</t>
    <phoneticPr fontId="2"/>
  </si>
  <si>
    <t>P3221/26</t>
  </si>
  <si>
    <t>B3153/26</t>
  </si>
  <si>
    <t>B3187/26</t>
  </si>
  <si>
    <t>B3188/26</t>
  </si>
  <si>
    <t>B3189/26</t>
  </si>
  <si>
    <t>遥118</t>
  </si>
  <si>
    <t>2026年7月17-20日</t>
    <phoneticPr fontId="2"/>
  </si>
  <si>
    <t>2026年7月12-15日</t>
    <phoneticPr fontId="2"/>
  </si>
  <si>
    <t>约11时00分</t>
    <phoneticPr fontId="2"/>
  </si>
  <si>
    <t>HN119/26</t>
  </si>
  <si>
    <t>HN120/26</t>
  </si>
  <si>
    <t>A2279/26</t>
  </si>
  <si>
    <t>东方慧眼高光谱01(东方星链05/金山号)</t>
    <phoneticPr fontId="2"/>
  </si>
  <si>
    <t>东方慧眼高光谱02(东方星链06/银山号)</t>
    <phoneticPr fontId="2"/>
  </si>
  <si>
    <t>引力一号（遥3）</t>
    <phoneticPr fontId="2"/>
  </si>
  <si>
    <t>西光贰号01(彩云高光谱01)</t>
    <phoneticPr fontId="2"/>
  </si>
  <si>
    <t>A2564/26</t>
  </si>
  <si>
    <t>A2565/26</t>
  </si>
  <si>
    <t>A2566/26</t>
  </si>
  <si>
    <t>A2096/26</t>
  </si>
  <si>
    <t>A2095/26</t>
  </si>
  <si>
    <t>千帆极轨14A-Y</t>
    <phoneticPr fontId="2"/>
  </si>
  <si>
    <t>千帆极轨13A(平安24),千帆极轨13B-R</t>
    <phoneticPr fontId="2"/>
  </si>
  <si>
    <t>东方慧眼高光谱01(东方星链05/金山号),东方慧眼高光谱02(东方星链06/银山号)</t>
    <phoneticPr fontId="2"/>
  </si>
  <si>
    <t>21时43分</t>
    <phoneticPr fontId="2"/>
  </si>
  <si>
    <t>千帆极轨15A(太保·护航星),千帆极轨15B-T</t>
    <phoneticPr fontId="2"/>
  </si>
  <si>
    <t>星网低轨23(一级回收验证)</t>
    <phoneticPr fontId="2"/>
  </si>
  <si>
    <t>星网低轨24A-I</t>
    <phoneticPr fontId="2"/>
  </si>
  <si>
    <t>千帆极轨17A-Y</t>
    <phoneticPr fontId="2"/>
  </si>
  <si>
    <t>A2233/26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</si>
</sst>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¥&quot;#,##0;[Red]&quot;¥&quot;\-#,##0"/>
    <numFmt numFmtId="176" formatCode="yyyy&quot;年&quot;mm&quot;月&quot;dd&quot;日&quot;"/>
    <numFmt numFmtId="177" formatCode="yyyy/mm/dd\ hh:mm:ss"/>
    <numFmt numFmtId="178" formatCode="yyyy&quot;年&quot;"/>
    <numFmt numFmtId="179" formatCode="yyyy&quot;年&quot;mm&quot;月&quot;"/>
    <numFmt numFmtId="180" formatCode="yyyy/mm/dd"/>
    <numFmt numFmtId="181" formatCode="#,##0.0;[Red]\-#,##0.0"/>
    <numFmt numFmtId="182" formatCode="0.0%"/>
    <numFmt numFmtId="183" formatCode="0.00_ "/>
    <numFmt numFmtId="184" formatCode="yyyy&quot;年&quot;mm&quot;月&quot;dd&quot;日&quot;\(aaa\)"/>
    <numFmt numFmtId="185" formatCode="yyyy&quot;年&quot;mm&quot;月&quot;dd&quot;日&quot;;@"/>
    <numFmt numFmtId="186" formatCode="yy/mm/dd"/>
    <numFmt numFmtId="187" formatCode="0.000"/>
    <numFmt numFmtId="188" formatCode="0.0"/>
    <numFmt numFmtId="189" formatCode="&quot;截止&quot;yyyy/mm/dd&quot;：载人飞行任务及计划推测&quot;"/>
    <numFmt numFmtId="190" formatCode="h&quot;小时&quot;mm&quot;分&quot;"/>
    <numFmt numFmtId="191" formatCode="0.0000"/>
    <numFmt numFmtId="192" formatCode="&quot;截止&quot;yyyy/mm/dd&quot;：登月飞行任务及计划推测&quot;"/>
    <numFmt numFmtId="193" formatCode="&quot;截止&quot;yyyy/mm/dd&quot;：天舟货运飞行任务及计划推测&quot;"/>
    <numFmt numFmtId="194" formatCode="&quot;截止&quot;yyyy/mm/dd&quot;：其他货运飞行任务及计划推测&quot;"/>
  </numFmts>
  <fonts count="5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</font>
    <font>
      <sz val="12"/>
      <color theme="1"/>
      <name val="Microsoft YaHei"/>
      <family val="2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Microsoft YaHei"/>
      <family val="2"/>
      <charset val="134"/>
    </font>
    <font>
      <b/>
      <sz val="16"/>
      <color theme="1"/>
      <name val="游ゴシック"/>
      <family val="2"/>
      <charset val="128"/>
      <scheme val="minor"/>
    </font>
    <font>
      <sz val="11"/>
      <color theme="1"/>
      <name val="游ゴシック Light"/>
      <family val="3"/>
      <charset val="128"/>
    </font>
    <font>
      <sz val="14"/>
      <color theme="1"/>
      <name val="Microsoft YaHei"/>
      <family val="2"/>
    </font>
    <font>
      <sz val="14"/>
      <color rgb="FFFF0000"/>
      <name val="Microsoft YaHei"/>
      <family val="2"/>
    </font>
    <font>
      <b/>
      <sz val="14"/>
      <color theme="1"/>
      <name val="Microsoft YaHei"/>
      <family val="2"/>
    </font>
    <font>
      <sz val="14"/>
      <name val="Microsoft YaHei"/>
      <family val="2"/>
    </font>
    <font>
      <b/>
      <sz val="14"/>
      <color rgb="FFFF0000"/>
      <name val="Microsoft YaHei"/>
      <family val="2"/>
    </font>
    <font>
      <b/>
      <sz val="14"/>
      <color theme="0"/>
      <name val="Microsoft YaHei"/>
      <family val="2"/>
      <charset val="134"/>
    </font>
    <font>
      <b/>
      <sz val="14"/>
      <color theme="0"/>
      <name val="Microsoft YaHei"/>
      <family val="2"/>
    </font>
    <font>
      <sz val="11"/>
      <color theme="1"/>
      <name val="Microsoft YaHei"/>
      <family val="2"/>
    </font>
    <font>
      <sz val="12"/>
      <name val="Microsoft YaHei"/>
      <family val="2"/>
    </font>
    <font>
      <u/>
      <sz val="11"/>
      <color theme="10"/>
      <name val="游ゴシック"/>
      <family val="2"/>
      <charset val="128"/>
      <scheme val="minor"/>
    </font>
    <font>
      <sz val="14"/>
      <color theme="1"/>
      <name val="Segoe UI Symbol"/>
      <family val="1"/>
    </font>
    <font>
      <sz val="12"/>
      <color rgb="FFFF0000"/>
      <name val="Microsoft YaHei"/>
      <family val="2"/>
    </font>
    <font>
      <b/>
      <sz val="12"/>
      <name val="SimHei"/>
      <family val="3"/>
    </font>
    <font>
      <sz val="12"/>
      <name val="SimHei"/>
      <family val="3"/>
    </font>
    <font>
      <b/>
      <sz val="11"/>
      <color theme="1"/>
      <name val="游ゴシック"/>
      <family val="2"/>
      <charset val="128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Microsoft YaHei"/>
      <family val="3"/>
      <charset val="134"/>
    </font>
    <font>
      <b/>
      <sz val="11"/>
      <color theme="1"/>
      <name val="游ゴシック"/>
      <family val="2"/>
      <charset val="134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theme="1"/>
      <name val="SimHei"/>
      <family val="3"/>
    </font>
    <font>
      <b/>
      <sz val="12"/>
      <color rgb="FFFF0000"/>
      <name val="SimHei"/>
      <family val="3"/>
    </font>
    <font>
      <b/>
      <sz val="14"/>
      <name val="Microsoft YaHei"/>
      <family val="2"/>
    </font>
    <font>
      <b/>
      <sz val="14"/>
      <color rgb="FF333333"/>
      <name val="Microsoft YaHei"/>
      <family val="2"/>
    </font>
    <font>
      <u/>
      <sz val="11"/>
      <color theme="10"/>
      <name val="Microsoft YaHei"/>
      <family val="2"/>
    </font>
    <font>
      <b/>
      <sz val="16"/>
      <color rgb="FFC00000"/>
      <name val="Microsoft YaHei"/>
      <family val="2"/>
    </font>
    <font>
      <b/>
      <sz val="12"/>
      <name val="SimHei"/>
      <family val="3"/>
      <charset val="134"/>
    </font>
    <font>
      <b/>
      <sz val="12"/>
      <color theme="0"/>
      <name val="Microsoft YaHei UI"/>
      <family val="2"/>
    </font>
    <font>
      <sz val="12"/>
      <color theme="1"/>
      <name val="Microsoft YaHei UI"/>
      <family val="2"/>
    </font>
    <font>
      <sz val="12"/>
      <color theme="0"/>
      <name val="Microsoft YaHei UI"/>
      <family val="2"/>
    </font>
    <font>
      <sz val="12"/>
      <color rgb="FF202122"/>
      <name val="Microsoft YaHei UI"/>
      <family val="2"/>
    </font>
    <font>
      <sz val="12"/>
      <name val="Microsoft YaHei UI"/>
      <family val="2"/>
    </font>
    <font>
      <b/>
      <sz val="11"/>
      <color theme="1"/>
      <name val="Microsoft YaHei"/>
      <family val="2"/>
    </font>
    <font>
      <sz val="11"/>
      <name val="Microsoft YaHei"/>
      <family val="2"/>
    </font>
    <font>
      <b/>
      <sz val="12"/>
      <color theme="0"/>
      <name val="Microsoft YaHei UI"/>
      <family val="2"/>
      <charset val="134"/>
    </font>
    <font>
      <b/>
      <sz val="14"/>
      <color rgb="FF333333"/>
      <name val="Microsoft YaHei"/>
      <family val="2"/>
      <charset val="134"/>
    </font>
    <font>
      <u/>
      <sz val="14"/>
      <color theme="10"/>
      <name val="Microsoft YaHei"/>
      <family val="2"/>
      <charset val="134"/>
    </font>
    <font>
      <b/>
      <sz val="14"/>
      <color theme="1"/>
      <name val="Microsoft YaHei"/>
      <family val="2"/>
      <charset val="134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Dashed">
        <color auto="1"/>
      </bottom>
      <diagonal/>
    </border>
    <border>
      <left style="thin">
        <color auto="1"/>
      </left>
      <right style="thin">
        <color indexed="64"/>
      </right>
      <top style="mediumDashed">
        <color auto="1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>
      <alignment vertical="center"/>
    </xf>
    <xf numFmtId="9" fontId="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2031">
    <xf numFmtId="0" fontId="0" fillId="0" borderId="0" xfId="0" applyAlignment="1">
      <alignment vertical="center"/>
    </xf>
    <xf numFmtId="10" fontId="0" fillId="0" borderId="3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63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5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0" fillId="0" borderId="82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2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0" xfId="0" applyAlignment="1"/>
    <xf numFmtId="178" fontId="0" fillId="0" borderId="67" xfId="0" applyNumberFormat="1" applyBorder="1" applyAlignment="1">
      <alignment horizontal="center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64" xfId="0" applyNumberFormat="1" applyBorder="1" applyAlignment="1">
      <alignment horizontal="center" vertical="center"/>
    </xf>
    <xf numFmtId="179" fontId="0" fillId="0" borderId="67" xfId="0" applyNumberFormat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79" fontId="0" fillId="0" borderId="49" xfId="0" applyNumberFormat="1" applyBorder="1" applyAlignment="1">
      <alignment horizontal="center" vertical="center"/>
    </xf>
    <xf numFmtId="179" fontId="0" fillId="0" borderId="81" xfId="0" applyNumberFormat="1" applyBorder="1" applyAlignment="1">
      <alignment horizontal="center" vertical="center"/>
    </xf>
    <xf numFmtId="179" fontId="12" fillId="0" borderId="51" xfId="0" applyNumberFormat="1" applyFont="1" applyBorder="1" applyAlignment="1">
      <alignment horizontal="center" vertical="center"/>
    </xf>
    <xf numFmtId="179" fontId="0" fillId="0" borderId="47" xfId="0" applyNumberFormat="1" applyBorder="1" applyAlignment="1">
      <alignment horizontal="center" vertical="center"/>
    </xf>
    <xf numFmtId="179" fontId="0" fillId="0" borderId="64" xfId="0" applyNumberFormat="1" applyBorder="1" applyAlignment="1">
      <alignment horizontal="center" vertical="center"/>
    </xf>
    <xf numFmtId="183" fontId="6" fillId="0" borderId="0" xfId="0" applyNumberFormat="1" applyFont="1" applyAlignment="1">
      <alignment horizontal="center"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0" fillId="12" borderId="0" xfId="0" applyFont="1" applyFill="1">
      <alignment vertical="center"/>
    </xf>
    <xf numFmtId="0" fontId="11" fillId="12" borderId="0" xfId="0" applyFont="1" applyFill="1">
      <alignment vertical="center"/>
    </xf>
    <xf numFmtId="0" fontId="0" fillId="13" borderId="0" xfId="0" applyFill="1">
      <alignment vertical="center"/>
    </xf>
    <xf numFmtId="0" fontId="10" fillId="1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177" fontId="13" fillId="6" borderId="92" xfId="0" applyNumberFormat="1" applyFont="1" applyFill="1" applyBorder="1" applyAlignment="1">
      <alignment horizontal="center" vertical="center"/>
    </xf>
    <xf numFmtId="177" fontId="13" fillId="6" borderId="26" xfId="0" applyNumberFormat="1" applyFont="1" applyFill="1" applyBorder="1" applyAlignment="1">
      <alignment horizontal="center" vertical="center"/>
    </xf>
    <xf numFmtId="0" fontId="13" fillId="6" borderId="26" xfId="0" applyFont="1" applyFill="1" applyBorder="1" applyAlignment="1">
      <alignment horizontal="center" vertical="center"/>
    </xf>
    <xf numFmtId="177" fontId="13" fillId="6" borderId="1" xfId="0" applyNumberFormat="1" applyFont="1" applyFill="1" applyBorder="1" applyAlignment="1">
      <alignment horizontal="center" vertical="center"/>
    </xf>
    <xf numFmtId="177" fontId="13" fillId="6" borderId="104" xfId="0" applyNumberFormat="1" applyFont="1" applyFill="1" applyBorder="1" applyAlignment="1">
      <alignment horizontal="center" vertical="center"/>
    </xf>
    <xf numFmtId="177" fontId="13" fillId="6" borderId="24" xfId="0" applyNumberFormat="1" applyFont="1" applyFill="1" applyBorder="1" applyAlignment="1">
      <alignment horizontal="center" vertical="center"/>
    </xf>
    <xf numFmtId="177" fontId="13" fillId="0" borderId="9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6" borderId="20" xfId="0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/>
    </xf>
    <xf numFmtId="177" fontId="13" fillId="6" borderId="12" xfId="0" applyNumberFormat="1" applyFont="1" applyFill="1" applyBorder="1" applyAlignment="1">
      <alignment horizontal="center" vertical="center"/>
    </xf>
    <xf numFmtId="177" fontId="13" fillId="6" borderId="92" xfId="0" applyNumberFormat="1" applyFont="1" applyFill="1" applyBorder="1" applyAlignment="1">
      <alignment horizontal="center" vertical="center" wrapText="1"/>
    </xf>
    <xf numFmtId="177" fontId="13" fillId="0" borderId="100" xfId="0" applyNumberFormat="1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vertical="center"/>
    </xf>
    <xf numFmtId="179" fontId="12" fillId="0" borderId="36" xfId="0" applyNumberFormat="1" applyFont="1" applyBorder="1" applyAlignment="1">
      <alignment horizontal="center" vertical="center"/>
    </xf>
    <xf numFmtId="0" fontId="0" fillId="0" borderId="105" xfId="0" applyBorder="1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0" fillId="0" borderId="111" xfId="0" applyBorder="1" applyAlignment="1">
      <alignment vertical="center"/>
    </xf>
    <xf numFmtId="9" fontId="13" fillId="6" borderId="93" xfId="2" applyNumberFormat="1" applyFont="1" applyFill="1" applyBorder="1" applyAlignment="1">
      <alignment horizontal="center" vertical="center"/>
    </xf>
    <xf numFmtId="177" fontId="16" fillId="6" borderId="27" xfId="0" applyNumberFormat="1" applyFont="1" applyFill="1" applyBorder="1" applyAlignment="1">
      <alignment horizontal="center" vertical="center"/>
    </xf>
    <xf numFmtId="177" fontId="16" fillId="6" borderId="1" xfId="0" applyNumberFormat="1" applyFont="1" applyFill="1" applyBorder="1" applyAlignment="1">
      <alignment horizontal="center" vertical="center"/>
    </xf>
    <xf numFmtId="177" fontId="16" fillId="6" borderId="24" xfId="0" applyNumberFormat="1" applyFont="1" applyFill="1" applyBorder="1" applyAlignment="1">
      <alignment horizontal="center" vertical="center"/>
    </xf>
    <xf numFmtId="177" fontId="16" fillId="6" borderId="12" xfId="0" applyNumberFormat="1" applyFont="1" applyFill="1" applyBorder="1" applyAlignment="1">
      <alignment horizontal="center" vertical="center"/>
    </xf>
    <xf numFmtId="177" fontId="16" fillId="6" borderId="99" xfId="0" applyNumberFormat="1" applyFont="1" applyFill="1" applyBorder="1" applyAlignment="1">
      <alignment horizontal="center" vertical="center"/>
    </xf>
    <xf numFmtId="177" fontId="13" fillId="6" borderId="93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80" fontId="13" fillId="0" borderId="0" xfId="0" applyNumberFormat="1" applyFont="1" applyAlignment="1">
      <alignment horizontal="center" vertical="center"/>
    </xf>
    <xf numFmtId="180" fontId="15" fillId="2" borderId="93" xfId="0" applyNumberFormat="1" applyFont="1" applyFill="1" applyBorder="1" applyAlignment="1">
      <alignment horizontal="center" vertical="center"/>
    </xf>
    <xf numFmtId="180" fontId="13" fillId="0" borderId="93" xfId="0" applyNumberFormat="1" applyFont="1" applyBorder="1" applyAlignment="1">
      <alignment horizontal="center" vertical="center"/>
    </xf>
    <xf numFmtId="180" fontId="13" fillId="6" borderId="93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vertical="center"/>
    </xf>
    <xf numFmtId="0" fontId="13" fillId="0" borderId="93" xfId="0" applyFont="1" applyBorder="1" applyAlignment="1">
      <alignment vertical="center"/>
    </xf>
    <xf numFmtId="0" fontId="13" fillId="0" borderId="91" xfId="0" applyFont="1" applyBorder="1" applyAlignment="1">
      <alignment horizontal="center" vertical="center"/>
    </xf>
    <xf numFmtId="0" fontId="6" fillId="0" borderId="33" xfId="0" applyFont="1" applyBorder="1" applyAlignment="1">
      <alignment vertical="center"/>
    </xf>
    <xf numFmtId="0" fontId="6" fillId="0" borderId="9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3" xfId="0" applyNumberFormat="1" applyFont="1" applyFill="1" applyBorder="1" applyAlignment="1">
      <alignment horizontal="center" vertical="center"/>
    </xf>
    <xf numFmtId="176" fontId="13" fillId="6" borderId="27" xfId="0" applyNumberFormat="1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vertical="center"/>
    </xf>
    <xf numFmtId="0" fontId="13" fillId="6" borderId="27" xfId="0" applyFont="1" applyFill="1" applyBorder="1" applyAlignment="1">
      <alignment horizontal="center" vertical="center"/>
    </xf>
    <xf numFmtId="176" fontId="1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176" fontId="13" fillId="6" borderId="30" xfId="0" applyNumberFormat="1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vertical="center"/>
    </xf>
    <xf numFmtId="176" fontId="13" fillId="6" borderId="14" xfId="0" applyNumberFormat="1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vertical="center"/>
    </xf>
    <xf numFmtId="176" fontId="13" fillId="6" borderId="3" xfId="0" applyNumberFormat="1" applyFont="1" applyFill="1" applyBorder="1" applyAlignment="1">
      <alignment horizontal="center" vertical="center"/>
    </xf>
    <xf numFmtId="177" fontId="13" fillId="0" borderId="20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 wrapText="1"/>
    </xf>
    <xf numFmtId="0" fontId="13" fillId="0" borderId="91" xfId="0" applyFont="1" applyFill="1" applyBorder="1" applyAlignment="1">
      <alignment horizontal="center" vertical="center"/>
    </xf>
    <xf numFmtId="176" fontId="13" fillId="6" borderId="94" xfId="0" applyNumberFormat="1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vertical="center"/>
    </xf>
    <xf numFmtId="176" fontId="13" fillId="6" borderId="93" xfId="0" applyNumberFormat="1" applyFont="1" applyFill="1" applyBorder="1" applyAlignment="1">
      <alignment horizontal="center" vertical="center"/>
    </xf>
    <xf numFmtId="184" fontId="18" fillId="7" borderId="30" xfId="0" applyNumberFormat="1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176" fontId="13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176" fontId="17" fillId="14" borderId="93" xfId="0" applyNumberFormat="1" applyFont="1" applyFill="1" applyBorder="1" applyAlignment="1">
      <alignment horizontal="center" vertical="center"/>
    </xf>
    <xf numFmtId="176" fontId="17" fillId="14" borderId="30" xfId="0" applyNumberFormat="1" applyFont="1" applyFill="1" applyBorder="1" applyAlignment="1">
      <alignment horizontal="center" vertical="center"/>
    </xf>
    <xf numFmtId="176" fontId="17" fillId="14" borderId="95" xfId="0" applyNumberFormat="1" applyFont="1" applyFill="1" applyBorder="1" applyAlignment="1">
      <alignment horizontal="center" vertical="center"/>
    </xf>
    <xf numFmtId="176" fontId="17" fillId="14" borderId="94" xfId="0" applyNumberFormat="1" applyFont="1" applyFill="1" applyBorder="1" applyAlignment="1">
      <alignment horizontal="center" vertical="center"/>
    </xf>
    <xf numFmtId="176" fontId="17" fillId="14" borderId="99" xfId="0" applyNumberFormat="1" applyFont="1" applyFill="1" applyBorder="1" applyAlignment="1">
      <alignment horizontal="center" vertical="center"/>
    </xf>
    <xf numFmtId="176" fontId="16" fillId="6" borderId="30" xfId="0" applyNumberFormat="1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vertical="center"/>
    </xf>
    <xf numFmtId="0" fontId="16" fillId="6" borderId="30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 wrapText="1"/>
    </xf>
    <xf numFmtId="178" fontId="0" fillId="0" borderId="81" xfId="0" applyNumberFormat="1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7" fontId="13" fillId="6" borderId="22" xfId="0" applyNumberFormat="1" applyFont="1" applyFill="1" applyBorder="1" applyAlignment="1">
      <alignment horizontal="center" vertical="center" wrapText="1"/>
    </xf>
    <xf numFmtId="177" fontId="13" fillId="6" borderId="46" xfId="0" applyNumberFormat="1" applyFont="1" applyFill="1" applyBorder="1" applyAlignment="1">
      <alignment horizontal="center" vertical="center" wrapText="1"/>
    </xf>
    <xf numFmtId="177" fontId="13" fillId="6" borderId="104" xfId="0" applyNumberFormat="1" applyFont="1" applyFill="1" applyBorder="1" applyAlignment="1">
      <alignment horizontal="center" vertical="center" wrapText="1"/>
    </xf>
    <xf numFmtId="177" fontId="13" fillId="6" borderId="75" xfId="0" applyNumberFormat="1" applyFont="1" applyFill="1" applyBorder="1" applyAlignment="1">
      <alignment horizontal="center" vertical="center" wrapText="1"/>
    </xf>
    <xf numFmtId="177" fontId="13" fillId="6" borderId="23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6" fillId="0" borderId="9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0" fillId="0" borderId="3" xfId="0" applyFont="1" applyBorder="1" applyAlignment="1"/>
    <xf numFmtId="0" fontId="20" fillId="0" borderId="11" xfId="0" applyFont="1" applyBorder="1" applyAlignment="1"/>
    <xf numFmtId="180" fontId="13" fillId="0" borderId="99" xfId="0" applyNumberFormat="1" applyFont="1" applyBorder="1" applyAlignment="1">
      <alignment horizontal="center" vertical="center"/>
    </xf>
    <xf numFmtId="0" fontId="6" fillId="0" borderId="96" xfId="0" applyFont="1" applyBorder="1" applyAlignment="1">
      <alignment vertical="center"/>
    </xf>
    <xf numFmtId="0" fontId="20" fillId="0" borderId="0" xfId="0" applyFont="1" applyBorder="1" applyAlignment="1"/>
    <xf numFmtId="0" fontId="5" fillId="2" borderId="3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6" fillId="0" borderId="99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2" fontId="6" fillId="0" borderId="0" xfId="0" applyNumberFormat="1" applyFont="1" applyAlignment="1">
      <alignment vertical="center"/>
    </xf>
    <xf numFmtId="0" fontId="6" fillId="0" borderId="23" xfId="0" applyFont="1" applyBorder="1" applyAlignment="1">
      <alignment vertical="center"/>
    </xf>
    <xf numFmtId="183" fontId="6" fillId="0" borderId="0" xfId="0" applyNumberFormat="1" applyFont="1" applyAlignment="1">
      <alignment vertical="center"/>
    </xf>
    <xf numFmtId="2" fontId="6" fillId="0" borderId="23" xfId="0" applyNumberFormat="1" applyFont="1" applyBorder="1" applyAlignment="1">
      <alignment vertical="center"/>
    </xf>
    <xf numFmtId="0" fontId="6" fillId="0" borderId="23" xfId="0" applyFont="1" applyBorder="1" applyAlignment="1">
      <alignment horizontal="center" vertical="center"/>
    </xf>
    <xf numFmtId="177" fontId="13" fillId="6" borderId="89" xfId="0" applyNumberFormat="1" applyFont="1" applyFill="1" applyBorder="1" applyAlignment="1">
      <alignment horizontal="center" vertical="center"/>
    </xf>
    <xf numFmtId="177" fontId="13" fillId="6" borderId="132" xfId="0" applyNumberFormat="1" applyFont="1" applyFill="1" applyBorder="1" applyAlignment="1">
      <alignment horizontal="center" vertical="center"/>
    </xf>
    <xf numFmtId="177" fontId="13" fillId="6" borderId="5" xfId="0" applyNumberFormat="1" applyFont="1" applyFill="1" applyBorder="1" applyAlignment="1">
      <alignment horizontal="center" vertical="center"/>
    </xf>
    <xf numFmtId="2" fontId="6" fillId="0" borderId="77" xfId="0" applyNumberFormat="1" applyFont="1" applyBorder="1" applyAlignment="1">
      <alignment vertical="center"/>
    </xf>
    <xf numFmtId="2" fontId="6" fillId="0" borderId="78" xfId="0" applyNumberFormat="1" applyFont="1" applyBorder="1" applyAlignment="1">
      <alignment vertical="center"/>
    </xf>
    <xf numFmtId="183" fontId="6" fillId="0" borderId="78" xfId="0" applyNumberFormat="1" applyFont="1" applyBorder="1" applyAlignment="1">
      <alignment vertical="center"/>
    </xf>
    <xf numFmtId="0" fontId="6" fillId="0" borderId="78" xfId="0" applyFont="1" applyBorder="1" applyAlignment="1">
      <alignment horizontal="center" vertical="center"/>
    </xf>
    <xf numFmtId="0" fontId="13" fillId="6" borderId="99" xfId="0" applyFont="1" applyFill="1" applyBorder="1" applyAlignment="1">
      <alignment vertical="center"/>
    </xf>
    <xf numFmtId="0" fontId="16" fillId="6" borderId="14" xfId="0" applyFont="1" applyFill="1" applyBorder="1" applyAlignment="1">
      <alignment horizontal="center" vertical="center"/>
    </xf>
    <xf numFmtId="0" fontId="13" fillId="6" borderId="7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/>
    <xf numFmtId="38" fontId="6" fillId="0" borderId="0" xfId="1" applyFont="1" applyAlignment="1">
      <alignment horizontal="center" vertical="center"/>
    </xf>
    <xf numFmtId="38" fontId="6" fillId="12" borderId="1" xfId="1" applyFont="1" applyFill="1" applyBorder="1" applyAlignment="1">
      <alignment horizontal="center" vertical="center"/>
    </xf>
    <xf numFmtId="38" fontId="6" fillId="11" borderId="1" xfId="1" applyFont="1" applyFill="1" applyBorder="1" applyAlignment="1">
      <alignment horizontal="center" vertical="center"/>
    </xf>
    <xf numFmtId="38" fontId="6" fillId="6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vertical="center"/>
    </xf>
    <xf numFmtId="2" fontId="6" fillId="11" borderId="2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38" fontId="6" fillId="11" borderId="2" xfId="1" applyFont="1" applyFill="1" applyBorder="1" applyAlignment="1">
      <alignment horizontal="center" vertical="center"/>
    </xf>
    <xf numFmtId="40" fontId="6" fillId="11" borderId="2" xfId="1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vertical="center"/>
    </xf>
    <xf numFmtId="2" fontId="6" fillId="11" borderId="3" xfId="0" applyNumberFormat="1" applyFont="1" applyFill="1" applyBorder="1" applyAlignment="1">
      <alignment horizontal="center" vertical="center"/>
    </xf>
    <xf numFmtId="1" fontId="6" fillId="11" borderId="3" xfId="0" applyNumberFormat="1" applyFont="1" applyFill="1" applyBorder="1" applyAlignment="1">
      <alignment horizontal="center" vertical="center"/>
    </xf>
    <xf numFmtId="38" fontId="6" fillId="11" borderId="3" xfId="1" applyFont="1" applyFill="1" applyBorder="1" applyAlignment="1">
      <alignment horizontal="center" vertical="center"/>
    </xf>
    <xf numFmtId="40" fontId="6" fillId="11" borderId="3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38" fontId="6" fillId="0" borderId="3" xfId="1" applyFont="1" applyBorder="1" applyAlignment="1">
      <alignment horizontal="center" vertical="center"/>
    </xf>
    <xf numFmtId="40" fontId="6" fillId="0" borderId="3" xfId="1" applyNumberFormat="1" applyFont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vertical="center"/>
    </xf>
    <xf numFmtId="0" fontId="6" fillId="12" borderId="3" xfId="0" quotePrefix="1" applyFont="1" applyFill="1" applyBorder="1" applyAlignment="1">
      <alignment horizontal="center" vertical="center"/>
    </xf>
    <xf numFmtId="2" fontId="6" fillId="12" borderId="3" xfId="0" applyNumberFormat="1" applyFont="1" applyFill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38" fontId="6" fillId="12" borderId="3" xfId="1" applyFont="1" applyFill="1" applyBorder="1" applyAlignment="1">
      <alignment horizontal="center" vertical="center"/>
    </xf>
    <xf numFmtId="40" fontId="6" fillId="12" borderId="3" xfId="1" applyNumberFormat="1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vertical="center"/>
    </xf>
    <xf numFmtId="2" fontId="6" fillId="11" borderId="9" xfId="0" applyNumberFormat="1" applyFont="1" applyFill="1" applyBorder="1" applyAlignment="1">
      <alignment horizontal="center" vertical="center"/>
    </xf>
    <xf numFmtId="1" fontId="6" fillId="11" borderId="9" xfId="0" applyNumberFormat="1" applyFont="1" applyFill="1" applyBorder="1" applyAlignment="1">
      <alignment horizontal="center" vertical="center"/>
    </xf>
    <xf numFmtId="38" fontId="6" fillId="11" borderId="9" xfId="1" applyFont="1" applyFill="1" applyBorder="1" applyAlignment="1">
      <alignment horizontal="center" vertical="center"/>
    </xf>
    <xf numFmtId="40" fontId="6" fillId="11" borderId="9" xfId="1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3" xfId="0" quotePrefix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1" fontId="21" fillId="0" borderId="3" xfId="1" applyNumberFormat="1" applyFont="1" applyBorder="1" applyAlignment="1">
      <alignment horizontal="center" vertical="center"/>
    </xf>
    <xf numFmtId="38" fontId="21" fillId="0" borderId="3" xfId="1" applyFont="1" applyBorder="1" applyAlignment="1">
      <alignment horizontal="center" vertical="center"/>
    </xf>
    <xf numFmtId="40" fontId="21" fillId="0" borderId="3" xfId="1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2" fontId="6" fillId="6" borderId="3" xfId="0" applyNumberFormat="1" applyFont="1" applyFill="1" applyBorder="1" applyAlignment="1">
      <alignment horizontal="center" vertical="center"/>
    </xf>
    <xf numFmtId="1" fontId="6" fillId="6" borderId="3" xfId="1" applyNumberFormat="1" applyFont="1" applyFill="1" applyBorder="1" applyAlignment="1">
      <alignment horizontal="center" vertical="center"/>
    </xf>
    <xf numFmtId="38" fontId="6" fillId="6" borderId="3" xfId="1" applyFont="1" applyFill="1" applyBorder="1" applyAlignment="1">
      <alignment horizontal="center" vertical="center"/>
    </xf>
    <xf numFmtId="40" fontId="6" fillId="6" borderId="3" xfId="1" applyNumberFormat="1" applyFont="1" applyFill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vertical="center"/>
    </xf>
    <xf numFmtId="2" fontId="6" fillId="12" borderId="4" xfId="0" applyNumberFormat="1" applyFont="1" applyFill="1" applyBorder="1" applyAlignment="1">
      <alignment horizontal="center" vertical="center"/>
    </xf>
    <xf numFmtId="1" fontId="6" fillId="12" borderId="4" xfId="0" applyNumberFormat="1" applyFont="1" applyFill="1" applyBorder="1" applyAlignment="1">
      <alignment horizontal="center" vertical="center"/>
    </xf>
    <xf numFmtId="38" fontId="6" fillId="12" borderId="4" xfId="1" applyFont="1" applyFill="1" applyBorder="1" applyAlignment="1">
      <alignment horizontal="center" vertical="center"/>
    </xf>
    <xf numFmtId="40" fontId="6" fillId="12" borderId="4" xfId="1" applyNumberFormat="1" applyFont="1" applyFill="1" applyBorder="1" applyAlignment="1">
      <alignment horizontal="center" vertical="center"/>
    </xf>
    <xf numFmtId="181" fontId="6" fillId="0" borderId="0" xfId="1" applyNumberFormat="1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76" fontId="26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vertical="center"/>
    </xf>
    <xf numFmtId="0" fontId="25" fillId="5" borderId="93" xfId="0" applyFont="1" applyFill="1" applyBorder="1" applyAlignment="1">
      <alignment horizontal="center" vertical="center" wrapText="1"/>
    </xf>
    <xf numFmtId="176" fontId="26" fillId="0" borderId="3" xfId="0" applyNumberFormat="1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vertical="center" wrapText="1"/>
    </xf>
    <xf numFmtId="0" fontId="26" fillId="0" borderId="3" xfId="0" applyFont="1" applyFill="1" applyBorder="1" applyAlignment="1">
      <alignment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3" xfId="0" applyNumberFormat="1" applyFont="1" applyFill="1" applyBorder="1" applyAlignment="1">
      <alignment horizontal="center" vertical="center" wrapText="1"/>
    </xf>
    <xf numFmtId="176" fontId="26" fillId="0" borderId="9" xfId="0" applyNumberFormat="1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vertical="center" wrapText="1"/>
    </xf>
    <xf numFmtId="0" fontId="26" fillId="0" borderId="9" xfId="0" applyFont="1" applyFill="1" applyBorder="1" applyAlignment="1">
      <alignment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9" xfId="0" applyNumberFormat="1" applyFont="1" applyFill="1" applyBorder="1" applyAlignment="1">
      <alignment horizontal="center" vertical="center" wrapText="1"/>
    </xf>
    <xf numFmtId="180" fontId="16" fillId="6" borderId="93" xfId="0" applyNumberFormat="1" applyFont="1" applyFill="1" applyBorder="1" applyAlignment="1">
      <alignment horizontal="center" vertical="center"/>
    </xf>
    <xf numFmtId="180" fontId="13" fillId="6" borderId="99" xfId="0" applyNumberFormat="1" applyFont="1" applyFill="1" applyBorder="1" applyAlignment="1">
      <alignment horizontal="center" vertical="center"/>
    </xf>
    <xf numFmtId="180" fontId="13" fillId="6" borderId="30" xfId="0" applyNumberFormat="1" applyFont="1" applyFill="1" applyBorder="1" applyAlignment="1">
      <alignment horizontal="center" vertical="center"/>
    </xf>
    <xf numFmtId="176" fontId="26" fillId="0" borderId="11" xfId="0" applyNumberFormat="1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11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vertical="center"/>
    </xf>
    <xf numFmtId="0" fontId="26" fillId="0" borderId="11" xfId="0" applyFont="1" applyFill="1" applyBorder="1" applyAlignment="1">
      <alignment horizontal="center" vertical="center"/>
    </xf>
    <xf numFmtId="0" fontId="26" fillId="0" borderId="11" xfId="0" applyNumberFormat="1" applyFont="1" applyFill="1" applyBorder="1" applyAlignment="1">
      <alignment horizontal="center" vertical="center" wrapText="1"/>
    </xf>
    <xf numFmtId="0" fontId="25" fillId="5" borderId="93" xfId="0" applyFont="1" applyFill="1" applyBorder="1" applyAlignment="1">
      <alignment horizontal="center" vertical="center"/>
    </xf>
    <xf numFmtId="0" fontId="13" fillId="6" borderId="93" xfId="0" applyNumberFormat="1" applyFont="1" applyFill="1" applyBorder="1" applyAlignment="1">
      <alignment horizontal="center" vertical="center"/>
    </xf>
    <xf numFmtId="180" fontId="13" fillId="0" borderId="93" xfId="0" applyNumberFormat="1" applyFont="1" applyFill="1" applyBorder="1" applyAlignment="1">
      <alignment horizontal="center" vertical="center"/>
    </xf>
    <xf numFmtId="0" fontId="27" fillId="2" borderId="61" xfId="0" applyFont="1" applyFill="1" applyBorder="1" applyAlignment="1">
      <alignment vertical="center" wrapText="1"/>
    </xf>
    <xf numFmtId="0" fontId="27" fillId="2" borderId="29" xfId="0" applyFont="1" applyFill="1" applyBorder="1" applyAlignment="1">
      <alignment vertical="center" wrapText="1"/>
    </xf>
    <xf numFmtId="0" fontId="27" fillId="2" borderId="60" xfId="0" applyFont="1" applyFill="1" applyBorder="1" applyAlignment="1">
      <alignment vertical="center" wrapText="1"/>
    </xf>
    <xf numFmtId="0" fontId="27" fillId="4" borderId="29" xfId="0" applyFont="1" applyFill="1" applyBorder="1" applyAlignment="1">
      <alignment vertical="center" wrapText="1"/>
    </xf>
    <xf numFmtId="0" fontId="27" fillId="4" borderId="60" xfId="0" applyFont="1" applyFill="1" applyBorder="1" applyAlignment="1">
      <alignment vertical="center" wrapText="1"/>
    </xf>
    <xf numFmtId="0" fontId="27" fillId="3" borderId="29" xfId="0" applyFont="1" applyFill="1" applyBorder="1" applyAlignment="1">
      <alignment vertical="center" wrapText="1"/>
    </xf>
    <xf numFmtId="0" fontId="27" fillId="3" borderId="60" xfId="0" applyFont="1" applyFill="1" applyBorder="1" applyAlignment="1">
      <alignment vertical="center" wrapText="1"/>
    </xf>
    <xf numFmtId="0" fontId="30" fillId="2" borderId="29" xfId="0" applyFont="1" applyFill="1" applyBorder="1" applyAlignment="1">
      <alignment vertical="center" wrapText="1"/>
    </xf>
    <xf numFmtId="0" fontId="28" fillId="2" borderId="2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31" fillId="4" borderId="7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27" fillId="2" borderId="66" xfId="0" applyFont="1" applyFill="1" applyBorder="1" applyAlignment="1">
      <alignment horizontal="center" vertical="center"/>
    </xf>
    <xf numFmtId="0" fontId="27" fillId="2" borderId="68" xfId="0" applyFont="1" applyFill="1" applyBorder="1" applyAlignment="1">
      <alignment horizontal="center" vertical="center"/>
    </xf>
    <xf numFmtId="0" fontId="27" fillId="2" borderId="28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7" fillId="4" borderId="57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57" xfId="0" applyFont="1" applyFill="1" applyBorder="1" applyAlignment="1">
      <alignment horizontal="center" vertical="center"/>
    </xf>
    <xf numFmtId="177" fontId="13" fillId="0" borderId="9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93" xfId="0" applyFon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0" fontId="1" fillId="0" borderId="0" xfId="2" applyNumberFormat="1" applyAlignment="1">
      <alignment horizontal="center" vertical="center"/>
    </xf>
    <xf numFmtId="188" fontId="1" fillId="0" borderId="0" xfId="2" applyNumberFormat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180" fontId="6" fillId="0" borderId="0" xfId="0" applyNumberFormat="1" applyFont="1" applyAlignment="1">
      <alignment horizontal="center" vertical="center"/>
    </xf>
    <xf numFmtId="0" fontId="13" fillId="0" borderId="100" xfId="0" applyFont="1" applyFill="1" applyBorder="1" applyAlignment="1">
      <alignment horizontal="center" vertical="center"/>
    </xf>
    <xf numFmtId="177" fontId="13" fillId="0" borderId="75" xfId="0" applyNumberFormat="1" applyFont="1" applyFill="1" applyBorder="1" applyAlignment="1">
      <alignment horizontal="center" vertical="center"/>
    </xf>
    <xf numFmtId="177" fontId="13" fillId="0" borderId="22" xfId="0" applyNumberFormat="1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177" fontId="13" fillId="6" borderId="22" xfId="0" applyNumberFormat="1" applyFont="1" applyFill="1" applyBorder="1" applyAlignment="1">
      <alignment horizontal="center" vertical="center"/>
    </xf>
    <xf numFmtId="0" fontId="13" fillId="0" borderId="78" xfId="0" applyFont="1" applyFill="1" applyBorder="1" applyAlignment="1">
      <alignment horizontal="center" vertical="center"/>
    </xf>
    <xf numFmtId="0" fontId="13" fillId="0" borderId="92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56" fontId="13" fillId="0" borderId="0" xfId="0" applyNumberFormat="1" applyFont="1" applyAlignment="1">
      <alignment horizontal="center" vertical="center"/>
    </xf>
    <xf numFmtId="0" fontId="26" fillId="6" borderId="11" xfId="0" applyFont="1" applyFill="1" applyBorder="1" applyAlignment="1">
      <alignment vertical="center"/>
    </xf>
    <xf numFmtId="0" fontId="26" fillId="6" borderId="3" xfId="0" applyFont="1" applyFill="1" applyBorder="1" applyAlignment="1">
      <alignment vertical="center"/>
    </xf>
    <xf numFmtId="176" fontId="26" fillId="6" borderId="30" xfId="0" applyNumberFormat="1" applyFont="1" applyFill="1" applyBorder="1" applyAlignment="1">
      <alignment horizontal="center" vertical="center" wrapText="1"/>
    </xf>
    <xf numFmtId="0" fontId="26" fillId="6" borderId="118" xfId="0" applyFont="1" applyFill="1" applyBorder="1" applyAlignment="1">
      <alignment vertical="center"/>
    </xf>
    <xf numFmtId="0" fontId="26" fillId="6" borderId="30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vertical="center" wrapText="1"/>
    </xf>
    <xf numFmtId="0" fontId="25" fillId="6" borderId="30" xfId="0" applyFont="1" applyFill="1" applyBorder="1" applyAlignment="1">
      <alignment horizontal="center" vertical="center" wrapText="1"/>
    </xf>
    <xf numFmtId="176" fontId="25" fillId="6" borderId="30" xfId="0" applyNumberFormat="1" applyFont="1" applyFill="1" applyBorder="1" applyAlignment="1">
      <alignment horizontal="center" vertical="center" wrapText="1"/>
    </xf>
    <xf numFmtId="176" fontId="26" fillId="6" borderId="95" xfId="0" applyNumberFormat="1" applyFont="1" applyFill="1" applyBorder="1" applyAlignment="1">
      <alignment horizontal="center" vertical="center" wrapText="1"/>
    </xf>
    <xf numFmtId="0" fontId="26" fillId="6" borderId="95" xfId="0" applyFont="1" applyFill="1" applyBorder="1" applyAlignment="1">
      <alignment horizontal="center" vertical="center" wrapText="1"/>
    </xf>
    <xf numFmtId="0" fontId="26" fillId="6" borderId="91" xfId="0" applyFont="1" applyFill="1" applyBorder="1" applyAlignment="1">
      <alignment vertical="center"/>
    </xf>
    <xf numFmtId="0" fontId="26" fillId="6" borderId="95" xfId="0" applyFont="1" applyFill="1" applyBorder="1" applyAlignment="1">
      <alignment vertical="center" wrapText="1"/>
    </xf>
    <xf numFmtId="0" fontId="25" fillId="6" borderId="95" xfId="0" applyFont="1" applyFill="1" applyBorder="1" applyAlignment="1">
      <alignment horizontal="center" vertical="center" wrapText="1"/>
    </xf>
    <xf numFmtId="176" fontId="25" fillId="6" borderId="95" xfId="0" applyNumberFormat="1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vertical="center" wrapText="1"/>
    </xf>
    <xf numFmtId="0" fontId="26" fillId="6" borderId="13" xfId="0" applyNumberFormat="1" applyFont="1" applyFill="1" applyBorder="1" applyAlignment="1">
      <alignment horizontal="center" vertical="center" wrapText="1"/>
    </xf>
    <xf numFmtId="176" fontId="26" fillId="6" borderId="14" xfId="0" applyNumberFormat="1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vertical="center" wrapText="1"/>
    </xf>
    <xf numFmtId="0" fontId="26" fillId="6" borderId="14" xfId="0" applyFont="1" applyFill="1" applyBorder="1" applyAlignment="1">
      <alignment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14" xfId="0" applyNumberFormat="1" applyFont="1" applyFill="1" applyBorder="1" applyAlignment="1">
      <alignment horizontal="center" vertical="center" wrapText="1"/>
    </xf>
    <xf numFmtId="176" fontId="26" fillId="6" borderId="11" xfId="0" applyNumberFormat="1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vertical="center" wrapText="1"/>
    </xf>
    <xf numFmtId="0" fontId="26" fillId="6" borderId="11" xfId="0" applyNumberFormat="1" applyFont="1" applyFill="1" applyBorder="1" applyAlignment="1">
      <alignment horizontal="center" vertical="center" wrapText="1"/>
    </xf>
    <xf numFmtId="176" fontId="26" fillId="6" borderId="3" xfId="0" applyNumberFormat="1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vertical="center" wrapText="1"/>
    </xf>
    <xf numFmtId="0" fontId="26" fillId="6" borderId="3" xfId="0" applyNumberFormat="1" applyFont="1" applyFill="1" applyBorder="1" applyAlignment="1">
      <alignment horizontal="center" vertical="center" wrapText="1"/>
    </xf>
    <xf numFmtId="56" fontId="13" fillId="0" borderId="0" xfId="0" applyNumberFormat="1" applyFont="1" applyAlignment="1">
      <alignment vertical="center"/>
    </xf>
    <xf numFmtId="177" fontId="13" fillId="0" borderId="46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vertical="top"/>
    </xf>
    <xf numFmtId="0" fontId="16" fillId="0" borderId="0" xfId="0" applyFont="1" applyFill="1" applyAlignment="1">
      <alignment vertical="top"/>
    </xf>
    <xf numFmtId="0" fontId="16" fillId="0" borderId="0" xfId="0" applyFont="1" applyFill="1" applyAlignment="1">
      <alignment vertical="top" wrapText="1"/>
    </xf>
    <xf numFmtId="179" fontId="16" fillId="0" borderId="96" xfId="0" applyNumberFormat="1" applyFont="1" applyFill="1" applyBorder="1" applyAlignment="1">
      <alignment vertical="top"/>
    </xf>
    <xf numFmtId="179" fontId="16" fillId="0" borderId="99" xfId="0" applyNumberFormat="1" applyFont="1" applyFill="1" applyBorder="1" applyAlignment="1">
      <alignment vertical="top"/>
    </xf>
    <xf numFmtId="185" fontId="16" fillId="0" borderId="33" xfId="0" applyNumberFormat="1" applyFont="1" applyFill="1" applyBorder="1" applyAlignment="1">
      <alignment horizontal="left" vertical="top" wrapText="1"/>
    </xf>
    <xf numFmtId="185" fontId="16" fillId="0" borderId="96" xfId="0" applyNumberFormat="1" applyFont="1" applyFill="1" applyBorder="1" applyAlignment="1">
      <alignment horizontal="left" vertical="top" wrapText="1"/>
    </xf>
    <xf numFmtId="185" fontId="16" fillId="0" borderId="99" xfId="0" applyNumberFormat="1" applyFont="1" applyFill="1" applyBorder="1" applyAlignment="1">
      <alignment horizontal="left" vertical="top" wrapText="1"/>
    </xf>
    <xf numFmtId="179" fontId="16" fillId="0" borderId="99" xfId="0" applyNumberFormat="1" applyFont="1" applyFill="1" applyBorder="1" applyAlignment="1">
      <alignment horizontal="left" vertical="top" wrapText="1"/>
    </xf>
    <xf numFmtId="180" fontId="16" fillId="0" borderId="0" xfId="0" applyNumberFormat="1" applyFont="1" applyFill="1" applyAlignment="1">
      <alignment vertical="top"/>
    </xf>
    <xf numFmtId="185" fontId="16" fillId="0" borderId="99" xfId="0" applyNumberFormat="1" applyFont="1" applyFill="1" applyBorder="1" applyAlignment="1">
      <alignment vertical="top" wrapText="1"/>
    </xf>
    <xf numFmtId="178" fontId="16" fillId="0" borderId="33" xfId="0" applyNumberFormat="1" applyFont="1" applyFill="1" applyBorder="1" applyAlignment="1">
      <alignment horizontal="left" vertical="top" wrapText="1"/>
    </xf>
    <xf numFmtId="0" fontId="16" fillId="0" borderId="23" xfId="0" applyFont="1" applyBorder="1" applyAlignment="1">
      <alignment vertical="top" wrapText="1"/>
    </xf>
    <xf numFmtId="0" fontId="16" fillId="0" borderId="96" xfId="0" applyFont="1" applyBorder="1" applyAlignment="1">
      <alignment vertical="top" wrapText="1"/>
    </xf>
    <xf numFmtId="185" fontId="16" fillId="0" borderId="23" xfId="0" applyNumberFormat="1" applyFont="1" applyBorder="1" applyAlignment="1">
      <alignment horizontal="left" vertical="top" wrapText="1"/>
    </xf>
    <xf numFmtId="0" fontId="35" fillId="2" borderId="30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vertical="center"/>
    </xf>
    <xf numFmtId="0" fontId="35" fillId="2" borderId="35" xfId="0" applyFont="1" applyFill="1" applyBorder="1" applyAlignment="1">
      <alignment horizontal="center" vertical="center"/>
    </xf>
    <xf numFmtId="0" fontId="13" fillId="0" borderId="0" xfId="0" quotePrefix="1" applyFont="1" applyAlignment="1">
      <alignment vertical="center"/>
    </xf>
    <xf numFmtId="180" fontId="14" fillId="0" borderId="93" xfId="0" applyNumberFormat="1" applyFont="1" applyBorder="1" applyAlignment="1">
      <alignment horizontal="center" vertical="center"/>
    </xf>
    <xf numFmtId="0" fontId="16" fillId="6" borderId="93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176" fontId="26" fillId="3" borderId="95" xfId="0" applyNumberFormat="1" applyFont="1" applyFill="1" applyBorder="1" applyAlignment="1">
      <alignment horizontal="center" vertical="center" wrapText="1"/>
    </xf>
    <xf numFmtId="176" fontId="26" fillId="3" borderId="95" xfId="0" applyNumberFormat="1" applyFont="1" applyFill="1" applyBorder="1" applyAlignment="1">
      <alignment vertical="center" wrapText="1"/>
    </xf>
    <xf numFmtId="0" fontId="26" fillId="3" borderId="95" xfId="0" applyNumberFormat="1" applyFont="1" applyFill="1" applyBorder="1" applyAlignment="1">
      <alignment horizontal="center" vertical="center" wrapText="1"/>
    </xf>
    <xf numFmtId="0" fontId="26" fillId="6" borderId="95" xfId="0" applyNumberFormat="1" applyFont="1" applyFill="1" applyBorder="1" applyAlignment="1">
      <alignment horizontal="center" vertical="center" wrapText="1"/>
    </xf>
    <xf numFmtId="176" fontId="26" fillId="6" borderId="95" xfId="0" applyNumberFormat="1" applyFont="1" applyFill="1" applyBorder="1" applyAlignment="1">
      <alignment vertical="center" wrapText="1"/>
    </xf>
    <xf numFmtId="0" fontId="25" fillId="6" borderId="95" xfId="0" applyFont="1" applyFill="1" applyBorder="1" applyAlignment="1">
      <alignment vertical="center"/>
    </xf>
    <xf numFmtId="0" fontId="25" fillId="6" borderId="30" xfId="0" applyFont="1" applyFill="1" applyBorder="1" applyAlignment="1">
      <alignment vertical="center"/>
    </xf>
    <xf numFmtId="0" fontId="26" fillId="0" borderId="0" xfId="0" applyFont="1" applyFill="1" applyAlignment="1">
      <alignment vertical="center" wrapText="1"/>
    </xf>
    <xf numFmtId="0" fontId="32" fillId="6" borderId="91" xfId="0" applyFont="1" applyFill="1" applyBorder="1" applyAlignment="1">
      <alignment vertical="center"/>
    </xf>
    <xf numFmtId="176" fontId="26" fillId="6" borderId="95" xfId="0" applyNumberFormat="1" applyFont="1" applyFill="1" applyBorder="1" applyAlignment="1">
      <alignment vertical="center"/>
    </xf>
    <xf numFmtId="176" fontId="26" fillId="3" borderId="95" xfId="0" applyNumberFormat="1" applyFont="1" applyFill="1" applyBorder="1" applyAlignment="1">
      <alignment vertical="center"/>
    </xf>
    <xf numFmtId="176" fontId="26" fillId="0" borderId="0" xfId="0" applyNumberFormat="1" applyFont="1" applyFill="1" applyAlignment="1">
      <alignment vertical="center"/>
    </xf>
    <xf numFmtId="176" fontId="25" fillId="5" borderId="93" xfId="0" applyNumberFormat="1" applyFont="1" applyFill="1" applyBorder="1" applyAlignment="1">
      <alignment horizontal="center" vertical="center"/>
    </xf>
    <xf numFmtId="176" fontId="26" fillId="6" borderId="134" xfId="0" applyNumberFormat="1" applyFont="1" applyFill="1" applyBorder="1" applyAlignment="1">
      <alignment horizontal="center" vertical="center"/>
    </xf>
    <xf numFmtId="0" fontId="26" fillId="6" borderId="134" xfId="0" applyFont="1" applyFill="1" applyBorder="1">
      <alignment vertical="center"/>
    </xf>
    <xf numFmtId="176" fontId="26" fillId="6" borderId="135" xfId="0" applyNumberFormat="1" applyFont="1" applyFill="1" applyBorder="1" applyAlignment="1">
      <alignment horizontal="center" vertical="center"/>
    </xf>
    <xf numFmtId="0" fontId="26" fillId="6" borderId="135" xfId="0" applyFont="1" applyFill="1" applyBorder="1">
      <alignment vertical="center"/>
    </xf>
    <xf numFmtId="176" fontId="26" fillId="6" borderId="136" xfId="0" applyNumberFormat="1" applyFont="1" applyFill="1" applyBorder="1" applyAlignment="1">
      <alignment horizontal="center" vertical="center"/>
    </xf>
    <xf numFmtId="0" fontId="26" fillId="6" borderId="136" xfId="0" applyFont="1" applyFill="1" applyBorder="1">
      <alignment vertical="center"/>
    </xf>
    <xf numFmtId="176" fontId="26" fillId="6" borderId="137" xfId="0" applyNumberFormat="1" applyFont="1" applyFill="1" applyBorder="1" applyAlignment="1">
      <alignment horizontal="center" vertical="center"/>
    </xf>
    <xf numFmtId="0" fontId="26" fillId="6" borderId="138" xfId="0" applyFont="1" applyFill="1" applyBorder="1" applyAlignment="1">
      <alignment horizontal="center" vertical="center"/>
    </xf>
    <xf numFmtId="176" fontId="26" fillId="6" borderId="138" xfId="0" applyNumberFormat="1" applyFont="1" applyFill="1" applyBorder="1" applyAlignment="1">
      <alignment horizontal="center" vertical="center"/>
    </xf>
    <xf numFmtId="0" fontId="26" fillId="6" borderId="138" xfId="0" applyFont="1" applyFill="1" applyBorder="1" applyAlignment="1">
      <alignment vertical="center"/>
    </xf>
    <xf numFmtId="0" fontId="26" fillId="6" borderId="138" xfId="0" applyFont="1" applyFill="1" applyBorder="1">
      <alignment vertical="center"/>
    </xf>
    <xf numFmtId="0" fontId="15" fillId="2" borderId="93" xfId="0" applyFont="1" applyFill="1" applyBorder="1" applyAlignment="1">
      <alignment vertical="center"/>
    </xf>
    <xf numFmtId="177" fontId="13" fillId="0" borderId="27" xfId="0" applyNumberFormat="1" applyFont="1" applyFill="1" applyBorder="1" applyAlignment="1">
      <alignment horizontal="center" vertical="center"/>
    </xf>
    <xf numFmtId="180" fontId="14" fillId="0" borderId="93" xfId="0" applyNumberFormat="1" applyFont="1" applyFill="1" applyBorder="1" applyAlignment="1">
      <alignment horizontal="center" vertical="center"/>
    </xf>
    <xf numFmtId="0" fontId="13" fillId="0" borderId="93" xfId="0" applyFont="1" applyFill="1" applyBorder="1" applyAlignment="1">
      <alignment horizontal="center" vertical="center"/>
    </xf>
    <xf numFmtId="0" fontId="13" fillId="0" borderId="142" xfId="0" applyFont="1" applyBorder="1" applyAlignment="1">
      <alignment horizontal="center" vertical="center"/>
    </xf>
    <xf numFmtId="0" fontId="13" fillId="0" borderId="143" xfId="0" applyFont="1" applyBorder="1" applyAlignment="1">
      <alignment horizontal="center"/>
    </xf>
    <xf numFmtId="0" fontId="13" fillId="0" borderId="143" xfId="0" applyFont="1" applyBorder="1" applyAlignment="1"/>
    <xf numFmtId="0" fontId="13" fillId="0" borderId="143" xfId="0" quotePrefix="1" applyFont="1" applyBorder="1" applyAlignment="1">
      <alignment horizontal="left"/>
    </xf>
    <xf numFmtId="0" fontId="13" fillId="0" borderId="143" xfId="0" applyFont="1" applyBorder="1" applyAlignment="1">
      <alignment vertical="center"/>
    </xf>
    <xf numFmtId="0" fontId="13" fillId="0" borderId="143" xfId="0" applyFont="1" applyBorder="1" applyAlignment="1">
      <alignment horizontal="center" vertical="center"/>
    </xf>
    <xf numFmtId="0" fontId="13" fillId="0" borderId="144" xfId="0" applyFont="1" applyBorder="1" applyAlignment="1">
      <alignment horizontal="center" vertical="center"/>
    </xf>
    <xf numFmtId="179" fontId="16" fillId="0" borderId="33" xfId="0" applyNumberFormat="1" applyFont="1" applyFill="1" applyBorder="1" applyAlignment="1">
      <alignment horizontal="left" vertical="top" wrapText="1"/>
    </xf>
    <xf numFmtId="0" fontId="13" fillId="0" borderId="136" xfId="0" applyFont="1" applyFill="1" applyBorder="1" applyAlignment="1">
      <alignment horizontal="center"/>
    </xf>
    <xf numFmtId="0" fontId="13" fillId="0" borderId="136" xfId="0" applyFont="1" applyFill="1" applyBorder="1" applyAlignment="1"/>
    <xf numFmtId="0" fontId="13" fillId="0" borderId="136" xfId="0" quotePrefix="1" applyFont="1" applyFill="1" applyBorder="1" applyAlignment="1">
      <alignment horizontal="left"/>
    </xf>
    <xf numFmtId="0" fontId="13" fillId="0" borderId="136" xfId="0" quotePrefix="1" applyFont="1" applyFill="1" applyBorder="1" applyAlignment="1"/>
    <xf numFmtId="0" fontId="13" fillId="0" borderId="6" xfId="0" applyFont="1" applyFill="1" applyBorder="1" applyAlignment="1">
      <alignment horizontal="center" vertical="center"/>
    </xf>
    <xf numFmtId="0" fontId="13" fillId="0" borderId="93" xfId="0" applyFont="1" applyFill="1" applyBorder="1" applyAlignment="1">
      <alignment horizontal="center"/>
    </xf>
    <xf numFmtId="0" fontId="13" fillId="0" borderId="93" xfId="0" applyFont="1" applyFill="1" applyBorder="1" applyAlignment="1">
      <alignment vertical="center"/>
    </xf>
    <xf numFmtId="0" fontId="13" fillId="0" borderId="93" xfId="0" quotePrefix="1" applyFont="1" applyFill="1" applyBorder="1" applyAlignment="1">
      <alignment vertical="center"/>
    </xf>
    <xf numFmtId="0" fontId="13" fillId="0" borderId="93" xfId="0" applyFont="1" applyFill="1" applyBorder="1" applyAlignment="1"/>
    <xf numFmtId="0" fontId="13" fillId="0" borderId="93" xfId="0" quotePrefix="1" applyFont="1" applyFill="1" applyBorder="1" applyAlignment="1">
      <alignment horizontal="left"/>
    </xf>
    <xf numFmtId="0" fontId="13" fillId="0" borderId="7" xfId="0" applyFont="1" applyFill="1" applyBorder="1" applyAlignment="1">
      <alignment horizontal="center" vertical="center"/>
    </xf>
    <xf numFmtId="0" fontId="28" fillId="2" borderId="102" xfId="0" applyFont="1" applyFill="1" applyBorder="1" applyAlignment="1">
      <alignment horizontal="center" vertical="center" wrapText="1"/>
    </xf>
    <xf numFmtId="0" fontId="0" fillId="2" borderId="123" xfId="0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47" xfId="0" applyBorder="1" applyAlignment="1">
      <alignment horizontal="center" vertical="center"/>
    </xf>
    <xf numFmtId="0" fontId="27" fillId="4" borderId="102" xfId="0" applyFont="1" applyFill="1" applyBorder="1" applyAlignment="1">
      <alignment horizontal="center" vertical="center" wrapText="1"/>
    </xf>
    <xf numFmtId="0" fontId="0" fillId="4" borderId="123" xfId="0" applyFill="1" applyBorder="1" applyAlignment="1">
      <alignment horizontal="center" vertical="center"/>
    </xf>
    <xf numFmtId="0" fontId="27" fillId="3" borderId="102" xfId="0" applyFont="1" applyFill="1" applyBorder="1" applyAlignment="1">
      <alignment horizontal="center" vertical="center" wrapText="1"/>
    </xf>
    <xf numFmtId="0" fontId="0" fillId="3" borderId="123" xfId="0" applyFill="1" applyBorder="1" applyAlignment="1">
      <alignment horizontal="center" vertical="center"/>
    </xf>
    <xf numFmtId="0" fontId="27" fillId="2" borderId="123" xfId="0" applyFont="1" applyFill="1" applyBorder="1" applyAlignment="1">
      <alignment horizontal="center" vertical="center"/>
    </xf>
    <xf numFmtId="0" fontId="0" fillId="0" borderId="146" xfId="0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0" borderId="125" xfId="0" applyBorder="1" applyAlignment="1">
      <alignment horizontal="center" vertical="center"/>
    </xf>
    <xf numFmtId="0" fontId="0" fillId="0" borderId="148" xfId="0" applyBorder="1" applyAlignment="1">
      <alignment horizontal="center" vertical="center"/>
    </xf>
    <xf numFmtId="0" fontId="27" fillId="4" borderId="123" xfId="0" applyFont="1" applyFill="1" applyBorder="1" applyAlignment="1">
      <alignment horizontal="center" vertical="center"/>
    </xf>
    <xf numFmtId="0" fontId="27" fillId="3" borderId="123" xfId="0" applyFont="1" applyFill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125" xfId="0" applyFont="1" applyBorder="1" applyAlignment="1">
      <alignment horizontal="center" vertical="center"/>
    </xf>
    <xf numFmtId="0" fontId="7" fillId="0" borderId="146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180" fontId="16" fillId="0" borderId="0" xfId="0" applyNumberFormat="1" applyFont="1" applyAlignment="1">
      <alignment vertical="top"/>
    </xf>
    <xf numFmtId="0" fontId="13" fillId="0" borderId="136" xfId="0" applyFont="1" applyFill="1" applyBorder="1" applyAlignment="1">
      <alignment horizontal="center" vertical="center"/>
    </xf>
    <xf numFmtId="0" fontId="13" fillId="0" borderId="141" xfId="0" applyFont="1" applyFill="1" applyBorder="1" applyAlignment="1">
      <alignment horizontal="center" vertical="center"/>
    </xf>
    <xf numFmtId="0" fontId="13" fillId="0" borderId="140" xfId="0" applyFont="1" applyFill="1" applyBorder="1" applyAlignment="1">
      <alignment horizontal="center" vertical="center"/>
    </xf>
    <xf numFmtId="0" fontId="13" fillId="0" borderId="136" xfId="0" applyFont="1" applyFill="1" applyBorder="1" applyAlignment="1">
      <alignment vertical="center"/>
    </xf>
    <xf numFmtId="177" fontId="13" fillId="0" borderId="89" xfId="0" applyNumberFormat="1" applyFont="1" applyFill="1" applyBorder="1" applyAlignment="1">
      <alignment horizontal="center" vertical="center"/>
    </xf>
    <xf numFmtId="0" fontId="27" fillId="2" borderId="22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0" fontId="28" fillId="2" borderId="93" xfId="0" applyFont="1" applyFill="1" applyBorder="1" applyAlignment="1">
      <alignment vertical="center" wrapText="1"/>
    </xf>
    <xf numFmtId="0" fontId="27" fillId="4" borderId="1" xfId="0" applyFont="1" applyFill="1" applyBorder="1" applyAlignment="1">
      <alignment vertical="center" wrapText="1"/>
    </xf>
    <xf numFmtId="0" fontId="28" fillId="4" borderId="93" xfId="0" applyFont="1" applyFill="1" applyBorder="1" applyAlignment="1">
      <alignment vertical="center" wrapText="1"/>
    </xf>
    <xf numFmtId="0" fontId="27" fillId="3" borderId="1" xfId="0" applyFont="1" applyFill="1" applyBorder="1" applyAlignment="1">
      <alignment vertical="center" wrapText="1"/>
    </xf>
    <xf numFmtId="0" fontId="27" fillId="3" borderId="102" xfId="0" applyFont="1" applyFill="1" applyBorder="1" applyAlignment="1">
      <alignment vertical="center" wrapText="1"/>
    </xf>
    <xf numFmtId="0" fontId="27" fillId="3" borderId="7" xfId="0" applyFont="1" applyFill="1" applyBorder="1" applyAlignment="1">
      <alignment vertical="center" wrapText="1"/>
    </xf>
    <xf numFmtId="0" fontId="16" fillId="6" borderId="94" xfId="0" applyFont="1" applyFill="1" applyBorder="1" applyAlignment="1">
      <alignment horizontal="center" vertical="center" wrapText="1"/>
    </xf>
    <xf numFmtId="176" fontId="16" fillId="6" borderId="13" xfId="0" applyNumberFormat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vertical="center"/>
    </xf>
    <xf numFmtId="176" fontId="16" fillId="0" borderId="13" xfId="0" applyNumberFormat="1" applyFont="1" applyBorder="1" applyAlignment="1">
      <alignment horizontal="center" vertical="center"/>
    </xf>
    <xf numFmtId="10" fontId="13" fillId="0" borderId="136" xfId="0" applyNumberFormat="1" applyFont="1" applyFill="1" applyBorder="1" applyAlignment="1">
      <alignment vertical="center"/>
    </xf>
    <xf numFmtId="10" fontId="13" fillId="0" borderId="143" xfId="0" applyNumberFormat="1" applyFont="1" applyFill="1" applyBorder="1" applyAlignment="1">
      <alignment vertical="center"/>
    </xf>
    <xf numFmtId="176" fontId="26" fillId="6" borderId="135" xfId="0" applyNumberFormat="1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3" fillId="14" borderId="0" xfId="0" applyFont="1" applyFill="1" applyAlignment="1">
      <alignment vertical="center"/>
    </xf>
    <xf numFmtId="0" fontId="13" fillId="20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0" fontId="16" fillId="6" borderId="30" xfId="0" applyFont="1" applyFill="1" applyBorder="1" applyAlignment="1">
      <alignment horizontal="center" vertical="center"/>
    </xf>
    <xf numFmtId="177" fontId="13" fillId="0" borderId="46" xfId="0" applyNumberFormat="1" applyFont="1" applyFill="1" applyBorder="1" applyAlignment="1">
      <alignment horizontal="center" vertical="center" wrapText="1"/>
    </xf>
    <xf numFmtId="0" fontId="0" fillId="0" borderId="1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3" fillId="2" borderId="93" xfId="0" applyFont="1" applyFill="1" applyBorder="1" applyAlignment="1">
      <alignment vertical="center"/>
    </xf>
    <xf numFmtId="0" fontId="13" fillId="6" borderId="92" xfId="0" applyFont="1" applyFill="1" applyBorder="1" applyAlignment="1">
      <alignment horizontal="center" vertical="center"/>
    </xf>
    <xf numFmtId="185" fontId="16" fillId="0" borderId="99" xfId="0" quotePrefix="1" applyNumberFormat="1" applyFont="1" applyFill="1" applyBorder="1" applyAlignment="1">
      <alignment horizontal="left" vertical="top" wrapText="1"/>
    </xf>
    <xf numFmtId="176" fontId="26" fillId="6" borderId="3" xfId="0" applyNumberFormat="1" applyFont="1" applyFill="1" applyBorder="1" applyAlignment="1">
      <alignment horizontal="center" vertical="center"/>
    </xf>
    <xf numFmtId="0" fontId="26" fillId="6" borderId="3" xfId="0" applyFont="1" applyFill="1" applyBorder="1">
      <alignment vertical="center"/>
    </xf>
    <xf numFmtId="176" fontId="26" fillId="6" borderId="11" xfId="0" applyNumberFormat="1" applyFont="1" applyFill="1" applyBorder="1" applyAlignment="1">
      <alignment horizontal="center" vertical="center"/>
    </xf>
    <xf numFmtId="0" fontId="26" fillId="6" borderId="11" xfId="0" applyFont="1" applyFill="1" applyBorder="1">
      <alignment vertical="center"/>
    </xf>
    <xf numFmtId="0" fontId="36" fillId="13" borderId="33" xfId="3" applyFont="1" applyFill="1" applyBorder="1" applyAlignment="1">
      <alignment horizontal="center" vertical="center"/>
    </xf>
    <xf numFmtId="0" fontId="36" fillId="2" borderId="93" xfId="3" applyFont="1" applyFill="1" applyBorder="1" applyAlignment="1">
      <alignment horizontal="center" vertical="center" wrapText="1"/>
    </xf>
    <xf numFmtId="14" fontId="16" fillId="0" borderId="0" xfId="0" applyNumberFormat="1" applyFont="1" applyFill="1" applyBorder="1" applyAlignment="1">
      <alignment vertical="top"/>
    </xf>
    <xf numFmtId="191" fontId="13" fillId="0" borderId="0" xfId="0" applyNumberFormat="1" applyFont="1" applyAlignment="1">
      <alignment vertical="center"/>
    </xf>
    <xf numFmtId="176" fontId="26" fillId="6" borderId="9" xfId="0" applyNumberFormat="1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vertical="center"/>
    </xf>
    <xf numFmtId="180" fontId="15" fillId="0" borderId="99" xfId="0" applyNumberFormat="1" applyFont="1" applyBorder="1" applyAlignment="1">
      <alignment horizontal="center" vertical="center"/>
    </xf>
    <xf numFmtId="0" fontId="15" fillId="0" borderId="99" xfId="0" applyFont="1" applyBorder="1" applyAlignment="1">
      <alignment horizontal="center" vertical="center"/>
    </xf>
    <xf numFmtId="10" fontId="15" fillId="0" borderId="99" xfId="2" applyNumberFormat="1" applyFont="1" applyBorder="1" applyAlignment="1">
      <alignment horizontal="center" vertical="center"/>
    </xf>
    <xf numFmtId="0" fontId="13" fillId="6" borderId="93" xfId="0" applyFont="1" applyFill="1" applyBorder="1" applyAlignment="1">
      <alignment vertical="center" wrapText="1"/>
    </xf>
    <xf numFmtId="0" fontId="13" fillId="0" borderId="93" xfId="0" applyFont="1" applyBorder="1" applyAlignment="1">
      <alignment vertical="center" wrapText="1"/>
    </xf>
    <xf numFmtId="177" fontId="13" fillId="0" borderId="104" xfId="0" applyNumberFormat="1" applyFont="1" applyFill="1" applyBorder="1" applyAlignment="1">
      <alignment horizontal="center" vertical="center" wrapText="1"/>
    </xf>
    <xf numFmtId="177" fontId="13" fillId="6" borderId="13" xfId="0" applyNumberFormat="1" applyFont="1" applyFill="1" applyBorder="1" applyAlignment="1">
      <alignment vertical="center"/>
    </xf>
    <xf numFmtId="6" fontId="13" fillId="6" borderId="94" xfId="4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0" fontId="20" fillId="0" borderId="109" xfId="0" applyFont="1" applyBorder="1" applyAlignment="1"/>
    <xf numFmtId="0" fontId="20" fillId="0" borderId="100" xfId="0" applyFont="1" applyBorder="1" applyAlignment="1"/>
    <xf numFmtId="0" fontId="6" fillId="0" borderId="94" xfId="0" applyFont="1" applyBorder="1" applyAlignment="1">
      <alignment vertical="center"/>
    </xf>
    <xf numFmtId="0" fontId="6" fillId="0" borderId="116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0" fillId="0" borderId="78" xfId="0" applyFont="1" applyBorder="1" applyAlignment="1"/>
    <xf numFmtId="0" fontId="6" fillId="0" borderId="21" xfId="0" applyFont="1" applyFill="1" applyBorder="1" applyAlignment="1">
      <alignment vertical="center"/>
    </xf>
    <xf numFmtId="0" fontId="6" fillId="0" borderId="102" xfId="0" applyFont="1" applyFill="1" applyBorder="1" applyAlignment="1">
      <alignment vertical="center"/>
    </xf>
    <xf numFmtId="177" fontId="13" fillId="0" borderId="75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180" fontId="13" fillId="0" borderId="21" xfId="0" applyNumberFormat="1" applyFont="1" applyFill="1" applyBorder="1" applyAlignment="1">
      <alignment horizontal="center" vertical="center"/>
    </xf>
    <xf numFmtId="0" fontId="16" fillId="0" borderId="99" xfId="0" applyFont="1" applyFill="1" applyBorder="1" applyAlignment="1">
      <alignment vertical="center"/>
    </xf>
    <xf numFmtId="180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26" fillId="6" borderId="9" xfId="0" applyFont="1" applyFill="1" applyBorder="1" applyAlignment="1">
      <alignment horizontal="center" vertical="center" wrapText="1"/>
    </xf>
    <xf numFmtId="0" fontId="26" fillId="6" borderId="9" xfId="0" applyFont="1" applyFill="1" applyBorder="1" applyAlignment="1">
      <alignment vertical="center" wrapText="1"/>
    </xf>
    <xf numFmtId="0" fontId="26" fillId="6" borderId="9" xfId="0" applyFont="1" applyFill="1" applyBorder="1" applyAlignment="1">
      <alignment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9" xfId="0" applyNumberFormat="1" applyFont="1" applyFill="1" applyBorder="1" applyAlignment="1">
      <alignment horizontal="center" vertical="center" wrapText="1"/>
    </xf>
    <xf numFmtId="177" fontId="13" fillId="0" borderId="91" xfId="0" applyNumberFormat="1" applyFont="1" applyFill="1" applyBorder="1" applyAlignment="1">
      <alignment horizontal="center" vertical="center" wrapText="1"/>
    </xf>
    <xf numFmtId="177" fontId="13" fillId="6" borderId="94" xfId="0" applyNumberFormat="1" applyFont="1" applyFill="1" applyBorder="1" applyAlignment="1">
      <alignment horizontal="center" vertical="center" wrapText="1"/>
    </xf>
    <xf numFmtId="177" fontId="13" fillId="6" borderId="13" xfId="0" applyNumberFormat="1" applyFont="1" applyFill="1" applyBorder="1" applyAlignment="1">
      <alignment horizontal="center" vertical="center" wrapText="1"/>
    </xf>
    <xf numFmtId="177" fontId="13" fillId="0" borderId="104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 wrapText="1"/>
    </xf>
    <xf numFmtId="0" fontId="26" fillId="6" borderId="96" xfId="0" applyFont="1" applyFill="1" applyBorder="1" applyAlignment="1">
      <alignment vertical="center" wrapText="1"/>
    </xf>
    <xf numFmtId="0" fontId="26" fillId="6" borderId="96" xfId="0" applyNumberFormat="1" applyFont="1" applyFill="1" applyBorder="1" applyAlignment="1">
      <alignment horizontal="center" vertical="center" wrapText="1"/>
    </xf>
    <xf numFmtId="176" fontId="26" fillId="6" borderId="14" xfId="0" applyNumberFormat="1" applyFont="1" applyFill="1" applyBorder="1" applyAlignment="1">
      <alignment horizontal="center" vertical="center"/>
    </xf>
    <xf numFmtId="0" fontId="26" fillId="6" borderId="14" xfId="0" applyFont="1" applyFill="1" applyBorder="1">
      <alignment vertical="center"/>
    </xf>
    <xf numFmtId="176" fontId="26" fillId="14" borderId="9" xfId="0" applyNumberFormat="1" applyFont="1" applyFill="1" applyBorder="1" applyAlignment="1">
      <alignment horizontal="center" vertical="center" wrapText="1"/>
    </xf>
    <xf numFmtId="0" fontId="26" fillId="14" borderId="9" xfId="0" applyFont="1" applyFill="1" applyBorder="1" applyAlignment="1">
      <alignment horizontal="center" vertical="center" wrapText="1"/>
    </xf>
    <xf numFmtId="0" fontId="26" fillId="14" borderId="9" xfId="0" applyFont="1" applyFill="1" applyBorder="1" applyAlignment="1">
      <alignment vertical="center" wrapText="1"/>
    </xf>
    <xf numFmtId="0" fontId="26" fillId="14" borderId="9" xfId="0" applyFont="1" applyFill="1" applyBorder="1" applyAlignment="1">
      <alignment vertical="center"/>
    </xf>
    <xf numFmtId="0" fontId="26" fillId="14" borderId="9" xfId="0" applyFont="1" applyFill="1" applyBorder="1" applyAlignment="1">
      <alignment horizontal="center" vertical="center"/>
    </xf>
    <xf numFmtId="0" fontId="26" fillId="14" borderId="9" xfId="0" applyNumberFormat="1" applyFont="1" applyFill="1" applyBorder="1" applyAlignment="1">
      <alignment horizontal="center" vertical="center" wrapText="1"/>
    </xf>
    <xf numFmtId="176" fontId="26" fillId="14" borderId="3" xfId="0" applyNumberFormat="1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4" borderId="3" xfId="0" applyFont="1" applyFill="1" applyBorder="1" applyAlignment="1">
      <alignment vertical="center" wrapText="1"/>
    </xf>
    <xf numFmtId="0" fontId="26" fillId="14" borderId="3" xfId="0" applyFont="1" applyFill="1" applyBorder="1" applyAlignment="1">
      <alignment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3" xfId="0" applyNumberFormat="1" applyFont="1" applyFill="1" applyBorder="1" applyAlignment="1">
      <alignment horizontal="center" vertical="center" wrapText="1"/>
    </xf>
    <xf numFmtId="176" fontId="26" fillId="0" borderId="15" xfId="0" applyNumberFormat="1" applyFont="1" applyFill="1" applyBorder="1" applyAlignment="1">
      <alignment vertical="center"/>
    </xf>
    <xf numFmtId="176" fontId="26" fillId="0" borderId="96" xfId="0" applyNumberFormat="1" applyFont="1" applyFill="1" applyBorder="1" applyAlignment="1">
      <alignment vertical="center"/>
    </xf>
    <xf numFmtId="176" fontId="26" fillId="0" borderId="13" xfId="0" applyNumberFormat="1" applyFont="1" applyFill="1" applyBorder="1" applyAlignment="1">
      <alignment vertical="center"/>
    </xf>
    <xf numFmtId="176" fontId="26" fillId="0" borderId="120" xfId="0" applyNumberFormat="1" applyFont="1" applyFill="1" applyBorder="1" applyAlignment="1">
      <alignment horizontal="center" vertical="center" wrapText="1"/>
    </xf>
    <xf numFmtId="0" fontId="26" fillId="0" borderId="120" xfId="0" applyFont="1" applyFill="1" applyBorder="1" applyAlignment="1">
      <alignment horizontal="center" vertical="center" wrapText="1"/>
    </xf>
    <xf numFmtId="0" fontId="26" fillId="0" borderId="120" xfId="0" applyFont="1" applyFill="1" applyBorder="1" applyAlignment="1">
      <alignment vertical="center" wrapText="1"/>
    </xf>
    <xf numFmtId="0" fontId="26" fillId="0" borderId="120" xfId="0" applyFont="1" applyFill="1" applyBorder="1" applyAlignment="1">
      <alignment vertical="center"/>
    </xf>
    <xf numFmtId="0" fontId="26" fillId="0" borderId="120" xfId="0" applyFont="1" applyFill="1" applyBorder="1" applyAlignment="1">
      <alignment horizontal="center" vertical="center"/>
    </xf>
    <xf numFmtId="0" fontId="26" fillId="0" borderId="120" xfId="0" applyNumberFormat="1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vertical="center" wrapText="1"/>
    </xf>
    <xf numFmtId="0" fontId="26" fillId="6" borderId="15" xfId="0" applyNumberFormat="1" applyFont="1" applyFill="1" applyBorder="1" applyAlignment="1">
      <alignment horizontal="center" vertical="center" wrapText="1"/>
    </xf>
    <xf numFmtId="0" fontId="32" fillId="3" borderId="91" xfId="0" applyFont="1" applyFill="1" applyBorder="1" applyAlignment="1">
      <alignment vertical="center" wrapText="1"/>
    </xf>
    <xf numFmtId="0" fontId="26" fillId="3" borderId="95" xfId="0" applyFont="1" applyFill="1" applyBorder="1" applyAlignment="1">
      <alignment horizontal="center" vertical="center" wrapText="1"/>
    </xf>
    <xf numFmtId="0" fontId="26" fillId="3" borderId="91" xfId="0" applyFont="1" applyFill="1" applyBorder="1" applyAlignment="1">
      <alignment vertical="center"/>
    </xf>
    <xf numFmtId="0" fontId="26" fillId="3" borderId="95" xfId="0" applyFont="1" applyFill="1" applyBorder="1" applyAlignment="1">
      <alignment vertical="center" wrapText="1"/>
    </xf>
    <xf numFmtId="0" fontId="25" fillId="3" borderId="95" xfId="0" applyFont="1" applyFill="1" applyBorder="1" applyAlignment="1">
      <alignment vertical="center" wrapText="1"/>
    </xf>
    <xf numFmtId="0" fontId="25" fillId="3" borderId="95" xfId="0" applyFont="1" applyFill="1" applyBorder="1" applyAlignment="1">
      <alignment vertical="center"/>
    </xf>
    <xf numFmtId="0" fontId="25" fillId="3" borderId="95" xfId="0" applyFont="1" applyFill="1" applyBorder="1" applyAlignment="1">
      <alignment horizontal="center" vertical="center" wrapText="1"/>
    </xf>
    <xf numFmtId="176" fontId="25" fillId="3" borderId="95" xfId="0" applyNumberFormat="1" applyFont="1" applyFill="1" applyBorder="1" applyAlignment="1">
      <alignment horizontal="center" vertical="center" wrapText="1"/>
    </xf>
    <xf numFmtId="0" fontId="32" fillId="3" borderId="91" xfId="0" applyFont="1" applyFill="1" applyBorder="1" applyAlignment="1">
      <alignment vertical="center"/>
    </xf>
    <xf numFmtId="0" fontId="26" fillId="6" borderId="96" xfId="0" applyFont="1" applyFill="1" applyBorder="1">
      <alignment vertical="center"/>
    </xf>
    <xf numFmtId="0" fontId="36" fillId="13" borderId="150" xfId="3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9" fontId="13" fillId="0" borderId="93" xfId="2" applyNumberFormat="1" applyFont="1" applyBorder="1" applyAlignment="1">
      <alignment horizontal="center" vertical="center"/>
    </xf>
    <xf numFmtId="0" fontId="13" fillId="2" borderId="21" xfId="0" applyFont="1" applyFill="1" applyBorder="1" applyAlignment="1">
      <alignment vertical="center"/>
    </xf>
    <xf numFmtId="0" fontId="36" fillId="13" borderId="114" xfId="3" applyFont="1" applyFill="1" applyBorder="1" applyAlignment="1">
      <alignment horizontal="center" vertical="center"/>
    </xf>
    <xf numFmtId="0" fontId="36" fillId="13" borderId="54" xfId="3" applyFont="1" applyFill="1" applyBorder="1" applyAlignment="1">
      <alignment horizontal="center" vertical="center"/>
    </xf>
    <xf numFmtId="0" fontId="36" fillId="13" borderId="69" xfId="3" applyFont="1" applyFill="1" applyBorder="1" applyAlignment="1">
      <alignment horizontal="center" vertical="center"/>
    </xf>
    <xf numFmtId="0" fontId="36" fillId="13" borderId="55" xfId="3" applyFont="1" applyFill="1" applyBorder="1" applyAlignment="1">
      <alignment horizontal="center" vertical="center"/>
    </xf>
    <xf numFmtId="0" fontId="36" fillId="13" borderId="25" xfId="3" applyFont="1" applyFill="1" applyBorder="1" applyAlignment="1">
      <alignment horizontal="center" vertical="center"/>
    </xf>
    <xf numFmtId="0" fontId="36" fillId="13" borderId="110" xfId="3" applyFont="1" applyFill="1" applyBorder="1" applyAlignment="1">
      <alignment horizontal="center" vertical="center"/>
    </xf>
    <xf numFmtId="0" fontId="36" fillId="13" borderId="151" xfId="3" applyFont="1" applyFill="1" applyBorder="1" applyAlignment="1">
      <alignment horizontal="center" vertical="center"/>
    </xf>
    <xf numFmtId="0" fontId="36" fillId="13" borderId="96" xfId="3" applyFont="1" applyFill="1" applyBorder="1" applyAlignment="1">
      <alignment horizontal="center" vertical="center"/>
    </xf>
    <xf numFmtId="0" fontId="36" fillId="13" borderId="99" xfId="3" applyFont="1" applyFill="1" applyBorder="1" applyAlignment="1">
      <alignment horizontal="center" vertical="center"/>
    </xf>
    <xf numFmtId="0" fontId="36" fillId="13" borderId="56" xfId="3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36" fillId="13" borderId="133" xfId="3" applyFont="1" applyFill="1" applyBorder="1" applyAlignment="1">
      <alignment horizontal="center" vertical="center"/>
    </xf>
    <xf numFmtId="0" fontId="36" fillId="13" borderId="43" xfId="3" applyFont="1" applyFill="1" applyBorder="1" applyAlignment="1">
      <alignment horizontal="center" vertical="center"/>
    </xf>
    <xf numFmtId="177" fontId="13" fillId="6" borderId="46" xfId="0" applyNumberFormat="1" applyFont="1" applyFill="1" applyBorder="1" applyAlignment="1">
      <alignment horizontal="center" vertical="center"/>
    </xf>
    <xf numFmtId="177" fontId="13" fillId="6" borderId="75" xfId="0" applyNumberFormat="1" applyFont="1" applyFill="1" applyBorder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/>
    </xf>
    <xf numFmtId="177" fontId="13" fillId="0" borderId="99" xfId="0" applyNumberFormat="1" applyFont="1" applyFill="1" applyBorder="1" applyAlignment="1">
      <alignment horizontal="center" vertical="center"/>
    </xf>
    <xf numFmtId="0" fontId="13" fillId="6" borderId="75" xfId="0" applyNumberFormat="1" applyFont="1" applyFill="1" applyBorder="1" applyAlignment="1">
      <alignment horizontal="center" vertical="center"/>
    </xf>
    <xf numFmtId="0" fontId="16" fillId="6" borderId="95" xfId="0" applyNumberFormat="1" applyFont="1" applyFill="1" applyBorder="1" applyAlignment="1">
      <alignment horizontal="right" vertical="center"/>
    </xf>
    <xf numFmtId="0" fontId="16" fillId="6" borderId="99" xfId="0" applyNumberFormat="1" applyFont="1" applyFill="1" applyBorder="1" applyAlignment="1">
      <alignment horizontal="right" vertical="center"/>
    </xf>
    <xf numFmtId="0" fontId="16" fillId="6" borderId="94" xfId="0" applyNumberFormat="1" applyFont="1" applyFill="1" applyBorder="1" applyAlignment="1">
      <alignment horizontal="right" vertical="center"/>
    </xf>
    <xf numFmtId="0" fontId="16" fillId="6" borderId="30" xfId="0" applyNumberFormat="1" applyFont="1" applyFill="1" applyBorder="1" applyAlignment="1">
      <alignment horizontal="right" vertical="center"/>
    </xf>
    <xf numFmtId="0" fontId="16" fillId="6" borderId="93" xfId="0" applyNumberFormat="1" applyFont="1" applyFill="1" applyBorder="1" applyAlignment="1">
      <alignment horizontal="right" vertical="center"/>
    </xf>
    <xf numFmtId="0" fontId="16" fillId="0" borderId="91" xfId="0" applyNumberFormat="1" applyFont="1" applyFill="1" applyBorder="1" applyAlignment="1">
      <alignment horizontal="right" vertical="center"/>
    </xf>
    <xf numFmtId="0" fontId="16" fillId="0" borderId="0" xfId="0" applyNumberFormat="1" applyFont="1" applyFill="1" applyBorder="1" applyAlignment="1">
      <alignment horizontal="right" vertical="center"/>
    </xf>
    <xf numFmtId="0" fontId="16" fillId="0" borderId="100" xfId="0" applyNumberFormat="1" applyFont="1" applyFill="1" applyBorder="1" applyAlignment="1">
      <alignment horizontal="right" vertical="center"/>
    </xf>
    <xf numFmtId="0" fontId="16" fillId="6" borderId="96" xfId="0" applyNumberFormat="1" applyFont="1" applyFill="1" applyBorder="1" applyAlignment="1">
      <alignment horizontal="right" vertical="center"/>
    </xf>
    <xf numFmtId="0" fontId="16" fillId="0" borderId="99" xfId="0" applyNumberFormat="1" applyFont="1" applyFill="1" applyBorder="1" applyAlignment="1">
      <alignment horizontal="right" vertical="center"/>
    </xf>
    <xf numFmtId="0" fontId="16" fillId="0" borderId="93" xfId="0" applyNumberFormat="1" applyFont="1" applyFill="1" applyBorder="1" applyAlignment="1">
      <alignment horizontal="right" vertical="center"/>
    </xf>
    <xf numFmtId="0" fontId="16" fillId="0" borderId="13" xfId="0" applyNumberFormat="1" applyFont="1" applyFill="1" applyBorder="1" applyAlignment="1">
      <alignment horizontal="right" vertical="center"/>
    </xf>
    <xf numFmtId="0" fontId="16" fillId="6" borderId="28" xfId="0" applyNumberFormat="1" applyFont="1" applyFill="1" applyBorder="1" applyAlignment="1">
      <alignment horizontal="right" vertical="center"/>
    </xf>
    <xf numFmtId="0" fontId="16" fillId="6" borderId="33" xfId="0" applyNumberFormat="1" applyFont="1" applyFill="1" applyBorder="1" applyAlignment="1">
      <alignment horizontal="right" vertical="center"/>
    </xf>
    <xf numFmtId="0" fontId="16" fillId="0" borderId="94" xfId="0" applyNumberFormat="1" applyFont="1" applyFill="1" applyBorder="1" applyAlignment="1">
      <alignment horizontal="right" vertical="center"/>
    </xf>
    <xf numFmtId="0" fontId="16" fillId="0" borderId="33" xfId="0" applyNumberFormat="1" applyFont="1" applyFill="1" applyBorder="1" applyAlignment="1">
      <alignment horizontal="right" vertical="center"/>
    </xf>
    <xf numFmtId="0" fontId="16" fillId="0" borderId="30" xfId="0" applyNumberFormat="1" applyFont="1" applyFill="1" applyBorder="1" applyAlignment="1">
      <alignment horizontal="right" vertical="center"/>
    </xf>
    <xf numFmtId="0" fontId="16" fillId="6" borderId="5" xfId="0" applyNumberFormat="1" applyFont="1" applyFill="1" applyBorder="1" applyAlignment="1">
      <alignment horizontal="right" vertical="center"/>
    </xf>
    <xf numFmtId="0" fontId="16" fillId="0" borderId="91" xfId="0" applyNumberFormat="1" applyFont="1" applyBorder="1" applyAlignment="1">
      <alignment horizontal="right" vertical="center"/>
    </xf>
    <xf numFmtId="0" fontId="16" fillId="0" borderId="0" xfId="0" applyNumberFormat="1" applyFont="1" applyBorder="1" applyAlignment="1">
      <alignment horizontal="right" vertical="center"/>
    </xf>
    <xf numFmtId="177" fontId="16" fillId="6" borderId="13" xfId="0" applyNumberFormat="1" applyFont="1" applyFill="1" applyBorder="1" applyAlignment="1">
      <alignment horizontal="center" vertical="center"/>
    </xf>
    <xf numFmtId="177" fontId="16" fillId="6" borderId="94" xfId="0" applyNumberFormat="1" applyFont="1" applyFill="1" applyBorder="1" applyAlignment="1">
      <alignment horizontal="center" vertical="center"/>
    </xf>
    <xf numFmtId="177" fontId="16" fillId="6" borderId="30" xfId="0" applyNumberFormat="1" applyFont="1" applyFill="1" applyBorder="1" applyAlignment="1">
      <alignment horizontal="center" vertical="center"/>
    </xf>
    <xf numFmtId="177" fontId="16" fillId="6" borderId="95" xfId="0" applyNumberFormat="1" applyFont="1" applyFill="1" applyBorder="1" applyAlignment="1">
      <alignment horizontal="center" vertical="center"/>
    </xf>
    <xf numFmtId="177" fontId="16" fillId="6" borderId="96" xfId="0" applyNumberFormat="1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center"/>
    </xf>
    <xf numFmtId="0" fontId="15" fillId="14" borderId="29" xfId="0" applyFont="1" applyFill="1" applyBorder="1" applyAlignment="1">
      <alignment horizontal="center" vertical="center"/>
    </xf>
    <xf numFmtId="0" fontId="15" fillId="14" borderId="29" xfId="0" quotePrefix="1" applyFont="1" applyFill="1" applyBorder="1" applyAlignment="1">
      <alignment horizontal="center" vertical="center"/>
    </xf>
    <xf numFmtId="0" fontId="34" fillId="5" borderId="60" xfId="0" applyFont="1" applyFill="1" applyBorder="1" applyAlignment="1">
      <alignment horizontal="center" vertical="center"/>
    </xf>
    <xf numFmtId="0" fontId="16" fillId="0" borderId="159" xfId="0" applyFont="1" applyFill="1" applyBorder="1" applyAlignment="1">
      <alignment horizontal="center" vertical="center"/>
    </xf>
    <xf numFmtId="0" fontId="16" fillId="0" borderId="117" xfId="0" applyFont="1" applyFill="1" applyBorder="1" applyAlignment="1">
      <alignment horizontal="center" vertical="center"/>
    </xf>
    <xf numFmtId="177" fontId="16" fillId="0" borderId="117" xfId="0" applyNumberFormat="1" applyFont="1" applyFill="1" applyBorder="1" applyAlignment="1">
      <alignment horizontal="center" vertical="center"/>
    </xf>
    <xf numFmtId="0" fontId="16" fillId="0" borderId="69" xfId="0" applyFont="1" applyFill="1" applyBorder="1" applyAlignment="1">
      <alignment horizontal="center" vertical="center"/>
    </xf>
    <xf numFmtId="177" fontId="16" fillId="0" borderId="159" xfId="0" applyNumberFormat="1" applyFont="1" applyFill="1" applyBorder="1" applyAlignment="1">
      <alignment horizontal="center" vertical="center"/>
    </xf>
    <xf numFmtId="0" fontId="16" fillId="0" borderId="159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176" fontId="38" fillId="5" borderId="93" xfId="0" applyNumberFormat="1" applyFont="1" applyFill="1" applyBorder="1" applyAlignment="1">
      <alignment horizontal="center" vertical="center" wrapText="1"/>
    </xf>
    <xf numFmtId="0" fontId="15" fillId="14" borderId="29" xfId="0" applyFont="1" applyFill="1" applyBorder="1" applyAlignment="1">
      <alignment horizontal="left" vertical="center"/>
    </xf>
    <xf numFmtId="177" fontId="13" fillId="6" borderId="6" xfId="0" applyNumberFormat="1" applyFont="1" applyFill="1" applyBorder="1" applyAlignment="1">
      <alignment horizontal="left" vertical="center" wrapText="1"/>
    </xf>
    <xf numFmtId="177" fontId="13" fillId="6" borderId="20" xfId="0" applyNumberFormat="1" applyFont="1" applyFill="1" applyBorder="1" applyAlignment="1">
      <alignment horizontal="left" vertical="center"/>
    </xf>
    <xf numFmtId="177" fontId="13" fillId="0" borderId="91" xfId="0" applyNumberFormat="1" applyFont="1" applyFill="1" applyBorder="1" applyAlignment="1">
      <alignment horizontal="left" vertical="center"/>
    </xf>
    <xf numFmtId="177" fontId="13" fillId="6" borderId="34" xfId="0" applyNumberFormat="1" applyFont="1" applyFill="1" applyBorder="1" applyAlignment="1">
      <alignment horizontal="left" vertical="center" wrapText="1"/>
    </xf>
    <xf numFmtId="177" fontId="13" fillId="0" borderId="100" xfId="0" applyNumberFormat="1" applyFont="1" applyFill="1" applyBorder="1" applyAlignment="1">
      <alignment horizontal="left" vertical="center"/>
    </xf>
    <xf numFmtId="177" fontId="13" fillId="6" borderId="41" xfId="0" applyNumberFormat="1" applyFont="1" applyFill="1" applyBorder="1" applyAlignment="1">
      <alignment horizontal="left" vertical="center" wrapText="1"/>
    </xf>
    <xf numFmtId="0" fontId="13" fillId="6" borderId="39" xfId="0" applyFont="1" applyFill="1" applyBorder="1" applyAlignment="1">
      <alignment horizontal="left" vertical="center" wrapText="1"/>
    </xf>
    <xf numFmtId="177" fontId="13" fillId="0" borderId="37" xfId="0" applyNumberFormat="1" applyFont="1" applyFill="1" applyBorder="1" applyAlignment="1">
      <alignment horizontal="left" vertical="center"/>
    </xf>
    <xf numFmtId="177" fontId="13" fillId="6" borderId="46" xfId="0" applyNumberFormat="1" applyFont="1" applyFill="1" applyBorder="1" applyAlignment="1">
      <alignment horizontal="left" vertical="center"/>
    </xf>
    <xf numFmtId="177" fontId="13" fillId="6" borderId="131" xfId="0" applyNumberFormat="1" applyFont="1" applyFill="1" applyBorder="1" applyAlignment="1">
      <alignment horizontal="left" vertical="center" wrapText="1"/>
    </xf>
    <xf numFmtId="177" fontId="13" fillId="0" borderId="0" xfId="0" applyNumberFormat="1" applyFont="1" applyFill="1" applyBorder="1" applyAlignment="1">
      <alignment horizontal="left" vertical="center"/>
    </xf>
    <xf numFmtId="177" fontId="13" fillId="6" borderId="92" xfId="0" applyNumberFormat="1" applyFont="1" applyFill="1" applyBorder="1" applyAlignment="1">
      <alignment horizontal="left" vertical="center"/>
    </xf>
    <xf numFmtId="177" fontId="13" fillId="6" borderId="131" xfId="0" applyNumberFormat="1" applyFont="1" applyFill="1" applyBorder="1" applyAlignment="1">
      <alignment horizontal="left" vertical="center"/>
    </xf>
    <xf numFmtId="177" fontId="13" fillId="0" borderId="6" xfId="0" applyNumberFormat="1" applyFont="1" applyFill="1" applyBorder="1" applyAlignment="1">
      <alignment horizontal="left" vertical="center"/>
    </xf>
    <xf numFmtId="177" fontId="13" fillId="0" borderId="0" xfId="0" applyNumberFormat="1" applyFont="1" applyFill="1" applyBorder="1" applyAlignment="1">
      <alignment horizontal="left" vertical="center" wrapText="1"/>
    </xf>
    <xf numFmtId="177" fontId="13" fillId="0" borderId="91" xfId="0" applyNumberFormat="1" applyFont="1" applyFill="1" applyBorder="1" applyAlignment="1">
      <alignment horizontal="left" vertical="center" wrapText="1"/>
    </xf>
    <xf numFmtId="177" fontId="13" fillId="0" borderId="37" xfId="0" applyNumberFormat="1" applyFont="1" applyFill="1" applyBorder="1" applyAlignment="1">
      <alignment horizontal="left" vertical="center" wrapText="1"/>
    </xf>
    <xf numFmtId="177" fontId="13" fillId="0" borderId="25" xfId="0" applyNumberFormat="1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177" fontId="13" fillId="6" borderId="75" xfId="0" applyNumberFormat="1" applyFont="1" applyFill="1" applyBorder="1" applyAlignment="1">
      <alignment horizontal="left" vertical="center"/>
    </xf>
    <xf numFmtId="177" fontId="13" fillId="6" borderId="104" xfId="0" applyNumberFormat="1" applyFont="1" applyFill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2" borderId="99" xfId="0" applyFont="1" applyFill="1" applyBorder="1" applyAlignment="1">
      <alignment vertical="center"/>
    </xf>
    <xf numFmtId="177" fontId="13" fillId="6" borderId="6" xfId="0" applyNumberFormat="1" applyFont="1" applyFill="1" applyBorder="1" applyAlignment="1">
      <alignment vertical="center"/>
    </xf>
    <xf numFmtId="0" fontId="16" fillId="6" borderId="13" xfId="0" applyNumberFormat="1" applyFont="1" applyFill="1" applyBorder="1" applyAlignment="1">
      <alignment horizontal="right" vertical="center"/>
    </xf>
    <xf numFmtId="177" fontId="13" fillId="0" borderId="100" xfId="0" applyNumberFormat="1" applyFont="1" applyFill="1" applyBorder="1" applyAlignment="1">
      <alignment horizontal="left" vertical="center" wrapText="1"/>
    </xf>
    <xf numFmtId="177" fontId="13" fillId="0" borderId="100" xfId="0" applyNumberFormat="1" applyFont="1" applyFill="1" applyBorder="1" applyAlignment="1">
      <alignment horizontal="center" vertical="center" wrapText="1"/>
    </xf>
    <xf numFmtId="0" fontId="16" fillId="6" borderId="94" xfId="0" applyNumberFormat="1" applyFont="1" applyFill="1" applyBorder="1" applyAlignment="1">
      <alignment horizontal="center" vertical="center"/>
    </xf>
    <xf numFmtId="0" fontId="16" fillId="6" borderId="99" xfId="0" applyNumberFormat="1" applyFont="1" applyFill="1" applyBorder="1" applyAlignment="1">
      <alignment horizontal="center" vertical="center"/>
    </xf>
    <xf numFmtId="0" fontId="16" fillId="6" borderId="30" xfId="0" applyNumberFormat="1" applyFont="1" applyFill="1" applyBorder="1" applyAlignment="1">
      <alignment horizontal="center" vertical="center"/>
    </xf>
    <xf numFmtId="0" fontId="16" fillId="6" borderId="95" xfId="0" applyNumberFormat="1" applyFont="1" applyFill="1" applyBorder="1" applyAlignment="1">
      <alignment horizontal="center" vertical="center"/>
    </xf>
    <xf numFmtId="0" fontId="16" fillId="6" borderId="93" xfId="0" applyNumberFormat="1" applyFont="1" applyFill="1" applyBorder="1" applyAlignment="1">
      <alignment horizontal="center" vertical="center"/>
    </xf>
    <xf numFmtId="0" fontId="16" fillId="0" borderId="91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0" borderId="100" xfId="0" applyNumberFormat="1" applyFont="1" applyFill="1" applyBorder="1" applyAlignment="1">
      <alignment horizontal="center" vertical="center"/>
    </xf>
    <xf numFmtId="0" fontId="16" fillId="6" borderId="96" xfId="0" applyNumberFormat="1" applyFont="1" applyFill="1" applyBorder="1" applyAlignment="1">
      <alignment horizontal="center" vertical="center"/>
    </xf>
    <xf numFmtId="0" fontId="16" fillId="0" borderId="99" xfId="0" applyNumberFormat="1" applyFont="1" applyFill="1" applyBorder="1" applyAlignment="1">
      <alignment horizontal="center" vertical="center"/>
    </xf>
    <xf numFmtId="0" fontId="16" fillId="0" borderId="93" xfId="0" applyNumberFormat="1" applyFont="1" applyFill="1" applyBorder="1" applyAlignment="1">
      <alignment horizontal="center" vertical="center"/>
    </xf>
    <xf numFmtId="0" fontId="16" fillId="0" borderId="13" xfId="0" applyNumberFormat="1" applyFont="1" applyFill="1" applyBorder="1" applyAlignment="1">
      <alignment horizontal="center" vertical="center"/>
    </xf>
    <xf numFmtId="0" fontId="16" fillId="6" borderId="28" xfId="0" applyNumberFormat="1" applyFont="1" applyFill="1" applyBorder="1" applyAlignment="1">
      <alignment horizontal="center" vertical="center"/>
    </xf>
    <xf numFmtId="0" fontId="16" fillId="6" borderId="5" xfId="0" applyNumberFormat="1" applyFont="1" applyFill="1" applyBorder="1" applyAlignment="1">
      <alignment horizontal="center" vertical="center"/>
    </xf>
    <xf numFmtId="0" fontId="16" fillId="6" borderId="33" xfId="0" applyNumberFormat="1" applyFont="1" applyFill="1" applyBorder="1" applyAlignment="1">
      <alignment horizontal="center" vertical="center"/>
    </xf>
    <xf numFmtId="0" fontId="16" fillId="0" borderId="94" xfId="0" applyNumberFormat="1" applyFont="1" applyFill="1" applyBorder="1" applyAlignment="1">
      <alignment horizontal="center" vertical="center"/>
    </xf>
    <xf numFmtId="0" fontId="16" fillId="0" borderId="33" xfId="0" applyNumberFormat="1" applyFont="1" applyFill="1" applyBorder="1" applyAlignment="1">
      <alignment horizontal="center" vertical="center"/>
    </xf>
    <xf numFmtId="0" fontId="16" fillId="0" borderId="30" xfId="0" applyNumberFormat="1" applyFont="1" applyFill="1" applyBorder="1" applyAlignment="1">
      <alignment horizontal="center" vertical="center"/>
    </xf>
    <xf numFmtId="0" fontId="16" fillId="0" borderId="91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13" fillId="6" borderId="39" xfId="0" applyFont="1" applyFill="1" applyBorder="1" applyAlignment="1">
      <alignment vertical="center"/>
    </xf>
    <xf numFmtId="177" fontId="6" fillId="6" borderId="37" xfId="0" applyNumberFormat="1" applyFont="1" applyFill="1" applyBorder="1" applyAlignment="1">
      <alignment horizontal="left" vertical="center"/>
    </xf>
    <xf numFmtId="178" fontId="0" fillId="0" borderId="36" xfId="0" applyNumberFormat="1" applyBorder="1" applyAlignment="1">
      <alignment horizontal="center" vertical="center"/>
    </xf>
    <xf numFmtId="178" fontId="0" fillId="0" borderId="43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0" fontId="0" fillId="0" borderId="99" xfId="0" applyNumberFormat="1" applyBorder="1" applyAlignment="1">
      <alignment horizontal="center" vertical="center"/>
    </xf>
    <xf numFmtId="10" fontId="0" fillId="0" borderId="151" xfId="0" applyNumberFormat="1" applyBorder="1" applyAlignment="1">
      <alignment horizontal="center" vertical="center"/>
    </xf>
    <xf numFmtId="178" fontId="0" fillId="0" borderId="160" xfId="0" applyNumberFormat="1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10" fontId="0" fillId="0" borderId="162" xfId="0" applyNumberFormat="1" applyBorder="1" applyAlignment="1">
      <alignment horizontal="center" vertical="center"/>
    </xf>
    <xf numFmtId="10" fontId="0" fillId="0" borderId="163" xfId="0" applyNumberFormat="1" applyBorder="1" applyAlignment="1">
      <alignment horizontal="center" vertical="center"/>
    </xf>
    <xf numFmtId="180" fontId="16" fillId="0" borderId="93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vertical="top"/>
    </xf>
    <xf numFmtId="177" fontId="13" fillId="0" borderId="6" xfId="0" applyNumberFormat="1" applyFont="1" applyFill="1" applyBorder="1" applyAlignment="1">
      <alignment horizontal="left" vertical="center" wrapText="1"/>
    </xf>
    <xf numFmtId="176" fontId="26" fillId="6" borderId="96" xfId="0" applyNumberFormat="1" applyFont="1" applyFill="1" applyBorder="1" applyAlignment="1">
      <alignment horizontal="center" vertical="center"/>
    </xf>
    <xf numFmtId="0" fontId="16" fillId="0" borderId="96" xfId="0" applyNumberFormat="1" applyFont="1" applyFill="1" applyBorder="1" applyAlignment="1">
      <alignment horizontal="right" vertical="center"/>
    </xf>
    <xf numFmtId="0" fontId="16" fillId="0" borderId="96" xfId="0" applyNumberFormat="1" applyFont="1" applyFill="1" applyBorder="1" applyAlignment="1">
      <alignment horizontal="center" vertical="center"/>
    </xf>
    <xf numFmtId="176" fontId="26" fillId="6" borderId="9" xfId="0" applyNumberFormat="1" applyFont="1" applyFill="1" applyBorder="1" applyAlignment="1">
      <alignment vertical="center"/>
    </xf>
    <xf numFmtId="177" fontId="13" fillId="0" borderId="37" xfId="0" applyNumberFormat="1" applyFont="1" applyFill="1" applyBorder="1" applyAlignment="1">
      <alignment vertical="center"/>
    </xf>
    <xf numFmtId="177" fontId="13" fillId="6" borderId="37" xfId="0" applyNumberFormat="1" applyFont="1" applyFill="1" applyBorder="1" applyAlignment="1">
      <alignment vertical="center"/>
    </xf>
    <xf numFmtId="177" fontId="13" fillId="0" borderId="34" xfId="0" applyNumberFormat="1" applyFont="1" applyFill="1" applyBorder="1" applyAlignment="1">
      <alignment vertical="center"/>
    </xf>
    <xf numFmtId="0" fontId="36" fillId="13" borderId="122" xfId="3" applyFont="1" applyFill="1" applyBorder="1" applyAlignment="1">
      <alignment horizontal="center" vertical="center"/>
    </xf>
    <xf numFmtId="0" fontId="34" fillId="6" borderId="98" xfId="0" applyFont="1" applyFill="1" applyBorder="1" applyAlignment="1">
      <alignment vertical="top" wrapText="1"/>
    </xf>
    <xf numFmtId="185" fontId="34" fillId="6" borderId="98" xfId="0" applyNumberFormat="1" applyFont="1" applyFill="1" applyBorder="1" applyAlignment="1">
      <alignment horizontal="left" vertical="top" wrapText="1"/>
    </xf>
    <xf numFmtId="0" fontId="34" fillId="6" borderId="158" xfId="0" applyFont="1" applyFill="1" applyBorder="1" applyAlignment="1">
      <alignment vertical="top" wrapText="1"/>
    </xf>
    <xf numFmtId="177" fontId="13" fillId="0" borderId="20" xfId="0" applyNumberFormat="1" applyFont="1" applyFill="1" applyBorder="1" applyAlignment="1">
      <alignment horizontal="left" vertical="center"/>
    </xf>
    <xf numFmtId="177" fontId="13" fillId="6" borderId="34" xfId="0" applyNumberFormat="1" applyFont="1" applyFill="1" applyBorder="1" applyAlignment="1">
      <alignment vertical="center"/>
    </xf>
    <xf numFmtId="177" fontId="13" fillId="0" borderId="37" xfId="0" applyNumberFormat="1" applyFont="1" applyFill="1" applyBorder="1" applyAlignment="1">
      <alignment vertical="center" wrapText="1"/>
    </xf>
    <xf numFmtId="0" fontId="39" fillId="7" borderId="12" xfId="0" applyFont="1" applyFill="1" applyBorder="1" applyAlignment="1">
      <alignment horizontal="center" vertical="top" wrapText="1"/>
    </xf>
    <xf numFmtId="49" fontId="39" fillId="7" borderId="12" xfId="0" applyNumberFormat="1" applyFont="1" applyFill="1" applyBorder="1" applyAlignment="1">
      <alignment horizontal="center" vertical="top"/>
    </xf>
    <xf numFmtId="0" fontId="40" fillId="0" borderId="0" xfId="0" applyFont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vertical="center"/>
    </xf>
    <xf numFmtId="176" fontId="40" fillId="0" borderId="13" xfId="0" applyNumberFormat="1" applyFont="1" applyBorder="1" applyAlignment="1">
      <alignment horizontal="center" vertical="center"/>
    </xf>
    <xf numFmtId="0" fontId="40" fillId="0" borderId="13" xfId="0" applyFont="1" applyFill="1" applyBorder="1" applyAlignment="1">
      <alignment horizontal="center" vertical="center"/>
    </xf>
    <xf numFmtId="49" fontId="40" fillId="0" borderId="13" xfId="0" applyNumberFormat="1" applyFont="1" applyBorder="1" applyAlignment="1">
      <alignment horizontal="center" vertical="center"/>
    </xf>
    <xf numFmtId="0" fontId="41" fillId="9" borderId="13" xfId="0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26" xfId="0" applyFont="1" applyBorder="1" applyAlignment="1">
      <alignment horizontal="center" vertical="center"/>
    </xf>
    <xf numFmtId="0" fontId="40" fillId="0" borderId="26" xfId="0" applyFont="1" applyBorder="1" applyAlignment="1">
      <alignment vertical="center"/>
    </xf>
    <xf numFmtId="176" fontId="40" fillId="0" borderId="26" xfId="0" applyNumberFormat="1" applyFont="1" applyBorder="1" applyAlignment="1">
      <alignment horizontal="center" vertical="center"/>
    </xf>
    <xf numFmtId="0" fontId="40" fillId="0" borderId="26" xfId="0" applyFont="1" applyFill="1" applyBorder="1" applyAlignment="1">
      <alignment horizontal="center" vertical="center"/>
    </xf>
    <xf numFmtId="49" fontId="40" fillId="0" borderId="26" xfId="0" applyNumberFormat="1" applyFont="1" applyBorder="1" applyAlignment="1">
      <alignment horizontal="center" vertical="center"/>
    </xf>
    <xf numFmtId="0" fontId="41" fillId="9" borderId="26" xfId="0" applyFont="1" applyFill="1" applyBorder="1" applyAlignment="1">
      <alignment horizontal="center" vertical="center"/>
    </xf>
    <xf numFmtId="0" fontId="41" fillId="19" borderId="26" xfId="0" applyFont="1" applyFill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vertical="center"/>
    </xf>
    <xf numFmtId="176" fontId="40" fillId="0" borderId="27" xfId="0" applyNumberFormat="1" applyFont="1" applyBorder="1" applyAlignment="1">
      <alignment horizontal="center" vertical="center"/>
    </xf>
    <xf numFmtId="0" fontId="40" fillId="0" borderId="27" xfId="0" applyFont="1" applyFill="1" applyBorder="1" applyAlignment="1">
      <alignment horizontal="center" vertical="center"/>
    </xf>
    <xf numFmtId="49" fontId="40" fillId="0" borderId="27" xfId="0" applyNumberFormat="1" applyFont="1" applyBorder="1" applyAlignment="1">
      <alignment horizontal="center" vertical="center"/>
    </xf>
    <xf numFmtId="0" fontId="41" fillId="19" borderId="27" xfId="0" applyFont="1" applyFill="1" applyBorder="1" applyAlignment="1">
      <alignment horizontal="center" vertical="center"/>
    </xf>
    <xf numFmtId="0" fontId="41" fillId="19" borderId="13" xfId="0" applyFont="1" applyFill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9" borderId="27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49" fontId="40" fillId="0" borderId="1" xfId="0" applyNumberFormat="1" applyFont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0" xfId="0" applyFont="1" applyBorder="1" applyAlignment="1">
      <alignment vertical="center"/>
    </xf>
    <xf numFmtId="176" fontId="40" fillId="0" borderId="30" xfId="0" applyNumberFormat="1" applyFont="1" applyBorder="1" applyAlignment="1">
      <alignment horizontal="center" vertical="center"/>
    </xf>
    <xf numFmtId="0" fontId="40" fillId="0" borderId="30" xfId="0" applyFont="1" applyFill="1" applyBorder="1" applyAlignment="1">
      <alignment horizontal="center" vertical="center"/>
    </xf>
    <xf numFmtId="49" fontId="40" fillId="0" borderId="30" xfId="0" applyNumberFormat="1" applyFont="1" applyBorder="1" applyAlignment="1">
      <alignment horizontal="center" vertical="center"/>
    </xf>
    <xf numFmtId="0" fontId="41" fillId="9" borderId="30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center" vertical="center"/>
    </xf>
    <xf numFmtId="0" fontId="40" fillId="0" borderId="26" xfId="0" quotePrefix="1" applyFont="1" applyBorder="1" applyAlignment="1">
      <alignment vertical="center"/>
    </xf>
    <xf numFmtId="0" fontId="41" fillId="10" borderId="27" xfId="0" applyFont="1" applyFill="1" applyBorder="1" applyAlignment="1">
      <alignment horizontal="center" vertical="center"/>
    </xf>
    <xf numFmtId="0" fontId="41" fillId="21" borderId="27" xfId="0" applyFont="1" applyFill="1" applyBorder="1" applyAlignment="1">
      <alignment horizontal="center" vertical="center"/>
    </xf>
    <xf numFmtId="176" fontId="40" fillId="0" borderId="1" xfId="0" applyNumberFormat="1" applyFont="1" applyBorder="1" applyAlignment="1">
      <alignment horizontal="center" vertical="center" wrapText="1"/>
    </xf>
    <xf numFmtId="0" fontId="41" fillId="10" borderId="30" xfId="0" applyFont="1" applyFill="1" applyBorder="1" applyAlignment="1">
      <alignment horizontal="center" vertical="center"/>
    </xf>
    <xf numFmtId="0" fontId="41" fillId="9" borderId="93" xfId="0" applyFont="1" applyFill="1" applyBorder="1" applyAlignment="1">
      <alignment horizontal="center" vertical="center"/>
    </xf>
    <xf numFmtId="176" fontId="40" fillId="0" borderId="30" xfId="0" applyNumberFormat="1" applyFont="1" applyBorder="1" applyAlignment="1">
      <alignment horizontal="center" vertical="center" wrapText="1"/>
    </xf>
    <xf numFmtId="176" fontId="40" fillId="0" borderId="13" xfId="0" applyNumberFormat="1" applyFont="1" applyBorder="1" applyAlignment="1">
      <alignment horizontal="center" vertical="center" wrapText="1"/>
    </xf>
    <xf numFmtId="0" fontId="40" fillId="0" borderId="1" xfId="0" quotePrefix="1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0" fontId="40" fillId="0" borderId="28" xfId="0" applyFont="1" applyBorder="1" applyAlignment="1">
      <alignment horizontal="center" vertical="center"/>
    </xf>
    <xf numFmtId="0" fontId="40" fillId="0" borderId="28" xfId="0" applyFont="1" applyBorder="1" applyAlignment="1">
      <alignment vertical="center"/>
    </xf>
    <xf numFmtId="176" fontId="40" fillId="0" borderId="28" xfId="0" applyNumberFormat="1" applyFont="1" applyBorder="1" applyAlignment="1">
      <alignment horizontal="center" vertical="center"/>
    </xf>
    <xf numFmtId="0" fontId="40" fillId="0" borderId="28" xfId="0" applyFont="1" applyFill="1" applyBorder="1" applyAlignment="1">
      <alignment horizontal="center" vertical="center"/>
    </xf>
    <xf numFmtId="49" fontId="40" fillId="0" borderId="28" xfId="0" applyNumberFormat="1" applyFont="1" applyBorder="1" applyAlignment="1">
      <alignment horizontal="center" vertical="center"/>
    </xf>
    <xf numFmtId="0" fontId="41" fillId="9" borderId="28" xfId="0" applyFont="1" applyFill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vertical="center"/>
    </xf>
    <xf numFmtId="176" fontId="40" fillId="0" borderId="31" xfId="0" applyNumberFormat="1" applyFont="1" applyBorder="1" applyAlignment="1">
      <alignment horizontal="center" vertical="center"/>
    </xf>
    <xf numFmtId="0" fontId="40" fillId="0" borderId="31" xfId="0" applyFont="1" applyFill="1" applyBorder="1" applyAlignment="1">
      <alignment horizontal="center" vertical="center"/>
    </xf>
    <xf numFmtId="49" fontId="40" fillId="0" borderId="31" xfId="0" applyNumberFormat="1" applyFont="1" applyBorder="1" applyAlignment="1">
      <alignment horizontal="center" vertical="center"/>
    </xf>
    <xf numFmtId="0" fontId="41" fillId="10" borderId="31" xfId="0" applyFont="1" applyFill="1" applyBorder="1" applyAlignment="1">
      <alignment horizontal="center" vertical="center"/>
    </xf>
    <xf numFmtId="0" fontId="41" fillId="9" borderId="31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vertical="center"/>
    </xf>
    <xf numFmtId="176" fontId="40" fillId="0" borderId="5" xfId="0" applyNumberFormat="1" applyFont="1" applyBorder="1" applyAlignment="1">
      <alignment horizontal="center" vertical="center"/>
    </xf>
    <xf numFmtId="0" fontId="40" fillId="0" borderId="5" xfId="0" applyFont="1" applyFill="1" applyBorder="1" applyAlignment="1">
      <alignment horizontal="center" vertical="center"/>
    </xf>
    <xf numFmtId="49" fontId="40" fillId="0" borderId="5" xfId="0" applyNumberFormat="1" applyFont="1" applyBorder="1" applyAlignment="1">
      <alignment horizontal="center" vertical="center"/>
    </xf>
    <xf numFmtId="0" fontId="41" fillId="9" borderId="5" xfId="0" applyFont="1" applyFill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0" fillId="0" borderId="32" xfId="0" applyFont="1" applyBorder="1" applyAlignment="1">
      <alignment vertical="center"/>
    </xf>
    <xf numFmtId="176" fontId="40" fillId="0" borderId="32" xfId="0" applyNumberFormat="1" applyFont="1" applyBorder="1" applyAlignment="1">
      <alignment horizontal="center" vertical="center"/>
    </xf>
    <xf numFmtId="0" fontId="40" fillId="0" borderId="32" xfId="0" applyFont="1" applyFill="1" applyBorder="1" applyAlignment="1">
      <alignment horizontal="center" vertical="center"/>
    </xf>
    <xf numFmtId="49" fontId="40" fillId="0" borderId="32" xfId="0" applyNumberFormat="1" applyFont="1" applyBorder="1" applyAlignment="1">
      <alignment horizontal="center" vertical="center"/>
    </xf>
    <xf numFmtId="0" fontId="41" fillId="9" borderId="32" xfId="0" applyFont="1" applyFill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29" xfId="0" applyFont="1" applyBorder="1" applyAlignment="1">
      <alignment vertical="center"/>
    </xf>
    <xf numFmtId="176" fontId="40" fillId="0" borderId="29" xfId="0" applyNumberFormat="1" applyFont="1" applyBorder="1" applyAlignment="1">
      <alignment horizontal="center" vertical="center"/>
    </xf>
    <xf numFmtId="0" fontId="40" fillId="0" borderId="29" xfId="0" applyFont="1" applyFill="1" applyBorder="1" applyAlignment="1">
      <alignment horizontal="center" vertical="center"/>
    </xf>
    <xf numFmtId="49" fontId="40" fillId="0" borderId="29" xfId="0" applyNumberFormat="1" applyFont="1" applyBorder="1" applyAlignment="1">
      <alignment horizontal="center" vertical="center"/>
    </xf>
    <xf numFmtId="0" fontId="41" fillId="9" borderId="29" xfId="0" applyFont="1" applyFill="1" applyBorder="1" applyAlignment="1">
      <alignment horizontal="center" vertical="center"/>
    </xf>
    <xf numFmtId="0" fontId="41" fillId="19" borderId="29" xfId="0" applyFont="1" applyFill="1" applyBorder="1" applyAlignment="1">
      <alignment horizontal="center" vertical="center"/>
    </xf>
    <xf numFmtId="0" fontId="40" fillId="0" borderId="93" xfId="0" applyFont="1" applyBorder="1" applyAlignment="1">
      <alignment horizontal="center" vertical="center"/>
    </xf>
    <xf numFmtId="176" fontId="40" fillId="0" borderId="93" xfId="0" applyNumberFormat="1" applyFont="1" applyBorder="1" applyAlignment="1">
      <alignment horizontal="center" vertical="center"/>
    </xf>
    <xf numFmtId="49" fontId="40" fillId="0" borderId="93" xfId="0" applyNumberFormat="1" applyFont="1" applyBorder="1" applyAlignment="1">
      <alignment horizontal="center" vertical="center"/>
    </xf>
    <xf numFmtId="176" fontId="40" fillId="0" borderId="27" xfId="0" applyNumberFormat="1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vertical="center" wrapText="1"/>
    </xf>
    <xf numFmtId="0" fontId="40" fillId="0" borderId="15" xfId="0" applyFont="1" applyBorder="1" applyAlignment="1">
      <alignment vertical="center"/>
    </xf>
    <xf numFmtId="176" fontId="40" fillId="0" borderId="15" xfId="0" applyNumberFormat="1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49" fontId="40" fillId="0" borderId="15" xfId="0" applyNumberFormat="1" applyFont="1" applyBorder="1" applyAlignment="1">
      <alignment horizontal="center" vertical="center"/>
    </xf>
    <xf numFmtId="0" fontId="41" fillId="9" borderId="15" xfId="0" applyFont="1" applyFill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3" xfId="0" applyFont="1" applyBorder="1" applyAlignment="1">
      <alignment vertical="center" wrapText="1"/>
    </xf>
    <xf numFmtId="0" fontId="40" fillId="0" borderId="33" xfId="0" applyFont="1" applyBorder="1" applyAlignment="1">
      <alignment vertical="center"/>
    </xf>
    <xf numFmtId="176" fontId="40" fillId="0" borderId="33" xfId="0" applyNumberFormat="1" applyFont="1" applyBorder="1" applyAlignment="1">
      <alignment horizontal="center" vertical="center"/>
    </xf>
    <xf numFmtId="0" fontId="40" fillId="0" borderId="33" xfId="0" applyFont="1" applyFill="1" applyBorder="1" applyAlignment="1">
      <alignment horizontal="center" vertical="center"/>
    </xf>
    <xf numFmtId="49" fontId="40" fillId="0" borderId="33" xfId="0" applyNumberFormat="1" applyFont="1" applyBorder="1" applyAlignment="1">
      <alignment horizontal="center" vertical="center"/>
    </xf>
    <xf numFmtId="0" fontId="41" fillId="9" borderId="33" xfId="0" applyFont="1" applyFill="1" applyBorder="1" applyAlignment="1">
      <alignment horizontal="center" vertical="center"/>
    </xf>
    <xf numFmtId="176" fontId="40" fillId="0" borderId="33" xfId="0" applyNumberFormat="1" applyFont="1" applyBorder="1" applyAlignment="1">
      <alignment horizontal="center" vertical="center" wrapText="1"/>
    </xf>
    <xf numFmtId="0" fontId="41" fillId="10" borderId="28" xfId="0" applyFont="1" applyFill="1" applyBorder="1" applyAlignment="1">
      <alignment horizontal="center" vertical="center"/>
    </xf>
    <xf numFmtId="0" fontId="41" fillId="19" borderId="31" xfId="0" applyFont="1" applyFill="1" applyBorder="1" applyAlignment="1">
      <alignment horizontal="center" vertical="center"/>
    </xf>
    <xf numFmtId="0" fontId="40" fillId="0" borderId="52" xfId="0" applyFont="1" applyBorder="1" applyAlignment="1">
      <alignment horizontal="center" vertical="center"/>
    </xf>
    <xf numFmtId="0" fontId="40" fillId="0" borderId="52" xfId="0" applyFont="1" applyBorder="1" applyAlignment="1">
      <alignment vertical="center" wrapText="1"/>
    </xf>
    <xf numFmtId="0" fontId="40" fillId="0" borderId="52" xfId="0" applyFont="1" applyBorder="1" applyAlignment="1">
      <alignment vertical="center"/>
    </xf>
    <xf numFmtId="176" fontId="40" fillId="0" borderId="52" xfId="0" applyNumberFormat="1" applyFont="1" applyBorder="1" applyAlignment="1">
      <alignment horizontal="center" vertical="center"/>
    </xf>
    <xf numFmtId="0" fontId="40" fillId="0" borderId="52" xfId="0" applyFont="1" applyFill="1" applyBorder="1" applyAlignment="1">
      <alignment horizontal="center" vertical="center"/>
    </xf>
    <xf numFmtId="49" fontId="40" fillId="0" borderId="52" xfId="0" applyNumberFormat="1" applyFont="1" applyBorder="1" applyAlignment="1">
      <alignment horizontal="center" vertical="center"/>
    </xf>
    <xf numFmtId="0" fontId="41" fillId="9" borderId="52" xfId="0" applyFont="1" applyFill="1" applyBorder="1" applyAlignment="1">
      <alignment horizontal="center" vertical="center"/>
    </xf>
    <xf numFmtId="0" fontId="41" fillId="19" borderId="28" xfId="0" applyFont="1" applyFill="1" applyBorder="1" applyAlignment="1">
      <alignment horizontal="center" vertical="center"/>
    </xf>
    <xf numFmtId="0" fontId="41" fillId="0" borderId="5" xfId="0" applyFont="1" applyFill="1" applyBorder="1" applyAlignment="1">
      <alignment horizontal="center" vertical="center"/>
    </xf>
    <xf numFmtId="49" fontId="40" fillId="0" borderId="29" xfId="0" applyNumberFormat="1" applyFont="1" applyBorder="1" applyAlignment="1">
      <alignment vertical="center"/>
    </xf>
    <xf numFmtId="0" fontId="40" fillId="0" borderId="12" xfId="0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0" fontId="41" fillId="0" borderId="1" xfId="0" applyFont="1" applyFill="1" applyBorder="1" applyAlignment="1">
      <alignment horizontal="center" vertical="center"/>
    </xf>
    <xf numFmtId="49" fontId="40" fillId="0" borderId="1" xfId="0" applyNumberFormat="1" applyFont="1" applyBorder="1" applyAlignment="1">
      <alignment vertical="center"/>
    </xf>
    <xf numFmtId="0" fontId="41" fillId="19" borderId="5" xfId="0" applyFont="1" applyFill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0" fillId="0" borderId="1" xfId="0" applyFont="1" applyBorder="1" applyAlignment="1">
      <alignment vertical="center" wrapText="1"/>
    </xf>
    <xf numFmtId="0" fontId="40" fillId="0" borderId="29" xfId="0" applyFont="1" applyBorder="1" applyAlignment="1">
      <alignment vertical="center" wrapText="1"/>
    </xf>
    <xf numFmtId="0" fontId="40" fillId="0" borderId="24" xfId="0" applyFont="1" applyBorder="1" applyAlignment="1">
      <alignment horizontal="center" vertical="center"/>
    </xf>
    <xf numFmtId="176" fontId="40" fillId="0" borderId="24" xfId="0" applyNumberFormat="1" applyFont="1" applyBorder="1" applyAlignment="1">
      <alignment horizontal="center" vertical="center"/>
    </xf>
    <xf numFmtId="0" fontId="40" fillId="0" borderId="24" xfId="0" applyFont="1" applyFill="1" applyBorder="1" applyAlignment="1">
      <alignment horizontal="center" vertical="center"/>
    </xf>
    <xf numFmtId="49" fontId="40" fillId="0" borderId="24" xfId="0" applyNumberFormat="1" applyFont="1" applyBorder="1" applyAlignment="1">
      <alignment horizontal="center" vertical="center"/>
    </xf>
    <xf numFmtId="0" fontId="41" fillId="9" borderId="24" xfId="0" applyFont="1" applyFill="1" applyBorder="1" applyAlignment="1">
      <alignment horizontal="center" vertical="center"/>
    </xf>
    <xf numFmtId="0" fontId="41" fillId="0" borderId="29" xfId="0" applyFont="1" applyFill="1" applyBorder="1" applyAlignment="1">
      <alignment horizontal="center" vertical="center"/>
    </xf>
    <xf numFmtId="49" fontId="40" fillId="0" borderId="24" xfId="0" applyNumberFormat="1" applyFont="1" applyBorder="1" applyAlignment="1">
      <alignment vertical="center"/>
    </xf>
    <xf numFmtId="0" fontId="40" fillId="0" borderId="109" xfId="0" applyFont="1" applyBorder="1" applyAlignment="1">
      <alignment vertical="center"/>
    </xf>
    <xf numFmtId="0" fontId="40" fillId="0" borderId="123" xfId="0" applyFont="1" applyBorder="1" applyAlignment="1">
      <alignment vertical="center"/>
    </xf>
    <xf numFmtId="0" fontId="40" fillId="0" borderId="24" xfId="0" applyFont="1" applyBorder="1" applyAlignment="1">
      <alignment vertical="center" wrapText="1"/>
    </xf>
    <xf numFmtId="0" fontId="40" fillId="0" borderId="99" xfId="0" applyFont="1" applyBorder="1" applyAlignment="1">
      <alignment horizontal="center" vertical="center"/>
    </xf>
    <xf numFmtId="0" fontId="40" fillId="0" borderId="99" xfId="0" applyFont="1" applyBorder="1" applyAlignment="1">
      <alignment vertical="center"/>
    </xf>
    <xf numFmtId="176" fontId="40" fillId="0" borderId="99" xfId="0" applyNumberFormat="1" applyFont="1" applyBorder="1" applyAlignment="1">
      <alignment horizontal="center" vertical="center"/>
    </xf>
    <xf numFmtId="0" fontId="40" fillId="0" borderId="99" xfId="0" applyFont="1" applyFill="1" applyBorder="1" applyAlignment="1">
      <alignment horizontal="center" vertical="center"/>
    </xf>
    <xf numFmtId="49" fontId="40" fillId="0" borderId="99" xfId="0" applyNumberFormat="1" applyFont="1" applyBorder="1" applyAlignment="1">
      <alignment horizontal="center" vertical="center"/>
    </xf>
    <xf numFmtId="0" fontId="41" fillId="9" borderId="99" xfId="0" applyFont="1" applyFill="1" applyBorder="1" applyAlignment="1">
      <alignment horizontal="center" vertical="center"/>
    </xf>
    <xf numFmtId="0" fontId="40" fillId="0" borderId="24" xfId="0" applyFont="1" applyFill="1" applyBorder="1" applyAlignment="1">
      <alignment vertical="center"/>
    </xf>
    <xf numFmtId="0" fontId="40" fillId="0" borderId="1" xfId="0" applyFont="1" applyFill="1" applyBorder="1" applyAlignment="1">
      <alignment vertical="center"/>
    </xf>
    <xf numFmtId="176" fontId="40" fillId="0" borderId="1" xfId="0" applyNumberFormat="1" applyFont="1" applyFill="1" applyBorder="1" applyAlignment="1">
      <alignment horizontal="center" vertical="center"/>
    </xf>
    <xf numFmtId="0" fontId="40" fillId="0" borderId="29" xfId="0" applyFont="1" applyFill="1" applyBorder="1" applyAlignment="1">
      <alignment vertical="center"/>
    </xf>
    <xf numFmtId="176" fontId="40" fillId="0" borderId="29" xfId="0" applyNumberFormat="1" applyFont="1" applyFill="1" applyBorder="1" applyAlignment="1">
      <alignment horizontal="center" vertical="center"/>
    </xf>
    <xf numFmtId="0" fontId="40" fillId="0" borderId="99" xfId="0" applyFont="1" applyFill="1" applyBorder="1" applyAlignment="1">
      <alignment vertical="center"/>
    </xf>
    <xf numFmtId="176" fontId="40" fillId="0" borderId="99" xfId="0" applyNumberFormat="1" applyFont="1" applyFill="1" applyBorder="1" applyAlignment="1">
      <alignment horizontal="center" vertical="center"/>
    </xf>
    <xf numFmtId="20" fontId="40" fillId="0" borderId="99" xfId="0" applyNumberFormat="1" applyFont="1" applyFill="1" applyBorder="1" applyAlignment="1">
      <alignment vertical="center"/>
    </xf>
    <xf numFmtId="0" fontId="40" fillId="0" borderId="29" xfId="0" applyFont="1" applyFill="1" applyBorder="1" applyAlignment="1">
      <alignment vertical="center" wrapText="1"/>
    </xf>
    <xf numFmtId="0" fontId="40" fillId="0" borderId="5" xfId="0" applyFont="1" applyFill="1" applyBorder="1" applyAlignment="1">
      <alignment vertical="center"/>
    </xf>
    <xf numFmtId="176" fontId="40" fillId="0" borderId="5" xfId="0" applyNumberFormat="1" applyFont="1" applyFill="1" applyBorder="1" applyAlignment="1">
      <alignment horizontal="center" vertical="center"/>
    </xf>
    <xf numFmtId="0" fontId="41" fillId="9" borderId="112" xfId="0" applyFont="1" applyFill="1" applyBorder="1" applyAlignment="1">
      <alignment horizontal="center" vertical="center"/>
    </xf>
    <xf numFmtId="0" fontId="43" fillId="0" borderId="99" xfId="0" applyFont="1" applyFill="1" applyBorder="1" applyAlignment="1">
      <alignment horizontal="center" vertical="center"/>
    </xf>
    <xf numFmtId="0" fontId="43" fillId="0" borderId="99" xfId="0" applyFont="1" applyFill="1" applyBorder="1" applyAlignment="1">
      <alignment vertical="center"/>
    </xf>
    <xf numFmtId="176" fontId="43" fillId="0" borderId="99" xfId="0" applyNumberFormat="1" applyFont="1" applyFill="1" applyBorder="1" applyAlignment="1">
      <alignment horizontal="center" vertical="center"/>
    </xf>
    <xf numFmtId="0" fontId="41" fillId="0" borderId="99" xfId="0" applyFont="1" applyFill="1" applyBorder="1" applyAlignment="1">
      <alignment horizontal="center" vertical="center"/>
    </xf>
    <xf numFmtId="49" fontId="40" fillId="0" borderId="99" xfId="0" applyNumberFormat="1" applyFont="1" applyBorder="1" applyAlignment="1">
      <alignment vertical="center"/>
    </xf>
    <xf numFmtId="0" fontId="40" fillId="0" borderId="33" xfId="0" applyFont="1" applyFill="1" applyBorder="1" applyAlignment="1">
      <alignment vertical="center"/>
    </xf>
    <xf numFmtId="176" fontId="40" fillId="0" borderId="33" xfId="0" applyNumberFormat="1" applyFont="1" applyFill="1" applyBorder="1" applyAlignment="1">
      <alignment horizontal="center" vertical="center"/>
    </xf>
    <xf numFmtId="0" fontId="40" fillId="0" borderId="93" xfId="0" applyFont="1" applyFill="1" applyBorder="1" applyAlignment="1">
      <alignment horizontal="center" vertical="center"/>
    </xf>
    <xf numFmtId="0" fontId="40" fillId="0" borderId="93" xfId="0" applyFont="1" applyFill="1" applyBorder="1" applyAlignment="1">
      <alignment vertical="center"/>
    </xf>
    <xf numFmtId="176" fontId="40" fillId="0" borderId="93" xfId="0" applyNumberFormat="1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vertical="center"/>
    </xf>
    <xf numFmtId="176" fontId="43" fillId="0" borderId="1" xfId="0" applyNumberFormat="1" applyFont="1" applyFill="1" applyBorder="1" applyAlignment="1">
      <alignment horizontal="center" vertical="center"/>
    </xf>
    <xf numFmtId="0" fontId="43" fillId="0" borderId="33" xfId="0" applyFont="1" applyFill="1" applyBorder="1" applyAlignment="1">
      <alignment vertical="center"/>
    </xf>
    <xf numFmtId="0" fontId="40" fillId="0" borderId="30" xfId="0" applyFont="1" applyFill="1" applyBorder="1" applyAlignment="1">
      <alignment vertical="center"/>
    </xf>
    <xf numFmtId="176" fontId="40" fillId="0" borderId="30" xfId="0" applyNumberFormat="1" applyFont="1" applyFill="1" applyBorder="1" applyAlignment="1">
      <alignment horizontal="center" vertical="center"/>
    </xf>
    <xf numFmtId="0" fontId="40" fillId="0" borderId="100" xfId="0" applyFont="1" applyBorder="1" applyAlignment="1">
      <alignment vertical="center"/>
    </xf>
    <xf numFmtId="0" fontId="41" fillId="9" borderId="96" xfId="0" applyFont="1" applyFill="1" applyBorder="1" applyAlignment="1">
      <alignment horizontal="center" vertical="center"/>
    </xf>
    <xf numFmtId="0" fontId="40" fillId="0" borderId="124" xfId="0" applyFont="1" applyBorder="1" applyAlignment="1">
      <alignment vertical="center"/>
    </xf>
    <xf numFmtId="0" fontId="43" fillId="0" borderId="93" xfId="0" applyFont="1" applyFill="1" applyBorder="1" applyAlignment="1">
      <alignment horizontal="center" vertical="center"/>
    </xf>
    <xf numFmtId="0" fontId="43" fillId="0" borderId="93" xfId="0" applyFont="1" applyFill="1" applyBorder="1" applyAlignment="1">
      <alignment vertical="center"/>
    </xf>
    <xf numFmtId="176" fontId="43" fillId="0" borderId="93" xfId="0" applyNumberFormat="1" applyFont="1" applyFill="1" applyBorder="1" applyAlignment="1">
      <alignment horizontal="center" vertical="center"/>
    </xf>
    <xf numFmtId="0" fontId="41" fillId="0" borderId="93" xfId="0" applyFont="1" applyFill="1" applyBorder="1" applyAlignment="1">
      <alignment horizontal="center" vertical="center"/>
    </xf>
    <xf numFmtId="49" fontId="40" fillId="0" borderId="93" xfId="0" applyNumberFormat="1" applyFont="1" applyBorder="1" applyAlignment="1">
      <alignment vertical="center"/>
    </xf>
    <xf numFmtId="0" fontId="40" fillId="0" borderId="0" xfId="0" applyFont="1" applyBorder="1" applyAlignment="1">
      <alignment vertical="center"/>
    </xf>
    <xf numFmtId="0" fontId="40" fillId="0" borderId="28" xfId="0" applyFont="1" applyFill="1" applyBorder="1" applyAlignment="1">
      <alignment vertical="center"/>
    </xf>
    <xf numFmtId="176" fontId="40" fillId="0" borderId="28" xfId="0" applyNumberFormat="1" applyFont="1" applyFill="1" applyBorder="1" applyAlignment="1">
      <alignment horizontal="center" vertical="center"/>
    </xf>
    <xf numFmtId="0" fontId="40" fillId="0" borderId="52" xfId="0" applyFont="1" applyFill="1" applyBorder="1" applyAlignment="1">
      <alignment vertical="center"/>
    </xf>
    <xf numFmtId="176" fontId="40" fillId="0" borderId="52" xfId="0" applyNumberFormat="1" applyFont="1" applyFill="1" applyBorder="1" applyAlignment="1">
      <alignment horizontal="center" vertical="center"/>
    </xf>
    <xf numFmtId="0" fontId="41" fillId="10" borderId="99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45" fontId="40" fillId="0" borderId="0" xfId="0" applyNumberFormat="1" applyFont="1" applyAlignment="1">
      <alignment vertical="center"/>
    </xf>
    <xf numFmtId="56" fontId="40" fillId="0" borderId="124" xfId="0" applyNumberFormat="1" applyFont="1" applyBorder="1" applyAlignment="1">
      <alignment horizontal="center" vertical="center"/>
    </xf>
    <xf numFmtId="0" fontId="40" fillId="0" borderId="0" xfId="0" applyNumberFormat="1" applyFont="1" applyAlignment="1">
      <alignment vertical="center"/>
    </xf>
    <xf numFmtId="0" fontId="40" fillId="0" borderId="0" xfId="0" applyNumberFormat="1" applyFont="1" applyAlignment="1">
      <alignment horizontal="left" vertical="center"/>
    </xf>
    <xf numFmtId="186" fontId="40" fillId="0" borderId="0" xfId="0" applyNumberFormat="1" applyFont="1" applyAlignment="1">
      <alignment horizontal="left" vertical="center"/>
    </xf>
    <xf numFmtId="0" fontId="40" fillId="0" borderId="124" xfId="0" applyFont="1" applyBorder="1" applyAlignment="1">
      <alignment horizontal="left" vertical="center"/>
    </xf>
    <xf numFmtId="0" fontId="40" fillId="0" borderId="124" xfId="0" applyNumberFormat="1" applyFont="1" applyBorder="1" applyAlignment="1">
      <alignment vertical="center"/>
    </xf>
    <xf numFmtId="14" fontId="40" fillId="0" borderId="0" xfId="0" applyNumberFormat="1" applyFont="1" applyAlignment="1">
      <alignment horizontal="center" vertical="center"/>
    </xf>
    <xf numFmtId="0" fontId="41" fillId="19" borderId="93" xfId="0" applyFont="1" applyFill="1" applyBorder="1" applyAlignment="1">
      <alignment horizontal="center" vertical="center"/>
    </xf>
    <xf numFmtId="14" fontId="40" fillId="0" borderId="124" xfId="0" applyNumberFormat="1" applyFont="1" applyBorder="1" applyAlignment="1">
      <alignment horizontal="center" vertical="center"/>
    </xf>
    <xf numFmtId="14" fontId="40" fillId="0" borderId="0" xfId="0" applyNumberFormat="1" applyFont="1" applyAlignment="1">
      <alignment vertical="center"/>
    </xf>
    <xf numFmtId="0" fontId="43" fillId="0" borderId="28" xfId="0" applyFont="1" applyFill="1" applyBorder="1" applyAlignment="1">
      <alignment horizontal="center" vertical="center"/>
    </xf>
    <xf numFmtId="0" fontId="43" fillId="0" borderId="28" xfId="0" applyFont="1" applyFill="1" applyBorder="1" applyAlignment="1">
      <alignment vertical="center"/>
    </xf>
    <xf numFmtId="176" fontId="43" fillId="0" borderId="28" xfId="0" applyNumberFormat="1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vertical="center"/>
    </xf>
    <xf numFmtId="0" fontId="41" fillId="0" borderId="28" xfId="0" applyFont="1" applyFill="1" applyBorder="1" applyAlignment="1">
      <alignment horizontal="center" vertical="center"/>
    </xf>
    <xf numFmtId="49" fontId="40" fillId="0" borderId="28" xfId="0" applyNumberFormat="1" applyFont="1" applyBorder="1" applyAlignment="1">
      <alignment vertical="center"/>
    </xf>
    <xf numFmtId="14" fontId="40" fillId="0" borderId="124" xfId="0" applyNumberFormat="1" applyFont="1" applyBorder="1" applyAlignment="1">
      <alignment vertical="center"/>
    </xf>
    <xf numFmtId="0" fontId="40" fillId="0" borderId="0" xfId="0" applyNumberFormat="1" applyFont="1" applyAlignment="1">
      <alignment horizontal="center" vertical="center"/>
    </xf>
    <xf numFmtId="56" fontId="40" fillId="0" borderId="0" xfId="0" applyNumberFormat="1" applyFont="1" applyAlignment="1">
      <alignment horizontal="center" vertical="center"/>
    </xf>
    <xf numFmtId="49" fontId="40" fillId="0" borderId="99" xfId="0" applyNumberFormat="1" applyFont="1" applyFill="1" applyBorder="1" applyAlignment="1">
      <alignment horizontal="center" vertical="center"/>
    </xf>
    <xf numFmtId="0" fontId="43" fillId="17" borderId="29" xfId="0" applyFont="1" applyFill="1" applyBorder="1" applyAlignment="1">
      <alignment horizontal="center" vertical="center"/>
    </xf>
    <xf numFmtId="0" fontId="40" fillId="17" borderId="29" xfId="0" applyFont="1" applyFill="1" applyBorder="1" applyAlignment="1">
      <alignment vertical="center"/>
    </xf>
    <xf numFmtId="176" fontId="40" fillId="17" borderId="29" xfId="0" applyNumberFormat="1" applyFont="1" applyFill="1" applyBorder="1" applyAlignment="1">
      <alignment horizontal="center" vertical="center"/>
    </xf>
    <xf numFmtId="0" fontId="40" fillId="18" borderId="29" xfId="0" applyFont="1" applyFill="1" applyBorder="1" applyAlignment="1">
      <alignment horizontal="center" vertical="center"/>
    </xf>
    <xf numFmtId="0" fontId="41" fillId="18" borderId="29" xfId="0" applyFont="1" applyFill="1" applyBorder="1" applyAlignment="1">
      <alignment horizontal="center" vertical="center"/>
    </xf>
    <xf numFmtId="0" fontId="40" fillId="0" borderId="93" xfId="0" applyFont="1" applyBorder="1" applyAlignment="1">
      <alignment vertical="center"/>
    </xf>
    <xf numFmtId="56" fontId="40" fillId="0" borderId="0" xfId="0" applyNumberFormat="1" applyFont="1" applyAlignment="1">
      <alignment vertical="center"/>
    </xf>
    <xf numFmtId="0" fontId="40" fillId="0" borderId="1" xfId="0" quotePrefix="1" applyFont="1" applyFill="1" applyBorder="1" applyAlignment="1">
      <alignment vertical="center"/>
    </xf>
    <xf numFmtId="0" fontId="43" fillId="0" borderId="1" xfId="0" applyFont="1" applyFill="1" applyBorder="1" applyAlignment="1">
      <alignment vertical="center" wrapText="1"/>
    </xf>
    <xf numFmtId="0" fontId="40" fillId="0" borderId="13" xfId="0" applyFont="1" applyFill="1" applyBorder="1" applyAlignment="1">
      <alignment vertical="center"/>
    </xf>
    <xf numFmtId="0" fontId="41" fillId="19" borderId="30" xfId="0" applyFont="1" applyFill="1" applyBorder="1" applyAlignment="1">
      <alignment horizontal="center" vertical="center"/>
    </xf>
    <xf numFmtId="0" fontId="43" fillId="0" borderId="123" xfId="0" applyFont="1" applyFill="1" applyBorder="1" applyAlignment="1">
      <alignment vertical="top"/>
    </xf>
    <xf numFmtId="0" fontId="41" fillId="21" borderId="5" xfId="0" applyFont="1" applyFill="1" applyBorder="1" applyAlignment="1">
      <alignment horizontal="center" vertical="center"/>
    </xf>
    <xf numFmtId="14" fontId="40" fillId="0" borderId="53" xfId="0" applyNumberFormat="1" applyFont="1" applyBorder="1" applyAlignment="1">
      <alignment vertical="center"/>
    </xf>
    <xf numFmtId="0" fontId="43" fillId="0" borderId="0" xfId="0" applyFont="1" applyFill="1" applyBorder="1" applyAlignment="1">
      <alignment vertical="top"/>
    </xf>
    <xf numFmtId="0" fontId="40" fillId="0" borderId="99" xfId="0" quotePrefix="1" applyFont="1" applyFill="1" applyBorder="1" applyAlignment="1">
      <alignment vertical="center"/>
    </xf>
    <xf numFmtId="176" fontId="40" fillId="0" borderId="0" xfId="0" applyNumberFormat="1" applyFont="1" applyAlignment="1">
      <alignment vertical="center"/>
    </xf>
    <xf numFmtId="0" fontId="40" fillId="0" borderId="93" xfId="0" quotePrefix="1" applyFont="1" applyBorder="1" applyAlignment="1">
      <alignment vertical="center"/>
    </xf>
    <xf numFmtId="0" fontId="40" fillId="0" borderId="29" xfId="0" quotePrefix="1" applyFont="1" applyBorder="1" applyAlignment="1">
      <alignment vertical="center"/>
    </xf>
    <xf numFmtId="0" fontId="40" fillId="0" borderId="99" xfId="0" quotePrefix="1" applyFont="1" applyBorder="1" applyAlignment="1">
      <alignment vertical="center"/>
    </xf>
    <xf numFmtId="0" fontId="40" fillId="0" borderId="12" xfId="0" applyFont="1" applyBorder="1" applyAlignment="1">
      <alignment horizontal="center" vertical="center"/>
    </xf>
    <xf numFmtId="0" fontId="40" fillId="0" borderId="12" xfId="0" applyFont="1" applyBorder="1" applyAlignment="1">
      <alignment vertical="center"/>
    </xf>
    <xf numFmtId="176" fontId="40" fillId="0" borderId="12" xfId="0" applyNumberFormat="1" applyFont="1" applyBorder="1" applyAlignment="1">
      <alignment horizontal="center" vertical="center"/>
    </xf>
    <xf numFmtId="49" fontId="40" fillId="0" borderId="12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177" fontId="14" fillId="6" borderId="37" xfId="0" applyNumberFormat="1" applyFont="1" applyFill="1" applyBorder="1" applyAlignment="1">
      <alignment horizontal="left" vertical="center"/>
    </xf>
    <xf numFmtId="177" fontId="14" fillId="6" borderId="46" xfId="0" applyNumberFormat="1" applyFont="1" applyFill="1" applyBorder="1" applyAlignment="1">
      <alignment horizontal="center" vertical="center"/>
    </xf>
    <xf numFmtId="177" fontId="14" fillId="6" borderId="94" xfId="0" applyNumberFormat="1" applyFont="1" applyFill="1" applyBorder="1" applyAlignment="1">
      <alignment horizontal="center" vertical="center"/>
    </xf>
    <xf numFmtId="0" fontId="14" fillId="6" borderId="94" xfId="0" applyNumberFormat="1" applyFont="1" applyFill="1" applyBorder="1" applyAlignment="1">
      <alignment horizontal="right" vertical="center"/>
    </xf>
    <xf numFmtId="0" fontId="14" fillId="6" borderId="94" xfId="0" applyNumberFormat="1" applyFont="1" applyFill="1" applyBorder="1" applyAlignment="1">
      <alignment horizontal="center" vertical="center"/>
    </xf>
    <xf numFmtId="177" fontId="14" fillId="6" borderId="25" xfId="0" applyNumberFormat="1" applyFont="1" applyFill="1" applyBorder="1" applyAlignment="1">
      <alignment horizontal="left" vertical="center"/>
    </xf>
    <xf numFmtId="177" fontId="14" fillId="6" borderId="75" xfId="0" applyNumberFormat="1" applyFont="1" applyFill="1" applyBorder="1" applyAlignment="1">
      <alignment horizontal="center" vertical="center"/>
    </xf>
    <xf numFmtId="177" fontId="14" fillId="6" borderId="99" xfId="0" applyNumberFormat="1" applyFont="1" applyFill="1" applyBorder="1" applyAlignment="1">
      <alignment horizontal="center" vertical="center"/>
    </xf>
    <xf numFmtId="0" fontId="14" fillId="6" borderId="99" xfId="0" applyNumberFormat="1" applyFont="1" applyFill="1" applyBorder="1" applyAlignment="1">
      <alignment horizontal="right" vertical="center"/>
    </xf>
    <xf numFmtId="0" fontId="14" fillId="6" borderId="99" xfId="0" applyNumberFormat="1" applyFont="1" applyFill="1" applyBorder="1" applyAlignment="1">
      <alignment horizontal="center" vertical="center"/>
    </xf>
    <xf numFmtId="177" fontId="14" fillId="6" borderId="6" xfId="0" applyNumberFormat="1" applyFont="1" applyFill="1" applyBorder="1" applyAlignment="1">
      <alignment horizontal="left" vertical="center"/>
    </xf>
    <xf numFmtId="177" fontId="14" fillId="6" borderId="22" xfId="0" applyNumberFormat="1" applyFont="1" applyFill="1" applyBorder="1" applyAlignment="1">
      <alignment horizontal="center" vertical="center"/>
    </xf>
    <xf numFmtId="177" fontId="14" fillId="6" borderId="93" xfId="0" applyNumberFormat="1" applyFont="1" applyFill="1" applyBorder="1" applyAlignment="1">
      <alignment horizontal="center" vertical="center"/>
    </xf>
    <xf numFmtId="0" fontId="14" fillId="6" borderId="93" xfId="0" applyNumberFormat="1" applyFont="1" applyFill="1" applyBorder="1" applyAlignment="1">
      <alignment horizontal="right" vertical="center"/>
    </xf>
    <xf numFmtId="0" fontId="14" fillId="6" borderId="93" xfId="0" applyNumberFormat="1" applyFont="1" applyFill="1" applyBorder="1" applyAlignment="1">
      <alignment horizontal="center" vertical="center"/>
    </xf>
    <xf numFmtId="177" fontId="14" fillId="6" borderId="39" xfId="0" applyNumberFormat="1" applyFont="1" applyFill="1" applyBorder="1" applyAlignment="1">
      <alignment horizontal="left" vertical="center"/>
    </xf>
    <xf numFmtId="177" fontId="14" fillId="6" borderId="20" xfId="0" applyNumberFormat="1" applyFont="1" applyFill="1" applyBorder="1" applyAlignment="1">
      <alignment horizontal="center" vertical="center"/>
    </xf>
    <xf numFmtId="0" fontId="14" fillId="6" borderId="13" xfId="0" applyNumberFormat="1" applyFont="1" applyFill="1" applyBorder="1" applyAlignment="1">
      <alignment horizontal="right" vertical="center"/>
    </xf>
    <xf numFmtId="0" fontId="14" fillId="6" borderId="13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176" fontId="26" fillId="6" borderId="2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/>
    </xf>
    <xf numFmtId="0" fontId="32" fillId="6" borderId="2" xfId="0" applyFont="1" applyFill="1" applyBorder="1" applyAlignment="1">
      <alignment horizontal="center" vertical="center"/>
    </xf>
    <xf numFmtId="176" fontId="26" fillId="6" borderId="154" xfId="0" applyNumberFormat="1" applyFont="1" applyFill="1" applyBorder="1" applyAlignment="1">
      <alignment horizontal="center" vertical="center" wrapText="1"/>
    </xf>
    <xf numFmtId="0" fontId="32" fillId="6" borderId="154" xfId="0" applyFont="1" applyFill="1" applyBorder="1" applyAlignment="1">
      <alignment vertical="center"/>
    </xf>
    <xf numFmtId="0" fontId="32" fillId="6" borderId="154" xfId="0" applyFont="1" applyFill="1" applyBorder="1" applyAlignment="1">
      <alignment horizontal="center" vertical="center"/>
    </xf>
    <xf numFmtId="0" fontId="32" fillId="6" borderId="9" xfId="0" applyFont="1" applyFill="1" applyBorder="1" applyAlignment="1">
      <alignment vertical="center"/>
    </xf>
    <xf numFmtId="0" fontId="32" fillId="6" borderId="9" xfId="0" applyFont="1" applyFill="1" applyBorder="1" applyAlignment="1">
      <alignment horizontal="center" vertical="center"/>
    </xf>
    <xf numFmtId="190" fontId="32" fillId="6" borderId="9" xfId="0" applyNumberFormat="1" applyFont="1" applyFill="1" applyBorder="1" applyAlignment="1">
      <alignment horizontal="center" vertical="center"/>
    </xf>
    <xf numFmtId="176" fontId="26" fillId="6" borderId="4" xfId="0" applyNumberFormat="1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vertical="center"/>
    </xf>
    <xf numFmtId="0" fontId="32" fillId="6" borderId="4" xfId="0" applyFont="1" applyFill="1" applyBorder="1" applyAlignment="1">
      <alignment horizontal="center" vertical="center"/>
    </xf>
    <xf numFmtId="190" fontId="32" fillId="6" borderId="4" xfId="0" applyNumberFormat="1" applyFont="1" applyFill="1" applyBorder="1" applyAlignment="1">
      <alignment horizontal="center" vertical="center"/>
    </xf>
    <xf numFmtId="190" fontId="32" fillId="6" borderId="2" xfId="0" applyNumberFormat="1" applyFont="1" applyFill="1" applyBorder="1" applyAlignment="1">
      <alignment horizontal="center" vertical="center"/>
    </xf>
    <xf numFmtId="190" fontId="32" fillId="6" borderId="154" xfId="0" applyNumberFormat="1" applyFont="1" applyFill="1" applyBorder="1" applyAlignment="1">
      <alignment horizontal="center" vertical="center"/>
    </xf>
    <xf numFmtId="176" fontId="26" fillId="6" borderId="155" xfId="0" applyNumberFormat="1" applyFont="1" applyFill="1" applyBorder="1" applyAlignment="1">
      <alignment horizontal="center" vertical="center" wrapText="1"/>
    </xf>
    <xf numFmtId="0" fontId="32" fillId="6" borderId="155" xfId="0" applyFont="1" applyFill="1" applyBorder="1" applyAlignment="1">
      <alignment vertical="center"/>
    </xf>
    <xf numFmtId="0" fontId="32" fillId="6" borderId="155" xfId="0" applyFont="1" applyFill="1" applyBorder="1" applyAlignment="1">
      <alignment horizontal="center" vertical="center"/>
    </xf>
    <xf numFmtId="190" fontId="32" fillId="6" borderId="155" xfId="0" applyNumberFormat="1" applyFont="1" applyFill="1" applyBorder="1" applyAlignment="1">
      <alignment horizontal="center" vertical="center"/>
    </xf>
    <xf numFmtId="21" fontId="32" fillId="6" borderId="2" xfId="0" applyNumberFormat="1" applyFont="1" applyFill="1" applyBorder="1" applyAlignment="1">
      <alignment horizontal="center" vertical="center"/>
    </xf>
    <xf numFmtId="21" fontId="32" fillId="6" borderId="4" xfId="0" applyNumberFormat="1" applyFont="1" applyFill="1" applyBorder="1" applyAlignment="1">
      <alignment horizontal="center" vertical="center"/>
    </xf>
    <xf numFmtId="21" fontId="32" fillId="6" borderId="154" xfId="0" applyNumberFormat="1" applyFont="1" applyFill="1" applyBorder="1" applyAlignment="1">
      <alignment horizontal="center" vertical="center"/>
    </xf>
    <xf numFmtId="176" fontId="26" fillId="0" borderId="2" xfId="0" applyNumberFormat="1" applyFont="1" applyFill="1" applyBorder="1" applyAlignment="1">
      <alignment horizontal="center" vertical="center" wrapText="1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horizontal="center" vertical="center"/>
    </xf>
    <xf numFmtId="176" fontId="26" fillId="0" borderId="4" xfId="0" applyNumberFormat="1" applyFont="1" applyFill="1" applyBorder="1" applyAlignment="1">
      <alignment horizontal="center" vertical="center" wrapText="1"/>
    </xf>
    <xf numFmtId="0" fontId="32" fillId="0" borderId="4" xfId="0" applyFont="1" applyBorder="1" applyAlignment="1">
      <alignment vertical="center"/>
    </xf>
    <xf numFmtId="0" fontId="32" fillId="0" borderId="4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7" fontId="13" fillId="6" borderId="37" xfId="0" applyNumberFormat="1" applyFont="1" applyFill="1" applyBorder="1" applyAlignment="1">
      <alignment vertical="center" wrapText="1"/>
    </xf>
    <xf numFmtId="0" fontId="36" fillId="2" borderId="7" xfId="3" applyFont="1" applyFill="1" applyBorder="1" applyAlignment="1">
      <alignment horizontal="center" vertical="center" wrapText="1"/>
    </xf>
    <xf numFmtId="0" fontId="36" fillId="2" borderId="62" xfId="3" applyFont="1" applyFill="1" applyBorder="1" applyAlignment="1">
      <alignment horizontal="center" vertical="center" wrapText="1"/>
    </xf>
    <xf numFmtId="0" fontId="20" fillId="13" borderId="0" xfId="0" applyFont="1" applyFill="1" applyAlignment="1">
      <alignment horizontal="center" vertical="center"/>
    </xf>
    <xf numFmtId="0" fontId="20" fillId="13" borderId="56" xfId="0" applyFont="1" applyFill="1" applyBorder="1" applyAlignment="1">
      <alignment horizontal="center" vertical="center"/>
    </xf>
    <xf numFmtId="0" fontId="20" fillId="13" borderId="107" xfId="0" applyFont="1" applyFill="1" applyBorder="1" applyAlignment="1">
      <alignment horizontal="center" vertical="center"/>
    </xf>
    <xf numFmtId="0" fontId="20" fillId="13" borderId="33" xfId="0" applyFont="1" applyFill="1" applyBorder="1" applyAlignment="1">
      <alignment horizontal="center" vertical="center"/>
    </xf>
    <xf numFmtId="0" fontId="20" fillId="13" borderId="76" xfId="0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13" borderId="133" xfId="0" applyFont="1" applyFill="1" applyBorder="1" applyAlignment="1">
      <alignment horizontal="center" vertical="center"/>
    </xf>
    <xf numFmtId="0" fontId="20" fillId="13" borderId="53" xfId="0" applyFont="1" applyFill="1" applyBorder="1" applyAlignment="1">
      <alignment horizontal="center" vertical="center"/>
    </xf>
    <xf numFmtId="0" fontId="20" fillId="13" borderId="96" xfId="0" applyFont="1" applyFill="1" applyBorder="1" applyAlignment="1">
      <alignment horizontal="center" vertical="center"/>
    </xf>
    <xf numFmtId="0" fontId="20" fillId="13" borderId="54" xfId="0" applyFont="1" applyFill="1" applyBorder="1" applyAlignment="1">
      <alignment horizontal="center" vertical="center"/>
    </xf>
    <xf numFmtId="0" fontId="20" fillId="13" borderId="55" xfId="0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20" fillId="13" borderId="69" xfId="0" applyFont="1" applyFill="1" applyBorder="1" applyAlignment="1">
      <alignment horizontal="center" vertical="center"/>
    </xf>
    <xf numFmtId="0" fontId="20" fillId="13" borderId="43" xfId="0" applyFont="1" applyFill="1" applyBorder="1" applyAlignment="1">
      <alignment horizontal="center" vertical="center"/>
    </xf>
    <xf numFmtId="0" fontId="20" fillId="13" borderId="77" xfId="0" applyFont="1" applyFill="1" applyBorder="1" applyAlignment="1">
      <alignment horizontal="center" vertical="center"/>
    </xf>
    <xf numFmtId="0" fontId="20" fillId="13" borderId="25" xfId="0" applyFont="1" applyFill="1" applyBorder="1" applyAlignment="1">
      <alignment horizontal="center" vertical="center"/>
    </xf>
    <xf numFmtId="0" fontId="20" fillId="13" borderId="99" xfId="0" applyFont="1" applyFill="1" applyBorder="1" applyAlignment="1">
      <alignment horizontal="center" vertical="center"/>
    </xf>
    <xf numFmtId="0" fontId="20" fillId="13" borderId="151" xfId="0" applyFont="1" applyFill="1" applyBorder="1" applyAlignment="1">
      <alignment horizontal="center" vertical="center"/>
    </xf>
    <xf numFmtId="0" fontId="45" fillId="13" borderId="25" xfId="0" applyFont="1" applyFill="1" applyBorder="1" applyAlignment="1">
      <alignment horizontal="center" vertical="center"/>
    </xf>
    <xf numFmtId="0" fontId="20" fillId="13" borderId="78" xfId="0" applyFont="1" applyFill="1" applyBorder="1" applyAlignment="1">
      <alignment horizontal="center" vertical="center"/>
    </xf>
    <xf numFmtId="0" fontId="20" fillId="13" borderId="110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102" xfId="0" applyFont="1" applyFill="1" applyBorder="1" applyAlignment="1"/>
    <xf numFmtId="0" fontId="44" fillId="4" borderId="21" xfId="0" applyFont="1" applyFill="1" applyBorder="1" applyAlignment="1"/>
    <xf numFmtId="0" fontId="20" fillId="4" borderId="21" xfId="0" applyFont="1" applyFill="1" applyBorder="1" applyAlignment="1"/>
    <xf numFmtId="0" fontId="20" fillId="4" borderId="22" xfId="0" applyFont="1" applyFill="1" applyBorder="1" applyAlignment="1">
      <alignment horizontal="center"/>
    </xf>
    <xf numFmtId="0" fontId="44" fillId="6" borderId="22" xfId="0" applyFont="1" applyFill="1" applyBorder="1" applyAlignment="1">
      <alignment horizontal="center" vertical="center" wrapText="1"/>
    </xf>
    <xf numFmtId="0" fontId="44" fillId="6" borderId="93" xfId="0" applyFont="1" applyFill="1" applyBorder="1" applyAlignment="1">
      <alignment horizontal="center" vertical="center" wrapText="1"/>
    </xf>
    <xf numFmtId="0" fontId="20" fillId="6" borderId="102" xfId="0" applyFont="1" applyFill="1" applyBorder="1" applyAlignment="1">
      <alignment horizontal="center" vertical="center" wrapText="1"/>
    </xf>
    <xf numFmtId="0" fontId="36" fillId="2" borderId="50" xfId="3" applyFont="1" applyFill="1" applyBorder="1" applyAlignment="1">
      <alignment horizontal="center" vertical="center" wrapText="1"/>
    </xf>
    <xf numFmtId="0" fontId="36" fillId="2" borderId="43" xfId="3" applyFont="1" applyFill="1" applyBorder="1" applyAlignment="1">
      <alignment horizontal="center" vertical="center" wrapText="1"/>
    </xf>
    <xf numFmtId="0" fontId="45" fillId="2" borderId="50" xfId="0" applyFont="1" applyFill="1" applyBorder="1" applyAlignment="1">
      <alignment horizontal="center" vertical="center" wrapText="1"/>
    </xf>
    <xf numFmtId="0" fontId="45" fillId="2" borderId="102" xfId="0" applyFont="1" applyFill="1" applyBorder="1" applyAlignment="1">
      <alignment horizontal="center" vertical="center" wrapText="1"/>
    </xf>
    <xf numFmtId="0" fontId="36" fillId="2" borderId="6" xfId="3" applyFont="1" applyFill="1" applyBorder="1" applyAlignment="1">
      <alignment horizontal="center" vertical="center" wrapText="1"/>
    </xf>
    <xf numFmtId="0" fontId="36" fillId="2" borderId="22" xfId="3" applyFont="1" applyFill="1" applyBorder="1" applyAlignment="1">
      <alignment horizontal="center" vertical="center" wrapText="1"/>
    </xf>
    <xf numFmtId="0" fontId="36" fillId="2" borderId="102" xfId="3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center" vertical="center" wrapText="1"/>
    </xf>
    <xf numFmtId="0" fontId="20" fillId="6" borderId="93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85" xfId="0" applyFont="1" applyFill="1" applyBorder="1" applyAlignment="1">
      <alignment horizontal="center" vertical="center"/>
    </xf>
    <xf numFmtId="10" fontId="44" fillId="2" borderId="87" xfId="2" applyNumberFormat="1" applyFont="1" applyFill="1" applyBorder="1" applyAlignment="1">
      <alignment horizontal="center" vertical="center"/>
    </xf>
    <xf numFmtId="10" fontId="44" fillId="2" borderId="29" xfId="2" applyNumberFormat="1" applyFont="1" applyFill="1" applyBorder="1" applyAlignment="1">
      <alignment horizontal="center" vertical="center"/>
    </xf>
    <xf numFmtId="9" fontId="20" fillId="6" borderId="61" xfId="2" applyNumberFormat="1" applyFont="1" applyFill="1" applyBorder="1" applyAlignment="1">
      <alignment horizontal="center" vertical="center"/>
    </xf>
    <xf numFmtId="10" fontId="20" fillId="6" borderId="29" xfId="2" applyNumberFormat="1" applyFont="1" applyFill="1" applyBorder="1" applyAlignment="1">
      <alignment horizontal="center" vertical="center"/>
    </xf>
    <xf numFmtId="9" fontId="20" fillId="6" borderId="29" xfId="2" applyNumberFormat="1" applyFont="1" applyFill="1" applyBorder="1" applyAlignment="1">
      <alignment horizontal="center" vertical="center"/>
    </xf>
    <xf numFmtId="9" fontId="45" fillId="2" borderId="29" xfId="2" applyNumberFormat="1" applyFont="1" applyFill="1" applyBorder="1" applyAlignment="1">
      <alignment horizontal="center" vertical="center"/>
    </xf>
    <xf numFmtId="182" fontId="45" fillId="6" borderId="29" xfId="2" applyNumberFormat="1" applyFont="1" applyFill="1" applyBorder="1" applyAlignment="1">
      <alignment horizontal="center" vertical="center"/>
    </xf>
    <xf numFmtId="9" fontId="45" fillId="2" borderId="29" xfId="2" applyFont="1" applyFill="1" applyBorder="1" applyAlignment="1">
      <alignment horizontal="center" vertical="center"/>
    </xf>
    <xf numFmtId="9" fontId="45" fillId="6" borderId="29" xfId="2" applyFont="1" applyFill="1" applyBorder="1" applyAlignment="1">
      <alignment horizontal="center" vertical="center"/>
    </xf>
    <xf numFmtId="9" fontId="45" fillId="6" borderId="149" xfId="2" applyNumberFormat="1" applyFont="1" applyFill="1" applyBorder="1" applyAlignment="1">
      <alignment horizontal="center" vertical="center"/>
    </xf>
    <xf numFmtId="9" fontId="45" fillId="2" borderId="153" xfId="2" applyNumberFormat="1" applyFont="1" applyFill="1" applyBorder="1" applyAlignment="1">
      <alignment horizontal="center" vertical="center"/>
    </xf>
    <xf numFmtId="9" fontId="45" fillId="2" borderId="60" xfId="2" applyNumberFormat="1" applyFont="1" applyFill="1" applyBorder="1" applyAlignment="1">
      <alignment horizontal="center" vertical="center"/>
    </xf>
    <xf numFmtId="9" fontId="45" fillId="2" borderId="60" xfId="2" applyFont="1" applyFill="1" applyBorder="1" applyAlignment="1">
      <alignment horizontal="center" vertical="center"/>
    </xf>
    <xf numFmtId="9" fontId="45" fillId="2" borderId="153" xfId="2" applyFont="1" applyFill="1" applyBorder="1" applyAlignment="1">
      <alignment horizontal="center" vertical="center"/>
    </xf>
    <xf numFmtId="9" fontId="20" fillId="2" borderId="153" xfId="2" applyFont="1" applyFill="1" applyBorder="1" applyAlignment="1">
      <alignment horizontal="center" vertical="center"/>
    </xf>
    <xf numFmtId="9" fontId="20" fillId="2" borderId="61" xfId="2" applyFont="1" applyFill="1" applyBorder="1" applyAlignment="1">
      <alignment horizontal="center" vertical="center"/>
    </xf>
    <xf numFmtId="9" fontId="20" fillId="2" borderId="149" xfId="2" applyFont="1" applyFill="1" applyBorder="1" applyAlignment="1">
      <alignment horizontal="center" vertical="center"/>
    </xf>
    <xf numFmtId="10" fontId="44" fillId="4" borderId="61" xfId="2" applyNumberFormat="1" applyFont="1" applyFill="1" applyBorder="1" applyAlignment="1">
      <alignment horizontal="center" vertical="center"/>
    </xf>
    <xf numFmtId="182" fontId="20" fillId="6" borderId="61" xfId="2" applyNumberFormat="1" applyFont="1" applyFill="1" applyBorder="1" applyAlignment="1">
      <alignment horizontal="center" vertical="center"/>
    </xf>
    <xf numFmtId="182" fontId="20" fillId="6" borderId="29" xfId="2" applyNumberFormat="1" applyFont="1" applyFill="1" applyBorder="1" applyAlignment="1">
      <alignment horizontal="center" vertical="center"/>
    </xf>
    <xf numFmtId="9" fontId="20" fillId="6" borderId="149" xfId="2" applyFont="1" applyFill="1" applyBorder="1" applyAlignment="1">
      <alignment horizontal="center" vertical="center"/>
    </xf>
    <xf numFmtId="9" fontId="20" fillId="6" borderId="29" xfId="2" applyFont="1" applyFill="1" applyBorder="1" applyAlignment="1">
      <alignment horizontal="center" vertical="center"/>
    </xf>
    <xf numFmtId="9" fontId="45" fillId="4" borderId="29" xfId="2" applyNumberFormat="1" applyFont="1" applyFill="1" applyBorder="1" applyAlignment="1">
      <alignment horizontal="center" vertical="center"/>
    </xf>
    <xf numFmtId="9" fontId="20" fillId="4" borderId="60" xfId="2" applyFont="1" applyFill="1" applyBorder="1" applyAlignment="1">
      <alignment horizontal="center" vertical="center"/>
    </xf>
    <xf numFmtId="9" fontId="20" fillId="6" borderId="87" xfId="2" applyFont="1" applyFill="1" applyBorder="1" applyAlignment="1">
      <alignment horizontal="center" vertical="center"/>
    </xf>
    <xf numFmtId="9" fontId="20" fillId="6" borderId="153" xfId="2" applyFont="1" applyFill="1" applyBorder="1" applyAlignment="1">
      <alignment horizontal="center" vertical="center"/>
    </xf>
    <xf numFmtId="9" fontId="20" fillId="4" borderId="29" xfId="2" applyFont="1" applyFill="1" applyBorder="1" applyAlignment="1">
      <alignment horizontal="center" vertical="center"/>
    </xf>
    <xf numFmtId="9" fontId="20" fillId="6" borderId="61" xfId="2" applyFont="1" applyFill="1" applyBorder="1" applyAlignment="1">
      <alignment horizontal="center" vertical="center"/>
    </xf>
    <xf numFmtId="9" fontId="20" fillId="4" borderId="149" xfId="2" applyFont="1" applyFill="1" applyBorder="1" applyAlignment="1">
      <alignment horizontal="center" vertical="center"/>
    </xf>
    <xf numFmtId="9" fontId="45" fillId="4" borderId="153" xfId="2" applyNumberFormat="1" applyFont="1" applyFill="1" applyBorder="1" applyAlignment="1">
      <alignment horizontal="center" vertical="center"/>
    </xf>
    <xf numFmtId="9" fontId="45" fillId="4" borderId="29" xfId="2" applyFont="1" applyFill="1" applyBorder="1" applyAlignment="1">
      <alignment horizontal="center" vertical="center"/>
    </xf>
    <xf numFmtId="9" fontId="20" fillId="4" borderId="61" xfId="2" applyFont="1" applyFill="1" applyBorder="1" applyAlignment="1">
      <alignment horizontal="center" vertical="center"/>
    </xf>
    <xf numFmtId="9" fontId="45" fillId="4" borderId="61" xfId="2" applyFont="1" applyFill="1" applyBorder="1" applyAlignment="1">
      <alignment horizontal="center" vertical="center"/>
    </xf>
    <xf numFmtId="0" fontId="44" fillId="2" borderId="93" xfId="0" applyFont="1" applyFill="1" applyBorder="1" applyAlignment="1">
      <alignment horizontal="center" vertical="center" wrapText="1"/>
    </xf>
    <xf numFmtId="0" fontId="45" fillId="2" borderId="93" xfId="0" applyFont="1" applyFill="1" applyBorder="1" applyAlignment="1">
      <alignment horizontal="center" vertical="center" wrapText="1"/>
    </xf>
    <xf numFmtId="0" fontId="45" fillId="6" borderId="93" xfId="0" applyFont="1" applyFill="1" applyBorder="1" applyAlignment="1">
      <alignment horizontal="center" vertical="center" wrapText="1"/>
    </xf>
    <xf numFmtId="0" fontId="20" fillId="2" borderId="93" xfId="0" applyFont="1" applyFill="1" applyBorder="1" applyAlignment="1">
      <alignment horizontal="center" vertical="center" wrapText="1"/>
    </xf>
    <xf numFmtId="0" fontId="45" fillId="2" borderId="62" xfId="0" applyFont="1" applyFill="1" applyBorder="1" applyAlignment="1">
      <alignment horizontal="center" vertical="center" wrapText="1"/>
    </xf>
    <xf numFmtId="0" fontId="44" fillId="4" borderId="22" xfId="0" applyFont="1" applyFill="1" applyBorder="1" applyAlignment="1">
      <alignment horizontal="center" vertical="center" wrapText="1"/>
    </xf>
    <xf numFmtId="0" fontId="45" fillId="4" borderId="93" xfId="0" applyFont="1" applyFill="1" applyBorder="1" applyAlignment="1">
      <alignment horizontal="center" vertical="center" wrapText="1"/>
    </xf>
    <xf numFmtId="0" fontId="20" fillId="4" borderId="93" xfId="0" applyFont="1" applyFill="1" applyBorder="1" applyAlignment="1">
      <alignment horizontal="center" vertical="center" wrapText="1"/>
    </xf>
    <xf numFmtId="0" fontId="45" fillId="4" borderId="22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/>
    </xf>
    <xf numFmtId="0" fontId="44" fillId="2" borderId="118" xfId="0" applyFont="1" applyFill="1" applyBorder="1" applyAlignment="1">
      <alignment horizontal="center" vertical="center"/>
    </xf>
    <xf numFmtId="0" fontId="44" fillId="2" borderId="30" xfId="0" applyFont="1" applyFill="1" applyBorder="1" applyAlignment="1">
      <alignment horizontal="center" vertical="center"/>
    </xf>
    <xf numFmtId="0" fontId="20" fillId="6" borderId="104" xfId="0" applyFont="1" applyFill="1" applyBorder="1" applyAlignment="1">
      <alignment horizontal="center" vertical="center"/>
    </xf>
    <xf numFmtId="0" fontId="20" fillId="6" borderId="30" xfId="0" applyFont="1" applyFill="1" applyBorder="1" applyAlignment="1">
      <alignment horizontal="center" vertical="center"/>
    </xf>
    <xf numFmtId="0" fontId="45" fillId="2" borderId="30" xfId="0" applyFont="1" applyFill="1" applyBorder="1" applyAlignment="1">
      <alignment horizontal="center" vertical="center"/>
    </xf>
    <xf numFmtId="0" fontId="45" fillId="6" borderId="30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45" fillId="2" borderId="156" xfId="0" applyFont="1" applyFill="1" applyBorder="1" applyAlignment="1">
      <alignment horizontal="center" vertical="center"/>
    </xf>
    <xf numFmtId="0" fontId="44" fillId="4" borderId="104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45" fillId="4" borderId="104" xfId="0" applyFont="1" applyFill="1" applyBorder="1" applyAlignment="1">
      <alignment horizontal="center" vertical="center"/>
    </xf>
    <xf numFmtId="178" fontId="20" fillId="0" borderId="67" xfId="0" applyNumberFormat="1" applyFont="1" applyBorder="1" applyAlignment="1">
      <alignment horizontal="center" vertical="center"/>
    </xf>
    <xf numFmtId="0" fontId="44" fillId="2" borderId="83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20" fillId="6" borderId="9" xfId="0" applyFont="1" applyFill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45" fillId="6" borderId="83" xfId="0" applyFont="1" applyFill="1" applyBorder="1" applyAlignment="1">
      <alignment horizontal="center" vertical="center"/>
    </xf>
    <xf numFmtId="0" fontId="45" fillId="0" borderId="83" xfId="0" applyFont="1" applyBorder="1" applyAlignment="1">
      <alignment horizontal="center" vertical="center"/>
    </xf>
    <xf numFmtId="0" fontId="45" fillId="0" borderId="83" xfId="0" applyFont="1" applyFill="1" applyBorder="1" applyAlignment="1">
      <alignment horizontal="center" vertical="center"/>
    </xf>
    <xf numFmtId="0" fontId="20" fillId="0" borderId="83" xfId="0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/>
    </xf>
    <xf numFmtId="0" fontId="44" fillId="4" borderId="16" xfId="0" applyFont="1" applyFill="1" applyBorder="1" applyAlignment="1">
      <alignment horizontal="center" vertical="center"/>
    </xf>
    <xf numFmtId="0" fontId="45" fillId="6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16" xfId="0" applyFont="1" applyFill="1" applyBorder="1" applyAlignment="1">
      <alignment horizontal="center" vertical="center"/>
    </xf>
    <xf numFmtId="178" fontId="20" fillId="0" borderId="48" xfId="0" applyNumberFormat="1" applyFont="1" applyBorder="1" applyAlignment="1">
      <alignment horizontal="center" vertical="center"/>
    </xf>
    <xf numFmtId="0" fontId="44" fillId="2" borderId="86" xfId="0" applyFont="1" applyFill="1" applyBorder="1" applyAlignment="1">
      <alignment horizontal="center" vertical="center"/>
    </xf>
    <xf numFmtId="0" fontId="20" fillId="6" borderId="18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4" fillId="4" borderId="18" xfId="0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5" fillId="0" borderId="3" xfId="0" applyFont="1" applyFill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45" fillId="0" borderId="18" xfId="0" applyFont="1" applyFill="1" applyBorder="1" applyAlignment="1">
      <alignment horizontal="center" vertical="center"/>
    </xf>
    <xf numFmtId="178" fontId="20" fillId="0" borderId="81" xfId="0" applyNumberFormat="1" applyFont="1" applyBorder="1" applyAlignment="1">
      <alignment horizontal="center" vertical="center"/>
    </xf>
    <xf numFmtId="0" fontId="44" fillId="2" borderId="121" xfId="0" applyFont="1" applyFill="1" applyBorder="1" applyAlignment="1">
      <alignment horizontal="center" vertical="center"/>
    </xf>
    <xf numFmtId="0" fontId="44" fillId="2" borderId="96" xfId="0" applyFont="1" applyFill="1" applyBorder="1" applyAlignment="1">
      <alignment horizontal="center" vertical="center"/>
    </xf>
    <xf numFmtId="0" fontId="20" fillId="6" borderId="119" xfId="0" applyFont="1" applyFill="1" applyBorder="1" applyAlignment="1">
      <alignment horizontal="center" vertical="center"/>
    </xf>
    <xf numFmtId="0" fontId="20" fillId="6" borderId="120" xfId="0" applyFont="1" applyFill="1" applyBorder="1" applyAlignment="1">
      <alignment horizontal="center" vertical="center"/>
    </xf>
    <xf numFmtId="0" fontId="45" fillId="0" borderId="120" xfId="0" applyFont="1" applyBorder="1" applyAlignment="1">
      <alignment horizontal="center" vertical="center"/>
    </xf>
    <xf numFmtId="0" fontId="45" fillId="6" borderId="53" xfId="0" applyFont="1" applyFill="1" applyBorder="1" applyAlignment="1">
      <alignment horizontal="center" vertical="center"/>
    </xf>
    <xf numFmtId="0" fontId="45" fillId="0" borderId="53" xfId="0" applyFont="1" applyBorder="1" applyAlignment="1">
      <alignment horizontal="center" vertical="center"/>
    </xf>
    <xf numFmtId="0" fontId="45" fillId="0" borderId="53" xfId="0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45" fillId="0" borderId="96" xfId="0" applyFont="1" applyBorder="1" applyAlignment="1">
      <alignment horizontal="center" vertical="center"/>
    </xf>
    <xf numFmtId="0" fontId="45" fillId="0" borderId="69" xfId="0" applyFont="1" applyBorder="1" applyAlignment="1">
      <alignment horizontal="center" vertical="center"/>
    </xf>
    <xf numFmtId="0" fontId="44" fillId="4" borderId="119" xfId="0" applyFont="1" applyFill="1" applyBorder="1" applyAlignment="1">
      <alignment horizontal="center" vertical="center"/>
    </xf>
    <xf numFmtId="0" fontId="45" fillId="6" borderId="120" xfId="0" applyFont="1" applyFill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45" fillId="0" borderId="120" xfId="0" applyFont="1" applyFill="1" applyBorder="1" applyAlignment="1">
      <alignment horizontal="center" vertical="center"/>
    </xf>
    <xf numFmtId="0" fontId="45" fillId="0" borderId="119" xfId="0" applyFont="1" applyBorder="1" applyAlignment="1">
      <alignment horizontal="center" vertical="center"/>
    </xf>
    <xf numFmtId="0" fontId="45" fillId="0" borderId="119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45" fillId="6" borderId="125" xfId="0" applyFont="1" applyFill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/>
    </xf>
    <xf numFmtId="0" fontId="45" fillId="0" borderId="125" xfId="0" applyFont="1" applyFill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45" fillId="0" borderId="71" xfId="0" applyFont="1" applyBorder="1" applyAlignment="1">
      <alignment horizontal="center" vertical="center"/>
    </xf>
    <xf numFmtId="178" fontId="20" fillId="0" borderId="66" xfId="0" applyNumberFormat="1" applyFont="1" applyBorder="1" applyAlignment="1">
      <alignment horizontal="center" vertical="center"/>
    </xf>
    <xf numFmtId="0" fontId="44" fillId="0" borderId="145" xfId="0" applyFont="1" applyBorder="1" applyAlignment="1">
      <alignment horizontal="center" vertical="center"/>
    </xf>
    <xf numFmtId="0" fontId="44" fillId="2" borderId="28" xfId="0" applyFont="1" applyFill="1" applyBorder="1" applyAlignment="1">
      <alignment horizontal="center" vertical="center"/>
    </xf>
    <xf numFmtId="0" fontId="20" fillId="6" borderId="68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6" borderId="123" xfId="0" applyFont="1" applyFill="1" applyBorder="1" applyAlignment="1">
      <alignment horizontal="center" vertical="center"/>
    </xf>
    <xf numFmtId="0" fontId="45" fillId="0" borderId="123" xfId="0" applyFont="1" applyBorder="1" applyAlignment="1">
      <alignment horizontal="center" vertical="center"/>
    </xf>
    <xf numFmtId="0" fontId="20" fillId="0" borderId="123" xfId="0" applyFont="1" applyBorder="1" applyAlignment="1">
      <alignment horizontal="center" vertical="center"/>
    </xf>
    <xf numFmtId="0" fontId="45" fillId="0" borderId="88" xfId="0" applyFont="1" applyBorder="1" applyAlignment="1">
      <alignment horizontal="center" vertical="center"/>
    </xf>
    <xf numFmtId="0" fontId="44" fillId="4" borderId="68" xfId="0" applyFont="1" applyFill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45" fillId="6" borderId="28" xfId="0" applyFont="1" applyFill="1" applyBorder="1" applyAlignment="1">
      <alignment horizontal="center" vertical="center"/>
    </xf>
    <xf numFmtId="0" fontId="45" fillId="0" borderId="68" xfId="0" applyFont="1" applyBorder="1" applyAlignment="1">
      <alignment horizontal="center" vertical="center"/>
    </xf>
    <xf numFmtId="0" fontId="45" fillId="6" borderId="68" xfId="0" applyFont="1" applyFill="1" applyBorder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177" fontId="13" fillId="0" borderId="34" xfId="0" applyNumberFormat="1" applyFont="1" applyFill="1" applyBorder="1" applyAlignment="1">
      <alignment horizontal="left" vertical="center"/>
    </xf>
    <xf numFmtId="177" fontId="13" fillId="0" borderId="6" xfId="0" applyNumberFormat="1" applyFont="1" applyFill="1" applyBorder="1" applyAlignment="1">
      <alignment vertical="center"/>
    </xf>
    <xf numFmtId="0" fontId="13" fillId="0" borderId="109" xfId="0" applyFont="1" applyFill="1" applyBorder="1" applyAlignment="1">
      <alignment horizontal="center" vertical="center"/>
    </xf>
    <xf numFmtId="177" fontId="13" fillId="0" borderId="92" xfId="0" applyNumberFormat="1" applyFont="1" applyFill="1" applyBorder="1" applyAlignment="1">
      <alignment horizontal="left" vertical="center"/>
    </xf>
    <xf numFmtId="177" fontId="13" fillId="0" borderId="92" xfId="0" applyNumberFormat="1" applyFont="1" applyFill="1" applyBorder="1" applyAlignment="1">
      <alignment horizontal="center" vertical="center"/>
    </xf>
    <xf numFmtId="0" fontId="16" fillId="0" borderId="95" xfId="0" applyNumberFormat="1" applyFont="1" applyFill="1" applyBorder="1" applyAlignment="1">
      <alignment horizontal="right" vertical="center"/>
    </xf>
    <xf numFmtId="0" fontId="16" fillId="0" borderId="95" xfId="0" applyNumberFormat="1" applyFont="1" applyFill="1" applyBorder="1" applyAlignment="1">
      <alignment horizontal="center" vertical="center"/>
    </xf>
    <xf numFmtId="0" fontId="13" fillId="0" borderId="92" xfId="0" applyFont="1" applyFill="1" applyBorder="1" applyAlignment="1">
      <alignment horizontal="center" vertical="center"/>
    </xf>
    <xf numFmtId="177" fontId="13" fillId="0" borderId="41" xfId="0" applyNumberFormat="1" applyFont="1" applyFill="1" applyBorder="1" applyAlignment="1">
      <alignment horizontal="left" vertical="center"/>
    </xf>
    <xf numFmtId="177" fontId="13" fillId="0" borderId="41" xfId="0" applyNumberFormat="1" applyFont="1" applyFill="1" applyBorder="1" applyAlignment="1">
      <alignment horizontal="left" vertical="center" wrapText="1"/>
    </xf>
    <xf numFmtId="177" fontId="13" fillId="0" borderId="92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10" fontId="20" fillId="0" borderId="0" xfId="2" applyNumberFormat="1" applyFont="1">
      <alignment vertical="center"/>
    </xf>
    <xf numFmtId="0" fontId="46" fillId="7" borderId="12" xfId="0" applyFont="1" applyFill="1" applyBorder="1" applyAlignment="1">
      <alignment horizontal="center" vertical="top"/>
    </xf>
    <xf numFmtId="180" fontId="14" fillId="0" borderId="22" xfId="0" applyNumberFormat="1" applyFont="1" applyFill="1" applyBorder="1" applyAlignment="1">
      <alignment horizontal="center" vertical="center"/>
    </xf>
    <xf numFmtId="0" fontId="40" fillId="0" borderId="124" xfId="0" applyFont="1" applyBorder="1" applyAlignment="1">
      <alignment horizontal="center" vertical="center"/>
    </xf>
    <xf numFmtId="0" fontId="20" fillId="4" borderId="62" xfId="0" applyFont="1" applyFill="1" applyBorder="1" applyAlignment="1">
      <alignment horizontal="center"/>
    </xf>
    <xf numFmtId="0" fontId="44" fillId="2" borderId="21" xfId="0" applyFont="1" applyFill="1" applyBorder="1" applyAlignment="1">
      <alignment horizontal="center" vertical="center"/>
    </xf>
    <xf numFmtId="0" fontId="20" fillId="13" borderId="89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0" fillId="13" borderId="75" xfId="0" applyFont="1" applyFill="1" applyBorder="1" applyAlignment="1">
      <alignment horizontal="center" vertical="center"/>
    </xf>
    <xf numFmtId="180" fontId="16" fillId="6" borderId="99" xfId="0" applyNumberFormat="1" applyFont="1" applyFill="1" applyBorder="1" applyAlignment="1">
      <alignment horizontal="center" vertical="center"/>
    </xf>
    <xf numFmtId="0" fontId="20" fillId="6" borderId="89" xfId="0" applyFont="1" applyFill="1" applyBorder="1" applyAlignment="1">
      <alignment horizontal="center" vertical="center"/>
    </xf>
    <xf numFmtId="0" fontId="20" fillId="6" borderId="107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53" xfId="0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77" xfId="0" applyFont="1" applyFill="1" applyBorder="1" applyAlignment="1">
      <alignment horizontal="center" vertical="center"/>
    </xf>
    <xf numFmtId="0" fontId="45" fillId="6" borderId="22" xfId="0" applyFont="1" applyFill="1" applyBorder="1" applyAlignment="1">
      <alignment horizontal="center" vertical="center" wrapText="1"/>
    </xf>
    <xf numFmtId="0" fontId="45" fillId="6" borderId="102" xfId="0" applyFont="1" applyFill="1" applyBorder="1" applyAlignment="1">
      <alignment horizontal="center" vertical="center" wrapText="1"/>
    </xf>
    <xf numFmtId="0" fontId="36" fillId="6" borderId="114" xfId="3" applyFont="1" applyFill="1" applyBorder="1" applyAlignment="1">
      <alignment horizontal="center" vertical="center"/>
    </xf>
    <xf numFmtId="0" fontId="20" fillId="6" borderId="54" xfId="0" applyFont="1" applyFill="1" applyBorder="1" applyAlignment="1">
      <alignment horizontal="center" vertical="center"/>
    </xf>
    <xf numFmtId="0" fontId="36" fillId="6" borderId="25" xfId="3" applyFont="1" applyFill="1" applyBorder="1" applyAlignment="1">
      <alignment horizontal="center" vertical="center"/>
    </xf>
    <xf numFmtId="0" fontId="36" fillId="6" borderId="6" xfId="3" applyFont="1" applyFill="1" applyBorder="1" applyAlignment="1">
      <alignment horizontal="center" vertical="center" wrapText="1"/>
    </xf>
    <xf numFmtId="9" fontId="45" fillId="6" borderId="153" xfId="2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5" fillId="2" borderId="99" xfId="0" applyFont="1" applyFill="1" applyBorder="1" applyAlignment="1">
      <alignment horizontal="center" vertical="center"/>
    </xf>
    <xf numFmtId="0" fontId="13" fillId="0" borderId="76" xfId="0" applyFont="1" applyBorder="1" applyAlignment="1">
      <alignment vertical="center"/>
    </xf>
    <xf numFmtId="0" fontId="26" fillId="0" borderId="93" xfId="0" applyFont="1" applyFill="1" applyBorder="1" applyAlignment="1">
      <alignment horizontal="center" vertical="center"/>
    </xf>
    <xf numFmtId="0" fontId="26" fillId="0" borderId="93" xfId="0" applyFont="1" applyFill="1" applyBorder="1" applyAlignment="1">
      <alignment vertical="center"/>
    </xf>
    <xf numFmtId="0" fontId="26" fillId="0" borderId="93" xfId="0" applyFont="1" applyFill="1" applyBorder="1" applyAlignment="1">
      <alignment horizontal="center" vertical="center" wrapText="1"/>
    </xf>
    <xf numFmtId="0" fontId="26" fillId="0" borderId="93" xfId="0" applyNumberFormat="1" applyFont="1" applyFill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 vertical="center"/>
    </xf>
    <xf numFmtId="0" fontId="25" fillId="3" borderId="95" xfId="0" applyFont="1" applyFill="1" applyBorder="1" applyAlignment="1">
      <alignment horizontal="center" vertical="center"/>
    </xf>
    <xf numFmtId="0" fontId="14" fillId="0" borderId="93" xfId="0" applyFont="1" applyFill="1" applyBorder="1" applyAlignment="1">
      <alignment horizontal="center" vertical="center"/>
    </xf>
    <xf numFmtId="180" fontId="14" fillId="0" borderId="21" xfId="0" applyNumberFormat="1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/>
    </xf>
    <xf numFmtId="0" fontId="13" fillId="0" borderId="30" xfId="0" applyFont="1" applyBorder="1" applyAlignment="1"/>
    <xf numFmtId="0" fontId="13" fillId="0" borderId="30" xfId="0" quotePrefix="1" applyFont="1" applyBorder="1" applyAlignment="1">
      <alignment horizontal="left"/>
    </xf>
    <xf numFmtId="0" fontId="13" fillId="0" borderId="30" xfId="0" applyFont="1" applyBorder="1" applyAlignment="1">
      <alignment vertical="center"/>
    </xf>
    <xf numFmtId="10" fontId="13" fillId="0" borderId="30" xfId="0" applyNumberFormat="1" applyFont="1" applyFill="1" applyBorder="1" applyAlignment="1">
      <alignment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/>
    </xf>
    <xf numFmtId="0" fontId="13" fillId="0" borderId="99" xfId="0" applyFont="1" applyBorder="1" applyAlignment="1"/>
    <xf numFmtId="0" fontId="13" fillId="0" borderId="99" xfId="0" quotePrefix="1" applyFont="1" applyBorder="1" applyAlignment="1">
      <alignment horizontal="left"/>
    </xf>
    <xf numFmtId="0" fontId="13" fillId="0" borderId="99" xfId="0" applyFont="1" applyBorder="1" applyAlignment="1">
      <alignment vertical="center"/>
    </xf>
    <xf numFmtId="10" fontId="13" fillId="0" borderId="99" xfId="0" applyNumberFormat="1" applyFont="1" applyFill="1" applyBorder="1" applyAlignment="1">
      <alignment vertical="center"/>
    </xf>
    <xf numFmtId="0" fontId="13" fillId="0" borderId="151" xfId="0" applyFont="1" applyBorder="1" applyAlignment="1">
      <alignment horizontal="center" vertical="center"/>
    </xf>
    <xf numFmtId="0" fontId="16" fillId="0" borderId="0" xfId="0" applyFont="1" applyAlignment="1">
      <alignment vertical="top" wrapText="1"/>
    </xf>
    <xf numFmtId="180" fontId="16" fillId="0" borderId="0" xfId="0" quotePrefix="1" applyNumberFormat="1" applyFont="1" applyFill="1" applyAlignment="1">
      <alignment vertical="top"/>
    </xf>
    <xf numFmtId="180" fontId="16" fillId="0" borderId="99" xfId="0" applyNumberFormat="1" applyFont="1" applyBorder="1" applyAlignment="1">
      <alignment horizontal="center" vertical="center"/>
    </xf>
    <xf numFmtId="0" fontId="26" fillId="0" borderId="99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vertical="center" wrapText="1"/>
    </xf>
    <xf numFmtId="0" fontId="25" fillId="5" borderId="31" xfId="0" applyFont="1" applyFill="1" applyBorder="1" applyAlignment="1">
      <alignment vertical="center"/>
    </xf>
    <xf numFmtId="0" fontId="25" fillId="5" borderId="31" xfId="0" applyFont="1" applyFill="1" applyBorder="1" applyAlignment="1">
      <alignment horizontal="center" vertical="center" wrapText="1"/>
    </xf>
    <xf numFmtId="0" fontId="25" fillId="5" borderId="31" xfId="0" applyFont="1" applyFill="1" applyBorder="1" applyAlignment="1">
      <alignment horizontal="center" vertical="center"/>
    </xf>
    <xf numFmtId="0" fontId="25" fillId="5" borderId="166" xfId="0" applyFont="1" applyFill="1" applyBorder="1" applyAlignment="1">
      <alignment vertical="center"/>
    </xf>
    <xf numFmtId="0" fontId="25" fillId="5" borderId="167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0" fontId="26" fillId="0" borderId="153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horizontal="center" vertical="center"/>
    </xf>
    <xf numFmtId="0" fontId="26" fillId="5" borderId="168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5" fillId="14" borderId="78" xfId="0" applyFont="1" applyFill="1" applyBorder="1" applyAlignment="1">
      <alignment vertical="center"/>
    </xf>
    <xf numFmtId="0" fontId="15" fillId="2" borderId="93" xfId="0" applyFont="1" applyFill="1" applyBorder="1" applyAlignment="1">
      <alignment horizontal="center" vertical="center"/>
    </xf>
    <xf numFmtId="0" fontId="16" fillId="0" borderId="93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6" fillId="6" borderId="93" xfId="0" applyFont="1" applyFill="1" applyBorder="1" applyAlignment="1">
      <alignment horizontal="center" vertical="center" wrapText="1"/>
    </xf>
    <xf numFmtId="0" fontId="16" fillId="6" borderId="21" xfId="0" applyFont="1" applyFill="1" applyBorder="1" applyAlignment="1">
      <alignment vertical="center"/>
    </xf>
    <xf numFmtId="0" fontId="16" fillId="6" borderId="22" xfId="0" applyFont="1" applyFill="1" applyBorder="1" applyAlignment="1">
      <alignment vertical="center"/>
    </xf>
    <xf numFmtId="0" fontId="16" fillId="6" borderId="102" xfId="0" applyFont="1" applyFill="1" applyBorder="1" applyAlignment="1">
      <alignment vertical="center"/>
    </xf>
    <xf numFmtId="0" fontId="16" fillId="6" borderId="99" xfId="0" applyFont="1" applyFill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26" fillId="6" borderId="134" xfId="0" applyFont="1" applyFill="1" applyBorder="1" applyAlignment="1">
      <alignment horizontal="center" vertical="center"/>
    </xf>
    <xf numFmtId="0" fontId="26" fillId="6" borderId="135" xfId="0" applyFont="1" applyFill="1" applyBorder="1" applyAlignment="1">
      <alignment horizontal="center" vertical="center"/>
    </xf>
    <xf numFmtId="176" fontId="26" fillId="6" borderId="96" xfId="0" applyNumberFormat="1" applyFont="1" applyFill="1" applyBorder="1" applyAlignment="1">
      <alignment vertical="center"/>
    </xf>
    <xf numFmtId="176" fontId="26" fillId="6" borderId="13" xfId="0" applyNumberFormat="1" applyFont="1" applyFill="1" applyBorder="1" applyAlignment="1">
      <alignment vertical="center"/>
    </xf>
    <xf numFmtId="0" fontId="26" fillId="6" borderId="134" xfId="0" applyFont="1" applyFill="1" applyBorder="1" applyAlignment="1">
      <alignment vertical="center"/>
    </xf>
    <xf numFmtId="0" fontId="26" fillId="6" borderId="135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vertical="center"/>
    </xf>
    <xf numFmtId="0" fontId="26" fillId="6" borderId="136" xfId="0" applyFont="1" applyFill="1" applyBorder="1" applyAlignment="1">
      <alignment horizontal="center" vertical="center"/>
    </xf>
    <xf numFmtId="0" fontId="33" fillId="6" borderId="134" xfId="0" applyFont="1" applyFill="1" applyBorder="1" applyAlignment="1">
      <alignment horizontal="center" vertical="center"/>
    </xf>
    <xf numFmtId="0" fontId="26" fillId="6" borderId="136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horizontal="center" vertical="center" wrapText="1"/>
    </xf>
    <xf numFmtId="176" fontId="26" fillId="6" borderId="96" xfId="0" applyNumberFormat="1" applyFont="1" applyFill="1" applyBorder="1" applyAlignment="1">
      <alignment horizontal="center" vertical="center" wrapText="1"/>
    </xf>
    <xf numFmtId="176" fontId="26" fillId="6" borderId="13" xfId="0" applyNumberFormat="1" applyFont="1" applyFill="1" applyBorder="1" applyAlignment="1">
      <alignment horizontal="center" vertical="center" wrapText="1"/>
    </xf>
    <xf numFmtId="176" fontId="26" fillId="14" borderId="96" xfId="0" applyNumberFormat="1" applyFont="1" applyFill="1" applyBorder="1" applyAlignment="1">
      <alignment vertical="center"/>
    </xf>
    <xf numFmtId="0" fontId="26" fillId="6" borderId="15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vertical="center"/>
    </xf>
    <xf numFmtId="0" fontId="26" fillId="6" borderId="96" xfId="0" applyFont="1" applyFill="1" applyBorder="1" applyAlignment="1">
      <alignment vertical="center"/>
    </xf>
    <xf numFmtId="0" fontId="26" fillId="6" borderId="13" xfId="0" applyFont="1" applyFill="1" applyBorder="1" applyAlignment="1">
      <alignment vertical="center"/>
    </xf>
    <xf numFmtId="0" fontId="16" fillId="6" borderId="93" xfId="0" quotePrefix="1" applyFont="1" applyFill="1" applyBorder="1" applyAlignment="1">
      <alignment horizontal="center" vertical="center"/>
    </xf>
    <xf numFmtId="176" fontId="26" fillId="14" borderId="120" xfId="0" applyNumberFormat="1" applyFont="1" applyFill="1" applyBorder="1" applyAlignment="1">
      <alignment horizontal="center" vertical="center" wrapText="1"/>
    </xf>
    <xf numFmtId="0" fontId="26" fillId="14" borderId="120" xfId="0" applyFont="1" applyFill="1" applyBorder="1" applyAlignment="1">
      <alignment horizontal="center" vertical="center" wrapText="1"/>
    </xf>
    <xf numFmtId="0" fontId="26" fillId="14" borderId="120" xfId="0" applyFont="1" applyFill="1" applyBorder="1" applyAlignment="1">
      <alignment vertical="center" wrapText="1"/>
    </xf>
    <xf numFmtId="0" fontId="26" fillId="14" borderId="120" xfId="0" applyFont="1" applyFill="1" applyBorder="1" applyAlignment="1">
      <alignment vertical="center"/>
    </xf>
    <xf numFmtId="0" fontId="26" fillId="14" borderId="120" xfId="0" applyFont="1" applyFill="1" applyBorder="1" applyAlignment="1">
      <alignment horizontal="center" vertical="center"/>
    </xf>
    <xf numFmtId="0" fontId="26" fillId="14" borderId="120" xfId="0" applyNumberFormat="1" applyFont="1" applyFill="1" applyBorder="1" applyAlignment="1">
      <alignment horizontal="center" vertical="center" wrapText="1"/>
    </xf>
    <xf numFmtId="0" fontId="26" fillId="0" borderId="134" xfId="0" applyFont="1" applyFill="1" applyBorder="1" applyAlignment="1">
      <alignment horizontal="center" vertical="center"/>
    </xf>
    <xf numFmtId="176" fontId="26" fillId="0" borderId="134" xfId="0" applyNumberFormat="1" applyFont="1" applyFill="1" applyBorder="1" applyAlignment="1">
      <alignment horizontal="center" vertical="center"/>
    </xf>
    <xf numFmtId="0" fontId="26" fillId="0" borderId="134" xfId="0" applyFont="1" applyFill="1" applyBorder="1" applyAlignment="1">
      <alignment vertical="center"/>
    </xf>
    <xf numFmtId="0" fontId="26" fillId="0" borderId="134" xfId="0" applyFont="1" applyFill="1" applyBorder="1">
      <alignment vertical="center"/>
    </xf>
    <xf numFmtId="0" fontId="25" fillId="5" borderId="132" xfId="0" applyFont="1" applyFill="1" applyBorder="1" applyAlignment="1">
      <alignment horizontal="center" vertical="center"/>
    </xf>
    <xf numFmtId="0" fontId="26" fillId="0" borderId="102" xfId="0" applyFont="1" applyFill="1" applyBorder="1" applyAlignment="1">
      <alignment vertical="center"/>
    </xf>
    <xf numFmtId="0" fontId="26" fillId="0" borderId="21" xfId="0" applyFont="1" applyFill="1" applyBorder="1" applyAlignment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vertical="center"/>
    </xf>
    <xf numFmtId="0" fontId="26" fillId="0" borderId="149" xfId="0" applyFont="1" applyFill="1" applyBorder="1" applyAlignment="1">
      <alignment vertical="center"/>
    </xf>
    <xf numFmtId="0" fontId="26" fillId="0" borderId="87" xfId="0" applyFont="1" applyFill="1" applyBorder="1" applyAlignment="1">
      <alignment horizontal="center" vertical="center"/>
    </xf>
    <xf numFmtId="0" fontId="26" fillId="0" borderId="169" xfId="0" applyFont="1" applyFill="1" applyBorder="1" applyAlignment="1">
      <alignment horizontal="center" vertical="center"/>
    </xf>
    <xf numFmtId="177" fontId="6" fillId="0" borderId="37" xfId="0" applyNumberFormat="1" applyFont="1" applyFill="1" applyBorder="1" applyAlignment="1">
      <alignment horizontal="left" vertical="center"/>
    </xf>
    <xf numFmtId="0" fontId="13" fillId="0" borderId="75" xfId="0" applyNumberFormat="1" applyFont="1" applyFill="1" applyBorder="1" applyAlignment="1">
      <alignment horizontal="center" vertical="center"/>
    </xf>
    <xf numFmtId="0" fontId="13" fillId="0" borderId="93" xfId="0" applyNumberFormat="1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26" fillId="0" borderId="151" xfId="0" applyFont="1" applyFill="1" applyBorder="1" applyAlignment="1">
      <alignment horizontal="center" vertical="center"/>
    </xf>
    <xf numFmtId="0" fontId="25" fillId="5" borderId="126" xfId="0" applyFont="1" applyFill="1" applyBorder="1" applyAlignment="1">
      <alignment horizontal="center" vertical="center"/>
    </xf>
    <xf numFmtId="0" fontId="26" fillId="0" borderId="78" xfId="0" applyFont="1" applyFill="1" applyBorder="1" applyAlignment="1">
      <alignment horizontal="center" vertical="center"/>
    </xf>
    <xf numFmtId="0" fontId="26" fillId="0" borderId="110" xfId="0" applyFont="1" applyFill="1" applyBorder="1" applyAlignment="1">
      <alignment horizontal="center" vertical="center"/>
    </xf>
    <xf numFmtId="0" fontId="25" fillId="5" borderId="171" xfId="0" applyFont="1" applyFill="1" applyBorder="1" applyAlignment="1">
      <alignment horizontal="center" vertical="center"/>
    </xf>
    <xf numFmtId="0" fontId="26" fillId="0" borderId="77" xfId="0" applyFont="1" applyFill="1" applyBorder="1" applyAlignment="1">
      <alignment vertical="center"/>
    </xf>
    <xf numFmtId="0" fontId="25" fillId="5" borderId="128" xfId="0" applyFont="1" applyFill="1" applyBorder="1" applyAlignment="1">
      <alignment vertical="center"/>
    </xf>
    <xf numFmtId="176" fontId="26" fillId="0" borderId="75" xfId="0" applyNumberFormat="1" applyFont="1" applyFill="1" applyBorder="1" applyAlignment="1">
      <alignment horizontal="center" vertical="center" wrapText="1"/>
    </xf>
    <xf numFmtId="176" fontId="26" fillId="0" borderId="22" xfId="0" applyNumberFormat="1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vertical="center"/>
    </xf>
    <xf numFmtId="0" fontId="26" fillId="0" borderId="29" xfId="0" applyFont="1" applyFill="1" applyBorder="1" applyAlignment="1">
      <alignment vertical="center"/>
    </xf>
    <xf numFmtId="0" fontId="26" fillId="0" borderId="29" xfId="0" applyNumberFormat="1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center" vertical="center" wrapText="1"/>
    </xf>
    <xf numFmtId="0" fontId="26" fillId="0" borderId="29" xfId="0" applyFont="1" applyFill="1" applyBorder="1" applyAlignment="1">
      <alignment horizontal="center" vertical="center"/>
    </xf>
    <xf numFmtId="0" fontId="26" fillId="0" borderId="60" xfId="0" applyFont="1" applyFill="1" applyBorder="1" applyAlignment="1">
      <alignment vertical="center"/>
    </xf>
    <xf numFmtId="0" fontId="13" fillId="0" borderId="99" xfId="0" applyFont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99" xfId="0" applyFont="1" applyFill="1" applyBorder="1" applyAlignment="1">
      <alignment vertical="center"/>
    </xf>
    <xf numFmtId="0" fontId="26" fillId="6" borderId="99" xfId="0" applyNumberFormat="1" applyFont="1" applyFill="1" applyBorder="1" applyAlignment="1">
      <alignment horizontal="center" vertical="center" wrapText="1"/>
    </xf>
    <xf numFmtId="0" fontId="26" fillId="6" borderId="99" xfId="0" applyFont="1" applyFill="1" applyBorder="1" applyAlignment="1">
      <alignment horizontal="center" vertical="center" wrapText="1"/>
    </xf>
    <xf numFmtId="0" fontId="26" fillId="6" borderId="99" xfId="0" applyFont="1" applyFill="1" applyBorder="1" applyAlignment="1">
      <alignment horizontal="center" vertical="center"/>
    </xf>
    <xf numFmtId="0" fontId="26" fillId="6" borderId="151" xfId="0" applyFont="1" applyFill="1" applyBorder="1" applyAlignment="1">
      <alignment vertical="center"/>
    </xf>
    <xf numFmtId="0" fontId="26" fillId="6" borderId="6" xfId="0" applyFont="1" applyFill="1" applyBorder="1" applyAlignment="1">
      <alignment horizontal="center" vertical="center"/>
    </xf>
    <xf numFmtId="0" fontId="26" fillId="6" borderId="93" xfId="0" applyFont="1" applyFill="1" applyBorder="1" applyAlignment="1">
      <alignment vertical="center"/>
    </xf>
    <xf numFmtId="0" fontId="26" fillId="6" borderId="93" xfId="0" applyNumberFormat="1" applyFont="1" applyFill="1" applyBorder="1" applyAlignment="1">
      <alignment horizontal="center" vertical="center" wrapText="1"/>
    </xf>
    <xf numFmtId="0" fontId="26" fillId="6" borderId="93" xfId="0" applyFont="1" applyFill="1" applyBorder="1" applyAlignment="1">
      <alignment horizontal="center" vertical="center" wrapText="1"/>
    </xf>
    <xf numFmtId="0" fontId="26" fillId="6" borderId="93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vertical="center"/>
    </xf>
    <xf numFmtId="0" fontId="47" fillId="2" borderId="34" xfId="0" applyFont="1" applyFill="1" applyBorder="1" applyAlignment="1">
      <alignment horizontal="center" vertical="center"/>
    </xf>
    <xf numFmtId="0" fontId="25" fillId="5" borderId="127" xfId="0" applyFont="1" applyFill="1" applyBorder="1" applyAlignment="1">
      <alignment vertical="center"/>
    </xf>
    <xf numFmtId="0" fontId="25" fillId="5" borderId="170" xfId="0" applyFont="1" applyFill="1" applyBorder="1" applyAlignment="1">
      <alignment vertical="center"/>
    </xf>
    <xf numFmtId="0" fontId="25" fillId="5" borderId="170" xfId="0" applyFont="1" applyFill="1" applyBorder="1" applyAlignment="1">
      <alignment vertical="center" wrapText="1"/>
    </xf>
    <xf numFmtId="0" fontId="26" fillId="0" borderId="75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vertical="center"/>
    </xf>
    <xf numFmtId="0" fontId="25" fillId="5" borderId="129" xfId="0" applyFont="1" applyFill="1" applyBorder="1" applyAlignment="1">
      <alignment horizontal="center" vertical="center"/>
    </xf>
    <xf numFmtId="0" fontId="25" fillId="5" borderId="129" xfId="0" applyFont="1" applyFill="1" applyBorder="1" applyAlignment="1">
      <alignment horizontal="center" vertical="center" wrapText="1"/>
    </xf>
    <xf numFmtId="0" fontId="25" fillId="5" borderId="128" xfId="0" applyFont="1" applyFill="1" applyBorder="1" applyAlignment="1">
      <alignment vertical="center" wrapText="1"/>
    </xf>
    <xf numFmtId="177" fontId="13" fillId="6" borderId="41" xfId="0" applyNumberFormat="1" applyFont="1" applyFill="1" applyBorder="1" applyAlignment="1">
      <alignment vertical="center"/>
    </xf>
    <xf numFmtId="0" fontId="38" fillId="5" borderId="126" xfId="0" applyFont="1" applyFill="1" applyBorder="1" applyAlignment="1">
      <alignment horizontal="center" vertical="center" wrapText="1"/>
    </xf>
    <xf numFmtId="0" fontId="38" fillId="5" borderId="166" xfId="0" applyFont="1" applyFill="1" applyBorder="1" applyAlignment="1">
      <alignment horizontal="center" vertical="center"/>
    </xf>
    <xf numFmtId="0" fontId="38" fillId="5" borderId="158" xfId="0" applyFont="1" applyFill="1" applyBorder="1" applyAlignment="1">
      <alignment horizontal="center" vertical="center"/>
    </xf>
    <xf numFmtId="0" fontId="38" fillId="5" borderId="106" xfId="0" applyFont="1" applyFill="1" applyBorder="1" applyAlignment="1">
      <alignment horizontal="center" vertical="center"/>
    </xf>
    <xf numFmtId="0" fontId="13" fillId="6" borderId="22" xfId="0" applyNumberFormat="1" applyFont="1" applyFill="1" applyBorder="1" applyAlignment="1">
      <alignment horizontal="center" vertical="center"/>
    </xf>
    <xf numFmtId="0" fontId="13" fillId="6" borderId="33" xfId="0" applyNumberFormat="1" applyFont="1" applyFill="1" applyBorder="1" applyAlignment="1">
      <alignment horizontal="center" vertical="center"/>
    </xf>
    <xf numFmtId="177" fontId="13" fillId="6" borderId="93" xfId="0" applyNumberFormat="1" applyFont="1" applyFill="1" applyBorder="1" applyAlignment="1">
      <alignment vertical="center"/>
    </xf>
    <xf numFmtId="0" fontId="16" fillId="3" borderId="33" xfId="0" quotePrefix="1" applyFont="1" applyFill="1" applyBorder="1" applyAlignment="1">
      <alignment vertical="top" wrapText="1"/>
    </xf>
    <xf numFmtId="185" fontId="16" fillId="3" borderId="33" xfId="0" applyNumberFormat="1" applyFont="1" applyFill="1" applyBorder="1" applyAlignment="1">
      <alignment horizontal="left" vertical="top" wrapText="1"/>
    </xf>
    <xf numFmtId="56" fontId="16" fillId="0" borderId="0" xfId="0" applyNumberFormat="1" applyFont="1" applyAlignment="1">
      <alignment vertical="top" wrapText="1"/>
    </xf>
    <xf numFmtId="14" fontId="16" fillId="0" borderId="0" xfId="0" applyNumberFormat="1" applyFont="1" applyFill="1" applyAlignment="1">
      <alignment vertical="top" wrapText="1"/>
    </xf>
    <xf numFmtId="0" fontId="16" fillId="14" borderId="96" xfId="0" quotePrefix="1" applyFont="1" applyFill="1" applyBorder="1" applyAlignment="1">
      <alignment vertical="top" wrapText="1"/>
    </xf>
    <xf numFmtId="185" fontId="16" fillId="14" borderId="33" xfId="0" applyNumberFormat="1" applyFont="1" applyFill="1" applyBorder="1" applyAlignment="1">
      <alignment horizontal="left" vertical="top" wrapText="1"/>
    </xf>
    <xf numFmtId="0" fontId="34" fillId="6" borderId="171" xfId="0" applyFont="1" applyFill="1" applyBorder="1" applyAlignment="1">
      <alignment vertical="top" wrapText="1"/>
    </xf>
    <xf numFmtId="0" fontId="16" fillId="3" borderId="114" xfId="0" applyFont="1" applyFill="1" applyBorder="1" applyAlignment="1">
      <alignment vertical="top" wrapText="1"/>
    </xf>
    <xf numFmtId="0" fontId="16" fillId="3" borderId="54" xfId="0" applyFont="1" applyFill="1" applyBorder="1" applyAlignment="1">
      <alignment vertical="top" wrapText="1"/>
    </xf>
    <xf numFmtId="0" fontId="16" fillId="3" borderId="96" xfId="0" quotePrefix="1" applyFont="1" applyFill="1" applyBorder="1" applyAlignment="1">
      <alignment vertical="top" wrapText="1"/>
    </xf>
    <xf numFmtId="185" fontId="16" fillId="3" borderId="96" xfId="0" quotePrefix="1" applyNumberFormat="1" applyFont="1" applyFill="1" applyBorder="1" applyAlignment="1">
      <alignment horizontal="left" vertical="top" wrapText="1"/>
    </xf>
    <xf numFmtId="0" fontId="16" fillId="14" borderId="54" xfId="0" applyFont="1" applyFill="1" applyBorder="1" applyAlignment="1">
      <alignment vertical="top" wrapText="1"/>
    </xf>
    <xf numFmtId="0" fontId="13" fillId="6" borderId="38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0" fontId="13" fillId="6" borderId="9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3" fillId="14" borderId="37" xfId="0" applyFont="1" applyFill="1" applyBorder="1" applyAlignment="1">
      <alignment horizontal="center" vertical="center"/>
    </xf>
    <xf numFmtId="0" fontId="13" fillId="14" borderId="94" xfId="0" applyFont="1" applyFill="1" applyBorder="1" applyAlignment="1">
      <alignment horizontal="center" vertical="center"/>
    </xf>
    <xf numFmtId="0" fontId="13" fillId="14" borderId="94" xfId="0" applyFont="1" applyFill="1" applyBorder="1" applyAlignment="1">
      <alignment vertical="center"/>
    </xf>
    <xf numFmtId="0" fontId="13" fillId="14" borderId="94" xfId="0" quotePrefix="1" applyFont="1" applyFill="1" applyBorder="1" applyAlignment="1">
      <alignment vertical="center"/>
    </xf>
    <xf numFmtId="10" fontId="13" fillId="14" borderId="94" xfId="0" applyNumberFormat="1" applyFont="1" applyFill="1" applyBorder="1" applyAlignment="1">
      <alignment vertical="center"/>
    </xf>
    <xf numFmtId="10" fontId="13" fillId="14" borderId="94" xfId="0" applyNumberFormat="1" applyFont="1" applyFill="1" applyBorder="1" applyAlignment="1">
      <alignment vertical="center" shrinkToFit="1"/>
    </xf>
    <xf numFmtId="0" fontId="13" fillId="14" borderId="38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center" vertical="center"/>
    </xf>
    <xf numFmtId="0" fontId="13" fillId="14" borderId="93" xfId="0" applyFont="1" applyFill="1" applyBorder="1" applyAlignment="1">
      <alignment horizontal="center" vertical="center"/>
    </xf>
    <xf numFmtId="0" fontId="13" fillId="14" borderId="93" xfId="0" applyFont="1" applyFill="1" applyBorder="1" applyAlignment="1">
      <alignment vertical="center"/>
    </xf>
    <xf numFmtId="0" fontId="13" fillId="14" borderId="93" xfId="0" quotePrefix="1" applyFont="1" applyFill="1" applyBorder="1" applyAlignment="1">
      <alignment vertical="center"/>
    </xf>
    <xf numFmtId="10" fontId="13" fillId="14" borderId="93" xfId="0" applyNumberFormat="1" applyFont="1" applyFill="1" applyBorder="1" applyAlignment="1">
      <alignment vertical="center"/>
    </xf>
    <xf numFmtId="10" fontId="13" fillId="14" borderId="93" xfId="0" applyNumberFormat="1" applyFont="1" applyFill="1" applyBorder="1" applyAlignment="1">
      <alignment vertical="center" shrinkToFit="1"/>
    </xf>
    <xf numFmtId="0" fontId="13" fillId="14" borderId="7" xfId="0" applyFont="1" applyFill="1" applyBorder="1" applyAlignment="1">
      <alignment horizontal="center" vertical="center"/>
    </xf>
    <xf numFmtId="0" fontId="13" fillId="14" borderId="93" xfId="0" applyFont="1" applyFill="1" applyBorder="1" applyAlignment="1">
      <alignment horizontal="center"/>
    </xf>
    <xf numFmtId="0" fontId="13" fillId="14" borderId="93" xfId="0" applyFont="1" applyFill="1" applyBorder="1" applyAlignment="1"/>
    <xf numFmtId="0" fontId="13" fillId="14" borderId="93" xfId="0" quotePrefix="1" applyFont="1" applyFill="1" applyBorder="1" applyAlignment="1">
      <alignment horizontal="left"/>
    </xf>
    <xf numFmtId="0" fontId="13" fillId="2" borderId="6" xfId="0" applyFont="1" applyFill="1" applyBorder="1" applyAlignment="1">
      <alignment horizontal="center" vertical="center"/>
    </xf>
    <xf numFmtId="0" fontId="13" fillId="2" borderId="93" xfId="0" applyFont="1" applyFill="1" applyBorder="1" applyAlignment="1">
      <alignment horizontal="center"/>
    </xf>
    <xf numFmtId="0" fontId="13" fillId="2" borderId="93" xfId="0" applyFont="1" applyFill="1" applyBorder="1" applyAlignment="1"/>
    <xf numFmtId="0" fontId="13" fillId="2" borderId="93" xfId="0" quotePrefix="1" applyFont="1" applyFill="1" applyBorder="1" applyAlignment="1">
      <alignment horizontal="left"/>
    </xf>
    <xf numFmtId="10" fontId="13" fillId="2" borderId="93" xfId="0" applyNumberFormat="1" applyFont="1" applyFill="1" applyBorder="1" applyAlignment="1">
      <alignment vertical="center"/>
    </xf>
    <xf numFmtId="10" fontId="13" fillId="2" borderId="93" xfId="0" applyNumberFormat="1" applyFont="1" applyFill="1" applyBorder="1" applyAlignment="1">
      <alignment vertical="center" shrinkToFit="1"/>
    </xf>
    <xf numFmtId="0" fontId="13" fillId="2" borderId="7" xfId="0" applyFont="1" applyFill="1" applyBorder="1" applyAlignment="1">
      <alignment horizontal="center" vertical="center"/>
    </xf>
    <xf numFmtId="0" fontId="13" fillId="2" borderId="93" xfId="0" quotePrefix="1" applyFont="1" applyFill="1" applyBorder="1" applyAlignment="1"/>
    <xf numFmtId="0" fontId="13" fillId="2" borderId="22" xfId="0" applyFont="1" applyFill="1" applyBorder="1" applyAlignment="1">
      <alignment horizontal="center" vertical="center"/>
    </xf>
    <xf numFmtId="0" fontId="13" fillId="2" borderId="93" xfId="0" quotePrefix="1" applyFont="1" applyFill="1" applyBorder="1" applyAlignment="1">
      <alignment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93" xfId="0" applyFont="1" applyFill="1" applyBorder="1" applyAlignment="1">
      <alignment horizontal="center" vertical="center"/>
    </xf>
    <xf numFmtId="0" fontId="13" fillId="4" borderId="93" xfId="0" applyFont="1" applyFill="1" applyBorder="1" applyAlignment="1">
      <alignment vertical="center"/>
    </xf>
    <xf numFmtId="0" fontId="13" fillId="4" borderId="93" xfId="0" quotePrefix="1" applyFont="1" applyFill="1" applyBorder="1" applyAlignment="1">
      <alignment vertical="center"/>
    </xf>
    <xf numFmtId="10" fontId="13" fillId="4" borderId="93" xfId="0" applyNumberFormat="1" applyFont="1" applyFill="1" applyBorder="1" applyAlignment="1">
      <alignment vertical="center"/>
    </xf>
    <xf numFmtId="10" fontId="13" fillId="4" borderId="93" xfId="0" applyNumberFormat="1" applyFont="1" applyFill="1" applyBorder="1" applyAlignment="1">
      <alignment vertical="center" shrinkToFit="1"/>
    </xf>
    <xf numFmtId="0" fontId="13" fillId="4" borderId="7" xfId="0" applyFont="1" applyFill="1" applyBorder="1" applyAlignment="1">
      <alignment horizontal="center" vertical="center"/>
    </xf>
    <xf numFmtId="10" fontId="13" fillId="4" borderId="93" xfId="0" applyNumberFormat="1" applyFont="1" applyFill="1" applyBorder="1" applyAlignment="1">
      <alignment horizontal="center" vertical="center"/>
    </xf>
    <xf numFmtId="0" fontId="13" fillId="4" borderId="7" xfId="0" quotePrefix="1" applyFont="1" applyFill="1" applyBorder="1" applyAlignment="1">
      <alignment horizontal="center" vertical="center"/>
    </xf>
    <xf numFmtId="0" fontId="13" fillId="4" borderId="93" xfId="0" applyFont="1" applyFill="1" applyBorder="1" applyAlignment="1">
      <alignment horizontal="center"/>
    </xf>
    <xf numFmtId="0" fontId="13" fillId="4" borderId="93" xfId="0" applyFont="1" applyFill="1" applyBorder="1" applyAlignment="1"/>
    <xf numFmtId="0" fontId="13" fillId="4" borderId="93" xfId="0" quotePrefix="1" applyFont="1" applyFill="1" applyBorder="1" applyAlignment="1"/>
    <xf numFmtId="0" fontId="13" fillId="4" borderId="93" xfId="0" quotePrefix="1" applyFont="1" applyFill="1" applyBorder="1" applyAlignment="1">
      <alignment horizontal="left"/>
    </xf>
    <xf numFmtId="0" fontId="13" fillId="8" borderId="6" xfId="0" applyFont="1" applyFill="1" applyBorder="1" applyAlignment="1">
      <alignment horizontal="center" vertical="center"/>
    </xf>
    <xf numFmtId="0" fontId="13" fillId="8" borderId="93" xfId="0" applyFont="1" applyFill="1" applyBorder="1" applyAlignment="1">
      <alignment horizontal="center" vertical="center"/>
    </xf>
    <xf numFmtId="0" fontId="13" fillId="8" borderId="93" xfId="0" applyFont="1" applyFill="1" applyBorder="1" applyAlignment="1">
      <alignment vertical="center"/>
    </xf>
    <xf numFmtId="0" fontId="13" fillId="8" borderId="93" xfId="0" quotePrefix="1" applyFont="1" applyFill="1" applyBorder="1" applyAlignment="1">
      <alignment vertical="center"/>
    </xf>
    <xf numFmtId="10" fontId="13" fillId="8" borderId="93" xfId="0" applyNumberFormat="1" applyFont="1" applyFill="1" applyBorder="1" applyAlignment="1">
      <alignment vertical="center"/>
    </xf>
    <xf numFmtId="10" fontId="13" fillId="8" borderId="93" xfId="0" applyNumberFormat="1" applyFont="1" applyFill="1" applyBorder="1" applyAlignment="1">
      <alignment vertical="center" shrinkToFit="1"/>
    </xf>
    <xf numFmtId="0" fontId="13" fillId="8" borderId="7" xfId="0" applyFont="1" applyFill="1" applyBorder="1" applyAlignment="1">
      <alignment horizontal="center" vertical="center"/>
    </xf>
    <xf numFmtId="0" fontId="13" fillId="8" borderId="34" xfId="0" applyFont="1" applyFill="1" applyBorder="1" applyAlignment="1">
      <alignment horizontal="center" vertical="center"/>
    </xf>
    <xf numFmtId="0" fontId="13" fillId="8" borderId="30" xfId="0" applyFont="1" applyFill="1" applyBorder="1" applyAlignment="1">
      <alignment horizontal="center"/>
    </xf>
    <xf numFmtId="0" fontId="13" fillId="8" borderId="30" xfId="0" applyFont="1" applyFill="1" applyBorder="1" applyAlignment="1"/>
    <xf numFmtId="0" fontId="13" fillId="8" borderId="30" xfId="0" quotePrefix="1" applyFont="1" applyFill="1" applyBorder="1" applyAlignment="1"/>
    <xf numFmtId="0" fontId="13" fillId="8" borderId="30" xfId="0" quotePrefix="1" applyFont="1" applyFill="1" applyBorder="1" applyAlignment="1">
      <alignment horizontal="left"/>
    </xf>
    <xf numFmtId="0" fontId="13" fillId="8" borderId="30" xfId="0" applyFont="1" applyFill="1" applyBorder="1" applyAlignment="1">
      <alignment vertical="center"/>
    </xf>
    <xf numFmtId="10" fontId="13" fillId="8" borderId="30" xfId="0" applyNumberFormat="1" applyFont="1" applyFill="1" applyBorder="1" applyAlignment="1">
      <alignment vertical="center"/>
    </xf>
    <xf numFmtId="10" fontId="13" fillId="8" borderId="30" xfId="0" applyNumberFormat="1" applyFont="1" applyFill="1" applyBorder="1" applyAlignment="1">
      <alignment vertical="center" shrinkToFit="1"/>
    </xf>
    <xf numFmtId="0" fontId="13" fillId="8" borderId="30" xfId="0" applyFont="1" applyFill="1" applyBorder="1" applyAlignment="1">
      <alignment horizontal="center" vertical="center"/>
    </xf>
    <xf numFmtId="0" fontId="13" fillId="8" borderId="35" xfId="0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10" fontId="13" fillId="6" borderId="94" xfId="0" applyNumberFormat="1" applyFont="1" applyFill="1" applyBorder="1" applyAlignment="1">
      <alignment vertical="center"/>
    </xf>
    <xf numFmtId="10" fontId="13" fillId="6" borderId="94" xfId="0" applyNumberFormat="1" applyFont="1" applyFill="1" applyBorder="1" applyAlignment="1">
      <alignment vertical="center" shrinkToFit="1"/>
    </xf>
    <xf numFmtId="0" fontId="13" fillId="6" borderId="6" xfId="0" applyFont="1" applyFill="1" applyBorder="1" applyAlignment="1">
      <alignment horizontal="center" vertical="center"/>
    </xf>
    <xf numFmtId="10" fontId="13" fillId="6" borderId="93" xfId="0" applyNumberFormat="1" applyFont="1" applyFill="1" applyBorder="1" applyAlignment="1">
      <alignment vertical="center"/>
    </xf>
    <xf numFmtId="10" fontId="13" fillId="6" borderId="93" xfId="0" applyNumberFormat="1" applyFont="1" applyFill="1" applyBorder="1" applyAlignment="1">
      <alignment vertical="center" shrinkToFit="1"/>
    </xf>
    <xf numFmtId="0" fontId="13" fillId="6" borderId="93" xfId="0" quotePrefix="1" applyFont="1" applyFill="1" applyBorder="1" applyAlignment="1">
      <alignment vertical="center"/>
    </xf>
    <xf numFmtId="2" fontId="13" fillId="6" borderId="7" xfId="0" applyNumberFormat="1" applyFont="1" applyFill="1" applyBorder="1" applyAlignment="1">
      <alignment horizontal="center" vertical="center"/>
    </xf>
    <xf numFmtId="0" fontId="13" fillId="6" borderId="153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13" fillId="6" borderId="29" xfId="0" applyFont="1" applyFill="1" applyBorder="1" applyAlignment="1">
      <alignment vertical="center"/>
    </xf>
    <xf numFmtId="0" fontId="13" fillId="6" borderId="29" xfId="0" quotePrefix="1" applyFont="1" applyFill="1" applyBorder="1" applyAlignment="1">
      <alignment vertical="center"/>
    </xf>
    <xf numFmtId="10" fontId="13" fillId="6" borderId="29" xfId="0" applyNumberFormat="1" applyFont="1" applyFill="1" applyBorder="1" applyAlignment="1">
      <alignment vertical="center"/>
    </xf>
    <xf numFmtId="10" fontId="13" fillId="6" borderId="29" xfId="0" applyNumberFormat="1" applyFont="1" applyFill="1" applyBorder="1" applyAlignment="1">
      <alignment vertical="center" shrinkToFit="1"/>
    </xf>
    <xf numFmtId="187" fontId="13" fillId="6" borderId="60" xfId="0" applyNumberFormat="1" applyFont="1" applyFill="1" applyBorder="1" applyAlignment="1">
      <alignment horizontal="center" vertical="center"/>
    </xf>
    <xf numFmtId="0" fontId="6" fillId="0" borderId="76" xfId="0" applyFont="1" applyBorder="1" applyAlignment="1">
      <alignment vertical="center"/>
    </xf>
    <xf numFmtId="0" fontId="6" fillId="0" borderId="77" xfId="0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16" fillId="14" borderId="96" xfId="0" applyFont="1" applyFill="1" applyBorder="1" applyAlignment="1">
      <alignment vertical="top"/>
    </xf>
    <xf numFmtId="0" fontId="16" fillId="14" borderId="99" xfId="0" applyFont="1" applyFill="1" applyBorder="1" applyAlignment="1">
      <alignment vertical="top"/>
    </xf>
    <xf numFmtId="0" fontId="13" fillId="6" borderId="25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/>
    </xf>
    <xf numFmtId="0" fontId="16" fillId="14" borderId="25" xfId="0" applyFont="1" applyFill="1" applyBorder="1" applyAlignment="1">
      <alignment vertical="top" wrapText="1"/>
    </xf>
    <xf numFmtId="0" fontId="16" fillId="14" borderId="99" xfId="0" applyFont="1" applyFill="1" applyBorder="1" applyAlignment="1">
      <alignment vertical="top" wrapText="1"/>
    </xf>
    <xf numFmtId="185" fontId="16" fillId="14" borderId="99" xfId="0" applyNumberFormat="1" applyFont="1" applyFill="1" applyBorder="1" applyAlignment="1">
      <alignment vertical="top" wrapText="1"/>
    </xf>
    <xf numFmtId="177" fontId="13" fillId="0" borderId="25" xfId="0" applyNumberFormat="1" applyFont="1" applyFill="1" applyBorder="1" applyAlignment="1">
      <alignment vertical="center" wrapText="1"/>
    </xf>
    <xf numFmtId="177" fontId="13" fillId="0" borderId="6" xfId="0" applyNumberFormat="1" applyFont="1" applyFill="1" applyBorder="1" applyAlignment="1">
      <alignment vertical="center" wrapText="1"/>
    </xf>
    <xf numFmtId="185" fontId="16" fillId="4" borderId="33" xfId="0" applyNumberFormat="1" applyFont="1" applyFill="1" applyBorder="1" applyAlignment="1">
      <alignment horizontal="left" vertical="top" wrapText="1"/>
    </xf>
    <xf numFmtId="185" fontId="16" fillId="4" borderId="99" xfId="0" applyNumberFormat="1" applyFont="1" applyFill="1" applyBorder="1" applyAlignment="1">
      <alignment horizontal="left" vertical="top" wrapText="1"/>
    </xf>
    <xf numFmtId="0" fontId="16" fillId="8" borderId="33" xfId="0" quotePrefix="1" applyFont="1" applyFill="1" applyBorder="1" applyAlignment="1">
      <alignment vertical="top" wrapText="1"/>
    </xf>
    <xf numFmtId="185" fontId="16" fillId="8" borderId="33" xfId="0" applyNumberFormat="1" applyFont="1" applyFill="1" applyBorder="1" applyAlignment="1">
      <alignment horizontal="left" vertical="top" wrapText="1"/>
    </xf>
    <xf numFmtId="0" fontId="16" fillId="8" borderId="99" xfId="0" quotePrefix="1" applyFont="1" applyFill="1" applyBorder="1" applyAlignment="1">
      <alignment vertical="top" wrapText="1"/>
    </xf>
    <xf numFmtId="185" fontId="16" fillId="8" borderId="99" xfId="0" quotePrefix="1" applyNumberFormat="1" applyFont="1" applyFill="1" applyBorder="1" applyAlignment="1">
      <alignment horizontal="left" vertical="top" wrapText="1"/>
    </xf>
    <xf numFmtId="185" fontId="16" fillId="4" borderId="96" xfId="0" quotePrefix="1" applyNumberFormat="1" applyFont="1" applyFill="1" applyBorder="1" applyAlignment="1">
      <alignment horizontal="left" vertical="top" wrapText="1"/>
    </xf>
    <xf numFmtId="0" fontId="16" fillId="4" borderId="114" xfId="0" applyFont="1" applyFill="1" applyBorder="1" applyAlignment="1">
      <alignment vertical="top" wrapText="1"/>
    </xf>
    <xf numFmtId="0" fontId="16" fillId="4" borderId="176" xfId="0" applyFont="1" applyFill="1" applyBorder="1" applyAlignment="1">
      <alignment vertical="top" wrapText="1"/>
    </xf>
    <xf numFmtId="0" fontId="16" fillId="4" borderId="177" xfId="0" applyFont="1" applyFill="1" applyBorder="1" applyAlignment="1">
      <alignment vertical="top" wrapText="1"/>
    </xf>
    <xf numFmtId="0" fontId="16" fillId="4" borderId="33" xfId="0" quotePrefix="1" applyFont="1" applyFill="1" applyBorder="1" applyAlignment="1">
      <alignment vertical="top" wrapText="1"/>
    </xf>
    <xf numFmtId="0" fontId="16" fillId="4" borderId="178" xfId="0" applyFont="1" applyFill="1" applyBorder="1" applyAlignment="1">
      <alignment vertical="top" wrapText="1"/>
    </xf>
    <xf numFmtId="0" fontId="16" fillId="4" borderId="179" xfId="0" applyFont="1" applyFill="1" applyBorder="1" applyAlignment="1">
      <alignment vertical="top" wrapText="1"/>
    </xf>
    <xf numFmtId="0" fontId="16" fillId="0" borderId="33" xfId="0" quotePrefix="1" applyFont="1" applyFill="1" applyBorder="1" applyAlignment="1">
      <alignment vertical="top" wrapText="1"/>
    </xf>
    <xf numFmtId="0" fontId="16" fillId="0" borderId="99" xfId="0" quotePrefix="1" applyFont="1" applyFill="1" applyBorder="1" applyAlignment="1">
      <alignment vertical="top" wrapText="1"/>
    </xf>
    <xf numFmtId="0" fontId="16" fillId="0" borderId="33" xfId="0" applyFont="1" applyFill="1" applyBorder="1" applyAlignment="1">
      <alignment vertical="top"/>
    </xf>
    <xf numFmtId="0" fontId="16" fillId="0" borderId="99" xfId="0" applyFont="1" applyFill="1" applyBorder="1" applyAlignment="1">
      <alignment vertical="top"/>
    </xf>
    <xf numFmtId="0" fontId="16" fillId="0" borderId="114" xfId="0" applyFont="1" applyFill="1" applyBorder="1" applyAlignment="1">
      <alignment vertical="top" wrapText="1"/>
    </xf>
    <xf numFmtId="0" fontId="16" fillId="0" borderId="25" xfId="0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/>
    </xf>
    <xf numFmtId="0" fontId="16" fillId="0" borderId="99" xfId="0" applyFont="1" applyFill="1" applyBorder="1" applyAlignment="1">
      <alignment vertical="top" wrapText="1"/>
    </xf>
    <xf numFmtId="0" fontId="16" fillId="0" borderId="54" xfId="0" applyFont="1" applyFill="1" applyBorder="1" applyAlignment="1">
      <alignment vertical="top" wrapText="1"/>
    </xf>
    <xf numFmtId="0" fontId="16" fillId="0" borderId="33" xfId="0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 wrapText="1"/>
    </xf>
    <xf numFmtId="177" fontId="16" fillId="0" borderId="40" xfId="0" applyNumberFormat="1" applyFont="1" applyFill="1" applyBorder="1" applyAlignment="1">
      <alignment horizontal="center" vertical="center"/>
    </xf>
    <xf numFmtId="177" fontId="13" fillId="0" borderId="54" xfId="0" applyNumberFormat="1" applyFont="1" applyFill="1" applyBorder="1" applyAlignment="1">
      <alignment vertical="center"/>
    </xf>
    <xf numFmtId="177" fontId="13" fillId="0" borderId="39" xfId="0" applyNumberFormat="1" applyFont="1" applyFill="1" applyBorder="1" applyAlignment="1">
      <alignment vertical="center"/>
    </xf>
    <xf numFmtId="0" fontId="13" fillId="6" borderId="98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177" fontId="16" fillId="6" borderId="42" xfId="0" applyNumberFormat="1" applyFont="1" applyFill="1" applyBorder="1" applyAlignment="1">
      <alignment horizontal="center" vertical="center"/>
    </xf>
    <xf numFmtId="177" fontId="13" fillId="6" borderId="95" xfId="0" applyNumberFormat="1" applyFont="1" applyFill="1" applyBorder="1" applyAlignment="1">
      <alignment horizontal="center" vertical="center"/>
    </xf>
    <xf numFmtId="177" fontId="13" fillId="6" borderId="96" xfId="0" applyNumberFormat="1" applyFont="1" applyFill="1" applyBorder="1" applyAlignment="1">
      <alignment horizontal="center" vertical="center"/>
    </xf>
    <xf numFmtId="177" fontId="13" fillId="6" borderId="34" xfId="0" applyNumberFormat="1" applyFont="1" applyFill="1" applyBorder="1" applyAlignment="1">
      <alignment horizontal="left" vertical="center"/>
    </xf>
    <xf numFmtId="0" fontId="13" fillId="6" borderId="54" xfId="0" applyFont="1" applyFill="1" applyBorder="1" applyAlignment="1">
      <alignment horizontal="left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horizontal="left" vertical="center"/>
    </xf>
    <xf numFmtId="177" fontId="13" fillId="0" borderId="25" xfId="0" applyNumberFormat="1" applyFont="1" applyFill="1" applyBorder="1" applyAlignment="1">
      <alignment horizontal="left" vertical="center"/>
    </xf>
    <xf numFmtId="0" fontId="13" fillId="6" borderId="42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177" fontId="13" fillId="6" borderId="13" xfId="0" applyNumberFormat="1" applyFont="1" applyFill="1" applyBorder="1" applyAlignment="1">
      <alignment horizontal="center" vertical="center"/>
    </xf>
    <xf numFmtId="177" fontId="16" fillId="6" borderId="40" xfId="0" applyNumberFormat="1" applyFont="1" applyFill="1" applyBorder="1" applyAlignment="1">
      <alignment horizontal="center" vertical="center"/>
    </xf>
    <xf numFmtId="177" fontId="16" fillId="6" borderId="158" xfId="0" applyNumberFormat="1" applyFont="1" applyFill="1" applyBorder="1" applyAlignment="1">
      <alignment horizontal="center" vertical="center"/>
    </xf>
    <xf numFmtId="177" fontId="13" fillId="6" borderId="39" xfId="0" applyNumberFormat="1" applyFont="1" applyFill="1" applyBorder="1" applyAlignment="1">
      <alignment horizontal="left" vertical="center"/>
    </xf>
    <xf numFmtId="177" fontId="13" fillId="6" borderId="37" xfId="0" applyNumberFormat="1" applyFont="1" applyFill="1" applyBorder="1" applyAlignment="1">
      <alignment horizontal="left" vertical="center"/>
    </xf>
    <xf numFmtId="177" fontId="13" fillId="6" borderId="114" xfId="0" applyNumberFormat="1" applyFont="1" applyFill="1" applyBorder="1" applyAlignment="1">
      <alignment horizontal="left" vertical="center"/>
    </xf>
    <xf numFmtId="0" fontId="13" fillId="6" borderId="90" xfId="0" applyFont="1" applyFill="1" applyBorder="1" applyAlignment="1">
      <alignment horizontal="center" vertical="center"/>
    </xf>
    <xf numFmtId="0" fontId="13" fillId="6" borderId="95" xfId="0" applyFont="1" applyFill="1" applyBorder="1" applyAlignment="1">
      <alignment horizontal="center" vertical="center"/>
    </xf>
    <xf numFmtId="177" fontId="13" fillId="6" borderId="25" xfId="0" applyNumberFormat="1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horizontal="left" vertical="center"/>
    </xf>
    <xf numFmtId="177" fontId="13" fillId="6" borderId="15" xfId="0" applyNumberFormat="1" applyFont="1" applyFill="1" applyBorder="1" applyAlignment="1">
      <alignment horizontal="center" vertical="center"/>
    </xf>
    <xf numFmtId="177" fontId="13" fillId="0" borderId="94" xfId="0" applyNumberFormat="1" applyFont="1" applyFill="1" applyBorder="1" applyAlignment="1">
      <alignment horizontal="center" vertical="center"/>
    </xf>
    <xf numFmtId="177" fontId="13" fillId="0" borderId="96" xfId="0" applyNumberFormat="1" applyFont="1" applyFill="1" applyBorder="1" applyAlignment="1">
      <alignment horizontal="center" vertical="center"/>
    </xf>
    <xf numFmtId="177" fontId="13" fillId="0" borderId="30" xfId="0" applyNumberFormat="1" applyFont="1" applyFill="1" applyBorder="1" applyAlignment="1">
      <alignment horizontal="center" vertical="center"/>
    </xf>
    <xf numFmtId="177" fontId="13" fillId="6" borderId="27" xfId="0" applyNumberFormat="1" applyFont="1" applyFill="1" applyBorder="1" applyAlignment="1">
      <alignment horizontal="center" vertical="center"/>
    </xf>
    <xf numFmtId="177" fontId="13" fillId="6" borderId="99" xfId="0" applyNumberFormat="1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177" fontId="16" fillId="6" borderId="38" xfId="0" applyNumberFormat="1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vertical="center"/>
    </xf>
    <xf numFmtId="177" fontId="13" fillId="6" borderId="25" xfId="0" applyNumberFormat="1" applyFont="1" applyFill="1" applyBorder="1" applyAlignment="1">
      <alignment vertical="center"/>
    </xf>
    <xf numFmtId="0" fontId="13" fillId="0" borderId="20" xfId="0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horizontal="left" vertical="center"/>
    </xf>
    <xf numFmtId="177" fontId="13" fillId="6" borderId="94" xfId="0" applyNumberFormat="1" applyFont="1" applyFill="1" applyBorder="1" applyAlignment="1">
      <alignment horizontal="center" vertical="center"/>
    </xf>
    <xf numFmtId="177" fontId="13" fillId="6" borderId="33" xfId="0" applyNumberFormat="1" applyFont="1" applyFill="1" applyBorder="1" applyAlignment="1">
      <alignment horizontal="center" vertical="center"/>
    </xf>
    <xf numFmtId="0" fontId="13" fillId="0" borderId="95" xfId="0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horizontal="left" vertical="center" wrapText="1"/>
    </xf>
    <xf numFmtId="177" fontId="13" fillId="6" borderId="25" xfId="0" applyNumberFormat="1" applyFont="1" applyFill="1" applyBorder="1" applyAlignment="1">
      <alignment horizontal="left" vertical="center" wrapText="1"/>
    </xf>
    <xf numFmtId="177" fontId="13" fillId="0" borderId="95" xfId="0" applyNumberFormat="1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horizontal="left" vertical="center" wrapText="1"/>
    </xf>
    <xf numFmtId="177" fontId="13" fillId="6" borderId="39" xfId="0" applyNumberFormat="1" applyFont="1" applyFill="1" applyBorder="1" applyAlignment="1">
      <alignment horizontal="left" vertical="center" wrapText="1"/>
    </xf>
    <xf numFmtId="177" fontId="13" fillId="6" borderId="6" xfId="0" applyNumberFormat="1" applyFont="1" applyFill="1" applyBorder="1" applyAlignment="1">
      <alignment horizontal="left" vertical="center"/>
    </xf>
    <xf numFmtId="177" fontId="13" fillId="0" borderId="25" xfId="0" applyNumberFormat="1" applyFont="1" applyFill="1" applyBorder="1" applyAlignment="1">
      <alignment vertical="center"/>
    </xf>
    <xf numFmtId="177" fontId="13" fillId="6" borderId="30" xfId="0" applyNumberFormat="1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vertical="center"/>
    </xf>
    <xf numFmtId="177" fontId="13" fillId="0" borderId="39" xfId="0" applyNumberFormat="1" applyFont="1" applyFill="1" applyBorder="1" applyAlignment="1">
      <alignment horizontal="left" vertical="center"/>
    </xf>
    <xf numFmtId="0" fontId="13" fillId="0" borderId="42" xfId="0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vertical="center"/>
    </xf>
    <xf numFmtId="177" fontId="13" fillId="6" borderId="39" xfId="0" applyNumberFormat="1" applyFont="1" applyFill="1" applyBorder="1" applyAlignment="1">
      <alignment vertical="center"/>
    </xf>
    <xf numFmtId="0" fontId="13" fillId="6" borderId="15" xfId="0" applyFont="1" applyFill="1" applyBorder="1" applyAlignment="1">
      <alignment horizontal="center" vertical="center" wrapText="1"/>
    </xf>
    <xf numFmtId="177" fontId="13" fillId="6" borderId="28" xfId="0" applyNumberFormat="1" applyFont="1" applyFill="1" applyBorder="1" applyAlignment="1">
      <alignment horizontal="center" vertical="center"/>
    </xf>
    <xf numFmtId="0" fontId="13" fillId="6" borderId="103" xfId="0" applyFont="1" applyFill="1" applyBorder="1" applyAlignment="1">
      <alignment horizontal="left" vertical="center"/>
    </xf>
    <xf numFmtId="0" fontId="13" fillId="6" borderId="25" xfId="0" applyFont="1" applyFill="1" applyBorder="1" applyAlignment="1">
      <alignment horizontal="left" vertical="center"/>
    </xf>
    <xf numFmtId="177" fontId="13" fillId="6" borderId="41" xfId="0" applyNumberFormat="1" applyFont="1" applyFill="1" applyBorder="1" applyAlignment="1">
      <alignment horizontal="left" vertical="center"/>
    </xf>
    <xf numFmtId="0" fontId="15" fillId="5" borderId="29" xfId="0" quotePrefix="1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 wrapText="1"/>
    </xf>
    <xf numFmtId="177" fontId="13" fillId="6" borderId="99" xfId="0" applyNumberFormat="1" applyFont="1" applyFill="1" applyBorder="1" applyAlignment="1">
      <alignment horizontal="center" vertical="center" wrapText="1"/>
    </xf>
    <xf numFmtId="177" fontId="13" fillId="6" borderId="39" xfId="0" applyNumberFormat="1" applyFont="1" applyFill="1" applyBorder="1" applyAlignment="1">
      <alignment vertical="center" wrapText="1"/>
    </xf>
    <xf numFmtId="177" fontId="13" fillId="6" borderId="93" xfId="0" applyNumberFormat="1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 wrapText="1"/>
    </xf>
    <xf numFmtId="177" fontId="16" fillId="0" borderId="42" xfId="0" applyNumberFormat="1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horizontal="left" vertical="center" wrapText="1"/>
    </xf>
    <xf numFmtId="0" fontId="16" fillId="6" borderId="13" xfId="0" applyNumberFormat="1" applyFont="1" applyFill="1" applyBorder="1" applyAlignment="1">
      <alignment horizontal="center" vertical="center"/>
    </xf>
    <xf numFmtId="177" fontId="14" fillId="6" borderId="13" xfId="0" applyNumberFormat="1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vertical="top" wrapText="1"/>
    </xf>
    <xf numFmtId="0" fontId="16" fillId="0" borderId="151" xfId="0" applyFont="1" applyFill="1" applyBorder="1" applyAlignment="1">
      <alignment vertical="top"/>
    </xf>
    <xf numFmtId="0" fontId="16" fillId="0" borderId="150" xfId="0" applyFont="1" applyFill="1" applyBorder="1" applyAlignment="1">
      <alignment vertical="top" wrapText="1"/>
    </xf>
    <xf numFmtId="0" fontId="16" fillId="0" borderId="114" xfId="0" applyFont="1" applyFill="1" applyBorder="1" applyAlignment="1">
      <alignment vertical="top" wrapText="1"/>
    </xf>
    <xf numFmtId="0" fontId="16" fillId="0" borderId="54" xfId="0" applyFont="1" applyFill="1" applyBorder="1" applyAlignment="1">
      <alignment vertical="top" wrapText="1"/>
    </xf>
    <xf numFmtId="0" fontId="16" fillId="0" borderId="25" xfId="0" applyFont="1" applyFill="1" applyBorder="1" applyAlignment="1">
      <alignment vertical="top" wrapText="1"/>
    </xf>
    <xf numFmtId="0" fontId="16" fillId="0" borderId="33" xfId="0" quotePrefix="1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 wrapText="1"/>
    </xf>
    <xf numFmtId="0" fontId="16" fillId="0" borderId="99" xfId="0" applyFont="1" applyFill="1" applyBorder="1" applyAlignment="1">
      <alignment vertical="top" wrapText="1"/>
    </xf>
    <xf numFmtId="0" fontId="16" fillId="0" borderId="150" xfId="0" applyFont="1" applyFill="1" applyBorder="1" applyAlignment="1">
      <alignment vertical="top"/>
    </xf>
    <xf numFmtId="0" fontId="16" fillId="14" borderId="150" xfId="0" applyFont="1" applyFill="1" applyBorder="1" applyAlignment="1">
      <alignment vertical="top"/>
    </xf>
    <xf numFmtId="0" fontId="16" fillId="14" borderId="151" xfId="0" applyFont="1" applyFill="1" applyBorder="1" applyAlignment="1">
      <alignment vertical="top"/>
    </xf>
    <xf numFmtId="0" fontId="16" fillId="0" borderId="151" xfId="0" applyFont="1" applyFill="1" applyBorder="1" applyAlignment="1">
      <alignment vertical="top" wrapText="1"/>
    </xf>
    <xf numFmtId="0" fontId="16" fillId="0" borderId="93" xfId="0" applyFont="1" applyFill="1" applyBorder="1" applyAlignment="1">
      <alignment vertical="top"/>
    </xf>
    <xf numFmtId="0" fontId="16" fillId="0" borderId="33" xfId="0" applyFont="1" applyFill="1" applyBorder="1" applyAlignment="1">
      <alignment vertical="top"/>
    </xf>
    <xf numFmtId="0" fontId="16" fillId="0" borderId="99" xfId="0" applyFont="1" applyFill="1" applyBorder="1" applyAlignment="1">
      <alignment vertical="top"/>
    </xf>
    <xf numFmtId="0" fontId="16" fillId="0" borderId="99" xfId="0" quotePrefix="1" applyFont="1" applyFill="1" applyBorder="1" applyAlignment="1">
      <alignment vertical="top" wrapText="1"/>
    </xf>
    <xf numFmtId="0" fontId="16" fillId="0" borderId="96" xfId="0" applyFont="1" applyFill="1" applyBorder="1" applyAlignment="1">
      <alignment vertical="top"/>
    </xf>
    <xf numFmtId="0" fontId="16" fillId="4" borderId="33" xfId="0" applyFont="1" applyFill="1" applyBorder="1" applyAlignment="1">
      <alignment vertical="top"/>
    </xf>
    <xf numFmtId="0" fontId="16" fillId="4" borderId="96" xfId="0" applyFont="1" applyFill="1" applyBorder="1" applyAlignment="1">
      <alignment vertical="top"/>
    </xf>
    <xf numFmtId="0" fontId="16" fillId="4" borderId="99" xfId="0" applyFont="1" applyFill="1" applyBorder="1" applyAlignment="1">
      <alignment vertical="top"/>
    </xf>
    <xf numFmtId="0" fontId="16" fillId="8" borderId="114" xfId="0" applyFont="1" applyFill="1" applyBorder="1" applyAlignment="1">
      <alignment vertical="top" wrapText="1"/>
    </xf>
    <xf numFmtId="0" fontId="16" fillId="8" borderId="25" xfId="0" applyFont="1" applyFill="1" applyBorder="1" applyAlignment="1">
      <alignment vertical="top" wrapText="1"/>
    </xf>
    <xf numFmtId="0" fontId="16" fillId="0" borderId="33" xfId="0" applyFont="1" applyFill="1" applyBorder="1" applyAlignment="1">
      <alignment vertical="top" wrapText="1"/>
    </xf>
    <xf numFmtId="0" fontId="16" fillId="0" borderId="6" xfId="0" applyFont="1" applyFill="1" applyBorder="1" applyAlignment="1">
      <alignment vertical="top" wrapText="1"/>
    </xf>
    <xf numFmtId="0" fontId="16" fillId="0" borderId="93" xfId="0" applyFont="1" applyFill="1" applyBorder="1" applyAlignment="1">
      <alignment vertical="top" wrapText="1"/>
    </xf>
    <xf numFmtId="0" fontId="16" fillId="4" borderId="150" xfId="0" applyFont="1" applyFill="1" applyBorder="1" applyAlignment="1">
      <alignment vertical="top" wrapText="1"/>
    </xf>
    <xf numFmtId="0" fontId="16" fillId="4" borderId="55" xfId="0" applyFont="1" applyFill="1" applyBorder="1" applyAlignment="1">
      <alignment vertical="top" wrapText="1"/>
    </xf>
    <xf numFmtId="0" fontId="16" fillId="4" borderId="151" xfId="0" applyFont="1" applyFill="1" applyBorder="1" applyAlignment="1">
      <alignment vertical="top"/>
    </xf>
    <xf numFmtId="0" fontId="37" fillId="6" borderId="165" xfId="0" applyFont="1" applyFill="1" applyBorder="1" applyAlignment="1">
      <alignment vertical="top" wrapText="1"/>
    </xf>
    <xf numFmtId="0" fontId="37" fillId="6" borderId="0" xfId="0" applyFont="1" applyFill="1" applyBorder="1" applyAlignment="1">
      <alignment vertical="top" wrapText="1"/>
    </xf>
    <xf numFmtId="0" fontId="37" fillId="6" borderId="69" xfId="0" applyFont="1" applyFill="1" applyBorder="1" applyAlignment="1">
      <alignment vertical="top" wrapText="1"/>
    </xf>
    <xf numFmtId="0" fontId="16" fillId="0" borderId="96" xfId="0" quotePrefix="1" applyFont="1" applyFill="1" applyBorder="1" applyAlignment="1">
      <alignment vertical="top" wrapText="1"/>
    </xf>
    <xf numFmtId="0" fontId="16" fillId="3" borderId="33" xfId="0" applyFont="1" applyFill="1" applyBorder="1" applyAlignment="1">
      <alignment vertical="top"/>
    </xf>
    <xf numFmtId="0" fontId="16" fillId="3" borderId="96" xfId="0" applyFont="1" applyFill="1" applyBorder="1" applyAlignment="1">
      <alignment vertical="top"/>
    </xf>
    <xf numFmtId="0" fontId="16" fillId="3" borderId="150" xfId="0" applyFont="1" applyFill="1" applyBorder="1" applyAlignment="1">
      <alignment vertical="top" wrapText="1"/>
    </xf>
    <xf numFmtId="0" fontId="16" fillId="3" borderId="55" xfId="0" applyFont="1" applyFill="1" applyBorder="1" applyAlignment="1">
      <alignment vertical="top" wrapText="1"/>
    </xf>
    <xf numFmtId="0" fontId="37" fillId="6" borderId="175" xfId="0" applyFont="1" applyFill="1" applyBorder="1" applyAlignment="1">
      <alignment vertical="top" wrapText="1"/>
    </xf>
    <xf numFmtId="0" fontId="37" fillId="6" borderId="91" xfId="0" applyFont="1" applyFill="1" applyBorder="1" applyAlignment="1">
      <alignment vertical="top" wrapText="1"/>
    </xf>
    <xf numFmtId="0" fontId="37" fillId="6" borderId="159" xfId="0" applyFont="1" applyFill="1" applyBorder="1" applyAlignment="1">
      <alignment vertical="top" wrapText="1"/>
    </xf>
    <xf numFmtId="0" fontId="16" fillId="8" borderId="33" xfId="0" applyFont="1" applyFill="1" applyBorder="1" applyAlignment="1">
      <alignment vertical="top"/>
    </xf>
    <xf numFmtId="0" fontId="16" fillId="8" borderId="99" xfId="0" applyFont="1" applyFill="1" applyBorder="1" applyAlignment="1">
      <alignment vertical="top"/>
    </xf>
    <xf numFmtId="0" fontId="16" fillId="8" borderId="150" xfId="0" applyFont="1" applyFill="1" applyBorder="1" applyAlignment="1">
      <alignment vertical="top"/>
    </xf>
    <xf numFmtId="0" fontId="16" fillId="8" borderId="151" xfId="0" applyFont="1" applyFill="1" applyBorder="1" applyAlignment="1">
      <alignment vertical="top"/>
    </xf>
    <xf numFmtId="0" fontId="13" fillId="0" borderId="95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6" borderId="95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177" fontId="13" fillId="6" borderId="33" xfId="0" applyNumberFormat="1" applyFont="1" applyFill="1" applyBorder="1" applyAlignment="1">
      <alignment horizontal="center" vertical="center"/>
    </xf>
    <xf numFmtId="177" fontId="13" fillId="6" borderId="13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7" fontId="13" fillId="6" borderId="15" xfId="0" applyNumberFormat="1" applyFont="1" applyFill="1" applyBorder="1" applyAlignment="1">
      <alignment horizontal="center" vertical="center"/>
    </xf>
    <xf numFmtId="177" fontId="16" fillId="6" borderId="90" xfId="0" applyNumberFormat="1" applyFont="1" applyFill="1" applyBorder="1" applyAlignment="1">
      <alignment horizontal="center" vertical="center"/>
    </xf>
    <xf numFmtId="177" fontId="16" fillId="6" borderId="55" xfId="0" applyNumberFormat="1" applyFont="1" applyFill="1" applyBorder="1" applyAlignment="1">
      <alignment horizontal="center" vertical="center"/>
    </xf>
    <xf numFmtId="177" fontId="16" fillId="6" borderId="40" xfId="0" applyNumberFormat="1" applyFont="1" applyFill="1" applyBorder="1" applyAlignment="1">
      <alignment horizontal="center" vertical="center"/>
    </xf>
    <xf numFmtId="177" fontId="13" fillId="6" borderId="96" xfId="0" applyNumberFormat="1" applyFont="1" applyFill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vertical="center"/>
    </xf>
    <xf numFmtId="177" fontId="13" fillId="0" borderId="25" xfId="0" applyNumberFormat="1" applyFont="1" applyFill="1" applyBorder="1" applyAlignment="1">
      <alignment vertical="center"/>
    </xf>
    <xf numFmtId="177" fontId="13" fillId="6" borderId="114" xfId="0" applyNumberFormat="1" applyFont="1" applyFill="1" applyBorder="1" applyAlignment="1">
      <alignment vertical="center"/>
    </xf>
    <xf numFmtId="177" fontId="13" fillId="6" borderId="54" xfId="0" applyNumberFormat="1" applyFont="1" applyFill="1" applyBorder="1" applyAlignment="1">
      <alignment vertical="center"/>
    </xf>
    <xf numFmtId="0" fontId="13" fillId="0" borderId="15" xfId="0" applyFont="1" applyFill="1" applyBorder="1" applyAlignment="1">
      <alignment horizontal="center" vertical="center"/>
    </xf>
    <xf numFmtId="0" fontId="13" fillId="0" borderId="96" xfId="0" applyFont="1" applyFill="1" applyBorder="1" applyAlignment="1">
      <alignment horizontal="center" vertical="center"/>
    </xf>
    <xf numFmtId="0" fontId="13" fillId="0" borderId="90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3" fillId="0" borderId="40" xfId="0" applyFont="1" applyFill="1" applyBorder="1" applyAlignment="1">
      <alignment horizontal="center" vertical="center"/>
    </xf>
    <xf numFmtId="177" fontId="13" fillId="0" borderId="15" xfId="0" applyNumberFormat="1" applyFont="1" applyFill="1" applyBorder="1" applyAlignment="1">
      <alignment horizontal="center" vertical="center"/>
    </xf>
    <xf numFmtId="177" fontId="13" fillId="0" borderId="96" xfId="0" applyNumberFormat="1" applyFont="1" applyFill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6" fillId="0" borderId="90" xfId="0" applyNumberFormat="1" applyFont="1" applyFill="1" applyBorder="1" applyAlignment="1">
      <alignment horizontal="center" vertical="center"/>
    </xf>
    <xf numFmtId="177" fontId="16" fillId="0" borderId="55" xfId="0" applyNumberFormat="1" applyFont="1" applyFill="1" applyBorder="1" applyAlignment="1">
      <alignment horizontal="center" vertical="center"/>
    </xf>
    <xf numFmtId="177" fontId="16" fillId="0" borderId="40" xfId="0" applyNumberFormat="1" applyFont="1" applyFill="1" applyBorder="1" applyAlignment="1">
      <alignment horizontal="center" vertical="center"/>
    </xf>
    <xf numFmtId="0" fontId="13" fillId="6" borderId="90" xfId="0" applyFont="1" applyFill="1" applyBorder="1" applyAlignment="1">
      <alignment horizontal="center" vertical="center"/>
    </xf>
    <xf numFmtId="0" fontId="13" fillId="6" borderId="40" xfId="0" applyFont="1" applyFill="1" applyBorder="1" applyAlignment="1">
      <alignment horizontal="center" vertical="center"/>
    </xf>
    <xf numFmtId="177" fontId="16" fillId="6" borderId="42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horizontal="left" vertical="center"/>
    </xf>
    <xf numFmtId="177" fontId="13" fillId="6" borderId="39" xfId="0" applyNumberFormat="1" applyFont="1" applyFill="1" applyBorder="1" applyAlignment="1">
      <alignment horizontal="left" vertical="center"/>
    </xf>
    <xf numFmtId="177" fontId="13" fillId="6" borderId="114" xfId="0" applyNumberFormat="1" applyFont="1" applyFill="1" applyBorder="1" applyAlignment="1">
      <alignment horizontal="left" vertical="center"/>
    </xf>
    <xf numFmtId="0" fontId="13" fillId="6" borderId="151" xfId="0" applyFont="1" applyFill="1" applyBorder="1" applyAlignment="1">
      <alignment horizontal="center" vertical="center"/>
    </xf>
    <xf numFmtId="0" fontId="13" fillId="6" borderId="55" xfId="0" applyFont="1" applyFill="1" applyBorder="1" applyAlignment="1">
      <alignment horizontal="center" vertical="center"/>
    </xf>
    <xf numFmtId="0" fontId="13" fillId="6" borderId="35" xfId="0" applyFont="1" applyFill="1" applyBorder="1" applyAlignment="1">
      <alignment horizontal="center" vertical="center"/>
    </xf>
    <xf numFmtId="177" fontId="13" fillId="6" borderId="25" xfId="0" applyNumberFormat="1" applyFont="1" applyFill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96" xfId="0" applyFont="1" applyFill="1" applyBorder="1" applyAlignment="1">
      <alignment horizontal="center" vertical="center"/>
    </xf>
    <xf numFmtId="0" fontId="13" fillId="6" borderId="98" xfId="0" applyFont="1" applyFill="1" applyBorder="1" applyAlignment="1">
      <alignment horizontal="center" vertical="center"/>
    </xf>
    <xf numFmtId="0" fontId="13" fillId="6" borderId="42" xfId="0" applyFont="1" applyFill="1" applyBorder="1" applyAlignment="1">
      <alignment horizontal="center" vertical="center"/>
    </xf>
    <xf numFmtId="177" fontId="13" fillId="6" borderId="98" xfId="0" applyNumberFormat="1" applyFont="1" applyFill="1" applyBorder="1" applyAlignment="1">
      <alignment horizontal="center" vertical="center"/>
    </xf>
    <xf numFmtId="177" fontId="16" fillId="6" borderId="158" xfId="0" applyNumberFormat="1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177" fontId="13" fillId="6" borderId="39" xfId="0" applyNumberFormat="1" applyFont="1" applyFill="1" applyBorder="1" applyAlignment="1">
      <alignment vertical="center"/>
    </xf>
    <xf numFmtId="177" fontId="13" fillId="0" borderId="54" xfId="0" applyNumberFormat="1" applyFont="1" applyFill="1" applyBorder="1" applyAlignment="1">
      <alignment vertical="center"/>
    </xf>
    <xf numFmtId="177" fontId="13" fillId="0" borderId="39" xfId="0" applyNumberFormat="1" applyFont="1" applyFill="1" applyBorder="1" applyAlignment="1">
      <alignment vertical="center"/>
    </xf>
    <xf numFmtId="177" fontId="13" fillId="6" borderId="25" xfId="0" applyNumberFormat="1" applyFont="1" applyFill="1" applyBorder="1" applyAlignment="1">
      <alignment vertical="center"/>
    </xf>
    <xf numFmtId="0" fontId="13" fillId="6" borderId="157" xfId="0" applyFont="1" applyFill="1" applyBorder="1" applyAlignment="1">
      <alignment horizontal="center" vertical="center"/>
    </xf>
    <xf numFmtId="0" fontId="13" fillId="6" borderId="69" xfId="0" applyFont="1" applyFill="1" applyBorder="1" applyAlignment="1">
      <alignment horizontal="center" vertical="center"/>
    </xf>
    <xf numFmtId="0" fontId="13" fillId="6" borderId="117" xfId="0" applyFont="1" applyFill="1" applyBorder="1" applyAlignment="1">
      <alignment horizontal="center" vertical="center"/>
    </xf>
    <xf numFmtId="0" fontId="13" fillId="6" borderId="99" xfId="0" applyFont="1" applyFill="1" applyBorder="1" applyAlignment="1">
      <alignment horizontal="center" vertical="center"/>
    </xf>
    <xf numFmtId="0" fontId="13" fillId="6" borderId="30" xfId="0" applyFont="1" applyFill="1" applyBorder="1" applyAlignment="1">
      <alignment horizontal="center" vertical="center"/>
    </xf>
    <xf numFmtId="177" fontId="16" fillId="6" borderId="38" xfId="0" applyNumberFormat="1" applyFont="1" applyFill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0" fontId="13" fillId="0" borderId="94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177" fontId="13" fillId="6" borderId="95" xfId="0" applyNumberFormat="1" applyFont="1" applyFill="1" applyBorder="1" applyAlignment="1">
      <alignment horizontal="center" vertical="center"/>
    </xf>
    <xf numFmtId="177" fontId="14" fillId="6" borderId="90" xfId="0" applyNumberFormat="1" applyFont="1" applyFill="1" applyBorder="1" applyAlignment="1">
      <alignment horizontal="center" vertical="center"/>
    </xf>
    <xf numFmtId="177" fontId="14" fillId="6" borderId="55" xfId="0" applyNumberFormat="1" applyFont="1" applyFill="1" applyBorder="1" applyAlignment="1">
      <alignment horizontal="center" vertical="center"/>
    </xf>
    <xf numFmtId="177" fontId="14" fillId="6" borderId="40" xfId="0" applyNumberFormat="1" applyFont="1" applyFill="1" applyBorder="1" applyAlignment="1">
      <alignment horizontal="center" vertical="center"/>
    </xf>
    <xf numFmtId="0" fontId="14" fillId="6" borderId="90" xfId="0" applyFont="1" applyFill="1" applyBorder="1" applyAlignment="1">
      <alignment horizontal="center" vertical="center"/>
    </xf>
    <xf numFmtId="0" fontId="14" fillId="6" borderId="55" xfId="0" applyFont="1" applyFill="1" applyBorder="1" applyAlignment="1">
      <alignment horizontal="center" vertical="center"/>
    </xf>
    <xf numFmtId="0" fontId="14" fillId="6" borderId="40" xfId="0" applyFont="1" applyFill="1" applyBorder="1" applyAlignment="1">
      <alignment horizontal="center" vertical="center"/>
    </xf>
    <xf numFmtId="0" fontId="13" fillId="0" borderId="113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6" fillId="0" borderId="40" xfId="0" applyFont="1" applyFill="1" applyBorder="1" applyAlignment="1">
      <alignment horizontal="center" vertical="center"/>
    </xf>
    <xf numFmtId="177" fontId="13" fillId="6" borderId="54" xfId="0" applyNumberFormat="1" applyFont="1" applyFill="1" applyBorder="1" applyAlignment="1">
      <alignment horizontal="left" vertical="center"/>
    </xf>
    <xf numFmtId="0" fontId="16" fillId="0" borderId="55" xfId="0" applyFont="1" applyBorder="1" applyAlignment="1">
      <alignment horizontal="center" vertical="center"/>
    </xf>
    <xf numFmtId="177" fontId="13" fillId="6" borderId="41" xfId="0" applyNumberFormat="1" applyFont="1" applyFill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55" xfId="0" applyFont="1" applyBorder="1" applyAlignment="1">
      <alignment horizontal="center" vertical="center"/>
    </xf>
    <xf numFmtId="0" fontId="16" fillId="6" borderId="15" xfId="0" applyNumberFormat="1" applyFont="1" applyFill="1" applyBorder="1" applyAlignment="1">
      <alignment horizontal="center" vertical="center"/>
    </xf>
    <xf numFmtId="0" fontId="16" fillId="6" borderId="13" xfId="0" applyNumberFormat="1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13" fillId="6" borderId="113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/>
    </xf>
    <xf numFmtId="0" fontId="13" fillId="6" borderId="25" xfId="0" applyFont="1" applyFill="1" applyBorder="1" applyAlignment="1">
      <alignment horizontal="left" vertical="center"/>
    </xf>
    <xf numFmtId="0" fontId="13" fillId="0" borderId="96" xfId="0" applyFont="1" applyBorder="1" applyAlignment="1">
      <alignment horizontal="center" vertical="center"/>
    </xf>
    <xf numFmtId="177" fontId="13" fillId="6" borderId="94" xfId="0" applyNumberFormat="1" applyFont="1" applyFill="1" applyBorder="1" applyAlignment="1">
      <alignment horizontal="center" vertical="center"/>
    </xf>
    <xf numFmtId="177" fontId="16" fillId="0" borderId="42" xfId="0" applyNumberFormat="1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177" fontId="13" fillId="6" borderId="114" xfId="0" applyNumberFormat="1" applyFont="1" applyFill="1" applyBorder="1" applyAlignment="1">
      <alignment horizontal="left" vertical="center" wrapText="1"/>
    </xf>
    <xf numFmtId="177" fontId="13" fillId="6" borderId="39" xfId="0" applyNumberFormat="1" applyFont="1" applyFill="1" applyBorder="1" applyAlignment="1">
      <alignment horizontal="left" vertical="center" wrapText="1"/>
    </xf>
    <xf numFmtId="177" fontId="16" fillId="0" borderId="38" xfId="0" applyNumberFormat="1" applyFont="1" applyFill="1" applyBorder="1" applyAlignment="1">
      <alignment horizontal="center" vertical="center"/>
    </xf>
    <xf numFmtId="0" fontId="16" fillId="0" borderId="55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7" fontId="13" fillId="0" borderId="114" xfId="0" applyNumberFormat="1" applyFont="1" applyFill="1" applyBorder="1" applyAlignment="1">
      <alignment horizontal="left" vertical="center"/>
    </xf>
    <xf numFmtId="177" fontId="13" fillId="0" borderId="39" xfId="0" applyNumberFormat="1" applyFont="1" applyFill="1" applyBorder="1" applyAlignment="1">
      <alignment horizontal="left" vertical="center"/>
    </xf>
    <xf numFmtId="177" fontId="14" fillId="6" borderId="15" xfId="0" applyNumberFormat="1" applyFont="1" applyFill="1" applyBorder="1" applyAlignment="1">
      <alignment horizontal="center" vertical="center"/>
    </xf>
    <xf numFmtId="177" fontId="14" fillId="6" borderId="96" xfId="0" applyNumberFormat="1" applyFont="1" applyFill="1" applyBorder="1" applyAlignment="1">
      <alignment horizontal="center" vertical="center"/>
    </xf>
    <xf numFmtId="177" fontId="14" fillId="6" borderId="13" xfId="0" applyNumberFormat="1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177" fontId="13" fillId="0" borderId="95" xfId="0" applyNumberFormat="1" applyFont="1" applyFill="1" applyBorder="1" applyAlignment="1">
      <alignment horizontal="center" vertical="center"/>
    </xf>
    <xf numFmtId="177" fontId="13" fillId="6" borderId="52" xfId="0" applyNumberFormat="1" applyFont="1" applyFill="1" applyBorder="1" applyAlignment="1">
      <alignment horizontal="center" vertical="center"/>
    </xf>
    <xf numFmtId="177" fontId="13" fillId="6" borderId="103" xfId="0" applyNumberFormat="1" applyFont="1" applyFill="1" applyBorder="1" applyAlignment="1">
      <alignment vertical="center"/>
    </xf>
    <xf numFmtId="177" fontId="13" fillId="6" borderId="103" xfId="0" applyNumberFormat="1" applyFont="1" applyFill="1" applyBorder="1" applyAlignment="1">
      <alignment horizontal="left" vertical="center" wrapText="1"/>
    </xf>
    <xf numFmtId="177" fontId="13" fillId="6" borderId="54" xfId="0" applyNumberFormat="1" applyFont="1" applyFill="1" applyBorder="1" applyAlignment="1">
      <alignment horizontal="left" vertical="center" wrapText="1"/>
    </xf>
    <xf numFmtId="177" fontId="13" fillId="6" borderId="25" xfId="0" applyNumberFormat="1" applyFont="1" applyFill="1" applyBorder="1" applyAlignment="1">
      <alignment horizontal="left" vertical="center" wrapText="1"/>
    </xf>
    <xf numFmtId="177" fontId="13" fillId="6" borderId="99" xfId="0" applyNumberFormat="1" applyFont="1" applyFill="1" applyBorder="1" applyAlignment="1">
      <alignment horizontal="center" vertical="center"/>
    </xf>
    <xf numFmtId="177" fontId="13" fillId="6" borderId="6" xfId="0" applyNumberFormat="1" applyFont="1" applyFill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177" fontId="16" fillId="6" borderId="106" xfId="0" applyNumberFormat="1" applyFont="1" applyFill="1" applyBorder="1" applyAlignment="1">
      <alignment horizontal="center" vertical="center"/>
    </xf>
    <xf numFmtId="177" fontId="13" fillId="0" borderId="52" xfId="0" applyNumberFormat="1" applyFont="1" applyFill="1" applyBorder="1" applyAlignment="1">
      <alignment horizontal="center" vertical="center"/>
    </xf>
    <xf numFmtId="0" fontId="13" fillId="6" borderId="10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left" vertical="center"/>
    </xf>
    <xf numFmtId="0" fontId="13" fillId="6" borderId="15" xfId="0" applyFont="1" applyFill="1" applyBorder="1" applyAlignment="1">
      <alignment horizontal="center" vertical="center" wrapText="1"/>
    </xf>
    <xf numFmtId="0" fontId="13" fillId="6" borderId="96" xfId="0" applyFont="1" applyFill="1" applyBorder="1" applyAlignment="1">
      <alignment horizontal="center" vertical="center" wrapText="1"/>
    </xf>
    <xf numFmtId="177" fontId="13" fillId="6" borderId="34" xfId="0" applyNumberFormat="1" applyFont="1" applyFill="1" applyBorder="1" applyAlignment="1">
      <alignment horizontal="left" vertical="center"/>
    </xf>
    <xf numFmtId="0" fontId="13" fillId="6" borderId="52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177" fontId="16" fillId="6" borderId="57" xfId="0" applyNumberFormat="1" applyFont="1" applyFill="1" applyBorder="1" applyAlignment="1">
      <alignment horizontal="center" vertical="center"/>
    </xf>
    <xf numFmtId="0" fontId="13" fillId="6" borderId="57" xfId="0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horizontal="left" vertical="center"/>
    </xf>
    <xf numFmtId="0" fontId="13" fillId="6" borderId="93" xfId="0" applyFont="1" applyFill="1" applyBorder="1" applyAlignment="1">
      <alignment horizontal="center" vertical="center"/>
    </xf>
    <xf numFmtId="177" fontId="13" fillId="6" borderId="93" xfId="0" applyNumberFormat="1" applyFont="1" applyFill="1" applyBorder="1" applyAlignment="1">
      <alignment horizontal="center" vertical="center"/>
    </xf>
    <xf numFmtId="177" fontId="13" fillId="6" borderId="30" xfId="0" applyNumberFormat="1" applyFont="1" applyFill="1" applyBorder="1" applyAlignment="1">
      <alignment horizontal="center" vertical="center"/>
    </xf>
    <xf numFmtId="177" fontId="13" fillId="6" borderId="37" xfId="0" applyNumberFormat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/>
    </xf>
    <xf numFmtId="0" fontId="13" fillId="6" borderId="114" xfId="0" applyFont="1" applyFill="1" applyBorder="1" applyAlignment="1">
      <alignment horizontal="left" vertical="center"/>
    </xf>
    <xf numFmtId="177" fontId="13" fillId="6" borderId="15" xfId="0" applyNumberFormat="1" applyFont="1" applyFill="1" applyBorder="1" applyAlignment="1">
      <alignment horizontal="center" vertical="center" wrapText="1"/>
    </xf>
    <xf numFmtId="177" fontId="13" fillId="6" borderId="99" xfId="0" applyNumberFormat="1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177" fontId="13" fillId="6" borderId="103" xfId="0" applyNumberFormat="1" applyFont="1" applyFill="1" applyBorder="1" applyAlignment="1">
      <alignment vertical="center" wrapText="1"/>
    </xf>
    <xf numFmtId="177" fontId="13" fillId="6" borderId="39" xfId="0" applyNumberFormat="1" applyFont="1" applyFill="1" applyBorder="1" applyAlignment="1">
      <alignment vertical="center" wrapText="1"/>
    </xf>
    <xf numFmtId="0" fontId="13" fillId="6" borderId="113" xfId="0" applyFont="1" applyFill="1" applyBorder="1" applyAlignment="1">
      <alignment horizontal="center" vertical="center" wrapText="1"/>
    </xf>
    <xf numFmtId="0" fontId="13" fillId="6" borderId="103" xfId="0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3" xfId="0" applyFont="1" applyFill="1" applyBorder="1" applyAlignment="1">
      <alignment horizontal="center" vertical="center" wrapText="1"/>
    </xf>
    <xf numFmtId="0" fontId="48" fillId="5" borderId="131" xfId="3" applyFont="1" applyFill="1" applyBorder="1" applyAlignment="1">
      <alignment horizontal="center" vertical="center" wrapText="1"/>
    </xf>
    <xf numFmtId="0" fontId="15" fillId="5" borderId="153" xfId="0" applyFont="1" applyFill="1" applyBorder="1" applyAlignment="1">
      <alignment horizontal="center" vertical="center" wrapText="1"/>
    </xf>
    <xf numFmtId="0" fontId="49" fillId="5" borderId="5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center" vertical="center" wrapText="1"/>
    </xf>
    <xf numFmtId="0" fontId="15" fillId="5" borderId="29" xfId="0" quotePrefix="1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 wrapText="1"/>
    </xf>
    <xf numFmtId="0" fontId="13" fillId="6" borderId="104" xfId="0" applyFont="1" applyFill="1" applyBorder="1" applyAlignment="1">
      <alignment horizontal="center" vertical="center"/>
    </xf>
    <xf numFmtId="0" fontId="13" fillId="6" borderId="94" xfId="0" applyFont="1" applyFill="1" applyBorder="1" applyAlignment="1">
      <alignment horizontal="center" vertical="center" wrapText="1"/>
    </xf>
    <xf numFmtId="0" fontId="15" fillId="14" borderId="112" xfId="0" applyFont="1" applyFill="1" applyBorder="1" applyAlignment="1">
      <alignment horizontal="center" vertical="center" wrapText="1"/>
    </xf>
    <xf numFmtId="0" fontId="15" fillId="14" borderId="132" xfId="0" applyFont="1" applyFill="1" applyBorder="1" applyAlignment="1">
      <alignment horizontal="center" vertical="center" wrapText="1"/>
    </xf>
    <xf numFmtId="0" fontId="15" fillId="5" borderId="112" xfId="0" applyFont="1" applyFill="1" applyBorder="1" applyAlignment="1">
      <alignment horizontal="center" vertical="center"/>
    </xf>
    <xf numFmtId="0" fontId="15" fillId="5" borderId="58" xfId="0" applyFont="1" applyFill="1" applyBorder="1" applyAlignment="1">
      <alignment horizontal="center" vertical="center"/>
    </xf>
    <xf numFmtId="0" fontId="15" fillId="5" borderId="59" xfId="0" applyFont="1" applyFill="1" applyBorder="1" applyAlignment="1">
      <alignment horizontal="center" vertical="center"/>
    </xf>
    <xf numFmtId="0" fontId="15" fillId="14" borderId="112" xfId="0" applyFont="1" applyFill="1" applyBorder="1" applyAlignment="1">
      <alignment horizontal="center" vertical="center"/>
    </xf>
    <xf numFmtId="0" fontId="15" fillId="14" borderId="132" xfId="0" applyFont="1" applyFill="1" applyBorder="1" applyAlignment="1">
      <alignment horizontal="center" vertical="center"/>
    </xf>
    <xf numFmtId="177" fontId="16" fillId="6" borderId="35" xfId="0" applyNumberFormat="1" applyFont="1" applyFill="1" applyBorder="1" applyAlignment="1">
      <alignment horizontal="center" vertical="center"/>
    </xf>
    <xf numFmtId="177" fontId="16" fillId="6" borderId="7" xfId="0" applyNumberFormat="1" applyFont="1" applyFill="1" applyBorder="1" applyAlignment="1">
      <alignment horizontal="center" vertical="center"/>
    </xf>
    <xf numFmtId="177" fontId="13" fillId="6" borderId="28" xfId="0" applyNumberFormat="1" applyFont="1" applyFill="1" applyBorder="1" applyAlignment="1">
      <alignment horizontal="center" vertical="center"/>
    </xf>
    <xf numFmtId="177" fontId="13" fillId="6" borderId="130" xfId="0" applyNumberFormat="1" applyFont="1" applyFill="1" applyBorder="1" applyAlignment="1">
      <alignment horizontal="left" vertical="center"/>
    </xf>
    <xf numFmtId="177" fontId="13" fillId="0" borderId="94" xfId="0" applyNumberFormat="1" applyFont="1" applyFill="1" applyBorder="1" applyAlignment="1">
      <alignment horizontal="center" vertical="center"/>
    </xf>
    <xf numFmtId="0" fontId="13" fillId="6" borderId="106" xfId="0" applyFont="1" applyFill="1" applyBorder="1" applyAlignment="1">
      <alignment horizontal="center" vertical="center"/>
    </xf>
    <xf numFmtId="0" fontId="13" fillId="6" borderId="95" xfId="0" applyFont="1" applyFill="1" applyBorder="1" applyAlignment="1">
      <alignment horizontal="center" vertical="center" wrapText="1"/>
    </xf>
    <xf numFmtId="177" fontId="16" fillId="0" borderId="35" xfId="0" applyNumberFormat="1" applyFont="1" applyFill="1" applyBorder="1" applyAlignment="1">
      <alignment horizontal="center" vertical="center"/>
    </xf>
    <xf numFmtId="177" fontId="16" fillId="0" borderId="106" xfId="0" applyNumberFormat="1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4" fillId="6" borderId="113" xfId="0" applyFont="1" applyFill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0" fontId="13" fillId="0" borderId="104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177" fontId="13" fillId="0" borderId="30" xfId="0" applyNumberFormat="1" applyFont="1" applyFill="1" applyBorder="1" applyAlignment="1">
      <alignment horizontal="center" vertical="center"/>
    </xf>
    <xf numFmtId="177" fontId="13" fillId="0" borderId="103" xfId="0" applyNumberFormat="1" applyFont="1" applyFill="1" applyBorder="1" applyAlignment="1">
      <alignment horizontal="left" vertical="center"/>
    </xf>
    <xf numFmtId="177" fontId="13" fillId="0" borderId="25" xfId="0" applyNumberFormat="1" applyFont="1" applyFill="1" applyBorder="1" applyAlignment="1">
      <alignment horizontal="left" vertical="center"/>
    </xf>
    <xf numFmtId="0" fontId="13" fillId="6" borderId="14" xfId="0" applyFont="1" applyFill="1" applyBorder="1" applyAlignment="1">
      <alignment horizontal="center" vertical="center"/>
    </xf>
    <xf numFmtId="177" fontId="16" fillId="6" borderId="72" xfId="0" applyNumberFormat="1" applyFont="1" applyFill="1" applyBorder="1" applyAlignment="1">
      <alignment horizontal="center" vertical="center"/>
    </xf>
    <xf numFmtId="177" fontId="13" fillId="6" borderId="27" xfId="0" applyNumberFormat="1" applyFont="1" applyFill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177" fontId="13" fillId="0" borderId="54" xfId="0" applyNumberFormat="1" applyFont="1" applyFill="1" applyBorder="1" applyAlignment="1">
      <alignment vertical="center" wrapText="1"/>
    </xf>
    <xf numFmtId="177" fontId="13" fillId="0" borderId="39" xfId="0" applyNumberFormat="1" applyFont="1" applyFill="1" applyBorder="1" applyAlignment="1">
      <alignment vertical="center" wrapText="1"/>
    </xf>
    <xf numFmtId="0" fontId="13" fillId="6" borderId="54" xfId="0" applyFont="1" applyFill="1" applyBorder="1" applyAlignment="1">
      <alignment horizontal="left" vertical="center"/>
    </xf>
    <xf numFmtId="177" fontId="13" fillId="6" borderId="14" xfId="0" applyNumberFormat="1" applyFont="1" applyFill="1" applyBorder="1" applyAlignment="1">
      <alignment horizontal="center" vertical="center"/>
    </xf>
    <xf numFmtId="0" fontId="44" fillId="2" borderId="164" xfId="0" applyFont="1" applyFill="1" applyBorder="1" applyAlignment="1">
      <alignment horizontal="center" vertical="center"/>
    </xf>
    <xf numFmtId="0" fontId="44" fillId="2" borderId="78" xfId="0" applyFont="1" applyFill="1" applyBorder="1" applyAlignment="1">
      <alignment horizontal="center" vertical="center"/>
    </xf>
    <xf numFmtId="0" fontId="44" fillId="2" borderId="50" xfId="0" applyFont="1" applyFill="1" applyBorder="1" applyAlignment="1">
      <alignment horizontal="center" vertical="center"/>
    </xf>
    <xf numFmtId="0" fontId="44" fillId="0" borderId="43" xfId="0" applyFont="1" applyBorder="1" applyAlignment="1"/>
    <xf numFmtId="0" fontId="44" fillId="2" borderId="6" xfId="0" applyFont="1" applyFill="1" applyBorder="1" applyAlignment="1">
      <alignment horizontal="center" vertical="center"/>
    </xf>
    <xf numFmtId="0" fontId="44" fillId="0" borderId="25" xfId="0" applyFont="1" applyBorder="1" applyAlignment="1"/>
    <xf numFmtId="0" fontId="20" fillId="6" borderId="22" xfId="0" applyFont="1" applyFill="1" applyBorder="1" applyAlignment="1">
      <alignment horizontal="center"/>
    </xf>
    <xf numFmtId="0" fontId="20" fillId="6" borderId="102" xfId="0" applyFont="1" applyFill="1" applyBorder="1" applyAlignment="1">
      <alignment horizontal="center"/>
    </xf>
    <xf numFmtId="0" fontId="36" fillId="2" borderId="152" xfId="3" applyFont="1" applyFill="1" applyBorder="1" applyAlignment="1">
      <alignment horizontal="center"/>
    </xf>
    <xf numFmtId="0" fontId="36" fillId="2" borderId="62" xfId="3" applyFont="1" applyFill="1" applyBorder="1" applyAlignment="1">
      <alignment horizontal="center"/>
    </xf>
    <xf numFmtId="0" fontId="36" fillId="2" borderId="6" xfId="3" applyFont="1" applyFill="1" applyBorder="1" applyAlignment="1">
      <alignment horizontal="center"/>
    </xf>
    <xf numFmtId="0" fontId="36" fillId="2" borderId="7" xfId="3" applyFont="1" applyFill="1" applyBorder="1" applyAlignment="1">
      <alignment horizontal="center"/>
    </xf>
    <xf numFmtId="0" fontId="36" fillId="4" borderId="93" xfId="3" applyFont="1" applyFill="1" applyBorder="1" applyAlignment="1">
      <alignment horizontal="center"/>
    </xf>
    <xf numFmtId="0" fontId="36" fillId="4" borderId="7" xfId="3" applyFont="1" applyFill="1" applyBorder="1" applyAlignment="1">
      <alignment horizontal="center"/>
    </xf>
    <xf numFmtId="0" fontId="36" fillId="4" borderId="21" xfId="3" applyFont="1" applyFill="1" applyBorder="1" applyAlignment="1">
      <alignment horizontal="center"/>
    </xf>
    <xf numFmtId="0" fontId="36" fillId="2" borderId="93" xfId="3" applyFont="1" applyFill="1" applyBorder="1" applyAlignment="1">
      <alignment horizontal="center"/>
    </xf>
    <xf numFmtId="0" fontId="44" fillId="4" borderId="102" xfId="0" applyFont="1" applyFill="1" applyBorder="1" applyAlignment="1">
      <alignment horizontal="center"/>
    </xf>
    <xf numFmtId="0" fontId="44" fillId="4" borderId="21" xfId="0" applyFont="1" applyFill="1" applyBorder="1" applyAlignment="1">
      <alignment horizontal="center"/>
    </xf>
    <xf numFmtId="0" fontId="44" fillId="4" borderId="89" xfId="0" applyFont="1" applyFill="1" applyBorder="1" applyAlignment="1">
      <alignment horizontal="center" vertical="center" wrapText="1"/>
    </xf>
    <xf numFmtId="0" fontId="44" fillId="4" borderId="75" xfId="0" applyFont="1" applyFill="1" applyBorder="1" applyAlignment="1">
      <alignment horizontal="center" vertical="center" wrapText="1"/>
    </xf>
    <xf numFmtId="0" fontId="20" fillId="13" borderId="89" xfId="0" applyFont="1" applyFill="1" applyBorder="1" applyAlignment="1">
      <alignment horizontal="center" vertical="center"/>
    </xf>
    <xf numFmtId="0" fontId="20" fillId="13" borderId="23" xfId="0" applyFont="1" applyFill="1" applyBorder="1" applyAlignment="1">
      <alignment horizontal="center" vertical="center"/>
    </xf>
    <xf numFmtId="0" fontId="20" fillId="13" borderId="75" xfId="0" applyFont="1" applyFill="1" applyBorder="1" applyAlignment="1">
      <alignment horizontal="center" vertical="center"/>
    </xf>
    <xf numFmtId="0" fontId="44" fillId="13" borderId="76" xfId="0" applyFont="1" applyFill="1" applyBorder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4" fillId="13" borderId="78" xfId="0" applyFont="1" applyFill="1" applyBorder="1" applyAlignment="1">
      <alignment horizontal="center" vertical="center"/>
    </xf>
    <xf numFmtId="0" fontId="44" fillId="2" borderId="33" xfId="0" applyFont="1" applyFill="1" applyBorder="1" applyAlignment="1">
      <alignment horizontal="center" vertical="center" wrapText="1"/>
    </xf>
    <xf numFmtId="0" fontId="44" fillId="2" borderId="99" xfId="0" applyFont="1" applyFill="1" applyBorder="1" applyAlignment="1">
      <alignment horizontal="center" vertical="center" wrapText="1"/>
    </xf>
    <xf numFmtId="0" fontId="20" fillId="2" borderId="15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horizontal="center" vertical="center"/>
    </xf>
    <xf numFmtId="0" fontId="22" fillId="4" borderId="152" xfId="3" applyFill="1" applyBorder="1" applyAlignment="1">
      <alignment horizontal="center"/>
    </xf>
    <xf numFmtId="0" fontId="22" fillId="4" borderId="21" xfId="3" applyFill="1" applyBorder="1" applyAlignment="1">
      <alignment horizontal="center"/>
    </xf>
    <xf numFmtId="0" fontId="22" fillId="4" borderId="62" xfId="3" applyFill="1" applyBorder="1" applyAlignment="1">
      <alignment horizontal="center"/>
    </xf>
    <xf numFmtId="0" fontId="20" fillId="4" borderId="152" xfId="0" applyFont="1" applyFill="1" applyBorder="1" applyAlignment="1">
      <alignment horizontal="center"/>
    </xf>
    <xf numFmtId="0" fontId="20" fillId="4" borderId="62" xfId="0" applyFont="1" applyFill="1" applyBorder="1" applyAlignment="1">
      <alignment horizontal="center"/>
    </xf>
    <xf numFmtId="0" fontId="44" fillId="2" borderId="102" xfId="0" applyFont="1" applyFill="1" applyBorder="1" applyAlignment="1">
      <alignment horizontal="center" vertical="center"/>
    </xf>
    <xf numFmtId="0" fontId="44" fillId="2" borderId="21" xfId="0" applyFont="1" applyFill="1" applyBorder="1" applyAlignment="1">
      <alignment horizontal="center" vertical="center"/>
    </xf>
    <xf numFmtId="0" fontId="36" fillId="4" borderId="6" xfId="3" applyFont="1" applyFill="1" applyBorder="1" applyAlignment="1">
      <alignment horizontal="center"/>
    </xf>
    <xf numFmtId="0" fontId="36" fillId="2" borderId="22" xfId="3" applyFont="1" applyFill="1" applyBorder="1" applyAlignment="1">
      <alignment horizontal="center"/>
    </xf>
    <xf numFmtId="0" fontId="13" fillId="0" borderId="165" xfId="0" applyFont="1" applyBorder="1" applyAlignment="1">
      <alignment horizontal="center" vertical="center"/>
    </xf>
    <xf numFmtId="10" fontId="13" fillId="6" borderId="93" xfId="0" applyNumberFormat="1" applyFont="1" applyFill="1" applyBorder="1" applyAlignment="1">
      <alignment vertical="center"/>
    </xf>
    <xf numFmtId="10" fontId="13" fillId="6" borderId="93" xfId="0" applyNumberFormat="1" applyFont="1" applyFill="1" applyBorder="1" applyAlignment="1">
      <alignment vertical="center" shrinkToFit="1"/>
    </xf>
    <xf numFmtId="0" fontId="13" fillId="6" borderId="93" xfId="0" applyFont="1" applyFill="1" applyBorder="1" applyAlignment="1">
      <alignment vertical="center"/>
    </xf>
    <xf numFmtId="0" fontId="13" fillId="6" borderId="6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99" xfId="0" applyFont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16" fillId="0" borderId="99" xfId="0" applyFont="1" applyFill="1" applyBorder="1" applyAlignment="1">
      <alignment horizontal="center" vertical="center"/>
    </xf>
    <xf numFmtId="189" fontId="15" fillId="14" borderId="102" xfId="0" applyNumberFormat="1" applyFont="1" applyFill="1" applyBorder="1" applyAlignment="1">
      <alignment horizontal="center" vertical="center"/>
    </xf>
    <xf numFmtId="189" fontId="15" fillId="14" borderId="21" xfId="0" applyNumberFormat="1" applyFont="1" applyFill="1" applyBorder="1" applyAlignment="1">
      <alignment horizontal="center" vertical="center"/>
    </xf>
    <xf numFmtId="189" fontId="15" fillId="14" borderId="22" xfId="0" applyNumberFormat="1" applyFont="1" applyFill="1" applyBorder="1" applyAlignment="1">
      <alignment horizontal="center" vertical="center"/>
    </xf>
    <xf numFmtId="180" fontId="13" fillId="6" borderId="102" xfId="0" applyNumberFormat="1" applyFont="1" applyFill="1" applyBorder="1" applyAlignment="1">
      <alignment vertical="center"/>
    </xf>
    <xf numFmtId="180" fontId="13" fillId="6" borderId="21" xfId="0" applyNumberFormat="1" applyFont="1" applyFill="1" applyBorder="1" applyAlignment="1">
      <alignment vertical="center"/>
    </xf>
    <xf numFmtId="180" fontId="13" fillId="6" borderId="22" xfId="0" applyNumberFormat="1" applyFont="1" applyFill="1" applyBorder="1" applyAlignment="1">
      <alignment vertical="center"/>
    </xf>
    <xf numFmtId="0" fontId="13" fillId="6" borderId="102" xfId="0" applyFont="1" applyFill="1" applyBorder="1" applyAlignment="1">
      <alignment vertical="center"/>
    </xf>
    <xf numFmtId="0" fontId="13" fillId="6" borderId="21" xfId="0" applyFont="1" applyFill="1" applyBorder="1" applyAlignment="1">
      <alignment vertical="center"/>
    </xf>
    <xf numFmtId="0" fontId="13" fillId="6" borderId="22" xfId="0" applyFont="1" applyFill="1" applyBorder="1" applyAlignment="1">
      <alignment vertical="center"/>
    </xf>
    <xf numFmtId="9" fontId="13" fillId="0" borderId="33" xfId="2" applyFont="1" applyBorder="1" applyAlignment="1">
      <alignment horizontal="center" vertical="center"/>
    </xf>
    <xf numFmtId="9" fontId="13" fillId="0" borderId="96" xfId="2" applyFont="1" applyBorder="1" applyAlignment="1">
      <alignment horizontal="center" vertical="center"/>
    </xf>
    <xf numFmtId="9" fontId="13" fillId="0" borderId="99" xfId="2" applyFont="1" applyBorder="1" applyAlignment="1">
      <alignment horizontal="center" vertical="center"/>
    </xf>
    <xf numFmtId="9" fontId="13" fillId="0" borderId="33" xfId="2" applyNumberFormat="1" applyFont="1" applyBorder="1" applyAlignment="1">
      <alignment horizontal="center" vertical="center"/>
    </xf>
    <xf numFmtId="9" fontId="13" fillId="0" borderId="96" xfId="2" applyNumberFormat="1" applyFont="1" applyBorder="1" applyAlignment="1">
      <alignment horizontal="center" vertical="center"/>
    </xf>
    <xf numFmtId="0" fontId="13" fillId="2" borderId="93" xfId="0" applyFont="1" applyFill="1" applyBorder="1" applyAlignment="1">
      <alignment horizontal="center" vertical="center"/>
    </xf>
    <xf numFmtId="0" fontId="16" fillId="0" borderId="93" xfId="0" applyFont="1" applyFill="1" applyBorder="1" applyAlignment="1">
      <alignment horizontal="center" vertical="center"/>
    </xf>
    <xf numFmtId="0" fontId="16" fillId="6" borderId="102" xfId="0" applyFont="1" applyFill="1" applyBorder="1" applyAlignment="1">
      <alignment vertical="center"/>
    </xf>
    <xf numFmtId="0" fontId="16" fillId="6" borderId="21" xfId="0" applyFont="1" applyFill="1" applyBorder="1" applyAlignment="1">
      <alignment vertical="center"/>
    </xf>
    <xf numFmtId="0" fontId="16" fillId="6" borderId="22" xfId="0" applyFont="1" applyFill="1" applyBorder="1" applyAlignment="1">
      <alignment vertical="center"/>
    </xf>
    <xf numFmtId="0" fontId="15" fillId="2" borderId="102" xfId="0" applyFont="1" applyFill="1" applyBorder="1" applyAlignment="1">
      <alignment vertical="center"/>
    </xf>
    <xf numFmtId="0" fontId="15" fillId="2" borderId="21" xfId="0" applyFont="1" applyFill="1" applyBorder="1" applyAlignment="1">
      <alignment vertical="center"/>
    </xf>
    <xf numFmtId="0" fontId="15" fillId="2" borderId="22" xfId="0" applyFont="1" applyFill="1" applyBorder="1" applyAlignment="1">
      <alignment vertical="center"/>
    </xf>
    <xf numFmtId="0" fontId="16" fillId="6" borderId="33" xfId="0" applyFont="1" applyFill="1" applyBorder="1" applyAlignment="1">
      <alignment horizontal="center" vertical="center"/>
    </xf>
    <xf numFmtId="0" fontId="16" fillId="6" borderId="99" xfId="0" applyFont="1" applyFill="1" applyBorder="1" applyAlignment="1">
      <alignment horizontal="center" vertical="center"/>
    </xf>
    <xf numFmtId="0" fontId="13" fillId="6" borderId="33" xfId="0" applyFont="1" applyFill="1" applyBorder="1" applyAlignment="1">
      <alignment horizontal="center" vertical="center"/>
    </xf>
    <xf numFmtId="180" fontId="13" fillId="6" borderId="102" xfId="0" applyNumberFormat="1" applyFont="1" applyFill="1" applyBorder="1" applyAlignment="1">
      <alignment vertical="center" wrapText="1"/>
    </xf>
    <xf numFmtId="180" fontId="13" fillId="6" borderId="21" xfId="0" applyNumberFormat="1" applyFont="1" applyFill="1" applyBorder="1" applyAlignment="1">
      <alignment vertical="center" wrapText="1"/>
    </xf>
    <xf numFmtId="180" fontId="13" fillId="6" borderId="22" xfId="0" applyNumberFormat="1" applyFont="1" applyFill="1" applyBorder="1" applyAlignment="1">
      <alignment vertical="center" wrapText="1"/>
    </xf>
    <xf numFmtId="0" fontId="16" fillId="0" borderId="96" xfId="0" applyFont="1" applyFill="1" applyBorder="1" applyAlignment="1">
      <alignment horizontal="center" vertical="center"/>
    </xf>
    <xf numFmtId="0" fontId="13" fillId="0" borderId="102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102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77" xfId="0" applyFont="1" applyBorder="1" applyAlignment="1">
      <alignment vertical="center"/>
    </xf>
    <xf numFmtId="0" fontId="13" fillId="0" borderId="78" xfId="0" applyFont="1" applyBorder="1" applyAlignment="1">
      <alignment vertical="center"/>
    </xf>
    <xf numFmtId="0" fontId="13" fillId="0" borderId="75" xfId="0" applyFont="1" applyBorder="1" applyAlignment="1">
      <alignment vertical="center"/>
    </xf>
    <xf numFmtId="192" fontId="15" fillId="14" borderId="102" xfId="0" applyNumberFormat="1" applyFont="1" applyFill="1" applyBorder="1" applyAlignment="1">
      <alignment horizontal="center" vertical="center"/>
    </xf>
    <xf numFmtId="192" fontId="15" fillId="14" borderId="21" xfId="0" applyNumberFormat="1" applyFont="1" applyFill="1" applyBorder="1" applyAlignment="1">
      <alignment horizontal="center" vertical="center"/>
    </xf>
    <xf numFmtId="192" fontId="15" fillId="14" borderId="22" xfId="0" applyNumberFormat="1" applyFont="1" applyFill="1" applyBorder="1" applyAlignment="1">
      <alignment horizontal="center" vertical="center"/>
    </xf>
    <xf numFmtId="0" fontId="16" fillId="6" borderId="96" xfId="0" applyFont="1" applyFill="1" applyBorder="1" applyAlignment="1">
      <alignment horizontal="center" vertical="center"/>
    </xf>
    <xf numFmtId="180" fontId="16" fillId="6" borderId="139" xfId="0" applyNumberFormat="1" applyFont="1" applyFill="1" applyBorder="1" applyAlignment="1">
      <alignment vertical="center"/>
    </xf>
    <xf numFmtId="180" fontId="16" fillId="6" borderId="116" xfId="0" applyNumberFormat="1" applyFont="1" applyFill="1" applyBorder="1" applyAlignment="1">
      <alignment vertical="center"/>
    </xf>
    <xf numFmtId="180" fontId="16" fillId="6" borderId="46" xfId="0" applyNumberFormat="1" applyFont="1" applyFill="1" applyBorder="1" applyAlignment="1">
      <alignment vertical="center"/>
    </xf>
    <xf numFmtId="0" fontId="14" fillId="0" borderId="78" xfId="0" applyFont="1" applyBorder="1" applyAlignment="1">
      <alignment vertical="center"/>
    </xf>
    <xf numFmtId="0" fontId="14" fillId="0" borderId="75" xfId="0" applyFont="1" applyBorder="1" applyAlignment="1">
      <alignment vertical="center"/>
    </xf>
    <xf numFmtId="0" fontId="17" fillId="14" borderId="93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vertical="center"/>
    </xf>
    <xf numFmtId="0" fontId="15" fillId="14" borderId="22" xfId="0" applyFont="1" applyFill="1" applyBorder="1" applyAlignment="1">
      <alignment vertical="center"/>
    </xf>
    <xf numFmtId="0" fontId="17" fillId="14" borderId="95" xfId="0" applyFont="1" applyFill="1" applyBorder="1" applyAlignment="1">
      <alignment horizontal="center" vertical="center" wrapText="1"/>
    </xf>
    <xf numFmtId="0" fontId="15" fillId="14" borderId="91" xfId="0" applyFont="1" applyFill="1" applyBorder="1" applyAlignment="1">
      <alignment vertical="center"/>
    </xf>
    <xf numFmtId="0" fontId="15" fillId="14" borderId="92" xfId="0" applyFont="1" applyFill="1" applyBorder="1" applyAlignment="1">
      <alignment vertical="center"/>
    </xf>
    <xf numFmtId="0" fontId="16" fillId="6" borderId="99" xfId="0" applyFont="1" applyFill="1" applyBorder="1" applyAlignment="1">
      <alignment horizontal="center" vertical="center" wrapText="1"/>
    </xf>
    <xf numFmtId="0" fontId="16" fillId="6" borderId="78" xfId="0" applyFont="1" applyFill="1" applyBorder="1" applyAlignment="1">
      <alignment vertical="center"/>
    </xf>
    <xf numFmtId="0" fontId="16" fillId="6" borderId="75" xfId="0" applyFont="1" applyFill="1" applyBorder="1" applyAlignment="1">
      <alignment vertical="center"/>
    </xf>
    <xf numFmtId="0" fontId="16" fillId="6" borderId="93" xfId="0" applyFont="1" applyFill="1" applyBorder="1" applyAlignment="1">
      <alignment horizontal="center" vertical="center" wrapText="1"/>
    </xf>
    <xf numFmtId="0" fontId="17" fillId="14" borderId="30" xfId="0" applyFont="1" applyFill="1" applyBorder="1" applyAlignment="1">
      <alignment horizontal="center" vertical="center" wrapText="1"/>
    </xf>
    <xf numFmtId="0" fontId="15" fillId="14" borderId="118" xfId="0" applyFont="1" applyFill="1" applyBorder="1" applyAlignment="1">
      <alignment vertical="center"/>
    </xf>
    <xf numFmtId="0" fontId="15" fillId="14" borderId="104" xfId="0" applyFont="1" applyFill="1" applyBorder="1" applyAlignment="1">
      <alignment vertical="center"/>
    </xf>
    <xf numFmtId="0" fontId="17" fillId="14" borderId="94" xfId="0" applyFont="1" applyFill="1" applyBorder="1" applyAlignment="1">
      <alignment horizontal="center" vertical="center" wrapText="1"/>
    </xf>
    <xf numFmtId="0" fontId="15" fillId="14" borderId="116" xfId="0" applyFont="1" applyFill="1" applyBorder="1" applyAlignment="1">
      <alignment vertical="center"/>
    </xf>
    <xf numFmtId="0" fontId="15" fillId="14" borderId="46" xfId="0" applyFont="1" applyFill="1" applyBorder="1" applyAlignment="1">
      <alignment vertical="center"/>
    </xf>
    <xf numFmtId="0" fontId="16" fillId="6" borderId="95" xfId="0" applyFont="1" applyFill="1" applyBorder="1" applyAlignment="1">
      <alignment horizontal="center" vertical="center" wrapText="1"/>
    </xf>
    <xf numFmtId="0" fontId="16" fillId="6" borderId="91" xfId="0" applyFont="1" applyFill="1" applyBorder="1" applyAlignment="1">
      <alignment vertical="center"/>
    </xf>
    <xf numFmtId="0" fontId="16" fillId="6" borderId="92" xfId="0" applyFont="1" applyFill="1" applyBorder="1" applyAlignment="1">
      <alignment vertical="center"/>
    </xf>
    <xf numFmtId="0" fontId="16" fillId="6" borderId="2" xfId="0" applyFont="1" applyFill="1" applyBorder="1" applyAlignment="1">
      <alignment vertical="center"/>
    </xf>
    <xf numFmtId="0" fontId="16" fillId="6" borderId="4" xfId="0" applyFont="1" applyFill="1" applyBorder="1" applyAlignment="1">
      <alignment vertical="center"/>
    </xf>
    <xf numFmtId="180" fontId="16" fillId="6" borderId="108" xfId="0" applyNumberFormat="1" applyFont="1" applyFill="1" applyBorder="1" applyAlignment="1">
      <alignment vertical="center" wrapText="1"/>
    </xf>
    <xf numFmtId="180" fontId="16" fillId="6" borderId="118" xfId="0" applyNumberFormat="1" applyFont="1" applyFill="1" applyBorder="1" applyAlignment="1">
      <alignment vertical="center" wrapText="1"/>
    </xf>
    <xf numFmtId="180" fontId="16" fillId="6" borderId="104" xfId="0" applyNumberFormat="1" applyFont="1" applyFill="1" applyBorder="1" applyAlignment="1">
      <alignment vertical="center" wrapText="1"/>
    </xf>
    <xf numFmtId="0" fontId="15" fillId="14" borderId="78" xfId="0" applyFont="1" applyFill="1" applyBorder="1" applyAlignment="1">
      <alignment vertical="center"/>
    </xf>
    <xf numFmtId="0" fontId="15" fillId="2" borderId="93" xfId="0" applyFont="1" applyFill="1" applyBorder="1" applyAlignment="1">
      <alignment horizontal="center" vertical="center"/>
    </xf>
    <xf numFmtId="0" fontId="15" fillId="14" borderId="93" xfId="0" applyFont="1" applyFill="1" applyBorder="1" applyAlignment="1">
      <alignment horizontal="center" vertical="center"/>
    </xf>
    <xf numFmtId="9" fontId="13" fillId="0" borderId="99" xfId="2" applyNumberFormat="1" applyFont="1" applyBorder="1" applyAlignment="1">
      <alignment horizontal="center" vertical="center"/>
    </xf>
    <xf numFmtId="0" fontId="13" fillId="0" borderId="102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6" fillId="6" borderId="102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4" fillId="0" borderId="102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193" fontId="15" fillId="14" borderId="102" xfId="0" applyNumberFormat="1" applyFont="1" applyFill="1" applyBorder="1" applyAlignment="1">
      <alignment horizontal="center" vertical="center"/>
    </xf>
    <xf numFmtId="193" fontId="15" fillId="14" borderId="21" xfId="0" applyNumberFormat="1" applyFont="1" applyFill="1" applyBorder="1" applyAlignment="1">
      <alignment horizontal="center" vertical="center"/>
    </xf>
    <xf numFmtId="193" fontId="15" fillId="14" borderId="22" xfId="0" applyNumberFormat="1" applyFont="1" applyFill="1" applyBorder="1" applyAlignment="1">
      <alignment horizontal="center" vertical="center"/>
    </xf>
    <xf numFmtId="0" fontId="15" fillId="2" borderId="77" xfId="0" applyFont="1" applyFill="1" applyBorder="1" applyAlignment="1">
      <alignment horizontal="center" vertical="center"/>
    </xf>
    <xf numFmtId="0" fontId="15" fillId="2" borderId="78" xfId="0" applyFont="1" applyFill="1" applyBorder="1" applyAlignment="1">
      <alignment horizontal="center" vertical="center"/>
    </xf>
    <xf numFmtId="0" fontId="15" fillId="2" borderId="75" xfId="0" applyFont="1" applyFill="1" applyBorder="1" applyAlignment="1">
      <alignment horizontal="center" vertical="center"/>
    </xf>
    <xf numFmtId="194" fontId="15" fillId="14" borderId="102" xfId="0" applyNumberFormat="1" applyFont="1" applyFill="1" applyBorder="1" applyAlignment="1">
      <alignment horizontal="center" vertical="center"/>
    </xf>
    <xf numFmtId="194" fontId="15" fillId="14" borderId="21" xfId="0" applyNumberFormat="1" applyFont="1" applyFill="1" applyBorder="1" applyAlignment="1">
      <alignment horizontal="center" vertical="center"/>
    </xf>
    <xf numFmtId="194" fontId="15" fillId="14" borderId="22" xfId="0" applyNumberFormat="1" applyFont="1" applyFill="1" applyBorder="1" applyAlignment="1">
      <alignment horizontal="center" vertical="center"/>
    </xf>
    <xf numFmtId="0" fontId="15" fillId="2" borderId="102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3" fillId="6" borderId="102" xfId="0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vertical="center" wrapText="1"/>
    </xf>
    <xf numFmtId="176" fontId="26" fillId="6" borderId="15" xfId="0" applyNumberFormat="1" applyFont="1" applyFill="1" applyBorder="1" applyAlignment="1">
      <alignment vertical="center" wrapText="1"/>
    </xf>
    <xf numFmtId="176" fontId="26" fillId="6" borderId="13" xfId="0" applyNumberFormat="1" applyFont="1" applyFill="1" applyBorder="1" applyAlignment="1">
      <alignment vertical="center"/>
    </xf>
    <xf numFmtId="176" fontId="26" fillId="6" borderId="96" xfId="0" applyNumberFormat="1" applyFont="1" applyFill="1" applyBorder="1" applyAlignment="1">
      <alignment vertical="center"/>
    </xf>
    <xf numFmtId="0" fontId="26" fillId="6" borderId="134" xfId="0" applyFont="1" applyFill="1" applyBorder="1" applyAlignment="1">
      <alignment vertical="center"/>
    </xf>
    <xf numFmtId="0" fontId="26" fillId="6" borderId="135" xfId="0" applyFont="1" applyFill="1" applyBorder="1" applyAlignment="1">
      <alignment vertical="center"/>
    </xf>
    <xf numFmtId="0" fontId="26" fillId="6" borderId="134" xfId="0" applyFont="1" applyFill="1" applyBorder="1" applyAlignment="1">
      <alignment horizontal="center" vertical="center"/>
    </xf>
    <xf numFmtId="0" fontId="26" fillId="6" borderId="135" xfId="0" applyFont="1" applyFill="1" applyBorder="1" applyAlignment="1">
      <alignment horizontal="center" vertical="center"/>
    </xf>
    <xf numFmtId="0" fontId="26" fillId="6" borderId="136" xfId="0" applyFont="1" applyFill="1" applyBorder="1" applyAlignment="1">
      <alignment horizontal="center" vertical="center"/>
    </xf>
    <xf numFmtId="0" fontId="26" fillId="0" borderId="96" xfId="0" applyFont="1" applyFill="1" applyBorder="1" applyAlignment="1">
      <alignment vertical="center" wrapText="1"/>
    </xf>
    <xf numFmtId="0" fontId="33" fillId="6" borderId="134" xfId="0" applyFont="1" applyFill="1" applyBorder="1" applyAlignment="1">
      <alignment horizontal="center" vertical="center"/>
    </xf>
    <xf numFmtId="0" fontId="33" fillId="6" borderId="135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5" xfId="0" applyFont="1" applyFill="1" applyBorder="1" applyAlignment="1">
      <alignment vertical="center"/>
    </xf>
    <xf numFmtId="0" fontId="26" fillId="6" borderId="96" xfId="0" applyFont="1" applyFill="1" applyBorder="1" applyAlignment="1">
      <alignment vertical="center"/>
    </xf>
    <xf numFmtId="0" fontId="26" fillId="6" borderId="13" xfId="0" applyFont="1" applyFill="1" applyBorder="1" applyAlignment="1">
      <alignment vertical="center"/>
    </xf>
    <xf numFmtId="0" fontId="33" fillId="6" borderId="15" xfId="0" applyFont="1" applyFill="1" applyBorder="1" applyAlignment="1">
      <alignment horizontal="center" vertical="center"/>
    </xf>
    <xf numFmtId="0" fontId="33" fillId="6" borderId="96" xfId="0" applyFont="1" applyFill="1" applyBorder="1" applyAlignment="1">
      <alignment horizontal="center" vertical="center"/>
    </xf>
    <xf numFmtId="0" fontId="33" fillId="6" borderId="13" xfId="0" applyFont="1" applyFill="1" applyBorder="1" applyAlignment="1">
      <alignment horizontal="center" vertical="center"/>
    </xf>
    <xf numFmtId="176" fontId="26" fillId="6" borderId="96" xfId="0" applyNumberFormat="1" applyFont="1" applyFill="1" applyBorder="1" applyAlignment="1">
      <alignment vertical="center" wrapText="1"/>
    </xf>
    <xf numFmtId="176" fontId="26" fillId="6" borderId="13" xfId="0" applyNumberFormat="1" applyFont="1" applyFill="1" applyBorder="1" applyAlignment="1">
      <alignment vertical="center" wrapText="1"/>
    </xf>
    <xf numFmtId="0" fontId="26" fillId="6" borderId="15" xfId="0" applyFont="1" applyFill="1" applyBorder="1" applyAlignment="1">
      <alignment horizontal="center" vertical="center"/>
    </xf>
    <xf numFmtId="0" fontId="26" fillId="6" borderId="96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36" xfId="0" applyFont="1" applyFill="1" applyBorder="1" applyAlignment="1">
      <alignment vertical="center"/>
    </xf>
    <xf numFmtId="176" fontId="26" fillId="6" borderId="15" xfId="0" applyNumberFormat="1" applyFont="1" applyFill="1" applyBorder="1" applyAlignment="1">
      <alignment horizontal="center" vertical="center" wrapText="1"/>
    </xf>
    <xf numFmtId="176" fontId="26" fillId="6" borderId="96" xfId="0" applyNumberFormat="1" applyFont="1" applyFill="1" applyBorder="1" applyAlignment="1">
      <alignment horizontal="center" vertical="center" wrapText="1"/>
    </xf>
    <xf numFmtId="176" fontId="26" fillId="6" borderId="13" xfId="0" applyNumberFormat="1" applyFont="1" applyFill="1" applyBorder="1" applyAlignment="1">
      <alignment horizontal="center" vertical="center" wrapText="1"/>
    </xf>
    <xf numFmtId="176" fontId="26" fillId="6" borderId="15" xfId="0" applyNumberFormat="1" applyFont="1" applyFill="1" applyBorder="1" applyAlignment="1">
      <alignment vertical="center"/>
    </xf>
    <xf numFmtId="0" fontId="26" fillId="0" borderId="134" xfId="0" applyFont="1" applyFill="1" applyBorder="1" applyAlignment="1">
      <alignment horizontal="center" vertical="center"/>
    </xf>
    <xf numFmtId="0" fontId="26" fillId="0" borderId="135" xfId="0" applyFont="1" applyFill="1" applyBorder="1" applyAlignment="1">
      <alignment horizontal="center" vertical="center"/>
    </xf>
    <xf numFmtId="0" fontId="26" fillId="0" borderId="134" xfId="0" applyFont="1" applyFill="1" applyBorder="1" applyAlignment="1">
      <alignment vertical="center"/>
    </xf>
    <xf numFmtId="0" fontId="26" fillId="0" borderId="135" xfId="0" applyFont="1" applyFill="1" applyBorder="1" applyAlignment="1">
      <alignment vertical="center"/>
    </xf>
    <xf numFmtId="0" fontId="33" fillId="0" borderId="134" xfId="0" applyFont="1" applyFill="1" applyBorder="1" applyAlignment="1">
      <alignment horizontal="center" vertical="center"/>
    </xf>
    <xf numFmtId="0" fontId="33" fillId="0" borderId="135" xfId="0" applyFont="1" applyFill="1" applyBorder="1" applyAlignment="1">
      <alignment horizontal="center" vertical="center"/>
    </xf>
    <xf numFmtId="0" fontId="32" fillId="6" borderId="33" xfId="0" applyFont="1" applyFill="1" applyBorder="1" applyAlignment="1">
      <alignment horizontal="center" vertical="center"/>
    </xf>
    <xf numFmtId="0" fontId="32" fillId="6" borderId="99" xfId="0" applyFont="1" applyFill="1" applyBorder="1" applyAlignment="1">
      <alignment horizontal="center" vertical="center"/>
    </xf>
    <xf numFmtId="0" fontId="32" fillId="6" borderId="28" xfId="0" applyFont="1" applyFill="1" applyBorder="1" applyAlignment="1">
      <alignment horizontal="center" vertical="center"/>
    </xf>
    <xf numFmtId="0" fontId="32" fillId="6" borderId="96" xfId="0" applyFont="1" applyFill="1" applyBorder="1" applyAlignment="1">
      <alignment horizontal="center" vertical="center"/>
    </xf>
    <xf numFmtId="0" fontId="32" fillId="6" borderId="52" xfId="0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99" xfId="0" applyFont="1" applyBorder="1" applyAlignment="1">
      <alignment horizontal="center" vertical="center"/>
    </xf>
    <xf numFmtId="0" fontId="29" fillId="2" borderId="62" xfId="0" applyFont="1" applyFill="1" applyBorder="1" applyAlignment="1">
      <alignment horizontal="center" vertical="center"/>
    </xf>
    <xf numFmtId="0" fontId="27" fillId="0" borderId="21" xfId="0" applyFont="1" applyBorder="1" applyAlignment="1"/>
    <xf numFmtId="0" fontId="27" fillId="0" borderId="62" xfId="0" applyFont="1" applyBorder="1" applyAlignment="1"/>
    <xf numFmtId="0" fontId="29" fillId="3" borderId="50" xfId="0" applyFont="1" applyFill="1" applyBorder="1" applyAlignment="1">
      <alignment horizontal="center" vertical="center"/>
    </xf>
    <xf numFmtId="0" fontId="28" fillId="4" borderId="50" xfId="0" applyFont="1" applyFill="1" applyBorder="1" applyAlignment="1">
      <alignment horizontal="center" vertical="center"/>
    </xf>
    <xf numFmtId="0" fontId="27" fillId="2" borderId="101" xfId="0" applyFont="1" applyFill="1" applyBorder="1" applyAlignment="1">
      <alignment horizontal="center" vertical="center"/>
    </xf>
    <xf numFmtId="0" fontId="27" fillId="0" borderId="58" xfId="0" applyFont="1" applyBorder="1" applyAlignment="1"/>
    <xf numFmtId="0" fontId="27" fillId="0" borderId="59" xfId="0" applyFont="1" applyBorder="1" applyAlignment="1"/>
    <xf numFmtId="0" fontId="27" fillId="2" borderId="56" xfId="0" applyFont="1" applyFill="1" applyBorder="1" applyAlignment="1">
      <alignment horizontal="center" vertical="center"/>
    </xf>
    <xf numFmtId="0" fontId="27" fillId="2" borderId="133" xfId="0" applyFont="1" applyFill="1" applyBorder="1" applyAlignment="1">
      <alignment horizontal="center" vertical="center"/>
    </xf>
    <xf numFmtId="0" fontId="29" fillId="2" borderId="50" xfId="0" applyFont="1" applyFill="1" applyBorder="1" applyAlignment="1">
      <alignment horizontal="center" vertical="center"/>
    </xf>
    <xf numFmtId="0" fontId="27" fillId="2" borderId="50" xfId="0" applyFont="1" applyFill="1" applyBorder="1" applyAlignment="1">
      <alignment horizontal="center" vertical="center"/>
    </xf>
    <xf numFmtId="0" fontId="27" fillId="0" borderId="43" xfId="0" applyFont="1" applyBorder="1" applyAlignment="1"/>
    <xf numFmtId="0" fontId="3" fillId="15" borderId="133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/>
    </xf>
    <xf numFmtId="0" fontId="27" fillId="2" borderId="85" xfId="0" applyFont="1" applyFill="1" applyBorder="1" applyAlignment="1">
      <alignment horizontal="center" vertical="center"/>
    </xf>
    <xf numFmtId="0" fontId="27" fillId="0" borderId="66" xfId="0" applyFont="1" applyBorder="1" applyAlignment="1"/>
    <xf numFmtId="0" fontId="28" fillId="4" borderId="7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7" fillId="0" borderId="22" xfId="0" applyFont="1" applyBorder="1" applyAlignment="1"/>
    <xf numFmtId="0" fontId="29" fillId="3" borderId="1" xfId="0" applyFont="1" applyFill="1" applyBorder="1" applyAlignment="1">
      <alignment horizontal="center" vertical="center"/>
    </xf>
    <xf numFmtId="0" fontId="27" fillId="14" borderId="122" xfId="0" applyFont="1" applyFill="1" applyBorder="1" applyAlignment="1">
      <alignment horizontal="center" vertical="center" wrapText="1"/>
    </xf>
    <xf numFmtId="0" fontId="27" fillId="0" borderId="69" xfId="0" applyFont="1" applyBorder="1" applyAlignment="1">
      <alignment horizontal="center" wrapText="1"/>
    </xf>
    <xf numFmtId="0" fontId="27" fillId="0" borderId="88" xfId="0" applyFont="1" applyBorder="1" applyAlignment="1">
      <alignment horizontal="center" wrapText="1"/>
    </xf>
    <xf numFmtId="0" fontId="28" fillId="4" borderId="1" xfId="0" applyFont="1" applyFill="1" applyBorder="1" applyAlignment="1">
      <alignment horizontal="center" vertical="center"/>
    </xf>
    <xf numFmtId="2" fontId="5" fillId="0" borderId="127" xfId="0" quotePrefix="1" applyNumberFormat="1" applyFont="1" applyBorder="1" applyAlignment="1">
      <alignment horizontal="center" vertical="center"/>
    </xf>
    <xf numFmtId="2" fontId="5" fillId="0" borderId="128" xfId="0" quotePrefix="1" applyNumberFormat="1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129" xfId="0" applyFont="1" applyBorder="1" applyAlignment="1">
      <alignment horizontal="center" vertical="center"/>
    </xf>
    <xf numFmtId="2" fontId="5" fillId="0" borderId="126" xfId="0" applyNumberFormat="1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2" fontId="5" fillId="0" borderId="31" xfId="0" quotePrefix="1" applyNumberFormat="1" applyFont="1" applyBorder="1" applyAlignment="1">
      <alignment horizontal="center" vertical="center"/>
    </xf>
    <xf numFmtId="2" fontId="5" fillId="0" borderId="127" xfId="0" applyNumberFormat="1" applyFont="1" applyBorder="1" applyAlignment="1">
      <alignment horizontal="center" vertical="center"/>
    </xf>
    <xf numFmtId="2" fontId="5" fillId="0" borderId="129" xfId="0" applyNumberFormat="1" applyFont="1" applyBorder="1" applyAlignment="1">
      <alignment horizontal="center" vertical="center"/>
    </xf>
    <xf numFmtId="0" fontId="6" fillId="0" borderId="107" xfId="0" applyFont="1" applyBorder="1" applyAlignment="1">
      <alignment vertical="center"/>
    </xf>
    <xf numFmtId="0" fontId="6" fillId="0" borderId="76" xfId="0" applyFont="1" applyBorder="1" applyAlignment="1">
      <alignment vertical="center"/>
    </xf>
    <xf numFmtId="0" fontId="6" fillId="0" borderId="77" xfId="0" applyFont="1" applyBorder="1" applyAlignment="1">
      <alignment vertical="center"/>
    </xf>
    <xf numFmtId="0" fontId="6" fillId="0" borderId="78" xfId="0" applyFont="1" applyBorder="1" applyAlignment="1">
      <alignment vertical="center"/>
    </xf>
    <xf numFmtId="0" fontId="6" fillId="0" borderId="107" xfId="0" applyFont="1" applyFill="1" applyBorder="1" applyAlignment="1">
      <alignment vertical="center"/>
    </xf>
    <xf numFmtId="0" fontId="6" fillId="0" borderId="76" xfId="0" applyFont="1" applyFill="1" applyBorder="1" applyAlignment="1">
      <alignment vertical="center"/>
    </xf>
    <xf numFmtId="0" fontId="6" fillId="0" borderId="77" xfId="0" applyFont="1" applyFill="1" applyBorder="1" applyAlignment="1">
      <alignment vertical="center"/>
    </xf>
    <xf numFmtId="0" fontId="6" fillId="0" borderId="78" xfId="0" applyFont="1" applyFill="1" applyBorder="1" applyAlignment="1">
      <alignment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25" xfId="0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vertical="center" wrapText="1"/>
    </xf>
    <xf numFmtId="0" fontId="24" fillId="0" borderId="80" xfId="0" applyFont="1" applyBorder="1" applyAlignment="1"/>
    <xf numFmtId="0" fontId="24" fillId="0" borderId="44" xfId="0" applyFont="1" applyBorder="1" applyAlignment="1"/>
    <xf numFmtId="0" fontId="5" fillId="2" borderId="1" xfId="0" applyFont="1" applyFill="1" applyBorder="1" applyAlignment="1">
      <alignment horizontal="center" vertical="center"/>
    </xf>
    <xf numFmtId="0" fontId="6" fillId="0" borderId="22" xfId="0" applyFont="1" applyBorder="1" applyAlignment="1"/>
    <xf numFmtId="0" fontId="24" fillId="12" borderId="3" xfId="0" applyFont="1" applyFill="1" applyBorder="1" applyAlignment="1">
      <alignment vertical="center" wrapText="1"/>
    </xf>
    <xf numFmtId="0" fontId="24" fillId="0" borderId="79" xfId="0" applyFont="1" applyBorder="1" applyAlignment="1"/>
    <xf numFmtId="0" fontId="24" fillId="0" borderId="18" xfId="0" applyFont="1" applyBorder="1" applyAlignment="1"/>
    <xf numFmtId="0" fontId="24" fillId="0" borderId="3" xfId="0" applyFont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0" fontId="6" fillId="0" borderId="84" xfId="0" applyFont="1" applyBorder="1" applyAlignment="1"/>
    <xf numFmtId="0" fontId="6" fillId="0" borderId="16" xfId="0" applyFont="1" applyBorder="1" applyAlignment="1"/>
    <xf numFmtId="0" fontId="24" fillId="11" borderId="9" xfId="0" applyFont="1" applyFill="1" applyBorder="1" applyAlignment="1">
      <alignment vertical="center"/>
    </xf>
    <xf numFmtId="0" fontId="24" fillId="0" borderId="84" xfId="0" applyFont="1" applyBorder="1" applyAlignment="1"/>
    <xf numFmtId="0" fontId="24" fillId="0" borderId="16" xfId="0" applyFont="1" applyBorder="1" applyAlignment="1"/>
    <xf numFmtId="0" fontId="6" fillId="0" borderId="99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79" xfId="0" applyFont="1" applyBorder="1" applyAlignment="1"/>
    <xf numFmtId="0" fontId="6" fillId="0" borderId="18" xfId="0" applyFont="1" applyBorder="1" applyAlignment="1"/>
    <xf numFmtId="38" fontId="5" fillId="2" borderId="1" xfId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vertical="center"/>
    </xf>
    <xf numFmtId="0" fontId="6" fillId="11" borderId="2" xfId="0" applyFont="1" applyFill="1" applyBorder="1" applyAlignment="1">
      <alignment vertical="center"/>
    </xf>
    <xf numFmtId="0" fontId="6" fillId="0" borderId="74" xfId="0" applyFont="1" applyBorder="1" applyAlignment="1"/>
    <xf numFmtId="0" fontId="6" fillId="0" borderId="45" xfId="0" applyFont="1" applyBorder="1" applyAlignment="1"/>
    <xf numFmtId="181" fontId="5" fillId="2" borderId="1" xfId="1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6" borderId="3" xfId="0" applyFont="1" applyFill="1" applyBorder="1" applyAlignment="1">
      <alignment vertical="center" wrapText="1"/>
    </xf>
    <xf numFmtId="0" fontId="6" fillId="0" borderId="21" xfId="0" applyFont="1" applyBorder="1" applyAlignment="1"/>
    <xf numFmtId="0" fontId="37" fillId="6" borderId="172" xfId="0" applyFont="1" applyFill="1" applyBorder="1" applyAlignment="1">
      <alignment vertical="top" wrapText="1"/>
    </xf>
    <xf numFmtId="0" fontId="37" fillId="6" borderId="173" xfId="0" applyFont="1" applyFill="1" applyBorder="1" applyAlignment="1">
      <alignment vertical="top" wrapText="1"/>
    </xf>
    <xf numFmtId="0" fontId="37" fillId="6" borderId="174" xfId="0" applyFont="1" applyFill="1" applyBorder="1" applyAlignment="1">
      <alignment vertical="top" wrapText="1"/>
    </xf>
    <xf numFmtId="14" fontId="16" fillId="0" borderId="0" xfId="0" applyNumberFormat="1" applyFont="1" applyBorder="1" applyAlignment="1">
      <alignment vertical="top"/>
    </xf>
    <xf numFmtId="180" fontId="16" fillId="0" borderId="0" xfId="0" applyNumberFormat="1" applyFont="1" applyFill="1" applyBorder="1" applyAlignment="1">
      <alignment vertical="top"/>
    </xf>
  </cellXfs>
  <cellStyles count="5">
    <cellStyle name="パーセント" xfId="2" builtinId="5"/>
    <cellStyle name="ハイパーリンク" xfId="3" builtinId="8"/>
    <cellStyle name="桁区切り" xfId="1" builtinId="6"/>
    <cellStyle name="通貨" xfId="4" builtinId="7"/>
    <cellStyle name="標準" xfId="0" builtinId="0"/>
  </cellStyles>
  <dxfs count="108">
    <dxf>
      <font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/>
      </font>
      <border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3999450666829432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4B084"/>
        </patternFill>
      </fill>
    </dxf>
    <dxf>
      <font>
        <color auto="1"/>
      </font>
      <fill>
        <patternFill>
          <bgColor rgb="FFFFD966"/>
        </patternFill>
      </fill>
    </dxf>
    <dxf>
      <font>
        <color auto="1"/>
      </font>
      <fill>
        <patternFill>
          <bgColor rgb="FFA9D08E"/>
        </patternFill>
      </fill>
    </dxf>
    <dxf>
      <font>
        <color theme="0"/>
      </font>
      <fill>
        <patternFill>
          <bgColor rgb="FF2F75B5"/>
        </patternFill>
      </fill>
    </dxf>
    <dxf>
      <font>
        <color auto="1"/>
      </font>
      <fill>
        <patternFill>
          <bgColor rgb="FFBDD7EE"/>
        </patternFill>
      </fill>
    </dxf>
    <dxf>
      <font>
        <color auto="1"/>
      </font>
      <fill>
        <patternFill>
          <bgColor rgb="FF8EA9DB"/>
        </patternFill>
      </fill>
    </dxf>
  </dxfs>
  <tableStyles count="0" defaultTableStyle="TableStyleMedium2" defaultPivotStyle="PivotStyleLight16"/>
  <colors>
    <mruColors>
      <color rgb="FFFFC7CE"/>
      <color rgb="FFF4B084"/>
      <color rgb="FF4472C4"/>
      <color rgb="FF8EA9DB"/>
      <color rgb="FFBDD7EE"/>
      <color rgb="FFFFD966"/>
      <color rgb="FF2F75B5"/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80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66CB8C5-525A-431D-AF75-44DCB6F583E8}"/>
            </a:ext>
          </a:extLst>
        </xdr:cNvPr>
        <xdr:cNvSpPr/>
      </xdr:nvSpPr>
      <xdr:spPr>
        <a:xfrm>
          <a:off x="0" y="0"/>
          <a:ext cx="11349318" cy="190410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zh-CN" altLang="en-US" sz="2800" i="1">
              <a:solidFill>
                <a:schemeClr val="accent1">
                  <a:lumMod val="60000"/>
                  <a:lumOff val="40000"/>
                </a:schemeClr>
              </a:solidFill>
            </a:rPr>
            <a:t>创作者：峥嵘不藏</a:t>
          </a:r>
          <a:br>
            <a:rPr kumimoji="1" lang="en-US" altLang="zh-CN" sz="2800" i="1">
              <a:solidFill>
                <a:schemeClr val="accent1">
                  <a:lumMod val="60000"/>
                  <a:lumOff val="40000"/>
                </a:schemeClr>
              </a:solidFill>
            </a:rPr>
          </a:b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kumimoji="1" lang="en-US" altLang="ja-JP" sz="2800" i="1">
            <a:solidFill>
              <a:schemeClr val="accent1">
                <a:lumMod val="60000"/>
                <a:lumOff val="40000"/>
              </a:schemeClr>
            </a:solidFill>
            <a:effectLst>
              <a:outerShdw blurRad="50800" dist="50800" dir="5400000" algn="ctr" rotWithShape="0">
                <a:srgbClr val="8EA9DB"/>
              </a:outerShdw>
            </a:effectLst>
          </a:endParaRP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 i="1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endParaRPr kumimoji="1" lang="en-US" altLang="zh-CN" sz="2800" i="1">
            <a:solidFill>
              <a:schemeClr val="accent1">
                <a:lumMod val="60000"/>
                <a:lumOff val="4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r"/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solidFill>
              <a:schemeClr val="accent1">
                <a:lumMod val="60000"/>
                <a:lumOff val="40000"/>
              </a:schemeClr>
            </a:solidFill>
            <a:effectLst/>
          </a:endParaRPr>
        </a:p>
        <a:p>
          <a:pPr algn="r" eaLnBrk="1" fontAlgn="auto" latinLnBrk="0" hangingPunct="1"/>
          <a:r>
            <a:rPr kumimoji="1" lang="zh-CN" altLang="ja-JP" sz="2800" i="1">
              <a:solidFill>
                <a:schemeClr val="accent1">
                  <a:lumMod val="60000"/>
                  <a:lumOff val="40000"/>
                </a:schemeClr>
              </a:solidFill>
              <a:effectLst/>
              <a:latin typeface="+mn-lt"/>
              <a:ea typeface="+mn-ea"/>
              <a:cs typeface="+mn-cs"/>
            </a:rPr>
            <a:t>创作者：峥嵘不藏</a:t>
          </a:r>
          <a:br>
            <a:rPr kumimoji="1" lang="en-US" altLang="ja-JP" sz="28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ja-JP" altLang="ja-JP" sz="2800">
            <a:effectLst/>
          </a:endParaRPr>
        </a:p>
        <a:p>
          <a:pPr algn="r"/>
          <a:endParaRPr kumimoji="1" lang="ja-JP" altLang="en-US" sz="2800" i="1">
            <a:solidFill>
              <a:schemeClr val="accent1">
                <a:lumMod val="60000"/>
                <a:lumOff val="4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210552</xdr:colOff>
      <xdr:row>17</xdr:row>
      <xdr:rowOff>80211</xdr:rowOff>
    </xdr:from>
    <xdr:to>
      <xdr:col>25</xdr:col>
      <xdr:colOff>501316</xdr:colOff>
      <xdr:row>23</xdr:row>
      <xdr:rowOff>120314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F5F01C35-7484-4FFB-BC76-BBDC473A06C8}"/>
            </a:ext>
          </a:extLst>
        </xdr:cNvPr>
        <xdr:cNvSpPr/>
      </xdr:nvSpPr>
      <xdr:spPr>
        <a:xfrm>
          <a:off x="12332368" y="5704974"/>
          <a:ext cx="4561974" cy="2025314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4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22059</xdr:colOff>
      <xdr:row>14</xdr:row>
      <xdr:rowOff>270710</xdr:rowOff>
    </xdr:from>
    <xdr:to>
      <xdr:col>25</xdr:col>
      <xdr:colOff>391028</xdr:colOff>
      <xdr:row>16</xdr:row>
      <xdr:rowOff>210556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42BAC6C1-905E-4B20-A73D-084948BA058C}"/>
            </a:ext>
          </a:extLst>
        </xdr:cNvPr>
        <xdr:cNvSpPr/>
      </xdr:nvSpPr>
      <xdr:spPr>
        <a:xfrm>
          <a:off x="12384506" y="4902868"/>
          <a:ext cx="4399548" cy="601583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3.5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10027</xdr:colOff>
      <xdr:row>11</xdr:row>
      <xdr:rowOff>312825</xdr:rowOff>
    </xdr:from>
    <xdr:to>
      <xdr:col>25</xdr:col>
      <xdr:colOff>370976</xdr:colOff>
      <xdr:row>14</xdr:row>
      <xdr:rowOff>30080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0FDEB20F-8F7A-4B70-984E-78C839F39A61}"/>
            </a:ext>
          </a:extLst>
        </xdr:cNvPr>
        <xdr:cNvSpPr/>
      </xdr:nvSpPr>
      <xdr:spPr>
        <a:xfrm>
          <a:off x="12372474" y="3952378"/>
          <a:ext cx="4391528" cy="70986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52137</xdr:colOff>
      <xdr:row>1</xdr:row>
      <xdr:rowOff>64169</xdr:rowOff>
    </xdr:from>
    <xdr:to>
      <xdr:col>25</xdr:col>
      <xdr:colOff>411079</xdr:colOff>
      <xdr:row>8</xdr:row>
      <xdr:rowOff>160421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CF3F3AF5-C4A4-4CF7-B905-17C23BDB6486}"/>
            </a:ext>
          </a:extLst>
        </xdr:cNvPr>
        <xdr:cNvSpPr/>
      </xdr:nvSpPr>
      <xdr:spPr>
        <a:xfrm>
          <a:off x="12414584" y="395037"/>
          <a:ext cx="4389521" cy="2412331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133350</xdr:colOff>
      <xdr:row>19</xdr:row>
      <xdr:rowOff>86731</xdr:rowOff>
    </xdr:from>
    <xdr:to>
      <xdr:col>7</xdr:col>
      <xdr:colOff>260684</xdr:colOff>
      <xdr:row>23</xdr:row>
      <xdr:rowOff>315330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B37883C-4D47-4A11-8C2F-3E3D6C60EE6A}"/>
            </a:ext>
          </a:extLst>
        </xdr:cNvPr>
        <xdr:cNvSpPr/>
      </xdr:nvSpPr>
      <xdr:spPr>
        <a:xfrm>
          <a:off x="133350" y="6373231"/>
          <a:ext cx="4859755" cy="1552073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4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161925</xdr:colOff>
      <xdr:row>2</xdr:row>
      <xdr:rowOff>76200</xdr:rowOff>
    </xdr:from>
    <xdr:to>
      <xdr:col>17</xdr:col>
      <xdr:colOff>619125</xdr:colOff>
      <xdr:row>4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F8E8FB7-D4CD-458E-830C-DB0C6B3B84BD}"/>
            </a:ext>
          </a:extLst>
        </xdr:cNvPr>
        <xdr:cNvSpPr/>
      </xdr:nvSpPr>
      <xdr:spPr>
        <a:xfrm>
          <a:off x="161925" y="723900"/>
          <a:ext cx="12115800" cy="64770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220578</xdr:colOff>
      <xdr:row>6</xdr:row>
      <xdr:rowOff>295274</xdr:rowOff>
    </xdr:from>
    <xdr:to>
      <xdr:col>17</xdr:col>
      <xdr:colOff>619124</xdr:colOff>
      <xdr:row>9</xdr:row>
      <xdr:rowOff>133349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9CEFB86-BC61-471C-920F-44CF568CF604}"/>
            </a:ext>
          </a:extLst>
        </xdr:cNvPr>
        <xdr:cNvSpPr/>
      </xdr:nvSpPr>
      <xdr:spPr>
        <a:xfrm>
          <a:off x="2265946" y="2280485"/>
          <a:ext cx="9803231" cy="83068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3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302824</xdr:colOff>
      <xdr:row>0</xdr:row>
      <xdr:rowOff>209550</xdr:rowOff>
    </xdr:from>
    <xdr:ext cx="937736" cy="450052"/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9FCDAEC7-0F74-4FE3-B781-687D84089E3A}"/>
            </a:ext>
          </a:extLst>
        </xdr:cNvPr>
        <xdr:cNvSpPr/>
      </xdr:nvSpPr>
      <xdr:spPr>
        <a:xfrm>
          <a:off x="302824" y="209550"/>
          <a:ext cx="937736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长征一号</a:t>
          </a:r>
        </a:p>
      </xdr:txBody>
    </xdr:sp>
    <xdr:clientData/>
  </xdr:oneCellAnchor>
  <xdr:oneCellAnchor>
    <xdr:from>
      <xdr:col>3</xdr:col>
      <xdr:colOff>7549</xdr:colOff>
      <xdr:row>0</xdr:row>
      <xdr:rowOff>209550</xdr:rowOff>
    </xdr:from>
    <xdr:ext cx="1124218" cy="450052"/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9CA5306A-9AED-4DC6-848E-77796F373EDB}"/>
            </a:ext>
          </a:extLst>
        </xdr:cNvPr>
        <xdr:cNvSpPr/>
      </xdr:nvSpPr>
      <xdr:spPr>
        <a:xfrm>
          <a:off x="2064949" y="209550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长征一号</a:t>
          </a:r>
          <a:r>
            <a:rPr kumimoji="1" lang="zh-CN" altLang="en-US" sz="1400">
              <a:solidFill>
                <a:sysClr val="windowText" lastClr="000000"/>
              </a:solidFill>
            </a:rPr>
            <a:t>丁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155933</xdr:colOff>
      <xdr:row>2</xdr:row>
      <xdr:rowOff>200714</xdr:rowOff>
    </xdr:from>
    <xdr:ext cx="1124218" cy="450052"/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8EDD4B73-D6A5-4EE6-B5A6-3EFAA3E280D5}"/>
            </a:ext>
          </a:extLst>
        </xdr:cNvPr>
        <xdr:cNvSpPr/>
      </xdr:nvSpPr>
      <xdr:spPr>
        <a:xfrm>
          <a:off x="1533041" y="880087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383959</xdr:colOff>
      <xdr:row>2</xdr:row>
      <xdr:rowOff>200713</xdr:rowOff>
    </xdr:from>
    <xdr:ext cx="1124218" cy="450052"/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A4410D58-93C9-43F9-8A44-C94C92A147AE}"/>
            </a:ext>
          </a:extLst>
        </xdr:cNvPr>
        <xdr:cNvSpPr/>
      </xdr:nvSpPr>
      <xdr:spPr>
        <a:xfrm>
          <a:off x="3119814" y="880086"/>
          <a:ext cx="1124218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二</a:t>
          </a:r>
          <a:r>
            <a:rPr kumimoji="1" lang="ja-JP" altLang="en-US" sz="1400"/>
            <a:t>号</a:t>
          </a:r>
          <a:r>
            <a:rPr kumimoji="1" lang="zh-CN" altLang="en-US" sz="1400"/>
            <a:t>丙</a:t>
          </a:r>
          <a:endParaRPr kumimoji="1" lang="ja-JP" altLang="en-US" sz="1400"/>
        </a:p>
      </xdr:txBody>
    </xdr:sp>
    <xdr:clientData/>
  </xdr:oneCellAnchor>
  <xdr:oneCellAnchor>
    <xdr:from>
      <xdr:col>7</xdr:col>
      <xdr:colOff>637760</xdr:colOff>
      <xdr:row>2</xdr:row>
      <xdr:rowOff>188996</xdr:rowOff>
    </xdr:from>
    <xdr:ext cx="1124218" cy="450052"/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17F1F476-B39A-4351-908E-FDDD435FF01D}"/>
            </a:ext>
          </a:extLst>
        </xdr:cNvPr>
        <xdr:cNvSpPr/>
      </xdr:nvSpPr>
      <xdr:spPr>
        <a:xfrm>
          <a:off x="5370181" y="850733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长征</a:t>
          </a:r>
          <a:r>
            <a:rPr kumimoji="1" lang="zh-CN" altLang="en-US" sz="1400">
              <a:solidFill>
                <a:schemeClr val="tx1"/>
              </a:solidFill>
            </a:rPr>
            <a:t>二</a:t>
          </a:r>
          <a:r>
            <a:rPr kumimoji="1" lang="ja-JP" altLang="en-US" sz="1400">
              <a:solidFill>
                <a:schemeClr val="tx1"/>
              </a:solidFill>
            </a:rPr>
            <a:t>号</a:t>
          </a:r>
          <a:r>
            <a:rPr kumimoji="1" lang="zh-CN" altLang="en-US" sz="1400">
              <a:solidFill>
                <a:schemeClr val="tx1"/>
              </a:solidFill>
            </a:rPr>
            <a:t>捆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12</xdr:col>
      <xdr:colOff>59189</xdr:colOff>
      <xdr:row>2</xdr:row>
      <xdr:rowOff>199023</xdr:rowOff>
    </xdr:from>
    <xdr:ext cx="1628976" cy="450052"/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1FFF48EF-DE87-4DD4-831E-1B6564AF82FA}"/>
            </a:ext>
          </a:extLst>
        </xdr:cNvPr>
        <xdr:cNvSpPr/>
      </xdr:nvSpPr>
      <xdr:spPr>
        <a:xfrm>
          <a:off x="8150426" y="860760"/>
          <a:ext cx="162897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二</a:t>
          </a:r>
          <a:r>
            <a:rPr kumimoji="1" lang="ja-JP" altLang="en-US" sz="1400"/>
            <a:t>号</a:t>
          </a:r>
          <a:r>
            <a:rPr kumimoji="1" lang="zh-CN" altLang="en-US" sz="1400"/>
            <a:t>己</a:t>
          </a:r>
          <a:r>
            <a:rPr kumimoji="1" lang="en-US" altLang="zh-CN" sz="1400"/>
            <a:t>(2.5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15</xdr:col>
      <xdr:colOff>427623</xdr:colOff>
      <xdr:row>2</xdr:row>
      <xdr:rowOff>219075</xdr:rowOff>
    </xdr:from>
    <xdr:ext cx="1124218" cy="450052"/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1BE26174-A84D-4D61-A5ED-38349E12807A}"/>
            </a:ext>
          </a:extLst>
        </xdr:cNvPr>
        <xdr:cNvSpPr/>
      </xdr:nvSpPr>
      <xdr:spPr>
        <a:xfrm>
          <a:off x="10534149" y="880812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丁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595754</xdr:colOff>
      <xdr:row>5</xdr:row>
      <xdr:rowOff>38100</xdr:rowOff>
    </xdr:from>
    <xdr:ext cx="1319412" cy="450052"/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F2D3149A-0358-418B-B5AC-B1838464EAE9}"/>
            </a:ext>
          </a:extLst>
        </xdr:cNvPr>
        <xdr:cNvSpPr/>
      </xdr:nvSpPr>
      <xdr:spPr>
        <a:xfrm>
          <a:off x="1967354" y="1657350"/>
          <a:ext cx="1319412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三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en-US" altLang="ja-JP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</a:p>
      </xdr:txBody>
    </xdr:sp>
    <xdr:clientData/>
  </xdr:oneCellAnchor>
  <xdr:oneCellAnchor>
    <xdr:from>
      <xdr:col>6</xdr:col>
      <xdr:colOff>146645</xdr:colOff>
      <xdr:row>5</xdr:row>
      <xdr:rowOff>38100</xdr:rowOff>
    </xdr:from>
    <xdr:ext cx="1504157" cy="450052"/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583F7142-6126-4DE0-B05F-C6BEFCBAEC1D}"/>
            </a:ext>
          </a:extLst>
        </xdr:cNvPr>
        <xdr:cNvSpPr/>
      </xdr:nvSpPr>
      <xdr:spPr>
        <a:xfrm>
          <a:off x="4261445" y="1657350"/>
          <a:ext cx="1504157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三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r>
            <a:rPr kumimoji="1" lang="en-US" altLang="zh-CN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en-US" altLang="ja-JP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8</xdr:col>
      <xdr:colOff>642973</xdr:colOff>
      <xdr:row>5</xdr:row>
      <xdr:rowOff>38100</xdr:rowOff>
    </xdr:from>
    <xdr:ext cx="1628977" cy="450052"/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B1B78C9E-CA14-4103-99F5-725FF3EBD203}"/>
            </a:ext>
          </a:extLst>
        </xdr:cNvPr>
        <xdr:cNvSpPr/>
      </xdr:nvSpPr>
      <xdr:spPr>
        <a:xfrm>
          <a:off x="6129373" y="1657350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三</a:t>
          </a:r>
          <a:r>
            <a:rPr kumimoji="1" lang="ja-JP" altLang="en-US" sz="1400"/>
            <a:t>号</a:t>
          </a:r>
          <a:r>
            <a:rPr kumimoji="1" lang="zh-CN" altLang="en-US" sz="1400"/>
            <a:t>乙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en-US" altLang="ja-JP" sz="1400"/>
        </a:p>
      </xdr:txBody>
    </xdr:sp>
    <xdr:clientData/>
  </xdr:oneCellAnchor>
  <xdr:oneCellAnchor>
    <xdr:from>
      <xdr:col>0</xdr:col>
      <xdr:colOff>205229</xdr:colOff>
      <xdr:row>7</xdr:row>
      <xdr:rowOff>161925</xdr:rowOff>
    </xdr:from>
    <xdr:ext cx="1319412" cy="434587"/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E5AB1782-A349-453A-859B-7B34F33C232A}"/>
            </a:ext>
          </a:extLst>
        </xdr:cNvPr>
        <xdr:cNvSpPr/>
      </xdr:nvSpPr>
      <xdr:spPr>
        <a:xfrm>
          <a:off x="205229" y="2539732"/>
          <a:ext cx="1319412" cy="434587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风暴</a:t>
          </a:r>
          <a:r>
            <a:rPr kumimoji="1" lang="ja-JP" altLang="en-US" sz="1400">
              <a:solidFill>
                <a:sysClr val="windowText" lastClr="000000"/>
              </a:solidFill>
            </a:rPr>
            <a:t>一号</a:t>
          </a:r>
          <a:r>
            <a:rPr kumimoji="1" lang="en-US" altLang="ja-JP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333906</xdr:colOff>
      <xdr:row>7</xdr:row>
      <xdr:rowOff>161925</xdr:rowOff>
    </xdr:from>
    <xdr:ext cx="1124218" cy="450052"/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C1B624CF-9597-4FB8-A569-91FF2D7DE0E3}"/>
            </a:ext>
          </a:extLst>
        </xdr:cNvPr>
        <xdr:cNvSpPr/>
      </xdr:nvSpPr>
      <xdr:spPr>
        <a:xfrm>
          <a:off x="2379274" y="2478004"/>
          <a:ext cx="1124218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长征</a:t>
          </a:r>
          <a:r>
            <a:rPr kumimoji="1" lang="zh-CN" altLang="en-US" sz="1400">
              <a:solidFill>
                <a:schemeClr val="tx1"/>
              </a:solidFill>
            </a:rPr>
            <a:t>四</a:t>
          </a:r>
          <a:r>
            <a:rPr kumimoji="1" lang="ja-JP" altLang="en-US" sz="1400">
              <a:solidFill>
                <a:schemeClr val="tx1"/>
              </a:solidFill>
            </a:rPr>
            <a:t>号</a:t>
          </a:r>
          <a:r>
            <a:rPr kumimoji="1" lang="zh-CN" altLang="en-US" sz="1400">
              <a:solidFill>
                <a:schemeClr val="tx1"/>
              </a:solidFill>
            </a:rPr>
            <a:t>甲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oneCellAnchor>
  <xdr:oneCellAnchor>
    <xdr:from>
      <xdr:col>9</xdr:col>
      <xdr:colOff>9526</xdr:colOff>
      <xdr:row>7</xdr:row>
      <xdr:rowOff>161925</xdr:rowOff>
    </xdr:from>
    <xdr:ext cx="1124218" cy="450052"/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1729D8B8-49C0-4C13-B92D-667B914401C2}"/>
            </a:ext>
          </a:extLst>
        </xdr:cNvPr>
        <xdr:cNvSpPr/>
      </xdr:nvSpPr>
      <xdr:spPr>
        <a:xfrm>
          <a:off x="6181726" y="2428875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四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13</xdr:col>
      <xdr:colOff>152400</xdr:colOff>
      <xdr:row>7</xdr:row>
      <xdr:rowOff>161925</xdr:rowOff>
    </xdr:from>
    <xdr:ext cx="1124218" cy="450052"/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1D22B5AC-DCB6-4BE5-9621-714527275ADA}"/>
            </a:ext>
          </a:extLst>
        </xdr:cNvPr>
        <xdr:cNvSpPr/>
      </xdr:nvSpPr>
      <xdr:spPr>
        <a:xfrm>
          <a:off x="9067800" y="2428875"/>
          <a:ext cx="1124218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四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</xdr:col>
      <xdr:colOff>554760</xdr:colOff>
      <xdr:row>1</xdr:row>
      <xdr:rowOff>110726</xdr:rowOff>
    </xdr:from>
    <xdr:to>
      <xdr:col>3</xdr:col>
      <xdr:colOff>7549</xdr:colOff>
      <xdr:row>1</xdr:row>
      <xdr:rowOff>110726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10FDF11-A86D-4FE0-B231-7B5803CA4DF1}"/>
            </a:ext>
          </a:extLst>
        </xdr:cNvPr>
        <xdr:cNvCxnSpPr>
          <a:stCxn id="5" idx="3"/>
          <a:endCxn id="6" idx="1"/>
        </xdr:cNvCxnSpPr>
      </xdr:nvCxnSpPr>
      <xdr:spPr>
        <a:xfrm>
          <a:off x="1240560" y="434576"/>
          <a:ext cx="82438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591596</xdr:colOff>
      <xdr:row>3</xdr:row>
      <xdr:rowOff>86052</xdr:rowOff>
    </xdr:from>
    <xdr:to>
      <xdr:col>4</xdr:col>
      <xdr:colOff>383959</xdr:colOff>
      <xdr:row>3</xdr:row>
      <xdr:rowOff>86053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DF4E002E-A578-47FC-BC36-0FDFE2DA3D0D}"/>
            </a:ext>
          </a:extLst>
        </xdr:cNvPr>
        <xdr:cNvCxnSpPr>
          <a:stCxn id="7" idx="3"/>
          <a:endCxn id="8" idx="1"/>
        </xdr:cNvCxnSpPr>
      </xdr:nvCxnSpPr>
      <xdr:spPr>
        <a:xfrm flipV="1">
          <a:off x="2657259" y="1105112"/>
          <a:ext cx="46255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164651</xdr:colOff>
      <xdr:row>3</xdr:row>
      <xdr:rowOff>83154</xdr:rowOff>
    </xdr:from>
    <xdr:to>
      <xdr:col>7</xdr:col>
      <xdr:colOff>637760</xdr:colOff>
      <xdr:row>3</xdr:row>
      <xdr:rowOff>94871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E7384F3D-A1C3-4F0A-B61C-B2FEB90FFC6D}"/>
            </a:ext>
          </a:extLst>
        </xdr:cNvPr>
        <xdr:cNvCxnSpPr>
          <a:stCxn id="8" idx="3"/>
          <a:endCxn id="9" idx="1"/>
        </xdr:cNvCxnSpPr>
      </xdr:nvCxnSpPr>
      <xdr:spPr>
        <a:xfrm flipV="1">
          <a:off x="4225309" y="1075759"/>
          <a:ext cx="1144872" cy="117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418452</xdr:colOff>
      <xdr:row>3</xdr:row>
      <xdr:rowOff>83154</xdr:rowOff>
    </xdr:from>
    <xdr:to>
      <xdr:col>12</xdr:col>
      <xdr:colOff>59189</xdr:colOff>
      <xdr:row>3</xdr:row>
      <xdr:rowOff>93181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4D7FC6DF-73C4-44F7-8346-F4FF7EAE6B45}"/>
            </a:ext>
          </a:extLst>
        </xdr:cNvPr>
        <xdr:cNvCxnSpPr>
          <a:stCxn id="9" idx="3"/>
          <a:endCxn id="10" idx="1"/>
        </xdr:cNvCxnSpPr>
      </xdr:nvCxnSpPr>
      <xdr:spPr>
        <a:xfrm>
          <a:off x="6494399" y="1075759"/>
          <a:ext cx="1656027" cy="10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543566</xdr:colOff>
      <xdr:row>5</xdr:row>
      <xdr:rowOff>263126</xdr:rowOff>
    </xdr:from>
    <xdr:to>
      <xdr:col>6</xdr:col>
      <xdr:colOff>146645</xdr:colOff>
      <xdr:row>5</xdr:row>
      <xdr:rowOff>263126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2D2C69F8-6200-49F7-8FD7-379B2A7618A4}"/>
            </a:ext>
          </a:extLst>
        </xdr:cNvPr>
        <xdr:cNvCxnSpPr>
          <a:stCxn id="12" idx="3"/>
          <a:endCxn id="13" idx="1"/>
        </xdr:cNvCxnSpPr>
      </xdr:nvCxnSpPr>
      <xdr:spPr>
        <a:xfrm>
          <a:off x="3286766" y="1882376"/>
          <a:ext cx="97467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279202</xdr:colOff>
      <xdr:row>5</xdr:row>
      <xdr:rowOff>263126</xdr:rowOff>
    </xdr:from>
    <xdr:to>
      <xdr:col>8</xdr:col>
      <xdr:colOff>642973</xdr:colOff>
      <xdr:row>5</xdr:row>
      <xdr:rowOff>263126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C121FBE-BD46-4F5B-91A8-B96DAEE6DAA5}"/>
            </a:ext>
          </a:extLst>
        </xdr:cNvPr>
        <xdr:cNvCxnSpPr>
          <a:stCxn id="13" idx="3"/>
          <a:endCxn id="14" idx="1"/>
        </xdr:cNvCxnSpPr>
      </xdr:nvCxnSpPr>
      <xdr:spPr>
        <a:xfrm>
          <a:off x="5765602" y="1882376"/>
          <a:ext cx="36377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256660</xdr:colOff>
      <xdr:row>5</xdr:row>
      <xdr:rowOff>248087</xdr:rowOff>
    </xdr:from>
    <xdr:to>
      <xdr:col>12</xdr:col>
      <xdr:colOff>394320</xdr:colOff>
      <xdr:row>5</xdr:row>
      <xdr:rowOff>263126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8F87F3E-E905-4FD9-90CA-39A73FBDB180}"/>
            </a:ext>
          </a:extLst>
        </xdr:cNvPr>
        <xdr:cNvCxnSpPr>
          <a:cxnSpLocks/>
          <a:stCxn id="14" idx="3"/>
          <a:endCxn id="119" idx="1"/>
        </xdr:cNvCxnSpPr>
      </xdr:nvCxnSpPr>
      <xdr:spPr>
        <a:xfrm flipV="1">
          <a:off x="7676134" y="1902429"/>
          <a:ext cx="809423" cy="150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418452</xdr:colOff>
      <xdr:row>3</xdr:row>
      <xdr:rowOff>83154</xdr:rowOff>
    </xdr:from>
    <xdr:to>
      <xdr:col>10</xdr:col>
      <xdr:colOff>113935</xdr:colOff>
      <xdr:row>5</xdr:row>
      <xdr:rowOff>38100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D499B0E0-4F35-436F-A266-FE67D34221FF}"/>
            </a:ext>
          </a:extLst>
        </xdr:cNvPr>
        <xdr:cNvCxnSpPr>
          <a:stCxn id="9" idx="3"/>
          <a:endCxn id="14" idx="0"/>
        </xdr:cNvCxnSpPr>
      </xdr:nvCxnSpPr>
      <xdr:spPr>
        <a:xfrm>
          <a:off x="6494399" y="1075759"/>
          <a:ext cx="367247" cy="61668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161062</xdr:colOff>
      <xdr:row>8</xdr:row>
      <xdr:rowOff>48351</xdr:rowOff>
    </xdr:from>
    <xdr:to>
      <xdr:col>3</xdr:col>
      <xdr:colOff>333906</xdr:colOff>
      <xdr:row>8</xdr:row>
      <xdr:rowOff>56083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62B38536-3618-4175-9BB7-1278161BF1BA}"/>
            </a:ext>
          </a:extLst>
        </xdr:cNvPr>
        <xdr:cNvCxnSpPr>
          <a:stCxn id="16" idx="3"/>
          <a:endCxn id="17" idx="1"/>
        </xdr:cNvCxnSpPr>
      </xdr:nvCxnSpPr>
      <xdr:spPr>
        <a:xfrm>
          <a:off x="1524641" y="2695298"/>
          <a:ext cx="854633" cy="77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114597</xdr:colOff>
      <xdr:row>8</xdr:row>
      <xdr:rowOff>56083</xdr:rowOff>
    </xdr:from>
    <xdr:to>
      <xdr:col>9</xdr:col>
      <xdr:colOff>9526</xdr:colOff>
      <xdr:row>8</xdr:row>
      <xdr:rowOff>56083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69373A7-C375-470A-8BCC-F1F34598FBFE}"/>
            </a:ext>
          </a:extLst>
        </xdr:cNvPr>
        <xdr:cNvCxnSpPr>
          <a:stCxn id="17" idx="3"/>
          <a:endCxn id="18" idx="1"/>
        </xdr:cNvCxnSpPr>
      </xdr:nvCxnSpPr>
      <xdr:spPr>
        <a:xfrm>
          <a:off x="3503492" y="2703030"/>
          <a:ext cx="25819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447944</xdr:colOff>
      <xdr:row>8</xdr:row>
      <xdr:rowOff>63101</xdr:rowOff>
    </xdr:from>
    <xdr:to>
      <xdr:col>13</xdr:col>
      <xdr:colOff>152400</xdr:colOff>
      <xdr:row>8</xdr:row>
      <xdr:rowOff>63101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0A5B97C3-284C-4A5F-9DC2-80AFCDA06534}"/>
            </a:ext>
          </a:extLst>
        </xdr:cNvPr>
        <xdr:cNvCxnSpPr>
          <a:stCxn id="18" idx="3"/>
          <a:endCxn id="19" idx="1"/>
        </xdr:cNvCxnSpPr>
      </xdr:nvCxnSpPr>
      <xdr:spPr>
        <a:xfrm>
          <a:off x="7305944" y="2653901"/>
          <a:ext cx="176185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604855</xdr:colOff>
      <xdr:row>3</xdr:row>
      <xdr:rowOff>113233</xdr:rowOff>
    </xdr:from>
    <xdr:to>
      <xdr:col>15</xdr:col>
      <xdr:colOff>427623</xdr:colOff>
      <xdr:row>8</xdr:row>
      <xdr:rowOff>56083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F3AB269A-BC62-4E56-986F-FEEB91D0998B}"/>
            </a:ext>
          </a:extLst>
        </xdr:cNvPr>
        <xdr:cNvCxnSpPr>
          <a:stCxn id="19" idx="3"/>
          <a:endCxn id="11" idx="1"/>
        </xdr:cNvCxnSpPr>
      </xdr:nvCxnSpPr>
      <xdr:spPr>
        <a:xfrm flipV="1">
          <a:off x="10039618" y="1105838"/>
          <a:ext cx="494531" cy="159719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335169</xdr:colOff>
      <xdr:row>16</xdr:row>
      <xdr:rowOff>310818</xdr:rowOff>
    </xdr:from>
    <xdr:ext cx="1459686" cy="450052"/>
    <xdr:sp macro="" textlink="">
      <xdr:nvSpPr>
        <xdr:cNvPr id="32" name="四角形: 角を丸くする 31">
          <a:extLst>
            <a:ext uri="{FF2B5EF4-FFF2-40B4-BE49-F238E27FC236}">
              <a16:creationId xmlns:a16="http://schemas.microsoft.com/office/drawing/2014/main" id="{00E80C8B-07CD-4292-B4CB-7D76B9A6E509}"/>
            </a:ext>
          </a:extLst>
        </xdr:cNvPr>
        <xdr:cNvSpPr/>
      </xdr:nvSpPr>
      <xdr:spPr>
        <a:xfrm>
          <a:off x="335169" y="5604713"/>
          <a:ext cx="145968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五</a:t>
          </a:r>
          <a:r>
            <a:rPr kumimoji="1" lang="ja-JP" altLang="en-US" sz="1400"/>
            <a:t>号</a:t>
          </a:r>
          <a:r>
            <a:rPr kumimoji="1" lang="en-US" altLang="ja-JP" sz="1400"/>
            <a:t>(2.5</a:t>
          </a:r>
          <a:r>
            <a:rPr kumimoji="1" lang="zh-CN" altLang="en-US" sz="1400"/>
            <a:t>级</a:t>
          </a:r>
          <a:r>
            <a:rPr kumimoji="1" lang="en-US" altLang="ja-JP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0</xdr:col>
      <xdr:colOff>385206</xdr:colOff>
      <xdr:row>10</xdr:row>
      <xdr:rowOff>225592</xdr:rowOff>
    </xdr:from>
    <xdr:ext cx="1319412" cy="450052"/>
    <xdr:sp macro="" textlink="">
      <xdr:nvSpPr>
        <xdr:cNvPr id="33" name="四角形: 角を丸くする 32">
          <a:extLst>
            <a:ext uri="{FF2B5EF4-FFF2-40B4-BE49-F238E27FC236}">
              <a16:creationId xmlns:a16="http://schemas.microsoft.com/office/drawing/2014/main" id="{A0DED63E-09FE-4B4A-ABF9-E6EA9419A048}"/>
            </a:ext>
          </a:extLst>
        </xdr:cNvPr>
        <xdr:cNvSpPr/>
      </xdr:nvSpPr>
      <xdr:spPr>
        <a:xfrm>
          <a:off x="385206" y="3534276"/>
          <a:ext cx="1319412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en-US" altLang="ja-JP" sz="1400">
              <a:solidFill>
                <a:sysClr val="windowText" lastClr="000000"/>
              </a:solidFill>
            </a:rPr>
            <a:t>(3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ja-JP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185487</xdr:colOff>
      <xdr:row>14</xdr:row>
      <xdr:rowOff>246650</xdr:rowOff>
    </xdr:from>
    <xdr:ext cx="1609368" cy="450052"/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0B615C6A-30CB-481A-9162-8E825A2B8C22}"/>
            </a:ext>
          </a:extLst>
        </xdr:cNvPr>
        <xdr:cNvSpPr/>
      </xdr:nvSpPr>
      <xdr:spPr>
        <a:xfrm>
          <a:off x="185487" y="4878808"/>
          <a:ext cx="1609368" cy="450052"/>
        </a:xfrm>
        <a:prstGeom prst="roundRect">
          <a:avLst/>
        </a:prstGeom>
        <a:solidFill>
          <a:srgbClr val="4472C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bg2"/>
              </a:solidFill>
            </a:rPr>
            <a:t>长征</a:t>
          </a:r>
          <a:r>
            <a:rPr kumimoji="1" lang="zh-CN" altLang="en-US" sz="1400">
              <a:solidFill>
                <a:schemeClr val="bg2"/>
              </a:solidFill>
            </a:rPr>
            <a:t>八</a:t>
          </a:r>
          <a:r>
            <a:rPr kumimoji="1" lang="ja-JP" altLang="en-US" sz="1400">
              <a:solidFill>
                <a:schemeClr val="bg2"/>
              </a:solidFill>
            </a:rPr>
            <a:t>号</a:t>
          </a:r>
          <a:r>
            <a:rPr kumimoji="1" lang="en-US" altLang="ja-JP" sz="1400">
              <a:solidFill>
                <a:schemeClr val="bg2"/>
              </a:solidFill>
            </a:rPr>
            <a:t>(</a:t>
          </a:r>
          <a:r>
            <a:rPr kumimoji="1" lang="en-US" altLang="zh-CN" sz="1400">
              <a:solidFill>
                <a:schemeClr val="bg2"/>
              </a:solidFill>
            </a:rPr>
            <a:t>2.5/2</a:t>
          </a:r>
          <a:r>
            <a:rPr kumimoji="1" lang="zh-CN" altLang="en-US" sz="1400">
              <a:solidFill>
                <a:schemeClr val="bg2"/>
              </a:solidFill>
            </a:rPr>
            <a:t>级</a:t>
          </a:r>
          <a:r>
            <a:rPr kumimoji="1" lang="en-US" altLang="zh-CN" sz="1400">
              <a:solidFill>
                <a:schemeClr val="bg2"/>
              </a:solidFill>
            </a:rPr>
            <a:t>)</a:t>
          </a:r>
          <a:endParaRPr kumimoji="1" lang="ja-JP" altLang="en-US" sz="1400">
            <a:solidFill>
              <a:schemeClr val="bg2"/>
            </a:solidFill>
          </a:endParaRPr>
        </a:p>
      </xdr:txBody>
    </xdr:sp>
    <xdr:clientData/>
  </xdr:oneCellAnchor>
  <xdr:oneCellAnchor>
    <xdr:from>
      <xdr:col>0</xdr:col>
      <xdr:colOff>580400</xdr:colOff>
      <xdr:row>19</xdr:row>
      <xdr:rowOff>201031</xdr:rowOff>
    </xdr:from>
    <xdr:ext cx="1124218" cy="450052"/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F747BD13-414E-492C-AFCF-6B2C81502936}"/>
            </a:ext>
          </a:extLst>
        </xdr:cNvPr>
        <xdr:cNvSpPr/>
      </xdr:nvSpPr>
      <xdr:spPr>
        <a:xfrm>
          <a:off x="580400" y="6487531"/>
          <a:ext cx="1124218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十一</a:t>
          </a:r>
          <a:r>
            <a:rPr kumimoji="1" lang="ja-JP" altLang="en-US" sz="1400"/>
            <a:t>号</a:t>
          </a:r>
        </a:p>
      </xdr:txBody>
    </xdr:sp>
    <xdr:clientData/>
  </xdr:oneCellAnchor>
  <xdr:oneCellAnchor>
    <xdr:from>
      <xdr:col>0</xdr:col>
      <xdr:colOff>335169</xdr:colOff>
      <xdr:row>12</xdr:row>
      <xdr:rowOff>287254</xdr:rowOff>
    </xdr:from>
    <xdr:ext cx="1459686" cy="450052"/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07920FCD-42D8-4C9F-ACB5-971D28C0CF3F}"/>
            </a:ext>
          </a:extLst>
        </xdr:cNvPr>
        <xdr:cNvSpPr/>
      </xdr:nvSpPr>
      <xdr:spPr>
        <a:xfrm>
          <a:off x="335169" y="4257675"/>
          <a:ext cx="1459686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七</a:t>
          </a:r>
          <a:r>
            <a:rPr kumimoji="1" lang="ja-JP" altLang="en-US" sz="1400"/>
            <a:t>号</a:t>
          </a:r>
          <a:r>
            <a:rPr kumimoji="1" lang="en-US" altLang="ja-JP" sz="1400"/>
            <a:t>(2.5</a:t>
          </a:r>
          <a:r>
            <a:rPr kumimoji="1" lang="zh-CN" altLang="en-US" sz="1400"/>
            <a:t>级</a:t>
          </a:r>
          <a:r>
            <a:rPr kumimoji="1" lang="en-US" altLang="ja-JP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6</xdr:col>
      <xdr:colOff>84234</xdr:colOff>
      <xdr:row>12</xdr:row>
      <xdr:rowOff>267201</xdr:rowOff>
    </xdr:from>
    <xdr:ext cx="1628977" cy="450052"/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3435BFEC-752C-4A72-93F2-B6439D292B87}"/>
            </a:ext>
          </a:extLst>
        </xdr:cNvPr>
        <xdr:cNvSpPr/>
      </xdr:nvSpPr>
      <xdr:spPr>
        <a:xfrm>
          <a:off x="4144892" y="4237622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七</a:t>
          </a:r>
          <a:r>
            <a:rPr kumimoji="1" lang="ja-JP" altLang="en-US" sz="1400"/>
            <a:t>号</a:t>
          </a:r>
          <a:r>
            <a:rPr kumimoji="1" lang="zh-CN" altLang="en-US" sz="1400"/>
            <a:t>甲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twoCellAnchor>
    <xdr:from>
      <xdr:col>2</xdr:col>
      <xdr:colOff>431276</xdr:colOff>
      <xdr:row>13</xdr:row>
      <xdr:rowOff>161359</xdr:rowOff>
    </xdr:from>
    <xdr:to>
      <xdr:col>6</xdr:col>
      <xdr:colOff>84234</xdr:colOff>
      <xdr:row>13</xdr:row>
      <xdr:rowOff>181412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369FE4B1-DCFA-43D2-8406-9862ED154840}"/>
            </a:ext>
          </a:extLst>
        </xdr:cNvPr>
        <xdr:cNvCxnSpPr>
          <a:stCxn id="36" idx="3"/>
          <a:endCxn id="37" idx="1"/>
        </xdr:cNvCxnSpPr>
      </xdr:nvCxnSpPr>
      <xdr:spPr>
        <a:xfrm flipV="1">
          <a:off x="1794855" y="4462648"/>
          <a:ext cx="2350037" cy="20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226960</xdr:colOff>
      <xdr:row>6</xdr:row>
      <xdr:rowOff>157284</xdr:rowOff>
    </xdr:from>
    <xdr:to>
      <xdr:col>7</xdr:col>
      <xdr:colOff>226961</xdr:colOff>
      <xdr:row>12</xdr:row>
      <xdr:rowOff>267202</xdr:rowOff>
    </xdr:to>
    <xdr:cxnSp macro="">
      <xdr:nvCxnSpPr>
        <xdr:cNvPr id="39" name="コネクタ: カギ線 38">
          <a:extLst>
            <a:ext uri="{FF2B5EF4-FFF2-40B4-BE49-F238E27FC236}">
              <a16:creationId xmlns:a16="http://schemas.microsoft.com/office/drawing/2014/main" id="{ABBA5577-27C5-4CC5-B7CB-5B24EE65DD11}"/>
            </a:ext>
          </a:extLst>
        </xdr:cNvPr>
        <xdr:cNvCxnSpPr>
          <a:stCxn id="13" idx="2"/>
          <a:endCxn id="37" idx="0"/>
        </xdr:cNvCxnSpPr>
      </xdr:nvCxnSpPr>
      <xdr:spPr>
        <a:xfrm rot="5400000">
          <a:off x="3911818" y="3190058"/>
          <a:ext cx="2095128" cy="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294787</xdr:colOff>
      <xdr:row>16</xdr:row>
      <xdr:rowOff>280739</xdr:rowOff>
    </xdr:from>
    <xdr:ext cx="1628977" cy="450052"/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5DDF1CB2-E363-439F-99CE-9AC7AF0100EC}"/>
            </a:ext>
          </a:extLst>
        </xdr:cNvPr>
        <xdr:cNvSpPr/>
      </xdr:nvSpPr>
      <xdr:spPr>
        <a:xfrm>
          <a:off x="3683682" y="5574634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五</a:t>
          </a:r>
          <a:r>
            <a:rPr kumimoji="1" lang="ja-JP" altLang="en-US" sz="1400"/>
            <a:t>号</a:t>
          </a:r>
          <a:r>
            <a:rPr kumimoji="1" lang="zh-CN" altLang="en-US" sz="1400"/>
            <a:t>乙</a:t>
          </a:r>
          <a:r>
            <a:rPr kumimoji="1" lang="en-US" altLang="zh-CN" sz="1400"/>
            <a:t>(1.5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ja-JP" altLang="en-US" sz="1400"/>
        </a:p>
      </xdr:txBody>
    </xdr:sp>
    <xdr:clientData/>
  </xdr:oneCellAnchor>
  <xdr:oneCellAnchor>
    <xdr:from>
      <xdr:col>7</xdr:col>
      <xdr:colOff>505341</xdr:colOff>
      <xdr:row>10</xdr:row>
      <xdr:rowOff>185486</xdr:rowOff>
    </xdr:from>
    <xdr:ext cx="1628977" cy="450052"/>
    <xdr:sp macro="" textlink="">
      <xdr:nvSpPr>
        <xdr:cNvPr id="41" name="四角形: 角を丸くする 40">
          <a:extLst>
            <a:ext uri="{FF2B5EF4-FFF2-40B4-BE49-F238E27FC236}">
              <a16:creationId xmlns:a16="http://schemas.microsoft.com/office/drawing/2014/main" id="{B3950AE5-1D1F-4E13-A5B2-56F328AC0CB2}"/>
            </a:ext>
          </a:extLst>
        </xdr:cNvPr>
        <xdr:cNvSpPr/>
      </xdr:nvSpPr>
      <xdr:spPr>
        <a:xfrm>
          <a:off x="5237762" y="3494170"/>
          <a:ext cx="1628977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r>
            <a:rPr kumimoji="1" lang="en-US" altLang="zh-CN" sz="1400">
              <a:solidFill>
                <a:sysClr val="windowText" lastClr="000000"/>
              </a:solidFill>
            </a:rPr>
            <a:t>(2.5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4</xdr:col>
      <xdr:colOff>445182</xdr:colOff>
      <xdr:row>19</xdr:row>
      <xdr:rowOff>211057</xdr:rowOff>
    </xdr:from>
    <xdr:ext cx="1341713" cy="450052"/>
    <xdr:sp macro="" textlink="">
      <xdr:nvSpPr>
        <xdr:cNvPr id="42" name="四角形: 角を丸くする 41">
          <a:extLst>
            <a:ext uri="{FF2B5EF4-FFF2-40B4-BE49-F238E27FC236}">
              <a16:creationId xmlns:a16="http://schemas.microsoft.com/office/drawing/2014/main" id="{5171F328-6CEB-4949-87CC-10BC4CCF0B7E}"/>
            </a:ext>
          </a:extLst>
        </xdr:cNvPr>
        <xdr:cNvSpPr/>
      </xdr:nvSpPr>
      <xdr:spPr>
        <a:xfrm>
          <a:off x="3162314" y="6497557"/>
          <a:ext cx="1341713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十一</a:t>
          </a:r>
          <a:r>
            <a:rPr kumimoji="1" lang="ja-JP" altLang="en-US" sz="1400"/>
            <a:t>号</a:t>
          </a:r>
          <a:r>
            <a:rPr kumimoji="1" lang="zh-CN" altLang="en-US" sz="1400"/>
            <a:t>海</a:t>
          </a:r>
          <a:endParaRPr kumimoji="1" lang="ja-JP" altLang="en-US" sz="1400"/>
        </a:p>
      </xdr:txBody>
    </xdr:sp>
    <xdr:clientData/>
  </xdr:oneCellAnchor>
  <xdr:twoCellAnchor>
    <xdr:from>
      <xdr:col>2</xdr:col>
      <xdr:colOff>431276</xdr:colOff>
      <xdr:row>17</xdr:row>
      <xdr:rowOff>174897</xdr:rowOff>
    </xdr:from>
    <xdr:to>
      <xdr:col>5</xdr:col>
      <xdr:colOff>294787</xdr:colOff>
      <xdr:row>17</xdr:row>
      <xdr:rowOff>204976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6056A003-339F-4FEE-B5F9-A19A85710225}"/>
            </a:ext>
          </a:extLst>
        </xdr:cNvPr>
        <xdr:cNvCxnSpPr>
          <a:stCxn id="32" idx="3"/>
          <a:endCxn id="40" idx="1"/>
        </xdr:cNvCxnSpPr>
      </xdr:nvCxnSpPr>
      <xdr:spPr>
        <a:xfrm flipV="1">
          <a:off x="1794855" y="5799660"/>
          <a:ext cx="1888827" cy="300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341039</xdr:colOff>
      <xdr:row>11</xdr:row>
      <xdr:rowOff>79643</xdr:rowOff>
    </xdr:from>
    <xdr:to>
      <xdr:col>7</xdr:col>
      <xdr:colOff>505341</xdr:colOff>
      <xdr:row>11</xdr:row>
      <xdr:rowOff>119749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EE253B44-BCF3-4DC9-B2BC-72797A80D738}"/>
            </a:ext>
          </a:extLst>
        </xdr:cNvPr>
        <xdr:cNvCxnSpPr>
          <a:stCxn id="33" idx="3"/>
          <a:endCxn id="41" idx="1"/>
        </xdr:cNvCxnSpPr>
      </xdr:nvCxnSpPr>
      <xdr:spPr>
        <a:xfrm flipV="1">
          <a:off x="1704618" y="3719196"/>
          <a:ext cx="3533144" cy="401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341039</xdr:colOff>
      <xdr:row>20</xdr:row>
      <xdr:rowOff>95189</xdr:rowOff>
    </xdr:from>
    <xdr:to>
      <xdr:col>4</xdr:col>
      <xdr:colOff>445182</xdr:colOff>
      <xdr:row>20</xdr:row>
      <xdr:rowOff>105215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76B20554-A488-4182-B575-DC56011F8A6E}"/>
            </a:ext>
          </a:extLst>
        </xdr:cNvPr>
        <xdr:cNvCxnSpPr>
          <a:stCxn id="35" idx="3"/>
          <a:endCxn id="42" idx="1"/>
        </xdr:cNvCxnSpPr>
      </xdr:nvCxnSpPr>
      <xdr:spPr>
        <a:xfrm>
          <a:off x="1704618" y="6712557"/>
          <a:ext cx="1457696" cy="100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234628</xdr:colOff>
      <xdr:row>22</xdr:row>
      <xdr:rowOff>67179</xdr:rowOff>
    </xdr:from>
    <xdr:ext cx="1298497" cy="450052"/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39B72478-13B3-4D7D-8A6D-B237CBDCBF63}"/>
            </a:ext>
          </a:extLst>
        </xdr:cNvPr>
        <xdr:cNvSpPr/>
      </xdr:nvSpPr>
      <xdr:spPr>
        <a:xfrm>
          <a:off x="2951760" y="7346284"/>
          <a:ext cx="1298497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十一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甲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341039</xdr:colOff>
      <xdr:row>20</xdr:row>
      <xdr:rowOff>95189</xdr:rowOff>
    </xdr:from>
    <xdr:to>
      <xdr:col>4</xdr:col>
      <xdr:colOff>234628</xdr:colOff>
      <xdr:row>22</xdr:row>
      <xdr:rowOff>292205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348255D3-BE08-4D30-A0F0-2F2B3B01C2F2}"/>
            </a:ext>
          </a:extLst>
        </xdr:cNvPr>
        <xdr:cNvCxnSpPr>
          <a:cxnSpLocks/>
          <a:stCxn id="35" idx="3"/>
          <a:endCxn id="46" idx="1"/>
        </xdr:cNvCxnSpPr>
      </xdr:nvCxnSpPr>
      <xdr:spPr>
        <a:xfrm>
          <a:off x="1704618" y="6712557"/>
          <a:ext cx="1247142" cy="85875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94262</xdr:colOff>
      <xdr:row>14</xdr:row>
      <xdr:rowOff>236623</xdr:rowOff>
    </xdr:from>
    <xdr:ext cx="1628977" cy="450052"/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BB517E6E-564A-4531-AC0D-350E91B72405}"/>
            </a:ext>
          </a:extLst>
        </xdr:cNvPr>
        <xdr:cNvSpPr/>
      </xdr:nvSpPr>
      <xdr:spPr>
        <a:xfrm>
          <a:off x="2811394" y="4868781"/>
          <a:ext cx="1628977" cy="450052"/>
        </a:xfrm>
        <a:prstGeom prst="roundRect">
          <a:avLst/>
        </a:prstGeom>
        <a:solidFill>
          <a:srgbClr val="4472C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chemeClr val="bg2"/>
              </a:solidFill>
            </a:rPr>
            <a:t>长征</a:t>
          </a:r>
          <a:r>
            <a:rPr kumimoji="1" lang="zh-CN" altLang="en-US" sz="1400">
              <a:solidFill>
                <a:schemeClr val="bg2"/>
              </a:solidFill>
            </a:rPr>
            <a:t>八</a:t>
          </a:r>
          <a:r>
            <a:rPr kumimoji="1" lang="ja-JP" altLang="en-US" sz="1400">
              <a:solidFill>
                <a:schemeClr val="bg2"/>
              </a:solidFill>
            </a:rPr>
            <a:t>号</a:t>
          </a:r>
          <a:r>
            <a:rPr kumimoji="1" lang="zh-CN" altLang="en-US" sz="1400">
              <a:solidFill>
                <a:schemeClr val="bg2"/>
              </a:solidFill>
            </a:rPr>
            <a:t>甲</a:t>
          </a:r>
          <a:r>
            <a:rPr kumimoji="1" lang="en-US" altLang="ja-JP" sz="1400">
              <a:solidFill>
                <a:schemeClr val="bg2"/>
              </a:solidFill>
            </a:rPr>
            <a:t>(</a:t>
          </a:r>
          <a:r>
            <a:rPr kumimoji="1" lang="en-US" altLang="zh-CN" sz="1400">
              <a:solidFill>
                <a:schemeClr val="bg2"/>
              </a:solidFill>
            </a:rPr>
            <a:t>2.5</a:t>
          </a:r>
          <a:r>
            <a:rPr kumimoji="1" lang="zh-CN" altLang="en-US" sz="1400">
              <a:solidFill>
                <a:schemeClr val="bg2"/>
              </a:solidFill>
            </a:rPr>
            <a:t>级</a:t>
          </a:r>
          <a:r>
            <a:rPr kumimoji="1" lang="en-US" altLang="zh-CN" sz="1400">
              <a:solidFill>
                <a:schemeClr val="bg2"/>
              </a:solidFill>
            </a:rPr>
            <a:t>)</a:t>
          </a:r>
          <a:endParaRPr kumimoji="1" lang="ja-JP" altLang="en-US" sz="1400">
            <a:solidFill>
              <a:schemeClr val="bg2"/>
            </a:solidFill>
          </a:endParaRPr>
        </a:p>
      </xdr:txBody>
    </xdr:sp>
    <xdr:clientData/>
  </xdr:oneCellAnchor>
  <xdr:twoCellAnchor>
    <xdr:from>
      <xdr:col>2</xdr:col>
      <xdr:colOff>431276</xdr:colOff>
      <xdr:row>15</xdr:row>
      <xdr:rowOff>130781</xdr:rowOff>
    </xdr:from>
    <xdr:to>
      <xdr:col>4</xdr:col>
      <xdr:colOff>94262</xdr:colOff>
      <xdr:row>15</xdr:row>
      <xdr:rowOff>140808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4CD9B672-EF67-4859-BD47-6CBFA5B0B422}"/>
            </a:ext>
          </a:extLst>
        </xdr:cNvPr>
        <xdr:cNvCxnSpPr>
          <a:stCxn id="34" idx="3"/>
          <a:endCxn id="48" idx="1"/>
        </xdr:cNvCxnSpPr>
      </xdr:nvCxnSpPr>
      <xdr:spPr>
        <a:xfrm flipV="1">
          <a:off x="1794855" y="5093807"/>
          <a:ext cx="1016539" cy="100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582278</xdr:colOff>
      <xdr:row>22</xdr:row>
      <xdr:rowOff>2</xdr:rowOff>
    </xdr:from>
    <xdr:ext cx="575290" cy="360382"/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113237EF-1505-48EE-A6A4-07B361A2D3BA}"/>
            </a:ext>
          </a:extLst>
        </xdr:cNvPr>
        <xdr:cNvSpPr/>
      </xdr:nvSpPr>
      <xdr:spPr>
        <a:xfrm>
          <a:off x="10017041" y="7279107"/>
          <a:ext cx="575290" cy="36038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退役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</xdr:col>
      <xdr:colOff>612357</xdr:colOff>
      <xdr:row>20</xdr:row>
      <xdr:rowOff>151399</xdr:rowOff>
    </xdr:from>
    <xdr:ext cx="580550" cy="442958"/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0E602C4F-8996-4359-9731-AACF837110A5}"/>
            </a:ext>
          </a:extLst>
        </xdr:cNvPr>
        <xdr:cNvSpPr/>
      </xdr:nvSpPr>
      <xdr:spPr>
        <a:xfrm>
          <a:off x="10718883" y="6768767"/>
          <a:ext cx="580550" cy="44295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现役</a:t>
          </a:r>
          <a:endParaRPr kumimoji="1" lang="ja-JP" altLang="en-US" sz="1400"/>
        </a:p>
      </xdr:txBody>
    </xdr:sp>
    <xdr:clientData/>
  </xdr:oneCellAnchor>
  <xdr:oneCellAnchor>
    <xdr:from>
      <xdr:col>14</xdr:col>
      <xdr:colOff>592304</xdr:colOff>
      <xdr:row>20</xdr:row>
      <xdr:rowOff>175462</xdr:rowOff>
    </xdr:from>
    <xdr:ext cx="575290" cy="371237"/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5F134CFA-5EC6-49D1-BA49-243E73FA425E}"/>
            </a:ext>
          </a:extLst>
        </xdr:cNvPr>
        <xdr:cNvSpPr/>
      </xdr:nvSpPr>
      <xdr:spPr>
        <a:xfrm>
          <a:off x="10027067" y="6792830"/>
          <a:ext cx="575290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在研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466725</xdr:colOff>
      <xdr:row>2</xdr:row>
      <xdr:rowOff>38100</xdr:rowOff>
    </xdr:from>
    <xdr:ext cx="902811" cy="400366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CD8AC2FA-1A83-4FBD-8FE4-DFF90B62CF8B}"/>
            </a:ext>
          </a:extLst>
        </xdr:cNvPr>
        <xdr:cNvSpPr txBox="1"/>
      </xdr:nvSpPr>
      <xdr:spPr>
        <a:xfrm>
          <a:off x="7324725" y="685800"/>
          <a:ext cx="902811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载人设计</a:t>
          </a:r>
          <a:endParaRPr kumimoji="1" lang="ja-JP" altLang="en-US" sz="1400"/>
        </a:p>
      </xdr:txBody>
    </xdr:sp>
    <xdr:clientData/>
  </xdr:oneCellAnchor>
  <xdr:oneCellAnchor>
    <xdr:from>
      <xdr:col>6</xdr:col>
      <xdr:colOff>196123</xdr:colOff>
      <xdr:row>2</xdr:row>
      <xdr:rowOff>102709</xdr:rowOff>
    </xdr:from>
    <xdr:ext cx="1082348" cy="400366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D5C72A13-B626-4BC9-B2F4-F991E575920D}"/>
            </a:ext>
          </a:extLst>
        </xdr:cNvPr>
        <xdr:cNvSpPr txBox="1"/>
      </xdr:nvSpPr>
      <xdr:spPr>
        <a:xfrm>
          <a:off x="4272364" y="782082"/>
          <a:ext cx="108234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捆绑助推器</a:t>
          </a:r>
          <a:endParaRPr kumimoji="1" lang="ja-JP" altLang="en-US" sz="1400"/>
        </a:p>
      </xdr:txBody>
    </xdr:sp>
    <xdr:clientData/>
  </xdr:oneCellAnchor>
  <xdr:oneCellAnchor>
    <xdr:from>
      <xdr:col>8</xdr:col>
      <xdr:colOff>333375</xdr:colOff>
      <xdr:row>4</xdr:row>
      <xdr:rowOff>28575</xdr:rowOff>
    </xdr:from>
    <xdr:ext cx="1173335" cy="335541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E719B70B-1400-46AD-AD7C-B0050E3C449A}"/>
            </a:ext>
          </a:extLst>
        </xdr:cNvPr>
        <xdr:cNvSpPr txBox="1"/>
      </xdr:nvSpPr>
      <xdr:spPr>
        <a:xfrm>
          <a:off x="5819775" y="1323975"/>
          <a:ext cx="1173335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捆绑</a:t>
          </a:r>
          <a:r>
            <a:rPr kumimoji="1" lang="en-US" altLang="zh-CN" sz="1400"/>
            <a:t>4</a:t>
          </a:r>
          <a:r>
            <a:rPr kumimoji="1" lang="zh-CN" altLang="en-US" sz="1400"/>
            <a:t>助推器</a:t>
          </a:r>
          <a:endParaRPr kumimoji="1" lang="ja-JP" altLang="en-US" sz="1400"/>
        </a:p>
      </xdr:txBody>
    </xdr:sp>
    <xdr:clientData/>
  </xdr:oneCellAnchor>
  <xdr:twoCellAnchor>
    <xdr:from>
      <xdr:col>3</xdr:col>
      <xdr:colOff>566905</xdr:colOff>
      <xdr:row>3</xdr:row>
      <xdr:rowOff>311078</xdr:rowOff>
    </xdr:from>
    <xdr:to>
      <xdr:col>5</xdr:col>
      <xdr:colOff>275875</xdr:colOff>
      <xdr:row>5</xdr:row>
      <xdr:rowOff>38100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6DA9304-A69E-4BE8-946B-A06233AA4C2D}"/>
            </a:ext>
          </a:extLst>
        </xdr:cNvPr>
        <xdr:cNvCxnSpPr>
          <a:stCxn id="8" idx="2"/>
          <a:endCxn id="12" idx="0"/>
        </xdr:cNvCxnSpPr>
      </xdr:nvCxnSpPr>
      <xdr:spPr>
        <a:xfrm flipH="1">
          <a:off x="2632568" y="1330138"/>
          <a:ext cx="1049355" cy="4063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246612</xdr:colOff>
      <xdr:row>4</xdr:row>
      <xdr:rowOff>57809</xdr:rowOff>
    </xdr:from>
    <xdr:ext cx="1173335" cy="400366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E17D53F7-E03B-4A77-A8EA-B562D10221A4}"/>
            </a:ext>
          </a:extLst>
        </xdr:cNvPr>
        <xdr:cNvSpPr txBox="1"/>
      </xdr:nvSpPr>
      <xdr:spPr>
        <a:xfrm>
          <a:off x="1610191" y="1381283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加氢氧第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4</xdr:col>
      <xdr:colOff>523155</xdr:colOff>
      <xdr:row>4</xdr:row>
      <xdr:rowOff>250192</xdr:rowOff>
    </xdr:from>
    <xdr:ext cx="993798" cy="400366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E3B5FDE7-B0CA-49F0-9E3F-44A3172C438B}"/>
            </a:ext>
          </a:extLst>
        </xdr:cNvPr>
        <xdr:cNvSpPr txBox="1"/>
      </xdr:nvSpPr>
      <xdr:spPr>
        <a:xfrm>
          <a:off x="3240287" y="1573666"/>
          <a:ext cx="99379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改进第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2</xdr:col>
      <xdr:colOff>58757</xdr:colOff>
      <xdr:row>6</xdr:row>
      <xdr:rowOff>247879</xdr:rowOff>
    </xdr:from>
    <xdr:ext cx="814262" cy="400366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7630F74D-BBCE-4D6A-BA43-EBE5305C6135}"/>
            </a:ext>
          </a:extLst>
        </xdr:cNvPr>
        <xdr:cNvSpPr txBox="1"/>
      </xdr:nvSpPr>
      <xdr:spPr>
        <a:xfrm>
          <a:off x="1435865" y="2285999"/>
          <a:ext cx="814262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7</xdr:col>
      <xdr:colOff>304800</xdr:colOff>
      <xdr:row>7</xdr:row>
      <xdr:rowOff>28575</xdr:rowOff>
    </xdr:from>
    <xdr:ext cx="902811" cy="325730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0A21B43C-26DB-4E56-9212-91AC416DCC8F}"/>
            </a:ext>
          </a:extLst>
        </xdr:cNvPr>
        <xdr:cNvSpPr txBox="1"/>
      </xdr:nvSpPr>
      <xdr:spPr>
        <a:xfrm>
          <a:off x="5105400" y="2295525"/>
          <a:ext cx="90281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提升运力</a:t>
          </a:r>
          <a:endParaRPr kumimoji="1" lang="ja-JP" altLang="en-US" sz="1400"/>
        </a:p>
      </xdr:txBody>
    </xdr:sp>
    <xdr:clientData/>
  </xdr:oneCellAnchor>
  <xdr:oneCellAnchor>
    <xdr:from>
      <xdr:col>10</xdr:col>
      <xdr:colOff>495300</xdr:colOff>
      <xdr:row>7</xdr:row>
      <xdr:rowOff>38100</xdr:rowOff>
    </xdr:from>
    <xdr:ext cx="1173335" cy="400366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235977E2-90F6-446F-826F-6357FC974EF3}"/>
            </a:ext>
          </a:extLst>
        </xdr:cNvPr>
        <xdr:cNvSpPr txBox="1"/>
      </xdr:nvSpPr>
      <xdr:spPr>
        <a:xfrm>
          <a:off x="7353300" y="2305050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第</a:t>
          </a:r>
          <a:r>
            <a:rPr kumimoji="1" lang="en-US" altLang="zh-CN" sz="1400"/>
            <a:t>3</a:t>
          </a:r>
          <a:r>
            <a:rPr kumimoji="1" lang="zh-CN" altLang="en-US" sz="1400"/>
            <a:t>级再启动</a:t>
          </a:r>
          <a:endParaRPr kumimoji="1" lang="ja-JP" altLang="en-US" sz="1400"/>
        </a:p>
      </xdr:txBody>
    </xdr:sp>
    <xdr:clientData/>
  </xdr:oneCellAnchor>
  <xdr:oneCellAnchor>
    <xdr:from>
      <xdr:col>5</xdr:col>
      <xdr:colOff>70686</xdr:colOff>
      <xdr:row>7</xdr:row>
      <xdr:rowOff>86226</xdr:rowOff>
    </xdr:from>
    <xdr:ext cx="1173335" cy="400366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115C6154-0C8C-4A93-8724-78419019F3A3}"/>
            </a:ext>
          </a:extLst>
        </xdr:cNvPr>
        <xdr:cNvSpPr txBox="1"/>
      </xdr:nvSpPr>
      <xdr:spPr>
        <a:xfrm>
          <a:off x="3459581" y="2402305"/>
          <a:ext cx="1173335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加氢氧第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2</xdr:col>
      <xdr:colOff>431132</xdr:colOff>
      <xdr:row>16</xdr:row>
      <xdr:rowOff>255673</xdr:rowOff>
    </xdr:from>
    <xdr:ext cx="1891480" cy="335541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889609ED-D57F-49EE-8D5A-1B1F1187B5CE}"/>
            </a:ext>
          </a:extLst>
        </xdr:cNvPr>
        <xdr:cNvSpPr txBox="1"/>
      </xdr:nvSpPr>
      <xdr:spPr>
        <a:xfrm>
          <a:off x="1794711" y="5549568"/>
          <a:ext cx="1891480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2</a:t>
          </a:r>
          <a:r>
            <a:rPr kumimoji="1" lang="zh-CN" altLang="en-US" sz="1400"/>
            <a:t>级，加长整流罩</a:t>
          </a:r>
          <a:endParaRPr kumimoji="1" lang="ja-JP" altLang="en-US" sz="1400"/>
        </a:p>
      </xdr:txBody>
    </xdr:sp>
    <xdr:clientData/>
  </xdr:oneCellAnchor>
  <xdr:oneCellAnchor>
    <xdr:from>
      <xdr:col>2</xdr:col>
      <xdr:colOff>409575</xdr:colOff>
      <xdr:row>10</xdr:row>
      <xdr:rowOff>37598</xdr:rowOff>
    </xdr:from>
    <xdr:ext cx="2341538" cy="400366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3DF41698-D96E-4EE1-A942-A799581A717C}"/>
            </a:ext>
          </a:extLst>
        </xdr:cNvPr>
        <xdr:cNvSpPr txBox="1"/>
      </xdr:nvSpPr>
      <xdr:spPr>
        <a:xfrm>
          <a:off x="1773154" y="3346282"/>
          <a:ext cx="234153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3</a:t>
          </a:r>
          <a:r>
            <a:rPr kumimoji="1" lang="zh-CN" altLang="en-US" sz="1400"/>
            <a:t>级，加</a:t>
          </a:r>
          <a:r>
            <a:rPr kumimoji="1" lang="en-US" altLang="zh-CN" sz="1400"/>
            <a:t>4</a:t>
          </a:r>
          <a:r>
            <a:rPr kumimoji="1" lang="zh-CN" altLang="en-US" sz="1400"/>
            <a:t>台固体助推器</a:t>
          </a:r>
          <a:endParaRPr kumimoji="1" lang="ja-JP" altLang="en-US" sz="1400"/>
        </a:p>
      </xdr:txBody>
    </xdr:sp>
    <xdr:clientData/>
  </xdr:oneCellAnchor>
  <xdr:oneCellAnchor>
    <xdr:from>
      <xdr:col>2</xdr:col>
      <xdr:colOff>532398</xdr:colOff>
      <xdr:row>19</xdr:row>
      <xdr:rowOff>87733</xdr:rowOff>
    </xdr:from>
    <xdr:ext cx="1297406" cy="400366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16511E76-1E8C-4B7F-A01A-5F25F9883594}"/>
            </a:ext>
          </a:extLst>
        </xdr:cNvPr>
        <xdr:cNvSpPr txBox="1"/>
      </xdr:nvSpPr>
      <xdr:spPr>
        <a:xfrm>
          <a:off x="1895977" y="6374233"/>
          <a:ext cx="1297406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适应海上发射</a:t>
          </a:r>
          <a:endParaRPr kumimoji="1" lang="ja-JP" altLang="en-US" sz="1400"/>
        </a:p>
      </xdr:txBody>
    </xdr:sp>
    <xdr:clientData/>
  </xdr:oneCellAnchor>
  <xdr:oneCellAnchor>
    <xdr:from>
      <xdr:col>2</xdr:col>
      <xdr:colOff>516857</xdr:colOff>
      <xdr:row>21</xdr:row>
      <xdr:rowOff>238127</xdr:rowOff>
    </xdr:from>
    <xdr:ext cx="1082348" cy="400366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84EC2F3F-09D1-4BC5-B315-DE8E1989FC8F}"/>
            </a:ext>
          </a:extLst>
        </xdr:cNvPr>
        <xdr:cNvSpPr txBox="1"/>
      </xdr:nvSpPr>
      <xdr:spPr>
        <a:xfrm>
          <a:off x="1880436" y="7186364"/>
          <a:ext cx="1082348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加芯级直径</a:t>
          </a:r>
          <a:endParaRPr kumimoji="1" lang="ja-JP" altLang="en-US" sz="1400"/>
        </a:p>
      </xdr:txBody>
    </xdr:sp>
    <xdr:clientData/>
  </xdr:oneCellAnchor>
  <xdr:oneCellAnchor>
    <xdr:from>
      <xdr:col>15</xdr:col>
      <xdr:colOff>76200</xdr:colOff>
      <xdr:row>5</xdr:row>
      <xdr:rowOff>57150</xdr:rowOff>
    </xdr:from>
    <xdr:ext cx="814262" cy="400366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BB108E5B-F726-4C98-9CAA-EE5FC6CAB159}"/>
            </a:ext>
          </a:extLst>
        </xdr:cNvPr>
        <xdr:cNvSpPr txBox="1"/>
      </xdr:nvSpPr>
      <xdr:spPr>
        <a:xfrm>
          <a:off x="10363200" y="1676400"/>
          <a:ext cx="814262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15</xdr:col>
      <xdr:colOff>625824</xdr:colOff>
      <xdr:row>22</xdr:row>
      <xdr:rowOff>1004</xdr:rowOff>
    </xdr:from>
    <xdr:ext cx="1286292" cy="371237"/>
    <xdr:sp macro="" textlink="">
      <xdr:nvSpPr>
        <xdr:cNvPr id="69" name="四角形: 角を丸くする 68">
          <a:extLst>
            <a:ext uri="{FF2B5EF4-FFF2-40B4-BE49-F238E27FC236}">
              <a16:creationId xmlns:a16="http://schemas.microsoft.com/office/drawing/2014/main" id="{5163731F-BF81-48E7-A3E5-8C74BB6A4394}"/>
            </a:ext>
          </a:extLst>
        </xdr:cNvPr>
        <xdr:cNvSpPr/>
      </xdr:nvSpPr>
      <xdr:spPr>
        <a:xfrm>
          <a:off x="10732350" y="7280109"/>
          <a:ext cx="1286292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上海研制现役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161925</xdr:colOff>
      <xdr:row>4</xdr:row>
      <xdr:rowOff>171450</xdr:rowOff>
    </xdr:from>
    <xdr:ext cx="993798" cy="392800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DACBD535-ED21-42FD-9A30-28A40DA5DEF0}"/>
            </a:ext>
          </a:extLst>
        </xdr:cNvPr>
        <xdr:cNvSpPr txBox="1"/>
      </xdr:nvSpPr>
      <xdr:spPr>
        <a:xfrm>
          <a:off x="7705725" y="1466850"/>
          <a:ext cx="993798" cy="392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>
              <a:latin typeface="+mn-ea"/>
              <a:ea typeface="+mn-ea"/>
            </a:rPr>
            <a:t>减</a:t>
          </a:r>
          <a:r>
            <a:rPr kumimoji="1" lang="en-US" altLang="zh-CN" sz="1400">
              <a:latin typeface="+mn-ea"/>
              <a:ea typeface="+mn-ea"/>
            </a:rPr>
            <a:t>2</a:t>
          </a:r>
          <a:r>
            <a:rPr kumimoji="1" lang="zh-CN" altLang="en-US" sz="1400">
              <a:latin typeface="+mn-ea"/>
              <a:ea typeface="+mn-ea"/>
            </a:rPr>
            <a:t>助推器</a:t>
          </a:r>
          <a:endParaRPr kumimoji="1" lang="ja-JP" altLang="en-US" sz="1400">
            <a:latin typeface="+mn-ea"/>
            <a:ea typeface="+mn-ea"/>
          </a:endParaRPr>
        </a:p>
      </xdr:txBody>
    </xdr:sp>
    <xdr:clientData/>
  </xdr:oneCellAnchor>
  <xdr:oneCellAnchor>
    <xdr:from>
      <xdr:col>4</xdr:col>
      <xdr:colOff>513346</xdr:colOff>
      <xdr:row>12</xdr:row>
      <xdr:rowOff>167441</xdr:rowOff>
    </xdr:from>
    <xdr:ext cx="814262" cy="335541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0C5CB6AF-3A00-4085-B220-B0D337DF492A}"/>
            </a:ext>
          </a:extLst>
        </xdr:cNvPr>
        <xdr:cNvSpPr txBox="1"/>
      </xdr:nvSpPr>
      <xdr:spPr>
        <a:xfrm>
          <a:off x="3230478" y="4137862"/>
          <a:ext cx="814262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加第</a:t>
          </a:r>
          <a:r>
            <a:rPr kumimoji="1" lang="en-US" altLang="zh-CN" sz="1400"/>
            <a:t>3</a:t>
          </a:r>
          <a:r>
            <a:rPr kumimoji="1" lang="zh-CN" altLang="en-US" sz="1400"/>
            <a:t>级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251161</xdr:colOff>
      <xdr:row>12</xdr:row>
      <xdr:rowOff>155412</xdr:rowOff>
    </xdr:from>
    <xdr:ext cx="1113750" cy="371237"/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4DE67E1F-E40D-47B6-9534-E5A738A095F2}"/>
            </a:ext>
          </a:extLst>
        </xdr:cNvPr>
        <xdr:cNvSpPr/>
      </xdr:nvSpPr>
      <xdr:spPr>
        <a:xfrm>
          <a:off x="12613608" y="4125833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快舟一号甲</a:t>
          </a:r>
          <a:endParaRPr kumimoji="1" lang="ja-JP" altLang="en-US" sz="1400"/>
        </a:p>
      </xdr:txBody>
    </xdr:sp>
    <xdr:clientData/>
  </xdr:oneCellAnchor>
  <xdr:oneCellAnchor>
    <xdr:from>
      <xdr:col>21</xdr:col>
      <xdr:colOff>251161</xdr:colOff>
      <xdr:row>12</xdr:row>
      <xdr:rowOff>139872</xdr:rowOff>
    </xdr:from>
    <xdr:ext cx="1074162" cy="371237"/>
    <xdr:sp macro="" textlink="">
      <xdr:nvSpPr>
        <xdr:cNvPr id="73" name="四角形: 角を丸くする 72">
          <a:extLst>
            <a:ext uri="{FF2B5EF4-FFF2-40B4-BE49-F238E27FC236}">
              <a16:creationId xmlns:a16="http://schemas.microsoft.com/office/drawing/2014/main" id="{E7968FED-FB33-4AB0-96CD-350D977326CE}"/>
            </a:ext>
          </a:extLst>
        </xdr:cNvPr>
        <xdr:cNvSpPr/>
      </xdr:nvSpPr>
      <xdr:spPr>
        <a:xfrm>
          <a:off x="13957135" y="4110293"/>
          <a:ext cx="1074162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快舟</a:t>
          </a:r>
          <a:r>
            <a:rPr kumimoji="1" lang="zh-CN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十</a:t>
          </a:r>
          <a:r>
            <a:rPr kumimoji="1" lang="zh-CN" altLang="en-US" sz="1400"/>
            <a:t>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251158</xdr:colOff>
      <xdr:row>18</xdr:row>
      <xdr:rowOff>68683</xdr:rowOff>
    </xdr:from>
    <xdr:ext cx="1113750" cy="371237"/>
    <xdr:sp macro="" textlink="">
      <xdr:nvSpPr>
        <xdr:cNvPr id="74" name="四角形: 角を丸くする 73">
          <a:extLst>
            <a:ext uri="{FF2B5EF4-FFF2-40B4-BE49-F238E27FC236}">
              <a16:creationId xmlns:a16="http://schemas.microsoft.com/office/drawing/2014/main" id="{4CA8BC15-27D9-4659-9555-D35ECD872345}"/>
            </a:ext>
          </a:extLst>
        </xdr:cNvPr>
        <xdr:cNvSpPr/>
      </xdr:nvSpPr>
      <xdr:spPr>
        <a:xfrm>
          <a:off x="12613605" y="6024315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谷神星一号</a:t>
          </a:r>
          <a:endParaRPr kumimoji="1" lang="ja-JP" altLang="en-US" sz="1400"/>
        </a:p>
      </xdr:txBody>
    </xdr:sp>
    <xdr:clientData/>
  </xdr:oneCellAnchor>
  <xdr:oneCellAnchor>
    <xdr:from>
      <xdr:col>22</xdr:col>
      <xdr:colOff>662238</xdr:colOff>
      <xdr:row>21</xdr:row>
      <xdr:rowOff>196020</xdr:rowOff>
    </xdr:from>
    <xdr:ext cx="1113750" cy="371237"/>
    <xdr:sp macro="" textlink="">
      <xdr:nvSpPr>
        <xdr:cNvPr id="75" name="四角形: 角を丸くする 74">
          <a:extLst>
            <a:ext uri="{FF2B5EF4-FFF2-40B4-BE49-F238E27FC236}">
              <a16:creationId xmlns:a16="http://schemas.microsoft.com/office/drawing/2014/main" id="{871A05DF-2516-46CA-8452-7467CB1E407B}"/>
            </a:ext>
          </a:extLst>
        </xdr:cNvPr>
        <xdr:cNvSpPr/>
      </xdr:nvSpPr>
      <xdr:spPr>
        <a:xfrm>
          <a:off x="15039975" y="7144257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双曲线一号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296927</xdr:colOff>
      <xdr:row>20</xdr:row>
      <xdr:rowOff>14543</xdr:rowOff>
    </xdr:from>
    <xdr:ext cx="937736" cy="371237"/>
    <xdr:sp macro="" textlink="">
      <xdr:nvSpPr>
        <xdr:cNvPr id="76" name="四角形: 角を丸くする 75">
          <a:extLst>
            <a:ext uri="{FF2B5EF4-FFF2-40B4-BE49-F238E27FC236}">
              <a16:creationId xmlns:a16="http://schemas.microsoft.com/office/drawing/2014/main" id="{341E88A8-D53F-4BA0-A88B-2923CE59DE93}"/>
            </a:ext>
          </a:extLst>
        </xdr:cNvPr>
        <xdr:cNvSpPr/>
      </xdr:nvSpPr>
      <xdr:spPr>
        <a:xfrm>
          <a:off x="12659374" y="6631911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力箭一号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286901</xdr:colOff>
      <xdr:row>21</xdr:row>
      <xdr:rowOff>252666</xdr:rowOff>
    </xdr:from>
    <xdr:ext cx="937736" cy="371237"/>
    <xdr:sp macro="" textlink="">
      <xdr:nvSpPr>
        <xdr:cNvPr id="77" name="四角形: 角を丸くする 76">
          <a:extLst>
            <a:ext uri="{FF2B5EF4-FFF2-40B4-BE49-F238E27FC236}">
              <a16:creationId xmlns:a16="http://schemas.microsoft.com/office/drawing/2014/main" id="{783C1A0E-5407-4D6D-930D-36EBA7C28E37}"/>
            </a:ext>
          </a:extLst>
        </xdr:cNvPr>
        <xdr:cNvSpPr/>
      </xdr:nvSpPr>
      <xdr:spPr>
        <a:xfrm>
          <a:off x="12649348" y="7200903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捷龙一号</a:t>
          </a:r>
          <a:endParaRPr kumimoji="1" lang="ja-JP" altLang="en-US" sz="1400"/>
        </a:p>
      </xdr:txBody>
    </xdr:sp>
    <xdr:clientData/>
  </xdr:oneCellAnchor>
  <xdr:oneCellAnchor>
    <xdr:from>
      <xdr:col>21</xdr:col>
      <xdr:colOff>100097</xdr:colOff>
      <xdr:row>21</xdr:row>
      <xdr:rowOff>209053</xdr:rowOff>
    </xdr:from>
    <xdr:ext cx="937736" cy="434587"/>
    <xdr:sp macro="" textlink="">
      <xdr:nvSpPr>
        <xdr:cNvPr id="78" name="四角形: 角を丸くする 77">
          <a:extLst>
            <a:ext uri="{FF2B5EF4-FFF2-40B4-BE49-F238E27FC236}">
              <a16:creationId xmlns:a16="http://schemas.microsoft.com/office/drawing/2014/main" id="{BE6945B9-3148-44A4-807D-F8694EE9D7FF}"/>
            </a:ext>
          </a:extLst>
        </xdr:cNvPr>
        <xdr:cNvSpPr/>
      </xdr:nvSpPr>
      <xdr:spPr>
        <a:xfrm>
          <a:off x="13806071" y="7157290"/>
          <a:ext cx="937736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捷龙</a:t>
          </a:r>
          <a:r>
            <a:rPr kumimoji="1" lang="ja-JP" altLang="en-US" sz="1400"/>
            <a:t>三</a:t>
          </a:r>
          <a:r>
            <a:rPr kumimoji="1" lang="zh-CN" altLang="en-US" sz="1400"/>
            <a:t>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341234</xdr:colOff>
      <xdr:row>1</xdr:row>
      <xdr:rowOff>178469</xdr:rowOff>
    </xdr:from>
    <xdr:ext cx="937736" cy="371237"/>
    <xdr:sp macro="" textlink="">
      <xdr:nvSpPr>
        <xdr:cNvPr id="79" name="四角形: 角を丸くする 78">
          <a:extLst>
            <a:ext uri="{FF2B5EF4-FFF2-40B4-BE49-F238E27FC236}">
              <a16:creationId xmlns:a16="http://schemas.microsoft.com/office/drawing/2014/main" id="{15644A71-A660-48B5-B7FE-260D83975FC4}"/>
            </a:ext>
          </a:extLst>
        </xdr:cNvPr>
        <xdr:cNvSpPr/>
      </xdr:nvSpPr>
      <xdr:spPr>
        <a:xfrm>
          <a:off x="12703681" y="509337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朱雀二号</a:t>
          </a:r>
          <a:endParaRPr kumimoji="1" lang="ja-JP" altLang="en-US" sz="1400"/>
        </a:p>
      </xdr:txBody>
    </xdr:sp>
    <xdr:clientData/>
  </xdr:oneCellAnchor>
  <xdr:oneCellAnchor>
    <xdr:from>
      <xdr:col>23</xdr:col>
      <xdr:colOff>220919</xdr:colOff>
      <xdr:row>12</xdr:row>
      <xdr:rowOff>124330</xdr:rowOff>
    </xdr:from>
    <xdr:ext cx="937736" cy="371237"/>
    <xdr:sp macro="" textlink="">
      <xdr:nvSpPr>
        <xdr:cNvPr id="80" name="四角形: 角を丸くする 79">
          <a:extLst>
            <a:ext uri="{FF2B5EF4-FFF2-40B4-BE49-F238E27FC236}">
              <a16:creationId xmlns:a16="http://schemas.microsoft.com/office/drawing/2014/main" id="{4091295B-165C-44AB-A1C1-131761DAB3DE}"/>
            </a:ext>
          </a:extLst>
        </xdr:cNvPr>
        <xdr:cNvSpPr/>
      </xdr:nvSpPr>
      <xdr:spPr>
        <a:xfrm>
          <a:off x="15270419" y="4094751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天龙二号</a:t>
          </a:r>
          <a:endParaRPr kumimoji="1" lang="ja-JP" altLang="en-US" sz="1400"/>
        </a:p>
      </xdr:txBody>
    </xdr:sp>
    <xdr:clientData/>
  </xdr:oneCellAnchor>
  <xdr:oneCellAnchor>
    <xdr:from>
      <xdr:col>12</xdr:col>
      <xdr:colOff>104017</xdr:colOff>
      <xdr:row>10</xdr:row>
      <xdr:rowOff>155408</xdr:rowOff>
    </xdr:from>
    <xdr:ext cx="1504157" cy="450052"/>
    <xdr:sp macro="" textlink="">
      <xdr:nvSpPr>
        <xdr:cNvPr id="81" name="四角形: 角を丸くする 80">
          <a:extLst>
            <a:ext uri="{FF2B5EF4-FFF2-40B4-BE49-F238E27FC236}">
              <a16:creationId xmlns:a16="http://schemas.microsoft.com/office/drawing/2014/main" id="{4CFA1A49-5F7E-4F3B-8C19-272EFFBBAC81}"/>
            </a:ext>
          </a:extLst>
        </xdr:cNvPr>
        <xdr:cNvSpPr/>
      </xdr:nvSpPr>
      <xdr:spPr>
        <a:xfrm>
          <a:off x="8195254" y="3464092"/>
          <a:ext cx="1504157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六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119028</xdr:colOff>
      <xdr:row>11</xdr:row>
      <xdr:rowOff>49565</xdr:rowOff>
    </xdr:from>
    <xdr:to>
      <xdr:col>12</xdr:col>
      <xdr:colOff>104017</xdr:colOff>
      <xdr:row>11</xdr:row>
      <xdr:rowOff>79643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D714F18F-9E8D-4C36-9387-C1FFD179DAF0}"/>
            </a:ext>
          </a:extLst>
        </xdr:cNvPr>
        <xdr:cNvCxnSpPr>
          <a:stCxn id="41" idx="3"/>
          <a:endCxn id="81" idx="1"/>
        </xdr:cNvCxnSpPr>
      </xdr:nvCxnSpPr>
      <xdr:spPr>
        <a:xfrm flipV="1">
          <a:off x="6866739" y="3689118"/>
          <a:ext cx="1328515" cy="300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61661</xdr:colOff>
      <xdr:row>9</xdr:row>
      <xdr:rowOff>198520</xdr:rowOff>
    </xdr:from>
    <xdr:ext cx="1532407" cy="335541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7AADA068-3C33-43D7-BE56-FDE21BC3A792}"/>
            </a:ext>
          </a:extLst>
        </xdr:cNvPr>
        <xdr:cNvSpPr txBox="1"/>
      </xdr:nvSpPr>
      <xdr:spPr>
        <a:xfrm>
          <a:off x="6809372" y="3176336"/>
          <a:ext cx="1532407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去</a:t>
          </a:r>
          <a:r>
            <a:rPr kumimoji="1" lang="en-US" altLang="zh-CN" sz="1400"/>
            <a:t>4</a:t>
          </a:r>
          <a:r>
            <a:rPr kumimoji="1" lang="zh-CN" altLang="en-US" sz="1400"/>
            <a:t>台固体助推器</a:t>
          </a:r>
          <a:endParaRPr kumimoji="1" lang="ja-JP" altLang="en-US" sz="1400"/>
        </a:p>
      </xdr:txBody>
    </xdr:sp>
    <xdr:clientData/>
  </xdr:oneCellAnchor>
  <xdr:oneCellAnchor>
    <xdr:from>
      <xdr:col>23</xdr:col>
      <xdr:colOff>89357</xdr:colOff>
      <xdr:row>18</xdr:row>
      <xdr:rowOff>38103</xdr:rowOff>
    </xdr:from>
    <xdr:ext cx="1354513" cy="434587"/>
    <xdr:sp macro="" textlink="">
      <xdr:nvSpPr>
        <xdr:cNvPr id="84" name="四角形: 角を丸くする 83">
          <a:extLst>
            <a:ext uri="{FF2B5EF4-FFF2-40B4-BE49-F238E27FC236}">
              <a16:creationId xmlns:a16="http://schemas.microsoft.com/office/drawing/2014/main" id="{762208BB-99E7-4AAA-B382-6BAE303F6E57}"/>
            </a:ext>
          </a:extLst>
        </xdr:cNvPr>
        <xdr:cNvSpPr/>
      </xdr:nvSpPr>
      <xdr:spPr>
        <a:xfrm>
          <a:off x="15138857" y="5993735"/>
          <a:ext cx="1354513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谷神星一号</a:t>
          </a:r>
          <a:r>
            <a:rPr kumimoji="1" lang="ja-JP" altLang="en-US" sz="1400"/>
            <a:t>海</a:t>
          </a:r>
        </a:p>
      </xdr:txBody>
    </xdr:sp>
    <xdr:clientData/>
  </xdr:oneCellAnchor>
  <xdr:twoCellAnchor>
    <xdr:from>
      <xdr:col>21</xdr:col>
      <xdr:colOff>21381</xdr:colOff>
      <xdr:row>18</xdr:row>
      <xdr:rowOff>254302</xdr:rowOff>
    </xdr:from>
    <xdr:to>
      <xdr:col>23</xdr:col>
      <xdr:colOff>89357</xdr:colOff>
      <xdr:row>18</xdr:row>
      <xdr:rowOff>255397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DCB002C6-E20E-42F0-B64B-453C0C0DB3D1}"/>
            </a:ext>
          </a:extLst>
        </xdr:cNvPr>
        <xdr:cNvCxnSpPr>
          <a:stCxn id="74" idx="3"/>
          <a:endCxn id="84" idx="1"/>
        </xdr:cNvCxnSpPr>
      </xdr:nvCxnSpPr>
      <xdr:spPr>
        <a:xfrm>
          <a:off x="13727355" y="6209934"/>
          <a:ext cx="1411502" cy="10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162425</xdr:colOff>
      <xdr:row>17</xdr:row>
      <xdr:rowOff>220080</xdr:rowOff>
    </xdr:from>
    <xdr:ext cx="1297406" cy="40036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D2B45B67-8947-4C21-AD92-3626864CDEE3}"/>
            </a:ext>
          </a:extLst>
        </xdr:cNvPr>
        <xdr:cNvSpPr txBox="1"/>
      </xdr:nvSpPr>
      <xdr:spPr>
        <a:xfrm>
          <a:off x="13868399" y="5844843"/>
          <a:ext cx="1297406" cy="4003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适应海上发射</a:t>
          </a:r>
          <a:endParaRPr kumimoji="1" lang="ja-JP" altLang="en-US" sz="1400"/>
        </a:p>
      </xdr:txBody>
    </xdr:sp>
    <xdr:clientData/>
  </xdr:oneCellAnchor>
  <xdr:oneCellAnchor>
    <xdr:from>
      <xdr:col>0</xdr:col>
      <xdr:colOff>263863</xdr:colOff>
      <xdr:row>2</xdr:row>
      <xdr:rowOff>197042</xdr:rowOff>
    </xdr:from>
    <xdr:ext cx="937736" cy="450052"/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E943ABBA-EA91-4A22-B532-D9055564E54F}"/>
            </a:ext>
          </a:extLst>
        </xdr:cNvPr>
        <xdr:cNvSpPr/>
      </xdr:nvSpPr>
      <xdr:spPr>
        <a:xfrm>
          <a:off x="263863" y="876415"/>
          <a:ext cx="937736" cy="450052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</a:p>
      </xdr:txBody>
    </xdr:sp>
    <xdr:clientData/>
  </xdr:oneCellAnchor>
  <xdr:twoCellAnchor>
    <xdr:from>
      <xdr:col>1</xdr:col>
      <xdr:colOff>513045</xdr:colOff>
      <xdr:row>3</xdr:row>
      <xdr:rowOff>82381</xdr:rowOff>
    </xdr:from>
    <xdr:to>
      <xdr:col>2</xdr:col>
      <xdr:colOff>155933</xdr:colOff>
      <xdr:row>3</xdr:row>
      <xdr:rowOff>86053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53532298-3252-4A16-AAD0-68D940AFF11E}"/>
            </a:ext>
          </a:extLst>
        </xdr:cNvPr>
        <xdr:cNvCxnSpPr>
          <a:stCxn id="95" idx="3"/>
          <a:endCxn id="7" idx="1"/>
        </xdr:cNvCxnSpPr>
      </xdr:nvCxnSpPr>
      <xdr:spPr>
        <a:xfrm>
          <a:off x="1201599" y="1101441"/>
          <a:ext cx="331442" cy="36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232952</xdr:colOff>
      <xdr:row>15</xdr:row>
      <xdr:rowOff>56151</xdr:rowOff>
    </xdr:from>
    <xdr:ext cx="937736" cy="371237"/>
    <xdr:sp macro="" textlink="">
      <xdr:nvSpPr>
        <xdr:cNvPr id="92" name="四角形: 角を丸くする 91">
          <a:extLst>
            <a:ext uri="{FF2B5EF4-FFF2-40B4-BE49-F238E27FC236}">
              <a16:creationId xmlns:a16="http://schemas.microsoft.com/office/drawing/2014/main" id="{646D7400-04A8-4B13-BF0C-CCCAE7371693}"/>
            </a:ext>
          </a:extLst>
        </xdr:cNvPr>
        <xdr:cNvSpPr/>
      </xdr:nvSpPr>
      <xdr:spPr>
        <a:xfrm>
          <a:off x="12595399" y="5019177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引力一号</a:t>
          </a:r>
          <a:endParaRPr kumimoji="1" lang="ja-JP" altLang="en-US" sz="1400"/>
        </a:p>
      </xdr:txBody>
    </xdr:sp>
    <xdr:clientData/>
  </xdr:oneCellAnchor>
  <xdr:oneCellAnchor>
    <xdr:from>
      <xdr:col>19</xdr:col>
      <xdr:colOff>242980</xdr:colOff>
      <xdr:row>6</xdr:row>
      <xdr:rowOff>160422</xdr:rowOff>
    </xdr:from>
    <xdr:ext cx="937736" cy="371237"/>
    <xdr:sp macro="" textlink="">
      <xdr:nvSpPr>
        <xdr:cNvPr id="98" name="四角形: 角を丸くする 97">
          <a:extLst>
            <a:ext uri="{FF2B5EF4-FFF2-40B4-BE49-F238E27FC236}">
              <a16:creationId xmlns:a16="http://schemas.microsoft.com/office/drawing/2014/main" id="{090548D7-8323-40A7-8BCF-15FE5CD35721}"/>
            </a:ext>
          </a:extLst>
        </xdr:cNvPr>
        <xdr:cNvSpPr/>
      </xdr:nvSpPr>
      <xdr:spPr>
        <a:xfrm>
          <a:off x="12605427" y="2145633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天龙三号</a:t>
          </a:r>
          <a:endParaRPr kumimoji="1" lang="ja-JP" altLang="en-US" sz="1400"/>
        </a:p>
      </xdr:txBody>
    </xdr:sp>
    <xdr:clientData/>
  </xdr:oneCellAnchor>
  <xdr:oneCellAnchor>
    <xdr:from>
      <xdr:col>23</xdr:col>
      <xdr:colOff>46686</xdr:colOff>
      <xdr:row>1</xdr:row>
      <xdr:rowOff>152400</xdr:rowOff>
    </xdr:from>
    <xdr:ext cx="1113750" cy="371237"/>
    <xdr:sp macro="" textlink="">
      <xdr:nvSpPr>
        <xdr:cNvPr id="99" name="四角形: 角を丸くする 98">
          <a:extLst>
            <a:ext uri="{FF2B5EF4-FFF2-40B4-BE49-F238E27FC236}">
              <a16:creationId xmlns:a16="http://schemas.microsoft.com/office/drawing/2014/main" id="{EFD73378-E8EA-4C51-A37D-4C1B5FC70684}"/>
            </a:ext>
          </a:extLst>
        </xdr:cNvPr>
        <xdr:cNvSpPr/>
      </xdr:nvSpPr>
      <xdr:spPr>
        <a:xfrm>
          <a:off x="15096186" y="483268"/>
          <a:ext cx="1113750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智神星一号</a:t>
          </a:r>
          <a:endParaRPr kumimoji="1" lang="ja-JP" altLang="en-US" sz="1400"/>
        </a:p>
      </xdr:txBody>
    </xdr:sp>
    <xdr:clientData/>
  </xdr:oneCellAnchor>
  <xdr:oneCellAnchor>
    <xdr:from>
      <xdr:col>9</xdr:col>
      <xdr:colOff>188905</xdr:colOff>
      <xdr:row>13</xdr:row>
      <xdr:rowOff>120317</xdr:rowOff>
    </xdr:from>
    <xdr:ext cx="1490020" cy="371237"/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F95E51D4-B468-4102-AD0E-66D5A0D45540}"/>
            </a:ext>
          </a:extLst>
        </xdr:cNvPr>
        <xdr:cNvSpPr/>
      </xdr:nvSpPr>
      <xdr:spPr>
        <a:xfrm>
          <a:off x="6264852" y="4421606"/>
          <a:ext cx="1490020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长征十二号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21</xdr:col>
      <xdr:colOff>59499</xdr:colOff>
      <xdr:row>1</xdr:row>
      <xdr:rowOff>150396</xdr:rowOff>
    </xdr:from>
    <xdr:ext cx="1124218" cy="434587"/>
    <xdr:sp macro="" textlink="">
      <xdr:nvSpPr>
        <xdr:cNvPr id="103" name="四角形: 角を丸くする 102">
          <a:extLst>
            <a:ext uri="{FF2B5EF4-FFF2-40B4-BE49-F238E27FC236}">
              <a16:creationId xmlns:a16="http://schemas.microsoft.com/office/drawing/2014/main" id="{E973EA6E-3312-412E-89EB-36B075FFC3C9}"/>
            </a:ext>
          </a:extLst>
        </xdr:cNvPr>
        <xdr:cNvSpPr/>
      </xdr:nvSpPr>
      <xdr:spPr>
        <a:xfrm>
          <a:off x="13765473" y="481264"/>
          <a:ext cx="1124218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朱雀二号</a:t>
          </a:r>
          <a:r>
            <a:rPr kumimoji="1" lang="ja-JP" altLang="en-US" sz="1400"/>
            <a:t>Ｅ</a:t>
          </a:r>
          <a:endParaRPr kumimoji="1" lang="en-US" altLang="zh-CN" sz="1400"/>
        </a:p>
      </xdr:txBody>
    </xdr:sp>
    <xdr:clientData/>
  </xdr:oneCellAnchor>
  <xdr:oneCellAnchor>
    <xdr:from>
      <xdr:col>21</xdr:col>
      <xdr:colOff>42110</xdr:colOff>
      <xdr:row>6</xdr:row>
      <xdr:rowOff>174458</xdr:rowOff>
    </xdr:from>
    <xdr:ext cx="937736" cy="371237"/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B00423DC-DEE1-430D-B79C-1BC67BD4B8B4}"/>
            </a:ext>
          </a:extLst>
        </xdr:cNvPr>
        <xdr:cNvSpPr/>
      </xdr:nvSpPr>
      <xdr:spPr>
        <a:xfrm>
          <a:off x="13748084" y="2159669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朱雀三号</a:t>
          </a:r>
          <a:endParaRPr kumimoji="1" lang="ja-JP" altLang="en-US" sz="1400"/>
        </a:p>
      </xdr:txBody>
    </xdr:sp>
    <xdr:clientData/>
  </xdr:oneCellAnchor>
  <xdr:oneCellAnchor>
    <xdr:from>
      <xdr:col>21</xdr:col>
      <xdr:colOff>105057</xdr:colOff>
      <xdr:row>19</xdr:row>
      <xdr:rowOff>280741</xdr:rowOff>
    </xdr:from>
    <xdr:ext cx="1124218" cy="434587"/>
    <xdr:sp macro="" textlink="">
      <xdr:nvSpPr>
        <xdr:cNvPr id="101" name="四角形: 角を丸くする 100">
          <a:extLst>
            <a:ext uri="{FF2B5EF4-FFF2-40B4-BE49-F238E27FC236}">
              <a16:creationId xmlns:a16="http://schemas.microsoft.com/office/drawing/2014/main" id="{9B8A68EF-FC2C-4A19-B734-FE12772A0CE2}"/>
            </a:ext>
          </a:extLst>
        </xdr:cNvPr>
        <xdr:cNvSpPr/>
      </xdr:nvSpPr>
      <xdr:spPr>
        <a:xfrm>
          <a:off x="13811031" y="6567241"/>
          <a:ext cx="1124218" cy="43458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谷神星</a:t>
          </a:r>
          <a:r>
            <a:rPr kumimoji="1" lang="ja-JP" altLang="en-US" sz="1400"/>
            <a:t>二</a:t>
          </a:r>
          <a:r>
            <a:rPr kumimoji="1" lang="zh-CN" altLang="en-US" sz="1400"/>
            <a:t>号</a:t>
          </a:r>
          <a:endParaRPr kumimoji="1" lang="ja-JP" altLang="en-US" sz="1400"/>
        </a:p>
      </xdr:txBody>
    </xdr:sp>
    <xdr:clientData/>
  </xdr:oneCellAnchor>
  <xdr:twoCellAnchor>
    <xdr:from>
      <xdr:col>19</xdr:col>
      <xdr:colOff>60159</xdr:colOff>
      <xdr:row>9</xdr:row>
      <xdr:rowOff>70185</xdr:rowOff>
    </xdr:from>
    <xdr:to>
      <xdr:col>25</xdr:col>
      <xdr:colOff>421108</xdr:colOff>
      <xdr:row>11</xdr:row>
      <xdr:rowOff>118308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E09528E7-631B-4C41-8114-1A4CFAA79B30}"/>
            </a:ext>
          </a:extLst>
        </xdr:cNvPr>
        <xdr:cNvSpPr/>
      </xdr:nvSpPr>
      <xdr:spPr>
        <a:xfrm>
          <a:off x="12422606" y="3048001"/>
          <a:ext cx="4391528" cy="709860"/>
        </a:xfrm>
        <a:prstGeom prst="rect">
          <a:avLst/>
        </a:prstGeom>
        <a:solidFill>
          <a:schemeClr val="accent6">
            <a:lumMod val="60000"/>
            <a:lumOff val="40000"/>
            <a:alpha val="2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zh-CN" sz="1400">
              <a:solidFill>
                <a:schemeClr val="tx1"/>
              </a:solidFill>
            </a:rPr>
            <a:t>2.5</a:t>
          </a:r>
          <a:r>
            <a:rPr kumimoji="1" lang="zh-CN" altLang="en-US" sz="1400">
              <a:solidFill>
                <a:schemeClr val="tx1"/>
              </a:solidFill>
            </a:rPr>
            <a:t>级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oneCellAnchor>
    <xdr:from>
      <xdr:col>19</xdr:col>
      <xdr:colOff>220580</xdr:colOff>
      <xdr:row>9</xdr:row>
      <xdr:rowOff>220579</xdr:rowOff>
    </xdr:from>
    <xdr:ext cx="937736" cy="371237"/>
    <xdr:sp macro="" textlink="">
      <xdr:nvSpPr>
        <xdr:cNvPr id="106" name="四角形: 角を丸くする 105">
          <a:extLst>
            <a:ext uri="{FF2B5EF4-FFF2-40B4-BE49-F238E27FC236}">
              <a16:creationId xmlns:a16="http://schemas.microsoft.com/office/drawing/2014/main" id="{847C9693-3846-4512-9B55-305A3BB0DE0B}"/>
            </a:ext>
          </a:extLst>
        </xdr:cNvPr>
        <xdr:cNvSpPr/>
      </xdr:nvSpPr>
      <xdr:spPr>
        <a:xfrm>
          <a:off x="12583027" y="3198395"/>
          <a:ext cx="937736" cy="37123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/>
            <a:t>力箭二号</a:t>
          </a:r>
          <a:endParaRPr kumimoji="1" lang="ja-JP" altLang="en-US" sz="1400"/>
        </a:p>
      </xdr:txBody>
    </xdr:sp>
    <xdr:clientData/>
  </xdr:oneCellAnchor>
  <xdr:oneCellAnchor>
    <xdr:from>
      <xdr:col>12</xdr:col>
      <xdr:colOff>119459</xdr:colOff>
      <xdr:row>13</xdr:row>
      <xdr:rowOff>102268</xdr:rowOff>
    </xdr:from>
    <xdr:ext cx="1673028" cy="371237"/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DDA669C8-96D0-4282-9E7B-FBB839CB0B8B}"/>
            </a:ext>
          </a:extLst>
        </xdr:cNvPr>
        <xdr:cNvSpPr/>
      </xdr:nvSpPr>
      <xdr:spPr>
        <a:xfrm>
          <a:off x="8210696" y="4403557"/>
          <a:ext cx="1673028" cy="3712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长征十二号甲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11</xdr:col>
      <xdr:colOff>335398</xdr:colOff>
      <xdr:row>13</xdr:row>
      <xdr:rowOff>287887</xdr:rowOff>
    </xdr:from>
    <xdr:to>
      <xdr:col>12</xdr:col>
      <xdr:colOff>119459</xdr:colOff>
      <xdr:row>13</xdr:row>
      <xdr:rowOff>305936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B1C26926-F8BD-4DDB-B472-3199312C5139}"/>
            </a:ext>
          </a:extLst>
        </xdr:cNvPr>
        <xdr:cNvCxnSpPr>
          <a:stCxn id="102" idx="3"/>
          <a:endCxn id="107" idx="1"/>
        </xdr:cNvCxnSpPr>
      </xdr:nvCxnSpPr>
      <xdr:spPr>
        <a:xfrm flipV="1">
          <a:off x="7754872" y="4589176"/>
          <a:ext cx="455824" cy="18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564982</xdr:colOff>
      <xdr:row>12</xdr:row>
      <xdr:rowOff>100263</xdr:rowOff>
    </xdr:from>
    <xdr:ext cx="723275" cy="335541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077CAEE6-5DAA-41A8-AAA8-D339B37B303C}"/>
            </a:ext>
          </a:extLst>
        </xdr:cNvPr>
        <xdr:cNvSpPr txBox="1"/>
      </xdr:nvSpPr>
      <xdr:spPr>
        <a:xfrm>
          <a:off x="9327982" y="4070684"/>
          <a:ext cx="723275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zh-CN" altLang="en-US" sz="1400"/>
            <a:t>可回收</a:t>
          </a:r>
          <a:endParaRPr kumimoji="1" lang="ja-JP" altLang="en-US" sz="1400"/>
        </a:p>
      </xdr:txBody>
    </xdr:sp>
    <xdr:clientData/>
  </xdr:oneCellAnchor>
  <xdr:oneCellAnchor>
    <xdr:from>
      <xdr:col>12</xdr:col>
      <xdr:colOff>394320</xdr:colOff>
      <xdr:row>5</xdr:row>
      <xdr:rowOff>23061</xdr:rowOff>
    </xdr:from>
    <xdr:ext cx="1628977" cy="450052"/>
    <xdr:sp macro="" textlink="">
      <xdr:nvSpPr>
        <xdr:cNvPr id="119" name="四角形: 角を丸くする 118">
          <a:extLst>
            <a:ext uri="{FF2B5EF4-FFF2-40B4-BE49-F238E27FC236}">
              <a16:creationId xmlns:a16="http://schemas.microsoft.com/office/drawing/2014/main" id="{7F811BC3-5197-4517-A793-E7F58CCCC78F}"/>
            </a:ext>
          </a:extLst>
        </xdr:cNvPr>
        <xdr:cNvSpPr/>
      </xdr:nvSpPr>
      <xdr:spPr>
        <a:xfrm>
          <a:off x="8485557" y="1677403"/>
          <a:ext cx="1628977" cy="4500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/>
            <a:t>长征</a:t>
          </a:r>
          <a:r>
            <a:rPr kumimoji="1" lang="zh-CN" altLang="en-US" sz="1400"/>
            <a:t>三</a:t>
          </a:r>
          <a:r>
            <a:rPr kumimoji="1" lang="ja-JP" altLang="en-US" sz="1400"/>
            <a:t>号</a:t>
          </a:r>
          <a:r>
            <a:rPr kumimoji="1" lang="zh-CN" altLang="en-US" sz="1400"/>
            <a:t>丙</a:t>
          </a:r>
          <a:r>
            <a:rPr kumimoji="1" lang="en-US" altLang="zh-CN" sz="1400"/>
            <a:t>(3.5</a:t>
          </a:r>
          <a:r>
            <a:rPr kumimoji="1" lang="zh-CN" altLang="en-US" sz="1400"/>
            <a:t>级</a:t>
          </a:r>
          <a:r>
            <a:rPr kumimoji="1" lang="en-US" altLang="zh-CN" sz="1400"/>
            <a:t>)</a:t>
          </a:r>
          <a:endParaRPr kumimoji="1" lang="en-US" altLang="ja-JP" sz="1400"/>
        </a:p>
      </xdr:txBody>
    </xdr:sp>
    <xdr:clientData/>
  </xdr:oneCellAnchor>
  <xdr:oneCellAnchor>
    <xdr:from>
      <xdr:col>19</xdr:col>
      <xdr:colOff>312820</xdr:colOff>
      <xdr:row>5</xdr:row>
      <xdr:rowOff>114302</xdr:rowOff>
    </xdr:from>
    <xdr:ext cx="3858127" cy="335541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D2ACAC4F-1E37-4CE5-9259-7ADA1F295B5A}"/>
            </a:ext>
          </a:extLst>
        </xdr:cNvPr>
        <xdr:cNvSpPr txBox="1"/>
      </xdr:nvSpPr>
      <xdr:spPr>
        <a:xfrm>
          <a:off x="12675267" y="1768644"/>
          <a:ext cx="3858127" cy="3355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zh-CN" altLang="en-US" sz="1400" u="sng"/>
            <a:t>可                 回                 收       </a:t>
          </a:r>
          <a:endParaRPr kumimoji="1" lang="ja-JP" altLang="en-US" sz="1400" u="sng"/>
        </a:p>
      </xdr:txBody>
    </xdr:sp>
    <xdr:clientData/>
  </xdr:oneCellAnchor>
  <xdr:oneCellAnchor>
    <xdr:from>
      <xdr:col>15</xdr:col>
      <xdr:colOff>54702</xdr:colOff>
      <xdr:row>13</xdr:row>
      <xdr:rowOff>50132</xdr:rowOff>
    </xdr:from>
    <xdr:ext cx="1590151" cy="450052"/>
    <xdr:sp macro="" textlink="">
      <xdr:nvSpPr>
        <xdr:cNvPr id="111" name="四角形: 角を丸くする 110">
          <a:extLst>
            <a:ext uri="{FF2B5EF4-FFF2-40B4-BE49-F238E27FC236}">
              <a16:creationId xmlns:a16="http://schemas.microsoft.com/office/drawing/2014/main" id="{1C60E035-D122-407D-90C9-A2353EC148A4}"/>
            </a:ext>
          </a:extLst>
        </xdr:cNvPr>
        <xdr:cNvSpPr/>
      </xdr:nvSpPr>
      <xdr:spPr>
        <a:xfrm>
          <a:off x="10161228" y="4351421"/>
          <a:ext cx="1590151" cy="450052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14</xdr:col>
      <xdr:colOff>448961</xdr:colOff>
      <xdr:row>13</xdr:row>
      <xdr:rowOff>275158</xdr:rowOff>
    </xdr:from>
    <xdr:to>
      <xdr:col>15</xdr:col>
      <xdr:colOff>54702</xdr:colOff>
      <xdr:row>13</xdr:row>
      <xdr:rowOff>287887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16CF6841-20CB-4EEB-B13D-B6BAC953EC8A}"/>
            </a:ext>
          </a:extLst>
        </xdr:cNvPr>
        <xdr:cNvCxnSpPr>
          <a:stCxn id="107" idx="3"/>
          <a:endCxn id="111" idx="1"/>
        </xdr:cNvCxnSpPr>
      </xdr:nvCxnSpPr>
      <xdr:spPr>
        <a:xfrm flipV="1">
          <a:off x="9883724" y="4576447"/>
          <a:ext cx="277504" cy="127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14595</xdr:colOff>
      <xdr:row>15</xdr:row>
      <xdr:rowOff>80211</xdr:rowOff>
    </xdr:from>
    <xdr:ext cx="1590151" cy="450052"/>
    <xdr:sp macro="" textlink="">
      <xdr:nvSpPr>
        <xdr:cNvPr id="113" name="四角形: 角を丸くする 112">
          <a:extLst>
            <a:ext uri="{FF2B5EF4-FFF2-40B4-BE49-F238E27FC236}">
              <a16:creationId xmlns:a16="http://schemas.microsoft.com/office/drawing/2014/main" id="{47A1FAF7-2D1A-4CD6-836E-C54C86809EF4}"/>
            </a:ext>
          </a:extLst>
        </xdr:cNvPr>
        <xdr:cNvSpPr/>
      </xdr:nvSpPr>
      <xdr:spPr>
        <a:xfrm>
          <a:off x="8105832" y="5043237"/>
          <a:ext cx="1590151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十二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海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262151</xdr:colOff>
      <xdr:row>14</xdr:row>
      <xdr:rowOff>160685</xdr:rowOff>
    </xdr:from>
    <xdr:to>
      <xdr:col>12</xdr:col>
      <xdr:colOff>14595</xdr:colOff>
      <xdr:row>15</xdr:row>
      <xdr:rowOff>305237</xdr:rowOff>
    </xdr:to>
    <xdr:cxnSp macro="">
      <xdr:nvCxnSpPr>
        <xdr:cNvPr id="114" name="直線矢印コネクタ 113">
          <a:extLst>
            <a:ext uri="{FF2B5EF4-FFF2-40B4-BE49-F238E27FC236}">
              <a16:creationId xmlns:a16="http://schemas.microsoft.com/office/drawing/2014/main" id="{A83B3472-E434-4DBD-8C50-5383C7098C5B}"/>
            </a:ext>
          </a:extLst>
        </xdr:cNvPr>
        <xdr:cNvCxnSpPr>
          <a:stCxn id="102" idx="2"/>
          <a:endCxn id="113" idx="1"/>
        </xdr:cNvCxnSpPr>
      </xdr:nvCxnSpPr>
      <xdr:spPr>
        <a:xfrm rot="16200000" flipH="1">
          <a:off x="7320137" y="4482568"/>
          <a:ext cx="475420" cy="109597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32053</xdr:colOff>
      <xdr:row>17</xdr:row>
      <xdr:rowOff>170447</xdr:rowOff>
    </xdr:from>
    <xdr:ext cx="1445968" cy="371237"/>
    <xdr:sp macro="" textlink="">
      <xdr:nvSpPr>
        <xdr:cNvPr id="115" name="四角形: 角を丸くする 114">
          <a:extLst>
            <a:ext uri="{FF2B5EF4-FFF2-40B4-BE49-F238E27FC236}">
              <a16:creationId xmlns:a16="http://schemas.microsoft.com/office/drawing/2014/main" id="{09491058-AC07-4F1C-B623-090B9B2D84E7}"/>
            </a:ext>
          </a:extLst>
        </xdr:cNvPr>
        <xdr:cNvSpPr/>
      </xdr:nvSpPr>
      <xdr:spPr>
        <a:xfrm>
          <a:off x="5436237" y="5795210"/>
          <a:ext cx="1445968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长征十号</a:t>
          </a:r>
          <a:r>
            <a:rPr kumimoji="1" lang="en-US" altLang="zh-CN" sz="1400">
              <a:solidFill>
                <a:sysClr val="windowText" lastClr="000000"/>
              </a:solidFill>
            </a:rPr>
            <a:t>(2.5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383006</xdr:colOff>
      <xdr:row>17</xdr:row>
      <xdr:rowOff>182479</xdr:rowOff>
    </xdr:from>
    <xdr:ext cx="1490019" cy="371237"/>
    <xdr:sp macro="" textlink="">
      <xdr:nvSpPr>
        <xdr:cNvPr id="116" name="四角形: 角を丸くする 115">
          <a:extLst>
            <a:ext uri="{FF2B5EF4-FFF2-40B4-BE49-F238E27FC236}">
              <a16:creationId xmlns:a16="http://schemas.microsoft.com/office/drawing/2014/main" id="{4FFEDDAD-648E-4DDD-BF69-5C894B858AA9}"/>
            </a:ext>
          </a:extLst>
        </xdr:cNvPr>
        <xdr:cNvSpPr/>
      </xdr:nvSpPr>
      <xdr:spPr>
        <a:xfrm>
          <a:off x="7130717" y="5807242"/>
          <a:ext cx="1490019" cy="371237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zh-CN" altLang="en-US" sz="1400">
              <a:solidFill>
                <a:sysClr val="windowText" lastClr="000000"/>
              </a:solidFill>
            </a:rPr>
            <a:t>长征十号甲</a:t>
          </a:r>
          <a:r>
            <a:rPr kumimoji="1" lang="en-US" altLang="zh-CN" sz="1400">
              <a:solidFill>
                <a:sysClr val="windowText" lastClr="000000"/>
              </a:solidFill>
            </a:rPr>
            <a:t>(2</a:t>
          </a:r>
          <a:r>
            <a:rPr kumimoji="1" lang="zh-CN" altLang="en-US" sz="1400">
              <a:solidFill>
                <a:sysClr val="windowText" lastClr="000000"/>
              </a:solidFill>
            </a:rPr>
            <a:t>级</a:t>
          </a:r>
          <a:r>
            <a:rPr kumimoji="1" lang="en-US" altLang="zh-CN" sz="1400">
              <a:solidFill>
                <a:sysClr val="windowText" lastClr="000000"/>
              </a:solidFill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134494</xdr:colOff>
      <xdr:row>18</xdr:row>
      <xdr:rowOff>25197</xdr:rowOff>
    </xdr:from>
    <xdr:to>
      <xdr:col>10</xdr:col>
      <xdr:colOff>383006</xdr:colOff>
      <xdr:row>18</xdr:row>
      <xdr:rowOff>37229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2795105E-08A6-4F5F-AF21-5F372859EA97}"/>
            </a:ext>
          </a:extLst>
        </xdr:cNvPr>
        <xdr:cNvCxnSpPr>
          <a:stCxn id="115" idx="3"/>
          <a:endCxn id="116" idx="1"/>
        </xdr:cNvCxnSpPr>
      </xdr:nvCxnSpPr>
      <xdr:spPr>
        <a:xfrm>
          <a:off x="6882205" y="5980829"/>
          <a:ext cx="248512" cy="12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151152</xdr:colOff>
      <xdr:row>17</xdr:row>
      <xdr:rowOff>150395</xdr:rowOff>
    </xdr:from>
    <xdr:ext cx="1420494" cy="450052"/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3C895648-1532-4163-9603-5DE4E6972990}"/>
            </a:ext>
          </a:extLst>
        </xdr:cNvPr>
        <xdr:cNvSpPr/>
      </xdr:nvSpPr>
      <xdr:spPr>
        <a:xfrm>
          <a:off x="8914152" y="5775158"/>
          <a:ext cx="1420494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12</xdr:col>
      <xdr:colOff>529499</xdr:colOff>
      <xdr:row>18</xdr:row>
      <xdr:rowOff>37229</xdr:rowOff>
    </xdr:from>
    <xdr:to>
      <xdr:col>13</xdr:col>
      <xdr:colOff>151152</xdr:colOff>
      <xdr:row>18</xdr:row>
      <xdr:rowOff>44552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86F476C1-61AC-470B-B3B4-14AE35440DD8}"/>
            </a:ext>
          </a:extLst>
        </xdr:cNvPr>
        <xdr:cNvCxnSpPr>
          <a:stCxn id="116" idx="3"/>
          <a:endCxn id="118" idx="1"/>
        </xdr:cNvCxnSpPr>
      </xdr:nvCxnSpPr>
      <xdr:spPr>
        <a:xfrm>
          <a:off x="8620736" y="5992861"/>
          <a:ext cx="293416" cy="73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514107</xdr:colOff>
      <xdr:row>17</xdr:row>
      <xdr:rowOff>152400</xdr:rowOff>
    </xdr:from>
    <xdr:ext cx="1420493" cy="450052"/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1859F4D9-85B7-4959-984E-F71D470BA776}"/>
            </a:ext>
          </a:extLst>
        </xdr:cNvPr>
        <xdr:cNvSpPr/>
      </xdr:nvSpPr>
      <xdr:spPr>
        <a:xfrm>
          <a:off x="10620633" y="5777163"/>
          <a:ext cx="1420493" cy="45005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spAutoFit/>
        </a:bodyPr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长征</a:t>
          </a:r>
          <a:r>
            <a:rPr kumimoji="1" lang="zh-CN" altLang="en-US" sz="1400">
              <a:solidFill>
                <a:sysClr val="windowText" lastClr="000000"/>
              </a:solidFill>
            </a:rPr>
            <a:t>十</a:t>
          </a:r>
          <a:r>
            <a:rPr kumimoji="1" lang="ja-JP" altLang="en-US" sz="1400">
              <a:solidFill>
                <a:sysClr val="windowText" lastClr="000000"/>
              </a:solidFill>
            </a:rPr>
            <a:t>号</a:t>
          </a:r>
          <a:r>
            <a:rPr kumimoji="1" lang="zh-CN" altLang="en-US" sz="1400">
              <a:solidFill>
                <a:sysClr val="windowText" lastClr="000000"/>
              </a:solidFill>
            </a:rPr>
            <a:t>丙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(2</a:t>
          </a:r>
          <a:r>
            <a:rPr kumimoji="1" lang="zh-CN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级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15</xdr:col>
      <xdr:colOff>228120</xdr:colOff>
      <xdr:row>18</xdr:row>
      <xdr:rowOff>44552</xdr:rowOff>
    </xdr:from>
    <xdr:to>
      <xdr:col>15</xdr:col>
      <xdr:colOff>514107</xdr:colOff>
      <xdr:row>18</xdr:row>
      <xdr:rowOff>46557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A5FE117A-E39B-461B-8D86-AC5B94B8D39A}"/>
            </a:ext>
          </a:extLst>
        </xdr:cNvPr>
        <xdr:cNvCxnSpPr>
          <a:stCxn id="118" idx="3"/>
          <a:endCxn id="131" idx="1"/>
        </xdr:cNvCxnSpPr>
      </xdr:nvCxnSpPr>
      <xdr:spPr>
        <a:xfrm>
          <a:off x="10334646" y="6000184"/>
          <a:ext cx="285987" cy="20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38100</xdr:colOff>
      <xdr:row>0</xdr:row>
      <xdr:rowOff>0</xdr:rowOff>
    </xdr:from>
    <xdr:to>
      <xdr:col>67</xdr:col>
      <xdr:colOff>171450</xdr:colOff>
      <xdr:row>35</xdr:row>
      <xdr:rowOff>96789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0"/>
          <a:ext cx="10191750" cy="80265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10</xdr:col>
      <xdr:colOff>38100</xdr:colOff>
      <xdr:row>57</xdr:row>
      <xdr:rowOff>106680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924800"/>
          <a:ext cx="6572250" cy="63055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16</xdr:col>
      <xdr:colOff>167640</xdr:colOff>
      <xdr:row>51</xdr:row>
      <xdr:rowOff>205740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91400" y="7924800"/>
          <a:ext cx="6572250" cy="49911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16</xdr:col>
      <xdr:colOff>167640</xdr:colOff>
      <xdr:row>61</xdr:row>
      <xdr:rowOff>129540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13106400"/>
          <a:ext cx="6572250" cy="32289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38100</xdr:colOff>
      <xdr:row>52</xdr:row>
      <xdr:rowOff>9525</xdr:rowOff>
    </xdr:from>
    <xdr:to>
      <xdr:col>10</xdr:col>
      <xdr:colOff>244836</xdr:colOff>
      <xdr:row>72</xdr:row>
      <xdr:rowOff>168330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4335125"/>
          <a:ext cx="7135221" cy="49441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../htmls/&#38271;&#24449;&#20843;&#21495;&#36816;&#36733;&#28779;&#31661;&#21457;&#23556;&#21382;&#21490;.html" TargetMode="External"/><Relationship Id="rId18" Type="http://schemas.openxmlformats.org/officeDocument/2006/relationships/hyperlink" Target="../htmls/&#38271;&#24449;&#20116;&#21495;&#31995;&#21015;&#36816;&#36733;&#28779;&#31661;&#21457;&#23556;&#21382;&#21490;.html" TargetMode="External"/><Relationship Id="rId26" Type="http://schemas.openxmlformats.org/officeDocument/2006/relationships/hyperlink" Target="..\htmls\&#38271;&#24449;&#20843;&#21495;&#36816;&#36733;&#28779;&#31661;&#21457;&#23556;&#21382;&#21490;.html" TargetMode="External"/><Relationship Id="rId39" Type="http://schemas.openxmlformats.org/officeDocument/2006/relationships/hyperlink" Target="..\htmls\&#38271;&#24449;&#19977;&#21495;&#19993;&#36816;&#36733;&#28779;&#31661;&#21457;&#23556;&#21382;&#21490;.html" TargetMode="External"/><Relationship Id="rId21" Type="http://schemas.openxmlformats.org/officeDocument/2006/relationships/hyperlink" Target="..\htmls\&#38271;&#24449;&#21313;&#19968;&#21495;&#31995;&#21015;&#36816;&#36733;&#28779;&#31661;&#21457;&#23556;&#21382;&#21490;.html" TargetMode="External"/><Relationship Id="rId34" Type="http://schemas.openxmlformats.org/officeDocument/2006/relationships/hyperlink" Target="..\htmls\&#25463;&#40857;&#19977;&#21495;&#36816;&#36733;&#28779;&#31661;&#21457;&#23556;&#21382;&#21490;.html" TargetMode="External"/><Relationship Id="rId42" Type="http://schemas.openxmlformats.org/officeDocument/2006/relationships/hyperlink" Target="..\htmls\&#38271;&#24449;&#21313;&#20108;&#21495;&#30002;&#36816;&#36733;&#28779;&#31661;&#21457;&#23556;&#21382;&#21490;.html" TargetMode="External"/><Relationship Id="rId47" Type="http://schemas.openxmlformats.org/officeDocument/2006/relationships/hyperlink" Target="..\htmls\&#38271;&#24449;&#21313;&#19968;&#21495;&#36816;&#36733;&#28779;&#31661;&#21457;&#23556;&#21382;&#21490;.html" TargetMode="External"/><Relationship Id="rId50" Type="http://schemas.openxmlformats.org/officeDocument/2006/relationships/hyperlink" Target="..\htmls\&#38271;&#24449;&#21313;&#19968;&#21495;&#36816;&#36733;&#28779;&#31661;&#21457;&#23556;&#21382;&#21490;.html" TargetMode="External"/><Relationship Id="rId7" Type="http://schemas.openxmlformats.org/officeDocument/2006/relationships/hyperlink" Target="../htmls/&#21147;&#31661;&#19968;&#21495;&#36816;&#36733;&#28779;&#31661;&#21457;&#23556;&#21382;&#21490;.html" TargetMode="External"/><Relationship Id="rId2" Type="http://schemas.openxmlformats.org/officeDocument/2006/relationships/hyperlink" Target="..\htmls\&#38271;&#24449;&#19977;&#21495;&#20057;&#36816;&#36733;&#28779;&#31661;&#21457;&#23556;&#21382;&#21490;.html" TargetMode="External"/><Relationship Id="rId16" Type="http://schemas.openxmlformats.org/officeDocument/2006/relationships/hyperlink" Target="../htmls/&#38271;&#24449;&#19977;&#21495;&#30002;&#31995;&#21015;&#36816;&#36733;&#28779;&#31661;&#21457;&#23556;&#21382;&#21490;.html" TargetMode="External"/><Relationship Id="rId29" Type="http://schemas.openxmlformats.org/officeDocument/2006/relationships/hyperlink" Target="../htmls/&#24555;&#33311;&#19968;&#21495;&#30002;&#36816;&#36733;&#28779;&#31661;&#21457;&#23556;&#21382;&#21490;.html" TargetMode="External"/><Relationship Id="rId11" Type="http://schemas.openxmlformats.org/officeDocument/2006/relationships/hyperlink" Target="../htmls/&#38271;&#24449;&#19971;&#21495;&#36816;&#36733;&#28779;&#31661;&#21457;&#23556;&#21382;&#21490;.html" TargetMode="External"/><Relationship Id="rId24" Type="http://schemas.openxmlformats.org/officeDocument/2006/relationships/hyperlink" Target="../htmls/&#38271;&#24449;&#21313;&#20108;&#21495;&#36816;&#36733;&#28779;&#31661;&#21457;&#23556;&#21382;&#21490;.html" TargetMode="External"/><Relationship Id="rId32" Type="http://schemas.openxmlformats.org/officeDocument/2006/relationships/hyperlink" Target="../htmls/&#26417;&#38592;&#20108;&#21495;&#65317;&#36816;&#36733;&#28779;&#31661;&#21457;&#23556;&#21382;&#21490;.html" TargetMode="External"/><Relationship Id="rId37" Type="http://schemas.openxmlformats.org/officeDocument/2006/relationships/hyperlink" Target="..\htmls\&#38271;&#24449;&#20843;&#21495;&#31995;&#21015;&#36816;&#36733;&#28779;&#31661;&#21457;&#23556;&#21382;&#21490;.html" TargetMode="External"/><Relationship Id="rId40" Type="http://schemas.openxmlformats.org/officeDocument/2006/relationships/hyperlink" Target="../htmls/&#26417;&#38592;&#20108;&#21495;&#65317;&#36816;&#36733;&#28779;&#31661;&#21457;&#23556;&#21382;&#21490;.html" TargetMode="External"/><Relationship Id="rId45" Type="http://schemas.openxmlformats.org/officeDocument/2006/relationships/hyperlink" Target="..\htmls\&#33268;&#33322;&#19968;&#21495;&#36816;&#36733;&#28779;&#31661;&#21457;&#23556;&#21382;&#21490;.html" TargetMode="External"/><Relationship Id="rId53" Type="http://schemas.openxmlformats.org/officeDocument/2006/relationships/hyperlink" Target="../htmls/&#35895;&#31070;&#26143;&#31995;&#21015;&#36816;&#36733;&#28779;&#31661;&#21457;&#23556;&#21382;&#21490;.html" TargetMode="External"/><Relationship Id="rId5" Type="http://schemas.openxmlformats.org/officeDocument/2006/relationships/hyperlink" Target="..\htmls\&#38271;&#24449;&#20116;&#21495;&#36816;&#36733;&#28779;&#31661;&#21457;&#23556;&#21382;&#21490;.html" TargetMode="External"/><Relationship Id="rId10" Type="http://schemas.openxmlformats.org/officeDocument/2006/relationships/hyperlink" Target="../htmls/&#38271;&#24449;&#20845;&#21495;&#19993;&#36816;&#36733;&#28779;&#31661;&#21457;&#23556;&#21382;&#21490;.html" TargetMode="External"/><Relationship Id="rId19" Type="http://schemas.openxmlformats.org/officeDocument/2006/relationships/hyperlink" Target="..\htmls\&#38271;&#24449;&#20845;&#21495;&#31995;&#21015;&#36816;&#36733;&#28779;&#31661;&#21457;&#23556;&#21382;&#21490;.html" TargetMode="External"/><Relationship Id="rId31" Type="http://schemas.openxmlformats.org/officeDocument/2006/relationships/hyperlink" Target="..\htmls\&#26417;&#38592;&#20108;&#21495;&#36816;&#36733;&#28779;&#31661;&#21457;&#23556;&#21382;&#21490;.html" TargetMode="External"/><Relationship Id="rId44" Type="http://schemas.openxmlformats.org/officeDocument/2006/relationships/hyperlink" Target="../htmls/&#35895;&#31070;&#26143;&#20108;&#21495;&#36816;&#36733;&#28779;&#31661;&#21457;&#23556;&#21382;&#21490;.html" TargetMode="External"/><Relationship Id="rId52" Type="http://schemas.openxmlformats.org/officeDocument/2006/relationships/hyperlink" Target="../htmls/&#38271;&#24449;&#21313;&#19968;&#21495;&#28023;&#36816;&#36733;&#28779;&#31661;&#21457;&#23556;&#21382;&#21490;.html" TargetMode="External"/><Relationship Id="rId4" Type="http://schemas.openxmlformats.org/officeDocument/2006/relationships/hyperlink" Target="../htmls/&#38271;&#24449;&#22235;&#21495;&#19993;&#36816;&#36733;&#28779;&#31661;&#21457;&#23556;&#21382;&#21490;.html" TargetMode="External"/><Relationship Id="rId9" Type="http://schemas.openxmlformats.org/officeDocument/2006/relationships/hyperlink" Target="../htmls/&#38271;&#24449;&#20845;&#21495;&#30002;&#36816;&#36733;&#28779;&#31661;&#21457;&#23556;&#21382;&#21490;.html" TargetMode="External"/><Relationship Id="rId14" Type="http://schemas.openxmlformats.org/officeDocument/2006/relationships/hyperlink" Target="..\htmls\&#38271;&#24449;&#21313;&#19968;&#21495;&#36816;&#36733;&#28779;&#31661;&#21457;&#23556;&#21382;&#21490;.html" TargetMode="External"/><Relationship Id="rId22" Type="http://schemas.openxmlformats.org/officeDocument/2006/relationships/hyperlink" Target="..\htmls\&#24555;&#33311;&#31995;&#21015;&#36816;&#36733;&#28779;&#31661;&#21457;&#23556;&#21382;&#21490;.html" TargetMode="External"/><Relationship Id="rId27" Type="http://schemas.openxmlformats.org/officeDocument/2006/relationships/hyperlink" Target="../htmls/&#35895;&#31070;&#26143;&#19968;&#21495;&#36816;&#36733;&#28779;&#31661;&#21457;&#23556;&#21382;&#21490;.html" TargetMode="External"/><Relationship Id="rId30" Type="http://schemas.openxmlformats.org/officeDocument/2006/relationships/hyperlink" Target="../htmls/&#24555;&#33311;&#21313;&#19968;&#21495;&#36816;&#36733;&#28779;&#31661;&#21457;&#23556;&#21382;&#21490;.html" TargetMode="External"/><Relationship Id="rId35" Type="http://schemas.openxmlformats.org/officeDocument/2006/relationships/hyperlink" Target="../htmls/&#22825;&#40857;&#20108;&#21495;&#36816;&#36733;&#28779;&#31661;&#21457;&#23556;&#21382;&#21490;.html" TargetMode="External"/><Relationship Id="rId43" Type="http://schemas.openxmlformats.org/officeDocument/2006/relationships/hyperlink" Target="../htmls/&#22825;&#40857;&#19977;&#21495;&#36816;&#36733;&#28779;&#31661;&#21457;&#23556;&#21382;&#21490;.html" TargetMode="External"/><Relationship Id="rId48" Type="http://schemas.openxmlformats.org/officeDocument/2006/relationships/hyperlink" Target="../htmls/&#35895;&#31070;&#26143;&#20108;&#21495;&#36816;&#36733;&#28779;&#31661;&#21457;&#23556;&#21382;&#21490;.html" TargetMode="External"/><Relationship Id="rId8" Type="http://schemas.openxmlformats.org/officeDocument/2006/relationships/hyperlink" Target="..\htmls\&#38271;&#24449;&#20845;&#21495;&#36816;&#36733;&#28779;&#31661;&#21457;&#23556;&#21382;&#21490;.html" TargetMode="External"/><Relationship Id="rId51" Type="http://schemas.openxmlformats.org/officeDocument/2006/relationships/hyperlink" Target="..\htmls\&#38271;&#24449;&#21313;&#20108;&#21495;&#30002;&#36816;&#36733;&#28779;&#31661;&#21457;&#23556;&#21382;&#21490;.html" TargetMode="External"/><Relationship Id="rId3" Type="http://schemas.openxmlformats.org/officeDocument/2006/relationships/hyperlink" Target="../htmls/&#38271;&#24449;&#22235;&#21495;&#20057;&#36816;&#36733;&#28779;&#31661;&#21457;&#23556;&#21382;&#21490;.html" TargetMode="External"/><Relationship Id="rId12" Type="http://schemas.openxmlformats.org/officeDocument/2006/relationships/hyperlink" Target="..\htmls\&#38271;&#24449;&#19971;&#21495;&#30002;&#36816;&#36733;&#28779;&#31661;&#21457;&#23556;&#21382;&#21490;.html" TargetMode="External"/><Relationship Id="rId17" Type="http://schemas.openxmlformats.org/officeDocument/2006/relationships/hyperlink" Target="../htmls/&#38271;&#24449;&#22235;&#21495;&#31995;&#21015;&#36816;&#36733;&#28779;&#31661;&#21457;&#23556;&#21382;&#21490;.html" TargetMode="External"/><Relationship Id="rId25" Type="http://schemas.openxmlformats.org/officeDocument/2006/relationships/hyperlink" Target="../../../../Users/w802479/AppData/Roaming/Microsoft/htmls/&#26417;&#38592;&#31995;&#21015;&#36816;&#36733;&#28779;&#31661;&#21457;&#23556;&#21382;&#21490;.html" TargetMode="External"/><Relationship Id="rId33" Type="http://schemas.openxmlformats.org/officeDocument/2006/relationships/hyperlink" Target="../htmls/&#21452;&#26354;&#32447;&#19968;&#21495;&#36816;&#36733;&#28779;&#31661;&#21457;&#23556;&#21382;&#21490;.html" TargetMode="External"/><Relationship Id="rId38" Type="http://schemas.openxmlformats.org/officeDocument/2006/relationships/hyperlink" Target="../htmls/&#26417;&#38592;&#31995;&#21015;&#36816;&#36733;&#28779;&#31661;&#21457;&#23556;&#21382;&#21490;.html" TargetMode="External"/><Relationship Id="rId46" Type="http://schemas.openxmlformats.org/officeDocument/2006/relationships/hyperlink" Target="../htmls/&#21147;&#31661;&#20108;&#21495;&#36816;&#36733;&#28779;&#31661;&#21457;&#23556;&#21382;&#21490;.html" TargetMode="External"/><Relationship Id="rId20" Type="http://schemas.openxmlformats.org/officeDocument/2006/relationships/hyperlink" Target="..\htmls\&#38271;&#24449;&#19971;&#21495;&#31995;&#21015;&#36816;&#36733;&#28779;&#31661;&#21457;&#23556;&#21382;&#21490;.html" TargetMode="External"/><Relationship Id="rId41" Type="http://schemas.openxmlformats.org/officeDocument/2006/relationships/hyperlink" Target="../htmls/&#26417;&#38592;&#31995;&#21015;&#36816;&#36733;&#28779;&#31661;&#21457;&#23556;&#21382;&#21490;.html" TargetMode="External"/><Relationship Id="rId54" Type="http://schemas.openxmlformats.org/officeDocument/2006/relationships/hyperlink" Target="../htmls/&#26143;&#27827;&#21160;&#21147;&#31995;&#21015;&#36816;&#36733;&#28779;&#31661;&#21457;&#23556;&#21382;&#21490;.html" TargetMode="External"/><Relationship Id="rId1" Type="http://schemas.openxmlformats.org/officeDocument/2006/relationships/hyperlink" Target="..\htmls\&#38271;&#24449;&#20108;&#21495;&#24049;&#36816;&#36733;&#28779;&#31661;&#21457;&#23556;&#21382;&#21490;.html" TargetMode="External"/><Relationship Id="rId6" Type="http://schemas.openxmlformats.org/officeDocument/2006/relationships/hyperlink" Target="../htmls/&#38271;&#24449;&#20116;&#21495;&#20057;&#36816;&#36733;&#28779;&#31661;&#21457;&#23556;&#21382;&#21490;.html" TargetMode="External"/><Relationship Id="rId15" Type="http://schemas.openxmlformats.org/officeDocument/2006/relationships/hyperlink" Target="../htmls/&#38271;&#24449;&#21313;&#19968;&#21495;&#28023;&#36816;&#36733;&#28779;&#31661;&#21457;&#23556;&#21382;&#21490;.html" TargetMode="External"/><Relationship Id="rId23" Type="http://schemas.openxmlformats.org/officeDocument/2006/relationships/hyperlink" Target="../htmls/&#25463;&#40857;&#31995;&#21015;&#36816;&#36733;&#28779;&#31661;&#21457;&#23556;&#21382;&#21490;.html" TargetMode="External"/><Relationship Id="rId28" Type="http://schemas.openxmlformats.org/officeDocument/2006/relationships/hyperlink" Target="../htmls/&#35895;&#31070;&#26143;&#19968;&#21495;&#28023;&#36816;&#36733;&#28779;&#31661;&#21457;&#23556;&#21382;&#21490;.html" TargetMode="External"/><Relationship Id="rId36" Type="http://schemas.openxmlformats.org/officeDocument/2006/relationships/hyperlink" Target="../htmls/&#24341;&#21147;&#19968;&#21495;&#36816;&#36733;&#28779;&#31661;&#21457;&#23556;&#21382;&#21490;.html" TargetMode="External"/><Relationship Id="rId49" Type="http://schemas.openxmlformats.org/officeDocument/2006/relationships/hyperlink" Target="..\htmls\&#38271;&#24449;&#21313;&#19968;&#21495;&#36816;&#36733;&#28779;&#31661;&#21457;&#23556;&#21382;&#21490;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3"/>
  <sheetViews>
    <sheetView showGridLines="0" tabSelected="1" zoomScale="110" zoomScaleNormal="110" workbookViewId="0">
      <pane xSplit="3" ySplit="1" topLeftCell="D781" activePane="bottomRight" state="frozen"/>
      <selection activeCell="B6" sqref="B6:B7"/>
      <selection pane="topRight" activeCell="B6" sqref="B6:B7"/>
      <selection pane="bottomLeft" activeCell="B6" sqref="B6:B7"/>
      <selection pane="bottomRight" activeCell="F789" sqref="F789"/>
    </sheetView>
  </sheetViews>
  <sheetFormatPr defaultColWidth="5" defaultRowHeight="17.399999999999999" x14ac:dyDescent="0.45"/>
  <cols>
    <col min="1" max="1" width="6.296875" style="929" bestFit="1" customWidth="1"/>
    <col min="2" max="2" width="6.19921875" style="929" bestFit="1" customWidth="1"/>
    <col min="3" max="3" width="6.09765625" style="929" bestFit="1" customWidth="1"/>
    <col min="4" max="4" width="13.69921875" style="930" bestFit="1" customWidth="1"/>
    <col min="5" max="5" width="7.5" style="930" bestFit="1" customWidth="1"/>
    <col min="6" max="6" width="27.3984375" style="930" customWidth="1"/>
    <col min="7" max="7" width="19" style="931" bestFit="1" customWidth="1"/>
    <col min="8" max="8" width="13.09765625" style="930" customWidth="1"/>
    <col min="9" max="9" width="19" style="930" customWidth="1"/>
    <col min="10" max="10" width="5.3984375" style="820" bestFit="1" customWidth="1"/>
    <col min="11" max="11" width="6.3984375" style="932" customWidth="1"/>
    <col min="12" max="12" width="7.296875" style="820" customWidth="1"/>
    <col min="13" max="13" width="8.296875" style="820" bestFit="1" customWidth="1"/>
    <col min="14" max="14" width="6.8984375" style="933" customWidth="1"/>
    <col min="15" max="15" width="16.296875" style="718" bestFit="1" customWidth="1"/>
    <col min="16" max="16" width="5" style="711" customWidth="1"/>
    <col min="17" max="17" width="13" style="711" bestFit="1" customWidth="1"/>
    <col min="18" max="16384" width="5" style="711"/>
  </cols>
  <sheetData>
    <row r="1" spans="1:15" ht="34.799999999999997" x14ac:dyDescent="0.45">
      <c r="A1" s="1166" t="s">
        <v>2642</v>
      </c>
      <c r="B1" s="709" t="s">
        <v>2643</v>
      </c>
      <c r="C1" s="709" t="s">
        <v>1744</v>
      </c>
      <c r="D1" s="709" t="s">
        <v>1217</v>
      </c>
      <c r="E1" s="709" t="s">
        <v>2894</v>
      </c>
      <c r="F1" s="709" t="s">
        <v>1466</v>
      </c>
      <c r="G1" s="709" t="s">
        <v>1295</v>
      </c>
      <c r="H1" s="709" t="s">
        <v>1381</v>
      </c>
      <c r="I1" s="1166" t="s">
        <v>1467</v>
      </c>
      <c r="J1" s="710" t="s">
        <v>1297</v>
      </c>
      <c r="K1" s="710" t="s">
        <v>2288</v>
      </c>
      <c r="L1" s="709" t="s">
        <v>2684</v>
      </c>
      <c r="M1" s="709" t="s">
        <v>2685</v>
      </c>
      <c r="N1" s="709" t="s">
        <v>1296</v>
      </c>
      <c r="O1" s="709" t="s">
        <v>1321</v>
      </c>
    </row>
    <row r="2" spans="1:15" ht="18" thickBot="1" x14ac:dyDescent="0.5">
      <c r="A2" s="712">
        <v>1</v>
      </c>
      <c r="B2" s="712">
        <v>1</v>
      </c>
      <c r="C2" s="712" t="s">
        <v>3</v>
      </c>
      <c r="D2" s="713" t="s">
        <v>4</v>
      </c>
      <c r="E2" s="713" t="s">
        <v>5</v>
      </c>
      <c r="F2" s="713" t="s">
        <v>6</v>
      </c>
      <c r="G2" s="714">
        <v>25682</v>
      </c>
      <c r="H2" s="713" t="s">
        <v>7</v>
      </c>
      <c r="I2" s="713" t="s">
        <v>8</v>
      </c>
      <c r="J2" s="715" t="s">
        <v>9</v>
      </c>
      <c r="K2" s="716">
        <v>5020</v>
      </c>
      <c r="L2" s="715"/>
      <c r="M2" s="715"/>
      <c r="N2" s="717" t="s">
        <v>10</v>
      </c>
    </row>
    <row r="3" spans="1:15" ht="18.600000000000001" thickTop="1" thickBot="1" x14ac:dyDescent="0.5">
      <c r="A3" s="719">
        <v>2</v>
      </c>
      <c r="B3" s="719">
        <v>2</v>
      </c>
      <c r="C3" s="719" t="s">
        <v>3</v>
      </c>
      <c r="D3" s="720" t="s">
        <v>4</v>
      </c>
      <c r="E3" s="720"/>
      <c r="F3" s="720" t="s">
        <v>11</v>
      </c>
      <c r="G3" s="721">
        <v>25995</v>
      </c>
      <c r="H3" s="720" t="s">
        <v>12</v>
      </c>
      <c r="I3" s="720" t="s">
        <v>8</v>
      </c>
      <c r="J3" s="722" t="s">
        <v>9</v>
      </c>
      <c r="K3" s="723">
        <v>5020</v>
      </c>
      <c r="L3" s="722">
        <v>313</v>
      </c>
      <c r="M3" s="722">
        <v>313</v>
      </c>
      <c r="N3" s="724" t="s">
        <v>10</v>
      </c>
    </row>
    <row r="4" spans="1:15" ht="18.600000000000001" thickTop="1" thickBot="1" x14ac:dyDescent="0.5">
      <c r="A4" s="719">
        <v>3</v>
      </c>
      <c r="B4" s="719" t="s">
        <v>3</v>
      </c>
      <c r="C4" s="719">
        <v>1</v>
      </c>
      <c r="D4" s="720" t="s">
        <v>3334</v>
      </c>
      <c r="E4" s="720" t="s">
        <v>14</v>
      </c>
      <c r="F4" s="720" t="s">
        <v>15</v>
      </c>
      <c r="G4" s="721">
        <v>26925</v>
      </c>
      <c r="H4" s="720" t="s">
        <v>16</v>
      </c>
      <c r="I4" s="720" t="s">
        <v>17</v>
      </c>
      <c r="J4" s="722" t="s">
        <v>9</v>
      </c>
      <c r="K4" s="723">
        <v>138</v>
      </c>
      <c r="L4" s="722">
        <v>930</v>
      </c>
      <c r="M4" s="722"/>
      <c r="N4" s="725" t="s">
        <v>18</v>
      </c>
    </row>
    <row r="5" spans="1:15" ht="18" thickTop="1" x14ac:dyDescent="0.45">
      <c r="A5" s="726">
        <v>4</v>
      </c>
      <c r="B5" s="726" t="s">
        <v>3</v>
      </c>
      <c r="C5" s="726">
        <v>2</v>
      </c>
      <c r="D5" s="727" t="s">
        <v>3334</v>
      </c>
      <c r="E5" s="727"/>
      <c r="F5" s="727" t="s">
        <v>15</v>
      </c>
      <c r="G5" s="728">
        <v>27222</v>
      </c>
      <c r="H5" s="727" t="s">
        <v>19</v>
      </c>
      <c r="I5" s="727" t="s">
        <v>17</v>
      </c>
      <c r="J5" s="729" t="s">
        <v>9</v>
      </c>
      <c r="K5" s="730">
        <v>138</v>
      </c>
      <c r="L5" s="729">
        <v>297</v>
      </c>
      <c r="M5" s="729">
        <v>297</v>
      </c>
      <c r="N5" s="731" t="s">
        <v>18</v>
      </c>
    </row>
    <row r="6" spans="1:15" ht="18" thickBot="1" x14ac:dyDescent="0.5">
      <c r="A6" s="712">
        <v>5</v>
      </c>
      <c r="B6" s="712">
        <v>3</v>
      </c>
      <c r="C6" s="712" t="s">
        <v>3</v>
      </c>
      <c r="D6" s="713" t="s">
        <v>20</v>
      </c>
      <c r="E6" s="713" t="s">
        <v>21</v>
      </c>
      <c r="F6" s="713" t="s">
        <v>22</v>
      </c>
      <c r="G6" s="714">
        <v>27338</v>
      </c>
      <c r="H6" s="713" t="s">
        <v>23</v>
      </c>
      <c r="I6" s="713" t="s">
        <v>17</v>
      </c>
      <c r="J6" s="715" t="s">
        <v>9</v>
      </c>
      <c r="K6" s="716">
        <v>138</v>
      </c>
      <c r="L6" s="715">
        <v>116</v>
      </c>
      <c r="M6" s="715"/>
      <c r="N6" s="732" t="s">
        <v>18</v>
      </c>
    </row>
    <row r="7" spans="1:15" ht="18" thickTop="1" x14ac:dyDescent="0.45">
      <c r="A7" s="726">
        <v>6</v>
      </c>
      <c r="B7" s="726" t="s">
        <v>3</v>
      </c>
      <c r="C7" s="726">
        <v>3</v>
      </c>
      <c r="D7" s="727" t="s">
        <v>13</v>
      </c>
      <c r="E7" s="733"/>
      <c r="F7" s="727" t="s">
        <v>15</v>
      </c>
      <c r="G7" s="728">
        <v>27601</v>
      </c>
      <c r="H7" s="727" t="s">
        <v>24</v>
      </c>
      <c r="I7" s="727" t="s">
        <v>17</v>
      </c>
      <c r="J7" s="729" t="s">
        <v>9</v>
      </c>
      <c r="K7" s="730">
        <v>138</v>
      </c>
      <c r="L7" s="729">
        <v>263</v>
      </c>
      <c r="M7" s="729">
        <v>379</v>
      </c>
      <c r="N7" s="734" t="s">
        <v>10</v>
      </c>
    </row>
    <row r="8" spans="1:15" x14ac:dyDescent="0.45">
      <c r="A8" s="735">
        <v>7</v>
      </c>
      <c r="B8" s="735">
        <v>4</v>
      </c>
      <c r="C8" s="735" t="s">
        <v>3</v>
      </c>
      <c r="D8" s="733" t="s">
        <v>1299</v>
      </c>
      <c r="E8" s="733" t="s">
        <v>5</v>
      </c>
      <c r="F8" s="733" t="s">
        <v>25</v>
      </c>
      <c r="G8" s="736">
        <v>27724</v>
      </c>
      <c r="H8" s="733" t="s">
        <v>26</v>
      </c>
      <c r="I8" s="733" t="s">
        <v>17</v>
      </c>
      <c r="J8" s="737" t="s">
        <v>9</v>
      </c>
      <c r="K8" s="738">
        <v>138</v>
      </c>
      <c r="L8" s="737">
        <f>G8-G7</f>
        <v>123</v>
      </c>
      <c r="M8" s="737"/>
      <c r="N8" s="739" t="s">
        <v>10</v>
      </c>
    </row>
    <row r="9" spans="1:15" ht="18" thickBot="1" x14ac:dyDescent="0.5">
      <c r="A9" s="740">
        <v>8</v>
      </c>
      <c r="B9" s="740" t="s">
        <v>3</v>
      </c>
      <c r="C9" s="740">
        <v>4</v>
      </c>
      <c r="D9" s="741" t="s">
        <v>13</v>
      </c>
      <c r="E9" s="741"/>
      <c r="F9" s="741" t="s">
        <v>15</v>
      </c>
      <c r="G9" s="742">
        <v>27744</v>
      </c>
      <c r="H9" s="741" t="s">
        <v>27</v>
      </c>
      <c r="I9" s="741" t="s">
        <v>17</v>
      </c>
      <c r="J9" s="743" t="s">
        <v>9</v>
      </c>
      <c r="K9" s="744">
        <v>138</v>
      </c>
      <c r="L9" s="743">
        <v>20</v>
      </c>
      <c r="M9" s="743">
        <v>143</v>
      </c>
      <c r="N9" s="745" t="s">
        <v>10</v>
      </c>
    </row>
    <row r="10" spans="1:15" ht="18" thickTop="1" x14ac:dyDescent="0.45">
      <c r="A10" s="726">
        <v>9</v>
      </c>
      <c r="B10" s="726" t="s">
        <v>3</v>
      </c>
      <c r="C10" s="726">
        <v>5</v>
      </c>
      <c r="D10" s="727" t="s">
        <v>13</v>
      </c>
      <c r="E10" s="727"/>
      <c r="F10" s="727" t="s">
        <v>15</v>
      </c>
      <c r="G10" s="728">
        <v>28002</v>
      </c>
      <c r="H10" s="727" t="s">
        <v>28</v>
      </c>
      <c r="I10" s="727" t="s">
        <v>17</v>
      </c>
      <c r="J10" s="729" t="s">
        <v>9</v>
      </c>
      <c r="K10" s="730">
        <v>138</v>
      </c>
      <c r="L10" s="729">
        <v>258</v>
      </c>
      <c r="M10" s="729">
        <v>258</v>
      </c>
      <c r="N10" s="734" t="s">
        <v>10</v>
      </c>
    </row>
    <row r="11" spans="1:15" x14ac:dyDescent="0.45">
      <c r="A11" s="735">
        <v>10</v>
      </c>
      <c r="B11" s="735" t="s">
        <v>3</v>
      </c>
      <c r="C11" s="735">
        <v>6</v>
      </c>
      <c r="D11" s="733" t="s">
        <v>13</v>
      </c>
      <c r="E11" s="733"/>
      <c r="F11" s="733" t="s">
        <v>15</v>
      </c>
      <c r="G11" s="736">
        <v>28074</v>
      </c>
      <c r="H11" s="733" t="s">
        <v>29</v>
      </c>
      <c r="I11" s="733" t="s">
        <v>17</v>
      </c>
      <c r="J11" s="737" t="s">
        <v>9</v>
      </c>
      <c r="K11" s="738">
        <v>138</v>
      </c>
      <c r="L11" s="737">
        <v>72</v>
      </c>
      <c r="M11" s="737">
        <v>72</v>
      </c>
      <c r="N11" s="746" t="s">
        <v>18</v>
      </c>
    </row>
    <row r="12" spans="1:15" ht="18" thickBot="1" x14ac:dyDescent="0.5">
      <c r="A12" s="740">
        <v>11</v>
      </c>
      <c r="B12" s="740">
        <v>5</v>
      </c>
      <c r="C12" s="740" t="s">
        <v>3</v>
      </c>
      <c r="D12" s="741" t="s">
        <v>1299</v>
      </c>
      <c r="E12" s="741" t="s">
        <v>30</v>
      </c>
      <c r="F12" s="741" t="s">
        <v>31</v>
      </c>
      <c r="G12" s="742">
        <v>28101</v>
      </c>
      <c r="H12" s="741" t="s">
        <v>32</v>
      </c>
      <c r="I12" s="741" t="s">
        <v>17</v>
      </c>
      <c r="J12" s="743" t="s">
        <v>9</v>
      </c>
      <c r="K12" s="744">
        <v>138</v>
      </c>
      <c r="L12" s="743">
        <v>27</v>
      </c>
      <c r="M12" s="743">
        <v>377</v>
      </c>
      <c r="N12" s="745" t="s">
        <v>10</v>
      </c>
    </row>
    <row r="13" spans="1:15" ht="18.600000000000001" thickTop="1" thickBot="1" x14ac:dyDescent="0.5">
      <c r="A13" s="719">
        <v>12</v>
      </c>
      <c r="B13" s="719">
        <v>6</v>
      </c>
      <c r="C13" s="719" t="s">
        <v>3</v>
      </c>
      <c r="D13" s="720" t="s">
        <v>1299</v>
      </c>
      <c r="E13" s="720" t="s">
        <v>33</v>
      </c>
      <c r="F13" s="720" t="s">
        <v>34</v>
      </c>
      <c r="G13" s="721">
        <v>28516</v>
      </c>
      <c r="H13" s="720" t="s">
        <v>35</v>
      </c>
      <c r="I13" s="720" t="s">
        <v>17</v>
      </c>
      <c r="J13" s="722" t="s">
        <v>9</v>
      </c>
      <c r="K13" s="723">
        <v>138</v>
      </c>
      <c r="L13" s="722">
        <v>415</v>
      </c>
      <c r="M13" s="722">
        <v>415</v>
      </c>
      <c r="N13" s="724" t="s">
        <v>10</v>
      </c>
    </row>
    <row r="14" spans="1:15" ht="18.600000000000001" thickTop="1" thickBot="1" x14ac:dyDescent="0.5">
      <c r="A14" s="719">
        <v>13</v>
      </c>
      <c r="B14" s="719" t="s">
        <v>3</v>
      </c>
      <c r="C14" s="719">
        <v>7</v>
      </c>
      <c r="D14" s="720" t="s">
        <v>13</v>
      </c>
      <c r="E14" s="747" t="s">
        <v>36</v>
      </c>
      <c r="F14" s="720" t="s">
        <v>2396</v>
      </c>
      <c r="G14" s="721">
        <v>29064</v>
      </c>
      <c r="H14" s="720" t="s">
        <v>37</v>
      </c>
      <c r="I14" s="720" t="s">
        <v>17</v>
      </c>
      <c r="J14" s="722" t="s">
        <v>9</v>
      </c>
      <c r="K14" s="723">
        <v>138</v>
      </c>
      <c r="L14" s="722">
        <v>548</v>
      </c>
      <c r="M14" s="722">
        <v>990</v>
      </c>
      <c r="N14" s="725" t="s">
        <v>18</v>
      </c>
    </row>
    <row r="15" spans="1:15" ht="18.600000000000001" thickTop="1" thickBot="1" x14ac:dyDescent="0.5">
      <c r="A15" s="719">
        <v>14</v>
      </c>
      <c r="B15" s="719" t="s">
        <v>3</v>
      </c>
      <c r="C15" s="719">
        <v>8</v>
      </c>
      <c r="D15" s="720" t="s">
        <v>13</v>
      </c>
      <c r="E15" s="747" t="s">
        <v>38</v>
      </c>
      <c r="F15" s="720" t="s">
        <v>39</v>
      </c>
      <c r="G15" s="721">
        <v>29849</v>
      </c>
      <c r="H15" s="720" t="s">
        <v>40</v>
      </c>
      <c r="I15" s="720" t="s">
        <v>17</v>
      </c>
      <c r="J15" s="722" t="s">
        <v>9</v>
      </c>
      <c r="K15" s="723">
        <v>138</v>
      </c>
      <c r="L15" s="722">
        <v>785</v>
      </c>
      <c r="M15" s="722">
        <v>785</v>
      </c>
      <c r="N15" s="724" t="s">
        <v>10</v>
      </c>
    </row>
    <row r="16" spans="1:15" ht="18.600000000000001" thickTop="1" thickBot="1" x14ac:dyDescent="0.5">
      <c r="A16" s="719">
        <v>15</v>
      </c>
      <c r="B16" s="719">
        <v>7</v>
      </c>
      <c r="C16" s="719" t="s">
        <v>3</v>
      </c>
      <c r="D16" s="720" t="s">
        <v>41</v>
      </c>
      <c r="E16" s="720" t="s">
        <v>42</v>
      </c>
      <c r="F16" s="720" t="s">
        <v>43</v>
      </c>
      <c r="G16" s="721">
        <v>30203</v>
      </c>
      <c r="H16" s="720" t="s">
        <v>44</v>
      </c>
      <c r="I16" s="720" t="s">
        <v>17</v>
      </c>
      <c r="J16" s="722" t="s">
        <v>9</v>
      </c>
      <c r="K16" s="723">
        <v>138</v>
      </c>
      <c r="L16" s="722">
        <v>354</v>
      </c>
      <c r="M16" s="722"/>
      <c r="N16" s="724" t="s">
        <v>10</v>
      </c>
    </row>
    <row r="17" spans="1:15" ht="18.600000000000001" thickTop="1" thickBot="1" x14ac:dyDescent="0.5">
      <c r="A17" s="712">
        <v>16</v>
      </c>
      <c r="B17" s="712">
        <v>8</v>
      </c>
      <c r="C17" s="712" t="s">
        <v>3</v>
      </c>
      <c r="D17" s="713" t="s">
        <v>41</v>
      </c>
      <c r="E17" s="713" t="s">
        <v>45</v>
      </c>
      <c r="F17" s="713" t="s">
        <v>46</v>
      </c>
      <c r="G17" s="714">
        <v>30547</v>
      </c>
      <c r="H17" s="713" t="s">
        <v>47</v>
      </c>
      <c r="I17" s="713" t="s">
        <v>17</v>
      </c>
      <c r="J17" s="715" t="s">
        <v>9</v>
      </c>
      <c r="K17" s="716">
        <v>138</v>
      </c>
      <c r="L17" s="715">
        <v>344</v>
      </c>
      <c r="M17" s="715">
        <v>344</v>
      </c>
      <c r="N17" s="717" t="s">
        <v>10</v>
      </c>
      <c r="O17" s="711"/>
    </row>
    <row r="18" spans="1:15" ht="18" thickTop="1" x14ac:dyDescent="0.45">
      <c r="A18" s="726">
        <v>17</v>
      </c>
      <c r="B18" s="726">
        <v>9</v>
      </c>
      <c r="C18" s="726" t="s">
        <v>3</v>
      </c>
      <c r="D18" s="727" t="s">
        <v>48</v>
      </c>
      <c r="E18" s="727" t="s">
        <v>42</v>
      </c>
      <c r="F18" s="727" t="s">
        <v>49</v>
      </c>
      <c r="G18" s="728">
        <v>30710</v>
      </c>
      <c r="H18" s="727" t="s">
        <v>50</v>
      </c>
      <c r="I18" s="727" t="s">
        <v>51</v>
      </c>
      <c r="J18" s="729" t="s">
        <v>52</v>
      </c>
      <c r="K18" s="730">
        <v>3</v>
      </c>
      <c r="L18" s="729"/>
      <c r="M18" s="729"/>
      <c r="N18" s="748" t="s">
        <v>2206</v>
      </c>
      <c r="O18" s="711"/>
    </row>
    <row r="19" spans="1:15" x14ac:dyDescent="0.45">
      <c r="A19" s="735">
        <v>18</v>
      </c>
      <c r="B19" s="735">
        <v>10</v>
      </c>
      <c r="C19" s="735" t="s">
        <v>3</v>
      </c>
      <c r="D19" s="733" t="s">
        <v>48</v>
      </c>
      <c r="E19" s="733" t="s">
        <v>45</v>
      </c>
      <c r="F19" s="733" t="s">
        <v>49</v>
      </c>
      <c r="G19" s="736">
        <v>30780</v>
      </c>
      <c r="H19" s="733" t="s">
        <v>53</v>
      </c>
      <c r="I19" s="733" t="s">
        <v>51</v>
      </c>
      <c r="J19" s="737" t="s">
        <v>52</v>
      </c>
      <c r="K19" s="738">
        <v>3</v>
      </c>
      <c r="L19" s="737">
        <v>70</v>
      </c>
      <c r="M19" s="737">
        <v>70</v>
      </c>
      <c r="N19" s="739" t="s">
        <v>10</v>
      </c>
      <c r="O19" s="711"/>
    </row>
    <row r="20" spans="1:15" ht="18" thickBot="1" x14ac:dyDescent="0.5">
      <c r="A20" s="740">
        <v>19</v>
      </c>
      <c r="B20" s="740">
        <v>11</v>
      </c>
      <c r="C20" s="740" t="s">
        <v>3</v>
      </c>
      <c r="D20" s="741" t="s">
        <v>41</v>
      </c>
      <c r="E20" s="741" t="s">
        <v>21</v>
      </c>
      <c r="F20" s="741" t="s">
        <v>54</v>
      </c>
      <c r="G20" s="742">
        <v>30937</v>
      </c>
      <c r="H20" s="741" t="s">
        <v>55</v>
      </c>
      <c r="I20" s="741" t="s">
        <v>17</v>
      </c>
      <c r="J20" s="743" t="s">
        <v>9</v>
      </c>
      <c r="K20" s="744">
        <v>138</v>
      </c>
      <c r="L20" s="743">
        <v>390</v>
      </c>
      <c r="M20" s="743">
        <v>390</v>
      </c>
      <c r="N20" s="745" t="s">
        <v>10</v>
      </c>
      <c r="O20" s="711"/>
    </row>
    <row r="21" spans="1:15" ht="18.600000000000001" thickTop="1" thickBot="1" x14ac:dyDescent="0.5">
      <c r="A21" s="712">
        <v>20</v>
      </c>
      <c r="B21" s="712">
        <v>12</v>
      </c>
      <c r="C21" s="712" t="s">
        <v>3</v>
      </c>
      <c r="D21" s="713" t="s">
        <v>41</v>
      </c>
      <c r="E21" s="713" t="s">
        <v>5</v>
      </c>
      <c r="F21" s="713" t="s">
        <v>56</v>
      </c>
      <c r="G21" s="714">
        <v>31341</v>
      </c>
      <c r="H21" s="713" t="s">
        <v>57</v>
      </c>
      <c r="I21" s="713" t="s">
        <v>17</v>
      </c>
      <c r="J21" s="715" t="s">
        <v>9</v>
      </c>
      <c r="K21" s="716">
        <v>138</v>
      </c>
      <c r="L21" s="715">
        <v>404</v>
      </c>
      <c r="M21" s="715">
        <v>404</v>
      </c>
      <c r="N21" s="717" t="s">
        <v>10</v>
      </c>
      <c r="O21" s="711"/>
    </row>
    <row r="22" spans="1:15" ht="18" thickTop="1" x14ac:dyDescent="0.45">
      <c r="A22" s="726">
        <v>21</v>
      </c>
      <c r="B22" s="726">
        <v>13</v>
      </c>
      <c r="C22" s="726" t="s">
        <v>3</v>
      </c>
      <c r="D22" s="727" t="s">
        <v>48</v>
      </c>
      <c r="E22" s="727" t="s">
        <v>21</v>
      </c>
      <c r="F22" s="727" t="s">
        <v>58</v>
      </c>
      <c r="G22" s="728">
        <v>31444</v>
      </c>
      <c r="H22" s="727" t="s">
        <v>59</v>
      </c>
      <c r="I22" s="727" t="s">
        <v>51</v>
      </c>
      <c r="J22" s="729" t="s">
        <v>52</v>
      </c>
      <c r="K22" s="730">
        <v>3</v>
      </c>
      <c r="L22" s="729">
        <v>664</v>
      </c>
      <c r="M22" s="729">
        <v>664</v>
      </c>
      <c r="N22" s="734" t="s">
        <v>10</v>
      </c>
      <c r="O22" s="711"/>
    </row>
    <row r="23" spans="1:15" ht="18" thickBot="1" x14ac:dyDescent="0.5">
      <c r="A23" s="712">
        <v>22</v>
      </c>
      <c r="B23" s="712">
        <v>14</v>
      </c>
      <c r="C23" s="712" t="s">
        <v>3</v>
      </c>
      <c r="D23" s="713" t="s">
        <v>41</v>
      </c>
      <c r="E23" s="713" t="s">
        <v>30</v>
      </c>
      <c r="F23" s="713" t="s">
        <v>60</v>
      </c>
      <c r="G23" s="714">
        <v>31691</v>
      </c>
      <c r="H23" s="713" t="s">
        <v>61</v>
      </c>
      <c r="I23" s="713" t="s">
        <v>17</v>
      </c>
      <c r="J23" s="715" t="s">
        <v>9</v>
      </c>
      <c r="K23" s="716">
        <v>138</v>
      </c>
      <c r="L23" s="715">
        <v>350</v>
      </c>
      <c r="M23" s="715">
        <v>350</v>
      </c>
      <c r="N23" s="717" t="s">
        <v>10</v>
      </c>
      <c r="O23" s="711"/>
    </row>
    <row r="24" spans="1:15" ht="18" thickTop="1" x14ac:dyDescent="0.45">
      <c r="A24" s="726">
        <v>23</v>
      </c>
      <c r="B24" s="726">
        <v>15</v>
      </c>
      <c r="C24" s="726" t="s">
        <v>3</v>
      </c>
      <c r="D24" s="727" t="s">
        <v>41</v>
      </c>
      <c r="E24" s="727" t="s">
        <v>33</v>
      </c>
      <c r="F24" s="727" t="s">
        <v>62</v>
      </c>
      <c r="G24" s="728">
        <v>31994</v>
      </c>
      <c r="H24" s="727" t="s">
        <v>2310</v>
      </c>
      <c r="I24" s="727" t="s">
        <v>17</v>
      </c>
      <c r="J24" s="729" t="s">
        <v>9</v>
      </c>
      <c r="K24" s="730">
        <v>138</v>
      </c>
      <c r="L24" s="729">
        <v>303</v>
      </c>
      <c r="M24" s="729">
        <v>303</v>
      </c>
      <c r="N24" s="734" t="s">
        <v>10</v>
      </c>
      <c r="O24" s="711"/>
    </row>
    <row r="25" spans="1:15" ht="18" thickBot="1" x14ac:dyDescent="0.5">
      <c r="A25" s="712">
        <v>24</v>
      </c>
      <c r="B25" s="712">
        <v>16</v>
      </c>
      <c r="C25" s="712" t="s">
        <v>3</v>
      </c>
      <c r="D25" s="713" t="s">
        <v>41</v>
      </c>
      <c r="E25" s="713" t="s">
        <v>63</v>
      </c>
      <c r="F25" s="713" t="s">
        <v>64</v>
      </c>
      <c r="G25" s="714">
        <v>32029</v>
      </c>
      <c r="H25" s="713" t="s">
        <v>2311</v>
      </c>
      <c r="I25" s="713" t="s">
        <v>17</v>
      </c>
      <c r="J25" s="715" t="s">
        <v>9</v>
      </c>
      <c r="K25" s="716">
        <v>138</v>
      </c>
      <c r="L25" s="715">
        <v>35</v>
      </c>
      <c r="M25" s="715">
        <v>35</v>
      </c>
      <c r="N25" s="717" t="s">
        <v>10</v>
      </c>
      <c r="O25" s="711"/>
    </row>
    <row r="26" spans="1:15" ht="18" thickTop="1" x14ac:dyDescent="0.45">
      <c r="A26" s="726">
        <v>25</v>
      </c>
      <c r="B26" s="726">
        <v>17</v>
      </c>
      <c r="C26" s="726" t="s">
        <v>3</v>
      </c>
      <c r="D26" s="727" t="s">
        <v>48</v>
      </c>
      <c r="E26" s="727" t="s">
        <v>5</v>
      </c>
      <c r="F26" s="727" t="s">
        <v>65</v>
      </c>
      <c r="G26" s="728">
        <v>32209</v>
      </c>
      <c r="H26" s="727" t="s">
        <v>66</v>
      </c>
      <c r="I26" s="727" t="s">
        <v>51</v>
      </c>
      <c r="J26" s="729" t="s">
        <v>52</v>
      </c>
      <c r="K26" s="730">
        <v>3</v>
      </c>
      <c r="L26" s="729">
        <v>765</v>
      </c>
      <c r="M26" s="729">
        <v>765</v>
      </c>
      <c r="N26" s="734" t="s">
        <v>10</v>
      </c>
      <c r="O26" s="711"/>
    </row>
    <row r="27" spans="1:15" x14ac:dyDescent="0.45">
      <c r="A27" s="735">
        <v>26</v>
      </c>
      <c r="B27" s="735">
        <v>18</v>
      </c>
      <c r="C27" s="735" t="s">
        <v>3</v>
      </c>
      <c r="D27" s="733" t="s">
        <v>41</v>
      </c>
      <c r="E27" s="733" t="s">
        <v>67</v>
      </c>
      <c r="F27" s="733" t="s">
        <v>68</v>
      </c>
      <c r="G27" s="736">
        <v>32360</v>
      </c>
      <c r="H27" s="733" t="s">
        <v>2312</v>
      </c>
      <c r="I27" s="733" t="s">
        <v>17</v>
      </c>
      <c r="J27" s="737" t="s">
        <v>9</v>
      </c>
      <c r="K27" s="738">
        <v>138</v>
      </c>
      <c r="L27" s="737">
        <v>331</v>
      </c>
      <c r="M27" s="737">
        <v>331</v>
      </c>
      <c r="N27" s="739" t="s">
        <v>10</v>
      </c>
      <c r="O27" s="711"/>
    </row>
    <row r="28" spans="1:15" x14ac:dyDescent="0.45">
      <c r="A28" s="735">
        <v>27</v>
      </c>
      <c r="B28" s="735">
        <v>19</v>
      </c>
      <c r="C28" s="735" t="s">
        <v>3</v>
      </c>
      <c r="D28" s="733" t="s">
        <v>69</v>
      </c>
      <c r="E28" s="733" t="s">
        <v>42</v>
      </c>
      <c r="F28" s="733" t="s">
        <v>2289</v>
      </c>
      <c r="G28" s="736">
        <v>32393</v>
      </c>
      <c r="H28" s="733" t="s">
        <v>2313</v>
      </c>
      <c r="I28" s="733" t="s">
        <v>70</v>
      </c>
      <c r="J28" s="737" t="s">
        <v>71</v>
      </c>
      <c r="K28" s="738">
        <v>7</v>
      </c>
      <c r="L28" s="737"/>
      <c r="M28" s="737"/>
      <c r="N28" s="739" t="s">
        <v>10</v>
      </c>
      <c r="O28" s="711"/>
    </row>
    <row r="29" spans="1:15" ht="18" thickBot="1" x14ac:dyDescent="0.5">
      <c r="A29" s="740">
        <v>28</v>
      </c>
      <c r="B29" s="740">
        <v>20</v>
      </c>
      <c r="C29" s="740" t="s">
        <v>3</v>
      </c>
      <c r="D29" s="741" t="s">
        <v>48</v>
      </c>
      <c r="E29" s="741" t="s">
        <v>30</v>
      </c>
      <c r="F29" s="741" t="s">
        <v>1061</v>
      </c>
      <c r="G29" s="742">
        <v>32499</v>
      </c>
      <c r="H29" s="741" t="s">
        <v>72</v>
      </c>
      <c r="I29" s="741" t="s">
        <v>51</v>
      </c>
      <c r="J29" s="743" t="s">
        <v>52</v>
      </c>
      <c r="K29" s="744">
        <v>3</v>
      </c>
      <c r="L29" s="743">
        <v>290</v>
      </c>
      <c r="M29" s="743">
        <v>290</v>
      </c>
      <c r="N29" s="745" t="s">
        <v>10</v>
      </c>
      <c r="O29" s="711"/>
    </row>
    <row r="30" spans="1:15" ht="18" thickTop="1" x14ac:dyDescent="0.45">
      <c r="A30" s="726">
        <v>29</v>
      </c>
      <c r="B30" s="726">
        <v>21</v>
      </c>
      <c r="C30" s="726" t="s">
        <v>3</v>
      </c>
      <c r="D30" s="727" t="s">
        <v>48</v>
      </c>
      <c r="E30" s="727" t="s">
        <v>33</v>
      </c>
      <c r="F30" s="727" t="s">
        <v>1062</v>
      </c>
      <c r="G30" s="728">
        <v>32908</v>
      </c>
      <c r="H30" s="727" t="s">
        <v>73</v>
      </c>
      <c r="I30" s="727" t="s">
        <v>51</v>
      </c>
      <c r="J30" s="729" t="s">
        <v>52</v>
      </c>
      <c r="K30" s="730">
        <v>3</v>
      </c>
      <c r="L30" s="729">
        <v>409</v>
      </c>
      <c r="M30" s="729">
        <v>409</v>
      </c>
      <c r="N30" s="734" t="s">
        <v>10</v>
      </c>
      <c r="O30" s="711"/>
    </row>
    <row r="31" spans="1:15" x14ac:dyDescent="0.45">
      <c r="A31" s="735">
        <v>30</v>
      </c>
      <c r="B31" s="735">
        <v>22</v>
      </c>
      <c r="C31" s="735" t="s">
        <v>3</v>
      </c>
      <c r="D31" s="733" t="s">
        <v>48</v>
      </c>
      <c r="E31" s="733" t="s">
        <v>63</v>
      </c>
      <c r="F31" s="733" t="s">
        <v>74</v>
      </c>
      <c r="G31" s="736">
        <v>32970</v>
      </c>
      <c r="H31" s="733" t="s">
        <v>75</v>
      </c>
      <c r="I31" s="733" t="s">
        <v>51</v>
      </c>
      <c r="J31" s="737" t="s">
        <v>52</v>
      </c>
      <c r="K31" s="738">
        <v>3</v>
      </c>
      <c r="L31" s="737">
        <v>62</v>
      </c>
      <c r="M31" s="737">
        <v>62</v>
      </c>
      <c r="N31" s="739" t="s">
        <v>10</v>
      </c>
      <c r="O31" s="711"/>
    </row>
    <row r="32" spans="1:15" x14ac:dyDescent="0.45">
      <c r="A32" s="735">
        <v>31</v>
      </c>
      <c r="B32" s="735">
        <v>23</v>
      </c>
      <c r="C32" s="735" t="s">
        <v>3</v>
      </c>
      <c r="D32" s="733" t="s">
        <v>76</v>
      </c>
      <c r="E32" s="733" t="s">
        <v>42</v>
      </c>
      <c r="F32" s="733" t="s">
        <v>77</v>
      </c>
      <c r="G32" s="736">
        <v>33070</v>
      </c>
      <c r="H32" s="733" t="s">
        <v>2314</v>
      </c>
      <c r="I32" s="733" t="s">
        <v>8</v>
      </c>
      <c r="J32" s="737" t="s">
        <v>52</v>
      </c>
      <c r="K32" s="738">
        <v>2</v>
      </c>
      <c r="L32" s="737">
        <v>100</v>
      </c>
      <c r="M32" s="737"/>
      <c r="N32" s="739" t="s">
        <v>10</v>
      </c>
      <c r="O32" s="711"/>
    </row>
    <row r="33" spans="1:14" ht="18" thickBot="1" x14ac:dyDescent="0.5">
      <c r="A33" s="740">
        <v>32</v>
      </c>
      <c r="B33" s="740">
        <v>24</v>
      </c>
      <c r="C33" s="740" t="s">
        <v>3</v>
      </c>
      <c r="D33" s="741" t="s">
        <v>69</v>
      </c>
      <c r="E33" s="741" t="s">
        <v>45</v>
      </c>
      <c r="F33" s="741" t="s">
        <v>2290</v>
      </c>
      <c r="G33" s="742">
        <v>33119</v>
      </c>
      <c r="H33" s="741" t="s">
        <v>2315</v>
      </c>
      <c r="I33" s="741" t="s">
        <v>70</v>
      </c>
      <c r="J33" s="743" t="s">
        <v>71</v>
      </c>
      <c r="K33" s="744">
        <v>7</v>
      </c>
      <c r="L33" s="743">
        <v>726</v>
      </c>
      <c r="M33" s="743">
        <v>726</v>
      </c>
      <c r="N33" s="745" t="s">
        <v>10</v>
      </c>
    </row>
    <row r="34" spans="1:14" ht="18.600000000000001" thickTop="1" thickBot="1" x14ac:dyDescent="0.5">
      <c r="A34" s="712">
        <v>33</v>
      </c>
      <c r="B34" s="712">
        <v>25</v>
      </c>
      <c r="C34" s="712" t="s">
        <v>3</v>
      </c>
      <c r="D34" s="713" t="s">
        <v>41</v>
      </c>
      <c r="E34" s="713" t="s">
        <v>78</v>
      </c>
      <c r="F34" s="713" t="s">
        <v>1500</v>
      </c>
      <c r="G34" s="714">
        <v>33151</v>
      </c>
      <c r="H34" s="713" t="s">
        <v>79</v>
      </c>
      <c r="I34" s="713" t="s">
        <v>17</v>
      </c>
      <c r="J34" s="715" t="s">
        <v>9</v>
      </c>
      <c r="K34" s="716">
        <v>138</v>
      </c>
      <c r="L34" s="715">
        <v>791</v>
      </c>
      <c r="M34" s="715">
        <v>791</v>
      </c>
      <c r="N34" s="717" t="s">
        <v>10</v>
      </c>
    </row>
    <row r="35" spans="1:14" ht="18.600000000000001" thickTop="1" thickBot="1" x14ac:dyDescent="0.5">
      <c r="A35" s="712">
        <v>34</v>
      </c>
      <c r="B35" s="712">
        <v>26</v>
      </c>
      <c r="C35" s="712" t="s">
        <v>3</v>
      </c>
      <c r="D35" s="713" t="s">
        <v>48</v>
      </c>
      <c r="E35" s="713" t="s">
        <v>78</v>
      </c>
      <c r="F35" s="713" t="s">
        <v>1063</v>
      </c>
      <c r="G35" s="714">
        <v>33600</v>
      </c>
      <c r="H35" s="713" t="s">
        <v>80</v>
      </c>
      <c r="I35" s="713" t="s">
        <v>51</v>
      </c>
      <c r="J35" s="715" t="s">
        <v>52</v>
      </c>
      <c r="K35" s="716">
        <v>3</v>
      </c>
      <c r="L35" s="715">
        <v>530</v>
      </c>
      <c r="M35" s="715">
        <v>630</v>
      </c>
      <c r="N35" s="732" t="s">
        <v>18</v>
      </c>
    </row>
    <row r="36" spans="1:14" ht="18" thickTop="1" x14ac:dyDescent="0.45">
      <c r="A36" s="726" t="s">
        <v>3</v>
      </c>
      <c r="B36" s="726" t="s">
        <v>3</v>
      </c>
      <c r="C36" s="726" t="s">
        <v>3</v>
      </c>
      <c r="D36" s="727" t="s">
        <v>76</v>
      </c>
      <c r="E36" s="727" t="s">
        <v>45</v>
      </c>
      <c r="F36" s="727" t="s">
        <v>81</v>
      </c>
      <c r="G36" s="728">
        <v>33685</v>
      </c>
      <c r="H36" s="727" t="s">
        <v>82</v>
      </c>
      <c r="I36" s="727" t="s">
        <v>8</v>
      </c>
      <c r="J36" s="729" t="s">
        <v>52</v>
      </c>
      <c r="K36" s="730">
        <v>2</v>
      </c>
      <c r="L36" s="729">
        <v>85</v>
      </c>
      <c r="M36" s="729">
        <v>615</v>
      </c>
      <c r="N36" s="749" t="s">
        <v>2641</v>
      </c>
    </row>
    <row r="37" spans="1:14" x14ac:dyDescent="0.45">
      <c r="A37" s="735">
        <v>35</v>
      </c>
      <c r="B37" s="735">
        <v>27</v>
      </c>
      <c r="C37" s="735" t="s">
        <v>3</v>
      </c>
      <c r="D37" s="733" t="s">
        <v>83</v>
      </c>
      <c r="E37" s="733" t="s">
        <v>42</v>
      </c>
      <c r="F37" s="733" t="s">
        <v>1501</v>
      </c>
      <c r="G37" s="750">
        <v>33825</v>
      </c>
      <c r="H37" s="733" t="s">
        <v>84</v>
      </c>
      <c r="I37" s="733" t="s">
        <v>17</v>
      </c>
      <c r="J37" s="737" t="s">
        <v>9</v>
      </c>
      <c r="K37" s="738">
        <v>138</v>
      </c>
      <c r="L37" s="737">
        <v>674</v>
      </c>
      <c r="M37" s="737"/>
      <c r="N37" s="739" t="s">
        <v>10</v>
      </c>
    </row>
    <row r="38" spans="1:14" x14ac:dyDescent="0.45">
      <c r="A38" s="735">
        <v>36</v>
      </c>
      <c r="B38" s="735">
        <v>28</v>
      </c>
      <c r="C38" s="735" t="s">
        <v>3</v>
      </c>
      <c r="D38" s="733" t="s">
        <v>76</v>
      </c>
      <c r="E38" s="733" t="s">
        <v>21</v>
      </c>
      <c r="F38" s="733" t="s">
        <v>81</v>
      </c>
      <c r="G38" s="736">
        <v>33830</v>
      </c>
      <c r="H38" s="733" t="s">
        <v>85</v>
      </c>
      <c r="I38" s="733" t="s">
        <v>8</v>
      </c>
      <c r="J38" s="737" t="s">
        <v>52</v>
      </c>
      <c r="K38" s="738">
        <v>2</v>
      </c>
      <c r="L38" s="737">
        <v>145</v>
      </c>
      <c r="M38" s="737">
        <v>145</v>
      </c>
      <c r="N38" s="739" t="s">
        <v>10</v>
      </c>
    </row>
    <row r="39" spans="1:14" x14ac:dyDescent="0.45">
      <c r="A39" s="735">
        <v>37</v>
      </c>
      <c r="B39" s="735">
        <v>29</v>
      </c>
      <c r="C39" s="735" t="s">
        <v>3</v>
      </c>
      <c r="D39" s="733" t="s">
        <v>41</v>
      </c>
      <c r="E39" s="733" t="s">
        <v>86</v>
      </c>
      <c r="F39" s="733" t="s">
        <v>1502</v>
      </c>
      <c r="G39" s="736">
        <v>33883</v>
      </c>
      <c r="H39" s="733" t="s">
        <v>87</v>
      </c>
      <c r="I39" s="733" t="s">
        <v>17</v>
      </c>
      <c r="J39" s="737" t="s">
        <v>9</v>
      </c>
      <c r="K39" s="738">
        <v>138</v>
      </c>
      <c r="L39" s="737">
        <v>58</v>
      </c>
      <c r="M39" s="737">
        <v>732</v>
      </c>
      <c r="N39" s="739" t="s">
        <v>10</v>
      </c>
    </row>
    <row r="40" spans="1:14" ht="18" thickBot="1" x14ac:dyDescent="0.5">
      <c r="A40" s="740">
        <v>38</v>
      </c>
      <c r="B40" s="740">
        <v>30</v>
      </c>
      <c r="C40" s="740" t="s">
        <v>3</v>
      </c>
      <c r="D40" s="741" t="s">
        <v>76</v>
      </c>
      <c r="E40" s="741" t="s">
        <v>5</v>
      </c>
      <c r="F40" s="741" t="s">
        <v>88</v>
      </c>
      <c r="G40" s="742">
        <v>33959</v>
      </c>
      <c r="H40" s="741" t="s">
        <v>89</v>
      </c>
      <c r="I40" s="741" t="s">
        <v>8</v>
      </c>
      <c r="J40" s="743" t="s">
        <v>52</v>
      </c>
      <c r="K40" s="744">
        <v>2</v>
      </c>
      <c r="L40" s="743">
        <v>129</v>
      </c>
      <c r="M40" s="743">
        <v>129</v>
      </c>
      <c r="N40" s="751" t="s">
        <v>2206</v>
      </c>
    </row>
    <row r="41" spans="1:14" ht="18.600000000000001" thickTop="1" thickBot="1" x14ac:dyDescent="0.5">
      <c r="A41" s="712">
        <v>39</v>
      </c>
      <c r="B41" s="712">
        <v>31</v>
      </c>
      <c r="C41" s="712" t="s">
        <v>3</v>
      </c>
      <c r="D41" s="713" t="s">
        <v>41</v>
      </c>
      <c r="E41" s="713" t="s">
        <v>90</v>
      </c>
      <c r="F41" s="713" t="s">
        <v>1503</v>
      </c>
      <c r="G41" s="714">
        <v>34250</v>
      </c>
      <c r="H41" s="713" t="s">
        <v>84</v>
      </c>
      <c r="I41" s="713" t="s">
        <v>17</v>
      </c>
      <c r="J41" s="715" t="s">
        <v>9</v>
      </c>
      <c r="K41" s="716">
        <v>138</v>
      </c>
      <c r="L41" s="715">
        <v>367</v>
      </c>
      <c r="M41" s="715">
        <v>367</v>
      </c>
      <c r="N41" s="717" t="s">
        <v>10</v>
      </c>
    </row>
    <row r="42" spans="1:14" ht="18" thickTop="1" x14ac:dyDescent="0.45">
      <c r="A42" s="726">
        <v>40</v>
      </c>
      <c r="B42" s="726">
        <v>32</v>
      </c>
      <c r="C42" s="726" t="s">
        <v>3</v>
      </c>
      <c r="D42" s="727" t="s">
        <v>91</v>
      </c>
      <c r="E42" s="727" t="s">
        <v>42</v>
      </c>
      <c r="F42" s="727" t="s">
        <v>92</v>
      </c>
      <c r="G42" s="728">
        <v>34373</v>
      </c>
      <c r="H42" s="727" t="s">
        <v>93</v>
      </c>
      <c r="I42" s="727" t="s">
        <v>94</v>
      </c>
      <c r="J42" s="729" t="s">
        <v>52</v>
      </c>
      <c r="K42" s="730">
        <v>2</v>
      </c>
      <c r="L42" s="729">
        <v>414</v>
      </c>
      <c r="M42" s="729"/>
      <c r="N42" s="734" t="s">
        <v>10</v>
      </c>
    </row>
    <row r="43" spans="1:14" x14ac:dyDescent="0.45">
      <c r="A43" s="735">
        <v>41</v>
      </c>
      <c r="B43" s="735">
        <v>33</v>
      </c>
      <c r="C43" s="735" t="s">
        <v>3</v>
      </c>
      <c r="D43" s="733" t="s">
        <v>83</v>
      </c>
      <c r="E43" s="733" t="s">
        <v>45</v>
      </c>
      <c r="F43" s="733" t="s">
        <v>1506</v>
      </c>
      <c r="G43" s="736">
        <v>34518</v>
      </c>
      <c r="H43" s="733" t="s">
        <v>84</v>
      </c>
      <c r="I43" s="733" t="s">
        <v>17</v>
      </c>
      <c r="J43" s="737" t="s">
        <v>9</v>
      </c>
      <c r="K43" s="738">
        <v>138</v>
      </c>
      <c r="L43" s="737">
        <v>268</v>
      </c>
      <c r="M43" s="737">
        <v>693</v>
      </c>
      <c r="N43" s="739" t="s">
        <v>10</v>
      </c>
    </row>
    <row r="44" spans="1:14" x14ac:dyDescent="0.45">
      <c r="A44" s="735">
        <v>42</v>
      </c>
      <c r="B44" s="735">
        <v>34</v>
      </c>
      <c r="C44" s="735" t="s">
        <v>3</v>
      </c>
      <c r="D44" s="733" t="s">
        <v>48</v>
      </c>
      <c r="E44" s="733" t="s">
        <v>67</v>
      </c>
      <c r="F44" s="733" t="s">
        <v>1053</v>
      </c>
      <c r="G44" s="736">
        <v>34536</v>
      </c>
      <c r="H44" s="733" t="s">
        <v>95</v>
      </c>
      <c r="I44" s="733" t="s">
        <v>1188</v>
      </c>
      <c r="J44" s="737" t="s">
        <v>52</v>
      </c>
      <c r="K44" s="738">
        <v>3</v>
      </c>
      <c r="L44" s="737">
        <v>163</v>
      </c>
      <c r="M44" s="737">
        <v>936</v>
      </c>
      <c r="N44" s="739" t="s">
        <v>10</v>
      </c>
    </row>
    <row r="45" spans="1:14" x14ac:dyDescent="0.45">
      <c r="A45" s="735">
        <v>43</v>
      </c>
      <c r="B45" s="735">
        <v>35</v>
      </c>
      <c r="C45" s="735" t="s">
        <v>3</v>
      </c>
      <c r="D45" s="733" t="s">
        <v>76</v>
      </c>
      <c r="E45" s="733" t="s">
        <v>30</v>
      </c>
      <c r="F45" s="733" t="s">
        <v>96</v>
      </c>
      <c r="G45" s="736">
        <v>34574</v>
      </c>
      <c r="H45" s="733" t="s">
        <v>97</v>
      </c>
      <c r="I45" s="733" t="s">
        <v>8</v>
      </c>
      <c r="J45" s="737" t="s">
        <v>52</v>
      </c>
      <c r="K45" s="738">
        <v>2</v>
      </c>
      <c r="L45" s="737">
        <v>38</v>
      </c>
      <c r="M45" s="737">
        <v>615</v>
      </c>
      <c r="N45" s="739" t="s">
        <v>10</v>
      </c>
    </row>
    <row r="46" spans="1:14" ht="18" thickBot="1" x14ac:dyDescent="0.5">
      <c r="A46" s="740">
        <v>44</v>
      </c>
      <c r="B46" s="740">
        <v>36</v>
      </c>
      <c r="C46" s="740" t="s">
        <v>3</v>
      </c>
      <c r="D46" s="741" t="s">
        <v>91</v>
      </c>
      <c r="E46" s="741" t="s">
        <v>45</v>
      </c>
      <c r="F46" s="741" t="s">
        <v>98</v>
      </c>
      <c r="G46" s="742">
        <v>34668</v>
      </c>
      <c r="H46" s="741" t="s">
        <v>99</v>
      </c>
      <c r="I46" s="741" t="s">
        <v>51</v>
      </c>
      <c r="J46" s="743" t="s">
        <v>52</v>
      </c>
      <c r="K46" s="744">
        <v>2</v>
      </c>
      <c r="L46" s="743">
        <v>94</v>
      </c>
      <c r="M46" s="743">
        <v>295</v>
      </c>
      <c r="N46" s="745" t="s">
        <v>10</v>
      </c>
    </row>
    <row r="47" spans="1:14" ht="18" thickTop="1" x14ac:dyDescent="0.45">
      <c r="A47" s="726">
        <v>45</v>
      </c>
      <c r="B47" s="726">
        <v>37</v>
      </c>
      <c r="C47" s="726" t="s">
        <v>3</v>
      </c>
      <c r="D47" s="727" t="s">
        <v>76</v>
      </c>
      <c r="E47" s="727" t="s">
        <v>33</v>
      </c>
      <c r="F47" s="727" t="s">
        <v>1270</v>
      </c>
      <c r="G47" s="728">
        <v>34725</v>
      </c>
      <c r="H47" s="727" t="s">
        <v>100</v>
      </c>
      <c r="I47" s="727" t="s">
        <v>8</v>
      </c>
      <c r="J47" s="729" t="s">
        <v>52</v>
      </c>
      <c r="K47" s="730">
        <v>2</v>
      </c>
      <c r="L47" s="729">
        <v>57</v>
      </c>
      <c r="M47" s="729">
        <v>151</v>
      </c>
      <c r="N47" s="731" t="s">
        <v>18</v>
      </c>
    </row>
    <row r="48" spans="1:14" x14ac:dyDescent="0.45">
      <c r="A48" s="735">
        <v>46</v>
      </c>
      <c r="B48" s="735">
        <v>38</v>
      </c>
      <c r="C48" s="735" t="s">
        <v>3</v>
      </c>
      <c r="D48" s="733" t="s">
        <v>76</v>
      </c>
      <c r="E48" s="733" t="s">
        <v>63</v>
      </c>
      <c r="F48" s="733" t="s">
        <v>101</v>
      </c>
      <c r="G48" s="736">
        <v>35031</v>
      </c>
      <c r="H48" s="733" t="s">
        <v>102</v>
      </c>
      <c r="I48" s="733" t="s">
        <v>51</v>
      </c>
      <c r="J48" s="737" t="s">
        <v>52</v>
      </c>
      <c r="K48" s="738">
        <v>2</v>
      </c>
      <c r="L48" s="737">
        <v>306</v>
      </c>
      <c r="M48" s="737">
        <v>306</v>
      </c>
      <c r="N48" s="752" t="s">
        <v>1066</v>
      </c>
    </row>
    <row r="49" spans="1:16" ht="18" thickBot="1" x14ac:dyDescent="0.5">
      <c r="A49" s="740">
        <v>47</v>
      </c>
      <c r="B49" s="740">
        <v>39</v>
      </c>
      <c r="C49" s="740" t="s">
        <v>3</v>
      </c>
      <c r="D49" s="741" t="s">
        <v>76</v>
      </c>
      <c r="E49" s="741" t="s">
        <v>67</v>
      </c>
      <c r="F49" s="741" t="s">
        <v>103</v>
      </c>
      <c r="G49" s="753">
        <v>35061</v>
      </c>
      <c r="H49" s="741" t="s">
        <v>104</v>
      </c>
      <c r="I49" s="741" t="s">
        <v>51</v>
      </c>
      <c r="J49" s="743" t="s">
        <v>52</v>
      </c>
      <c r="K49" s="744">
        <v>2</v>
      </c>
      <c r="L49" s="743">
        <v>30</v>
      </c>
      <c r="M49" s="743">
        <v>30</v>
      </c>
      <c r="N49" s="717" t="s">
        <v>10</v>
      </c>
    </row>
    <row r="50" spans="1:16" ht="18" thickTop="1" x14ac:dyDescent="0.45">
      <c r="A50" s="726">
        <v>48</v>
      </c>
      <c r="B50" s="726">
        <v>40</v>
      </c>
      <c r="C50" s="726" t="s">
        <v>3</v>
      </c>
      <c r="D50" s="727" t="s">
        <v>105</v>
      </c>
      <c r="E50" s="727" t="s">
        <v>42</v>
      </c>
      <c r="F50" s="727" t="s">
        <v>106</v>
      </c>
      <c r="G50" s="728">
        <v>35110</v>
      </c>
      <c r="H50" s="727" t="s">
        <v>107</v>
      </c>
      <c r="I50" s="727" t="s">
        <v>51</v>
      </c>
      <c r="J50" s="729" t="s">
        <v>52</v>
      </c>
      <c r="K50" s="730">
        <v>2</v>
      </c>
      <c r="L50" s="729">
        <v>49</v>
      </c>
      <c r="M50" s="729"/>
      <c r="N50" s="731" t="s">
        <v>18</v>
      </c>
    </row>
    <row r="51" spans="1:16" x14ac:dyDescent="0.45">
      <c r="A51" s="735">
        <v>49</v>
      </c>
      <c r="B51" s="735">
        <v>41</v>
      </c>
      <c r="C51" s="735" t="s">
        <v>3</v>
      </c>
      <c r="D51" s="733" t="s">
        <v>48</v>
      </c>
      <c r="E51" s="733" t="s">
        <v>86</v>
      </c>
      <c r="F51" s="733" t="s">
        <v>1054</v>
      </c>
      <c r="G51" s="736">
        <v>35249</v>
      </c>
      <c r="H51" s="733" t="s">
        <v>108</v>
      </c>
      <c r="I51" s="733" t="s">
        <v>51</v>
      </c>
      <c r="J51" s="737" t="s">
        <v>52</v>
      </c>
      <c r="K51" s="738">
        <v>3</v>
      </c>
      <c r="L51" s="737">
        <v>139</v>
      </c>
      <c r="M51" s="737">
        <v>713</v>
      </c>
      <c r="N51" s="739" t="s">
        <v>10</v>
      </c>
    </row>
    <row r="52" spans="1:16" x14ac:dyDescent="0.45">
      <c r="A52" s="735">
        <v>50</v>
      </c>
      <c r="B52" s="735">
        <v>42</v>
      </c>
      <c r="C52" s="735" t="s">
        <v>3</v>
      </c>
      <c r="D52" s="733" t="s">
        <v>48</v>
      </c>
      <c r="E52" s="733" t="s">
        <v>109</v>
      </c>
      <c r="F52" s="733" t="s">
        <v>1064</v>
      </c>
      <c r="G52" s="736">
        <v>35295</v>
      </c>
      <c r="H52" s="733" t="s">
        <v>110</v>
      </c>
      <c r="I52" s="733" t="s">
        <v>51</v>
      </c>
      <c r="J52" s="737" t="s">
        <v>52</v>
      </c>
      <c r="K52" s="738">
        <v>3</v>
      </c>
      <c r="L52" s="737">
        <v>46</v>
      </c>
      <c r="M52" s="737">
        <v>46</v>
      </c>
      <c r="N52" s="746" t="s">
        <v>18</v>
      </c>
    </row>
    <row r="53" spans="1:16" ht="18" thickBot="1" x14ac:dyDescent="0.5">
      <c r="A53" s="740">
        <v>51</v>
      </c>
      <c r="B53" s="740">
        <v>43</v>
      </c>
      <c r="C53" s="740" t="s">
        <v>3</v>
      </c>
      <c r="D53" s="741" t="s">
        <v>83</v>
      </c>
      <c r="E53" s="741" t="s">
        <v>21</v>
      </c>
      <c r="F53" s="741" t="s">
        <v>1504</v>
      </c>
      <c r="G53" s="742">
        <v>35358</v>
      </c>
      <c r="H53" s="741" t="s">
        <v>111</v>
      </c>
      <c r="I53" s="741" t="s">
        <v>17</v>
      </c>
      <c r="J53" s="743" t="s">
        <v>9</v>
      </c>
      <c r="K53" s="744">
        <v>138</v>
      </c>
      <c r="L53" s="743">
        <v>840</v>
      </c>
      <c r="M53" s="743">
        <v>840</v>
      </c>
      <c r="N53" s="745" t="s">
        <v>10</v>
      </c>
    </row>
    <row r="54" spans="1:16" ht="18" thickTop="1" x14ac:dyDescent="0.45">
      <c r="A54" s="726">
        <v>52</v>
      </c>
      <c r="B54" s="726">
        <v>44</v>
      </c>
      <c r="C54" s="726" t="s">
        <v>3</v>
      </c>
      <c r="D54" s="727" t="s">
        <v>91</v>
      </c>
      <c r="E54" s="727" t="s">
        <v>21</v>
      </c>
      <c r="F54" s="727" t="s">
        <v>1044</v>
      </c>
      <c r="G54" s="728">
        <v>35562</v>
      </c>
      <c r="H54" s="727" t="s">
        <v>112</v>
      </c>
      <c r="I54" s="727" t="s">
        <v>51</v>
      </c>
      <c r="J54" s="729" t="s">
        <v>52</v>
      </c>
      <c r="K54" s="730">
        <v>2</v>
      </c>
      <c r="L54" s="729">
        <v>267</v>
      </c>
      <c r="M54" s="729">
        <v>894</v>
      </c>
      <c r="N54" s="734" t="s">
        <v>10</v>
      </c>
    </row>
    <row r="55" spans="1:16" x14ac:dyDescent="0.45">
      <c r="A55" s="735">
        <v>53</v>
      </c>
      <c r="B55" s="735">
        <v>45</v>
      </c>
      <c r="C55" s="735" t="s">
        <v>3</v>
      </c>
      <c r="D55" s="733" t="s">
        <v>48</v>
      </c>
      <c r="E55" s="733" t="s">
        <v>90</v>
      </c>
      <c r="F55" s="733" t="s">
        <v>2291</v>
      </c>
      <c r="G55" s="736">
        <v>35591</v>
      </c>
      <c r="H55" s="733" t="s">
        <v>113</v>
      </c>
      <c r="I55" s="733" t="s">
        <v>51</v>
      </c>
      <c r="J55" s="737" t="s">
        <v>52</v>
      </c>
      <c r="K55" s="738">
        <v>3</v>
      </c>
      <c r="L55" s="737">
        <v>29</v>
      </c>
      <c r="M55" s="737">
        <v>296</v>
      </c>
      <c r="N55" s="739" t="s">
        <v>10</v>
      </c>
    </row>
    <row r="56" spans="1:16" x14ac:dyDescent="0.45">
      <c r="A56" s="735">
        <v>54</v>
      </c>
      <c r="B56" s="735">
        <v>46</v>
      </c>
      <c r="C56" s="735" t="s">
        <v>3</v>
      </c>
      <c r="D56" s="733" t="s">
        <v>105</v>
      </c>
      <c r="E56" s="733" t="s">
        <v>45</v>
      </c>
      <c r="F56" s="733" t="s">
        <v>114</v>
      </c>
      <c r="G56" s="750">
        <v>35662</v>
      </c>
      <c r="H56" s="733" t="s">
        <v>115</v>
      </c>
      <c r="I56" s="733" t="s">
        <v>51</v>
      </c>
      <c r="J56" s="737" t="s">
        <v>52</v>
      </c>
      <c r="K56" s="738">
        <v>2</v>
      </c>
      <c r="L56" s="737">
        <v>71</v>
      </c>
      <c r="M56" s="737">
        <v>552</v>
      </c>
      <c r="N56" s="739" t="s">
        <v>10</v>
      </c>
    </row>
    <row r="57" spans="1:16" x14ac:dyDescent="0.45">
      <c r="A57" s="735">
        <v>55</v>
      </c>
      <c r="B57" s="735">
        <v>47</v>
      </c>
      <c r="C57" s="735" t="s">
        <v>3</v>
      </c>
      <c r="D57" s="733" t="s">
        <v>41</v>
      </c>
      <c r="E57" s="733" t="s">
        <v>42</v>
      </c>
      <c r="F57" s="733" t="s">
        <v>116</v>
      </c>
      <c r="G57" s="736">
        <v>35674</v>
      </c>
      <c r="H57" s="733" t="s">
        <v>117</v>
      </c>
      <c r="I57" s="733" t="s">
        <v>17</v>
      </c>
      <c r="J57" s="737" t="s">
        <v>71</v>
      </c>
      <c r="K57" s="738">
        <v>7</v>
      </c>
      <c r="L57" s="737">
        <v>2555</v>
      </c>
      <c r="M57" s="737">
        <v>1424</v>
      </c>
      <c r="N57" s="739" t="s">
        <v>10</v>
      </c>
      <c r="O57" s="718" t="s">
        <v>2147</v>
      </c>
      <c r="P57" s="718"/>
    </row>
    <row r="58" spans="1:16" x14ac:dyDescent="0.45">
      <c r="A58" s="735">
        <v>56</v>
      </c>
      <c r="B58" s="735">
        <v>48</v>
      </c>
      <c r="C58" s="735" t="s">
        <v>3</v>
      </c>
      <c r="D58" s="733" t="s">
        <v>105</v>
      </c>
      <c r="E58" s="733" t="s">
        <v>21</v>
      </c>
      <c r="F58" s="733" t="s">
        <v>118</v>
      </c>
      <c r="G58" s="750">
        <v>35720</v>
      </c>
      <c r="H58" s="733" t="s">
        <v>119</v>
      </c>
      <c r="I58" s="733" t="s">
        <v>51</v>
      </c>
      <c r="J58" s="737" t="s">
        <v>52</v>
      </c>
      <c r="K58" s="738">
        <v>2</v>
      </c>
      <c r="L58" s="737">
        <v>58</v>
      </c>
      <c r="M58" s="737">
        <v>58</v>
      </c>
      <c r="N58" s="739" t="s">
        <v>10</v>
      </c>
      <c r="P58" s="718"/>
    </row>
    <row r="59" spans="1:16" ht="18" thickBot="1" x14ac:dyDescent="0.5">
      <c r="A59" s="740">
        <v>57</v>
      </c>
      <c r="B59" s="740">
        <v>49</v>
      </c>
      <c r="C59" s="740" t="s">
        <v>3</v>
      </c>
      <c r="D59" s="741" t="s">
        <v>41</v>
      </c>
      <c r="E59" s="741" t="s">
        <v>45</v>
      </c>
      <c r="F59" s="741" t="s">
        <v>120</v>
      </c>
      <c r="G59" s="742">
        <v>35772</v>
      </c>
      <c r="H59" s="741" t="s">
        <v>121</v>
      </c>
      <c r="I59" s="741" t="s">
        <v>17</v>
      </c>
      <c r="J59" s="743" t="s">
        <v>71</v>
      </c>
      <c r="K59" s="744">
        <v>7</v>
      </c>
      <c r="L59" s="743">
        <v>98</v>
      </c>
      <c r="M59" s="743">
        <v>98</v>
      </c>
      <c r="N59" s="745" t="s">
        <v>10</v>
      </c>
      <c r="O59" s="718" t="s">
        <v>2147</v>
      </c>
      <c r="P59" s="718"/>
    </row>
    <row r="60" spans="1:16" ht="18" thickTop="1" x14ac:dyDescent="0.45">
      <c r="A60" s="726">
        <v>58</v>
      </c>
      <c r="B60" s="726">
        <v>50</v>
      </c>
      <c r="C60" s="726" t="s">
        <v>3</v>
      </c>
      <c r="D60" s="727" t="s">
        <v>41</v>
      </c>
      <c r="E60" s="727" t="s">
        <v>21</v>
      </c>
      <c r="F60" s="727" t="s">
        <v>122</v>
      </c>
      <c r="G60" s="728">
        <v>35880</v>
      </c>
      <c r="H60" s="727" t="s">
        <v>123</v>
      </c>
      <c r="I60" s="727" t="s">
        <v>17</v>
      </c>
      <c r="J60" s="729" t="s">
        <v>71</v>
      </c>
      <c r="K60" s="730">
        <v>7</v>
      </c>
      <c r="L60" s="729">
        <v>108</v>
      </c>
      <c r="M60" s="729">
        <v>108</v>
      </c>
      <c r="N60" s="734" t="s">
        <v>10</v>
      </c>
      <c r="O60" s="718" t="s">
        <v>2147</v>
      </c>
      <c r="P60" s="718"/>
    </row>
    <row r="61" spans="1:16" x14ac:dyDescent="0.45">
      <c r="A61" s="735">
        <v>59</v>
      </c>
      <c r="B61" s="735">
        <v>51</v>
      </c>
      <c r="C61" s="735" t="s">
        <v>3</v>
      </c>
      <c r="D61" s="733" t="s">
        <v>41</v>
      </c>
      <c r="E61" s="733" t="s">
        <v>5</v>
      </c>
      <c r="F61" s="733" t="s">
        <v>124</v>
      </c>
      <c r="G61" s="736">
        <v>35917</v>
      </c>
      <c r="H61" s="733" t="s">
        <v>125</v>
      </c>
      <c r="I61" s="733" t="s">
        <v>17</v>
      </c>
      <c r="J61" s="737" t="s">
        <v>71</v>
      </c>
      <c r="K61" s="738">
        <v>7</v>
      </c>
      <c r="L61" s="737">
        <v>37</v>
      </c>
      <c r="M61" s="737">
        <v>37</v>
      </c>
      <c r="N61" s="739" t="s">
        <v>10</v>
      </c>
      <c r="O61" s="718" t="s">
        <v>2147</v>
      </c>
      <c r="P61" s="718"/>
    </row>
    <row r="62" spans="1:16" x14ac:dyDescent="0.45">
      <c r="A62" s="735">
        <v>60</v>
      </c>
      <c r="B62" s="735">
        <v>52</v>
      </c>
      <c r="C62" s="735" t="s">
        <v>3</v>
      </c>
      <c r="D62" s="733" t="s">
        <v>105</v>
      </c>
      <c r="E62" s="733" t="s">
        <v>30</v>
      </c>
      <c r="F62" s="733" t="s">
        <v>1055</v>
      </c>
      <c r="G62" s="750">
        <v>35945</v>
      </c>
      <c r="H62" s="733" t="s">
        <v>126</v>
      </c>
      <c r="I62" s="733" t="s">
        <v>51</v>
      </c>
      <c r="J62" s="737" t="s">
        <v>52</v>
      </c>
      <c r="K62" s="738">
        <v>2</v>
      </c>
      <c r="L62" s="737">
        <v>225</v>
      </c>
      <c r="M62" s="737">
        <v>225</v>
      </c>
      <c r="N62" s="739" t="s">
        <v>10</v>
      </c>
      <c r="P62" s="718"/>
    </row>
    <row r="63" spans="1:16" x14ac:dyDescent="0.45">
      <c r="A63" s="735">
        <v>61</v>
      </c>
      <c r="B63" s="735">
        <v>53</v>
      </c>
      <c r="C63" s="735" t="s">
        <v>3</v>
      </c>
      <c r="D63" s="733" t="s">
        <v>105</v>
      </c>
      <c r="E63" s="733" t="s">
        <v>5</v>
      </c>
      <c r="F63" s="733" t="s">
        <v>1043</v>
      </c>
      <c r="G63" s="736">
        <v>35994</v>
      </c>
      <c r="H63" s="733" t="s">
        <v>127</v>
      </c>
      <c r="I63" s="733" t="s">
        <v>51</v>
      </c>
      <c r="J63" s="737" t="s">
        <v>52</v>
      </c>
      <c r="K63" s="738">
        <v>2</v>
      </c>
      <c r="L63" s="737">
        <v>49</v>
      </c>
      <c r="M63" s="737">
        <v>49</v>
      </c>
      <c r="N63" s="739" t="s">
        <v>10</v>
      </c>
      <c r="P63" s="718"/>
    </row>
    <row r="64" spans="1:16" x14ac:dyDescent="0.45">
      <c r="A64" s="735">
        <v>62</v>
      </c>
      <c r="B64" s="735">
        <v>54</v>
      </c>
      <c r="C64" s="735" t="s">
        <v>3</v>
      </c>
      <c r="D64" s="733" t="s">
        <v>41</v>
      </c>
      <c r="E64" s="733" t="s">
        <v>30</v>
      </c>
      <c r="F64" s="733" t="s">
        <v>128</v>
      </c>
      <c r="G64" s="736">
        <v>36027</v>
      </c>
      <c r="H64" s="733" t="s">
        <v>129</v>
      </c>
      <c r="I64" s="733" t="s">
        <v>17</v>
      </c>
      <c r="J64" s="737" t="s">
        <v>71</v>
      </c>
      <c r="K64" s="738">
        <v>7</v>
      </c>
      <c r="L64" s="737">
        <v>110</v>
      </c>
      <c r="M64" s="737">
        <v>110</v>
      </c>
      <c r="N64" s="739" t="s">
        <v>10</v>
      </c>
      <c r="O64" s="718" t="s">
        <v>2147</v>
      </c>
      <c r="P64" s="718"/>
    </row>
    <row r="65" spans="1:16" ht="18" thickBot="1" x14ac:dyDescent="0.5">
      <c r="A65" s="740">
        <v>63</v>
      </c>
      <c r="B65" s="740">
        <v>55</v>
      </c>
      <c r="C65" s="740" t="s">
        <v>3</v>
      </c>
      <c r="D65" s="741" t="s">
        <v>41</v>
      </c>
      <c r="E65" s="741" t="s">
        <v>33</v>
      </c>
      <c r="F65" s="741" t="s">
        <v>130</v>
      </c>
      <c r="G65" s="742">
        <v>36148</v>
      </c>
      <c r="H65" s="741" t="s">
        <v>131</v>
      </c>
      <c r="I65" s="741" t="s">
        <v>17</v>
      </c>
      <c r="J65" s="743" t="s">
        <v>71</v>
      </c>
      <c r="K65" s="744">
        <v>7</v>
      </c>
      <c r="L65" s="743">
        <v>121</v>
      </c>
      <c r="M65" s="743">
        <v>121</v>
      </c>
      <c r="N65" s="745" t="s">
        <v>10</v>
      </c>
      <c r="O65" s="718" t="s">
        <v>2147</v>
      </c>
      <c r="P65" s="718"/>
    </row>
    <row r="66" spans="1:16" ht="18" thickTop="1" x14ac:dyDescent="0.45">
      <c r="A66" s="726">
        <v>64</v>
      </c>
      <c r="B66" s="726">
        <v>56</v>
      </c>
      <c r="C66" s="726" t="s">
        <v>3</v>
      </c>
      <c r="D66" s="727" t="s">
        <v>132</v>
      </c>
      <c r="E66" s="727" t="s">
        <v>45</v>
      </c>
      <c r="F66" s="727" t="s">
        <v>2339</v>
      </c>
      <c r="G66" s="728">
        <v>36290</v>
      </c>
      <c r="H66" s="727" t="s">
        <v>133</v>
      </c>
      <c r="I66" s="727" t="s">
        <v>70</v>
      </c>
      <c r="J66" s="729" t="s">
        <v>71</v>
      </c>
      <c r="K66" s="730">
        <v>7</v>
      </c>
      <c r="L66" s="729">
        <v>142</v>
      </c>
      <c r="M66" s="729"/>
      <c r="N66" s="734" t="s">
        <v>10</v>
      </c>
      <c r="P66" s="718"/>
    </row>
    <row r="67" spans="1:16" x14ac:dyDescent="0.45">
      <c r="A67" s="735">
        <v>65</v>
      </c>
      <c r="B67" s="735">
        <v>57</v>
      </c>
      <c r="C67" s="735" t="s">
        <v>3</v>
      </c>
      <c r="D67" s="733" t="s">
        <v>41</v>
      </c>
      <c r="E67" s="733" t="s">
        <v>63</v>
      </c>
      <c r="F67" s="733" t="s">
        <v>134</v>
      </c>
      <c r="G67" s="750">
        <v>36323</v>
      </c>
      <c r="H67" s="733" t="s">
        <v>135</v>
      </c>
      <c r="I67" s="733" t="s">
        <v>17</v>
      </c>
      <c r="J67" s="737" t="s">
        <v>71</v>
      </c>
      <c r="K67" s="738">
        <v>7</v>
      </c>
      <c r="L67" s="737">
        <v>33</v>
      </c>
      <c r="M67" s="737">
        <v>175</v>
      </c>
      <c r="N67" s="739" t="s">
        <v>10</v>
      </c>
      <c r="O67" s="718" t="s">
        <v>2147</v>
      </c>
      <c r="P67" s="718"/>
    </row>
    <row r="68" spans="1:16" x14ac:dyDescent="0.45">
      <c r="A68" s="735">
        <v>66</v>
      </c>
      <c r="B68" s="735">
        <v>58</v>
      </c>
      <c r="C68" s="735" t="s">
        <v>3</v>
      </c>
      <c r="D68" s="733" t="s">
        <v>132</v>
      </c>
      <c r="E68" s="733" t="s">
        <v>42</v>
      </c>
      <c r="F68" s="733" t="s">
        <v>136</v>
      </c>
      <c r="G68" s="736">
        <v>36447</v>
      </c>
      <c r="H68" s="733" t="s">
        <v>137</v>
      </c>
      <c r="I68" s="733" t="s">
        <v>70</v>
      </c>
      <c r="J68" s="737" t="s">
        <v>71</v>
      </c>
      <c r="K68" s="738">
        <v>7</v>
      </c>
      <c r="L68" s="737">
        <v>124</v>
      </c>
      <c r="M68" s="737">
        <v>157</v>
      </c>
      <c r="N68" s="739" t="s">
        <v>10</v>
      </c>
    </row>
    <row r="69" spans="1:16" ht="18" thickBot="1" x14ac:dyDescent="0.5">
      <c r="A69" s="740">
        <v>67</v>
      </c>
      <c r="B69" s="740">
        <v>59</v>
      </c>
      <c r="C69" s="740" t="s">
        <v>3</v>
      </c>
      <c r="D69" s="741" t="s">
        <v>138</v>
      </c>
      <c r="E69" s="741" t="s">
        <v>42</v>
      </c>
      <c r="F69" s="741" t="s">
        <v>139</v>
      </c>
      <c r="G69" s="742">
        <v>36484</v>
      </c>
      <c r="H69" s="741" t="s">
        <v>140</v>
      </c>
      <c r="I69" s="741" t="s">
        <v>17</v>
      </c>
      <c r="J69" s="743" t="s">
        <v>9</v>
      </c>
      <c r="K69" s="744" t="s">
        <v>1820</v>
      </c>
      <c r="L69" s="743">
        <v>1126</v>
      </c>
      <c r="M69" s="743"/>
      <c r="N69" s="745" t="s">
        <v>10</v>
      </c>
    </row>
    <row r="70" spans="1:16" ht="18" thickTop="1" x14ac:dyDescent="0.45">
      <c r="A70" s="726">
        <v>68</v>
      </c>
      <c r="B70" s="726">
        <v>60</v>
      </c>
      <c r="C70" s="726" t="s">
        <v>3</v>
      </c>
      <c r="D70" s="727" t="s">
        <v>91</v>
      </c>
      <c r="E70" s="727" t="s">
        <v>5</v>
      </c>
      <c r="F70" s="727" t="s">
        <v>1057</v>
      </c>
      <c r="G70" s="728">
        <v>36551</v>
      </c>
      <c r="H70" s="727" t="s">
        <v>141</v>
      </c>
      <c r="I70" s="727" t="s">
        <v>51</v>
      </c>
      <c r="J70" s="729" t="s">
        <v>52</v>
      </c>
      <c r="K70" s="730">
        <v>2</v>
      </c>
      <c r="L70" s="729">
        <v>557</v>
      </c>
      <c r="M70" s="729">
        <v>989</v>
      </c>
      <c r="N70" s="734" t="s">
        <v>10</v>
      </c>
    </row>
    <row r="71" spans="1:16" x14ac:dyDescent="0.45">
      <c r="A71" s="735">
        <v>69</v>
      </c>
      <c r="B71" s="735">
        <v>61</v>
      </c>
      <c r="C71" s="735" t="s">
        <v>3</v>
      </c>
      <c r="D71" s="733" t="s">
        <v>48</v>
      </c>
      <c r="E71" s="733" t="s">
        <v>142</v>
      </c>
      <c r="F71" s="733" t="s">
        <v>2292</v>
      </c>
      <c r="G71" s="736">
        <v>36702</v>
      </c>
      <c r="H71" s="733" t="s">
        <v>104</v>
      </c>
      <c r="I71" s="733" t="s">
        <v>51</v>
      </c>
      <c r="J71" s="737" t="s">
        <v>52</v>
      </c>
      <c r="K71" s="738">
        <v>3</v>
      </c>
      <c r="L71" s="737">
        <v>151</v>
      </c>
      <c r="M71" s="737">
        <v>1111</v>
      </c>
      <c r="N71" s="739" t="s">
        <v>10</v>
      </c>
    </row>
    <row r="72" spans="1:16" x14ac:dyDescent="0.45">
      <c r="A72" s="735">
        <v>70</v>
      </c>
      <c r="B72" s="735">
        <v>62</v>
      </c>
      <c r="C72" s="735" t="s">
        <v>3</v>
      </c>
      <c r="D72" s="733" t="s">
        <v>132</v>
      </c>
      <c r="E72" s="733" t="s">
        <v>21</v>
      </c>
      <c r="F72" s="733" t="s">
        <v>1284</v>
      </c>
      <c r="G72" s="736">
        <v>36770</v>
      </c>
      <c r="H72" s="733" t="s">
        <v>143</v>
      </c>
      <c r="I72" s="733" t="s">
        <v>70</v>
      </c>
      <c r="J72" s="737" t="s">
        <v>71</v>
      </c>
      <c r="K72" s="738">
        <v>7</v>
      </c>
      <c r="L72" s="737">
        <v>323</v>
      </c>
      <c r="M72" s="737">
        <v>323</v>
      </c>
      <c r="N72" s="739" t="s">
        <v>10</v>
      </c>
    </row>
    <row r="73" spans="1:16" x14ac:dyDescent="0.45">
      <c r="A73" s="735">
        <v>71</v>
      </c>
      <c r="B73" s="735">
        <v>63</v>
      </c>
      <c r="C73" s="735" t="s">
        <v>3</v>
      </c>
      <c r="D73" s="733" t="s">
        <v>91</v>
      </c>
      <c r="E73" s="733" t="s">
        <v>30</v>
      </c>
      <c r="F73" s="733" t="s">
        <v>1469</v>
      </c>
      <c r="G73" s="736">
        <v>36830</v>
      </c>
      <c r="H73" s="733" t="s">
        <v>144</v>
      </c>
      <c r="I73" s="733" t="s">
        <v>51</v>
      </c>
      <c r="J73" s="737" t="s">
        <v>52</v>
      </c>
      <c r="K73" s="738">
        <v>2</v>
      </c>
      <c r="L73" s="737">
        <v>128</v>
      </c>
      <c r="M73" s="737">
        <v>279</v>
      </c>
      <c r="N73" s="739" t="s">
        <v>10</v>
      </c>
    </row>
    <row r="74" spans="1:16" ht="18" thickBot="1" x14ac:dyDescent="0.5">
      <c r="A74" s="740">
        <v>72</v>
      </c>
      <c r="B74" s="740">
        <v>64</v>
      </c>
      <c r="C74" s="740" t="s">
        <v>3</v>
      </c>
      <c r="D74" s="741" t="s">
        <v>91</v>
      </c>
      <c r="E74" s="741" t="s">
        <v>33</v>
      </c>
      <c r="F74" s="741" t="s">
        <v>1470</v>
      </c>
      <c r="G74" s="742">
        <v>36881</v>
      </c>
      <c r="H74" s="741" t="s">
        <v>145</v>
      </c>
      <c r="I74" s="741" t="s">
        <v>51</v>
      </c>
      <c r="J74" s="743" t="s">
        <v>52</v>
      </c>
      <c r="K74" s="744">
        <v>2</v>
      </c>
      <c r="L74" s="743">
        <v>51</v>
      </c>
      <c r="M74" s="743">
        <v>51</v>
      </c>
      <c r="N74" s="745" t="s">
        <v>10</v>
      </c>
    </row>
    <row r="75" spans="1:16" ht="18.600000000000001" thickTop="1" thickBot="1" x14ac:dyDescent="0.5">
      <c r="A75" s="712">
        <v>73</v>
      </c>
      <c r="B75" s="712">
        <v>65</v>
      </c>
      <c r="C75" s="712" t="s">
        <v>3</v>
      </c>
      <c r="D75" s="713" t="s">
        <v>138</v>
      </c>
      <c r="E75" s="713" t="s">
        <v>45</v>
      </c>
      <c r="F75" s="713" t="s">
        <v>146</v>
      </c>
      <c r="G75" s="754">
        <v>36901</v>
      </c>
      <c r="H75" s="713" t="s">
        <v>147</v>
      </c>
      <c r="I75" s="713" t="s">
        <v>17</v>
      </c>
      <c r="J75" s="715" t="s">
        <v>9</v>
      </c>
      <c r="K75" s="716" t="s">
        <v>1819</v>
      </c>
      <c r="L75" s="715">
        <v>417</v>
      </c>
      <c r="M75" s="715">
        <v>417</v>
      </c>
      <c r="N75" s="717" t="s">
        <v>10</v>
      </c>
    </row>
    <row r="76" spans="1:16" ht="18" thickTop="1" x14ac:dyDescent="0.45">
      <c r="A76" s="726">
        <v>74</v>
      </c>
      <c r="B76" s="726">
        <v>66</v>
      </c>
      <c r="C76" s="726" t="s">
        <v>3</v>
      </c>
      <c r="D76" s="727" t="s">
        <v>138</v>
      </c>
      <c r="E76" s="727" t="s">
        <v>21</v>
      </c>
      <c r="F76" s="727" t="s">
        <v>148</v>
      </c>
      <c r="G76" s="728">
        <v>37340</v>
      </c>
      <c r="H76" s="727" t="s">
        <v>149</v>
      </c>
      <c r="I76" s="727" t="s">
        <v>17</v>
      </c>
      <c r="J76" s="729" t="s">
        <v>9</v>
      </c>
      <c r="K76" s="730" t="s">
        <v>1819</v>
      </c>
      <c r="L76" s="729">
        <v>439</v>
      </c>
      <c r="M76" s="729">
        <v>439</v>
      </c>
      <c r="N76" s="734" t="s">
        <v>10</v>
      </c>
    </row>
    <row r="77" spans="1:16" x14ac:dyDescent="0.45">
      <c r="A77" s="735">
        <v>75</v>
      </c>
      <c r="B77" s="735">
        <v>67</v>
      </c>
      <c r="C77" s="735" t="s">
        <v>3</v>
      </c>
      <c r="D77" s="733" t="s">
        <v>132</v>
      </c>
      <c r="E77" s="733" t="s">
        <v>30</v>
      </c>
      <c r="F77" s="733" t="s">
        <v>2340</v>
      </c>
      <c r="G77" s="736">
        <v>37391</v>
      </c>
      <c r="H77" s="733" t="s">
        <v>150</v>
      </c>
      <c r="I77" s="733" t="s">
        <v>70</v>
      </c>
      <c r="J77" s="737" t="s">
        <v>71</v>
      </c>
      <c r="K77" s="738">
        <v>7</v>
      </c>
      <c r="L77" s="737">
        <v>621</v>
      </c>
      <c r="M77" s="737">
        <v>621</v>
      </c>
      <c r="N77" s="739" t="s">
        <v>10</v>
      </c>
    </row>
    <row r="78" spans="1:16" x14ac:dyDescent="0.45">
      <c r="A78" s="735">
        <v>76</v>
      </c>
      <c r="B78" s="735" t="s">
        <v>3</v>
      </c>
      <c r="C78" s="735">
        <v>9</v>
      </c>
      <c r="D78" s="733" t="s">
        <v>151</v>
      </c>
      <c r="E78" s="755" t="s">
        <v>42</v>
      </c>
      <c r="F78" s="733" t="s">
        <v>152</v>
      </c>
      <c r="G78" s="736">
        <v>37514</v>
      </c>
      <c r="H78" s="733" t="s">
        <v>153</v>
      </c>
      <c r="I78" s="733" t="s">
        <v>2195</v>
      </c>
      <c r="J78" s="737" t="s">
        <v>71</v>
      </c>
      <c r="K78" s="738">
        <v>1</v>
      </c>
      <c r="L78" s="737">
        <v>123</v>
      </c>
      <c r="M78" s="737"/>
      <c r="N78" s="746" t="s">
        <v>18</v>
      </c>
    </row>
    <row r="79" spans="1:16" x14ac:dyDescent="0.45">
      <c r="A79" s="735">
        <v>77</v>
      </c>
      <c r="B79" s="735">
        <v>68</v>
      </c>
      <c r="C79" s="735" t="s">
        <v>3</v>
      </c>
      <c r="D79" s="733" t="s">
        <v>132</v>
      </c>
      <c r="E79" s="733" t="s">
        <v>33</v>
      </c>
      <c r="F79" s="733" t="s">
        <v>1285</v>
      </c>
      <c r="G79" s="736">
        <v>37556</v>
      </c>
      <c r="H79" s="733" t="s">
        <v>154</v>
      </c>
      <c r="I79" s="733" t="s">
        <v>70</v>
      </c>
      <c r="J79" s="737" t="s">
        <v>71</v>
      </c>
      <c r="K79" s="738">
        <v>7</v>
      </c>
      <c r="L79" s="737">
        <v>42</v>
      </c>
      <c r="M79" s="737">
        <v>165</v>
      </c>
      <c r="N79" s="739" t="s">
        <v>10</v>
      </c>
    </row>
    <row r="80" spans="1:16" ht="18" thickBot="1" x14ac:dyDescent="0.5">
      <c r="A80" s="740">
        <v>78</v>
      </c>
      <c r="B80" s="740">
        <v>69</v>
      </c>
      <c r="C80" s="740" t="s">
        <v>3</v>
      </c>
      <c r="D80" s="741" t="s">
        <v>138</v>
      </c>
      <c r="E80" s="741" t="s">
        <v>5</v>
      </c>
      <c r="F80" s="741" t="s">
        <v>155</v>
      </c>
      <c r="G80" s="742">
        <v>37620</v>
      </c>
      <c r="H80" s="741" t="s">
        <v>156</v>
      </c>
      <c r="I80" s="741" t="s">
        <v>17</v>
      </c>
      <c r="J80" s="743" t="s">
        <v>9</v>
      </c>
      <c r="K80" s="744" t="s">
        <v>1819</v>
      </c>
      <c r="L80" s="743">
        <v>280</v>
      </c>
      <c r="M80" s="743">
        <v>280</v>
      </c>
      <c r="N80" s="745" t="s">
        <v>10</v>
      </c>
    </row>
    <row r="81" spans="1:16" ht="18" thickTop="1" x14ac:dyDescent="0.45">
      <c r="A81" s="726">
        <v>79</v>
      </c>
      <c r="B81" s="726">
        <v>70</v>
      </c>
      <c r="C81" s="726" t="s">
        <v>3</v>
      </c>
      <c r="D81" s="727" t="s">
        <v>91</v>
      </c>
      <c r="E81" s="727" t="s">
        <v>63</v>
      </c>
      <c r="F81" s="727" t="s">
        <v>1471</v>
      </c>
      <c r="G81" s="728">
        <v>37766</v>
      </c>
      <c r="H81" s="727" t="s">
        <v>157</v>
      </c>
      <c r="I81" s="727" t="s">
        <v>51</v>
      </c>
      <c r="J81" s="729" t="s">
        <v>52</v>
      </c>
      <c r="K81" s="730">
        <v>2</v>
      </c>
      <c r="L81" s="729">
        <v>885</v>
      </c>
      <c r="M81" s="729">
        <v>885</v>
      </c>
      <c r="N81" s="734" t="s">
        <v>10</v>
      </c>
    </row>
    <row r="82" spans="1:16" x14ac:dyDescent="0.45">
      <c r="A82" s="735">
        <v>80</v>
      </c>
      <c r="B82" s="735" t="s">
        <v>3</v>
      </c>
      <c r="C82" s="735">
        <v>10</v>
      </c>
      <c r="D82" s="733" t="s">
        <v>151</v>
      </c>
      <c r="E82" s="733" t="s">
        <v>45</v>
      </c>
      <c r="F82" s="733" t="s">
        <v>158</v>
      </c>
      <c r="G82" s="736">
        <v>37880</v>
      </c>
      <c r="H82" s="733"/>
      <c r="I82" s="733" t="s">
        <v>2195</v>
      </c>
      <c r="J82" s="737" t="s">
        <v>71</v>
      </c>
      <c r="K82" s="738">
        <v>1</v>
      </c>
      <c r="L82" s="737">
        <v>324</v>
      </c>
      <c r="M82" s="737">
        <v>366</v>
      </c>
      <c r="N82" s="746" t="s">
        <v>18</v>
      </c>
    </row>
    <row r="83" spans="1:16" x14ac:dyDescent="0.45">
      <c r="A83" s="735">
        <v>81</v>
      </c>
      <c r="B83" s="735">
        <v>71</v>
      </c>
      <c r="C83" s="735" t="s">
        <v>3</v>
      </c>
      <c r="D83" s="733" t="s">
        <v>138</v>
      </c>
      <c r="E83" s="733" t="s">
        <v>30</v>
      </c>
      <c r="F83" s="733" t="s">
        <v>3098</v>
      </c>
      <c r="G83" s="736">
        <v>37909</v>
      </c>
      <c r="H83" s="733" t="s">
        <v>159</v>
      </c>
      <c r="I83" s="733" t="s">
        <v>17</v>
      </c>
      <c r="J83" s="737" t="s">
        <v>9</v>
      </c>
      <c r="K83" s="738" t="s">
        <v>1819</v>
      </c>
      <c r="L83" s="737">
        <v>289</v>
      </c>
      <c r="M83" s="737">
        <v>289</v>
      </c>
      <c r="N83" s="739" t="s">
        <v>10</v>
      </c>
    </row>
    <row r="84" spans="1:16" x14ac:dyDescent="0.45">
      <c r="A84" s="735">
        <v>82</v>
      </c>
      <c r="B84" s="735">
        <v>72</v>
      </c>
      <c r="C84" s="735" t="s">
        <v>3</v>
      </c>
      <c r="D84" s="733" t="s">
        <v>132</v>
      </c>
      <c r="E84" s="733" t="s">
        <v>5</v>
      </c>
      <c r="F84" s="733" t="s">
        <v>2326</v>
      </c>
      <c r="G84" s="736">
        <v>37915</v>
      </c>
      <c r="H84" s="733" t="s">
        <v>137</v>
      </c>
      <c r="I84" s="733" t="s">
        <v>70</v>
      </c>
      <c r="J84" s="737" t="s">
        <v>71</v>
      </c>
      <c r="K84" s="738">
        <v>7</v>
      </c>
      <c r="L84" s="737">
        <v>35</v>
      </c>
      <c r="M84" s="737">
        <v>359</v>
      </c>
      <c r="N84" s="739" t="s">
        <v>10</v>
      </c>
    </row>
    <row r="85" spans="1:16" x14ac:dyDescent="0.45">
      <c r="A85" s="735">
        <v>83</v>
      </c>
      <c r="B85" s="735">
        <v>73</v>
      </c>
      <c r="C85" s="735" t="s">
        <v>3</v>
      </c>
      <c r="D85" s="733" t="s">
        <v>83</v>
      </c>
      <c r="E85" s="733" t="s">
        <v>5</v>
      </c>
      <c r="F85" s="733" t="s">
        <v>1505</v>
      </c>
      <c r="G85" s="736">
        <v>37928</v>
      </c>
      <c r="H85" s="733" t="s">
        <v>160</v>
      </c>
      <c r="I85" s="733" t="s">
        <v>17</v>
      </c>
      <c r="J85" s="737" t="s">
        <v>9</v>
      </c>
      <c r="K85" s="738">
        <v>94</v>
      </c>
      <c r="L85" s="737">
        <v>19</v>
      </c>
      <c r="M85" s="737">
        <v>2570</v>
      </c>
      <c r="N85" s="739" t="s">
        <v>10</v>
      </c>
    </row>
    <row r="86" spans="1:16" x14ac:dyDescent="0.45">
      <c r="A86" s="735">
        <v>84</v>
      </c>
      <c r="B86" s="735">
        <v>74</v>
      </c>
      <c r="C86" s="735" t="s">
        <v>3</v>
      </c>
      <c r="D86" s="733" t="s">
        <v>91</v>
      </c>
      <c r="E86" s="733" t="s">
        <v>67</v>
      </c>
      <c r="F86" s="733" t="s">
        <v>1058</v>
      </c>
      <c r="G86" s="736">
        <v>37940</v>
      </c>
      <c r="H86" s="733" t="s">
        <v>161</v>
      </c>
      <c r="I86" s="733" t="s">
        <v>51</v>
      </c>
      <c r="J86" s="737" t="s">
        <v>52</v>
      </c>
      <c r="K86" s="738">
        <v>2</v>
      </c>
      <c r="L86" s="737">
        <v>174</v>
      </c>
      <c r="M86" s="737">
        <v>174</v>
      </c>
      <c r="N86" s="739" t="s">
        <v>10</v>
      </c>
    </row>
    <row r="87" spans="1:16" ht="18" thickBot="1" x14ac:dyDescent="0.5">
      <c r="A87" s="740">
        <v>85</v>
      </c>
      <c r="B87" s="740">
        <v>75</v>
      </c>
      <c r="C87" s="740" t="s">
        <v>3</v>
      </c>
      <c r="D87" s="741" t="s">
        <v>41</v>
      </c>
      <c r="E87" s="741" t="s">
        <v>42</v>
      </c>
      <c r="F87" s="741" t="s">
        <v>162</v>
      </c>
      <c r="G87" s="742">
        <v>37985</v>
      </c>
      <c r="H87" s="741" t="s">
        <v>163</v>
      </c>
      <c r="I87" s="741" t="s">
        <v>94</v>
      </c>
      <c r="J87" s="743" t="s">
        <v>52</v>
      </c>
      <c r="K87" s="744">
        <v>3</v>
      </c>
      <c r="L87" s="743">
        <v>45</v>
      </c>
      <c r="M87" s="743">
        <v>1662</v>
      </c>
      <c r="N87" s="745" t="s">
        <v>10</v>
      </c>
      <c r="O87" s="718" t="s">
        <v>2148</v>
      </c>
      <c r="P87" s="718"/>
    </row>
    <row r="88" spans="1:16" ht="18" thickTop="1" x14ac:dyDescent="0.45">
      <c r="A88" s="726">
        <v>86</v>
      </c>
      <c r="B88" s="726">
        <v>76</v>
      </c>
      <c r="C88" s="726" t="s">
        <v>3</v>
      </c>
      <c r="D88" s="727" t="s">
        <v>41</v>
      </c>
      <c r="E88" s="727" t="s">
        <v>109</v>
      </c>
      <c r="F88" s="727" t="s">
        <v>164</v>
      </c>
      <c r="G88" s="728">
        <v>38095</v>
      </c>
      <c r="H88" s="727" t="s">
        <v>165</v>
      </c>
      <c r="I88" s="727" t="s">
        <v>70</v>
      </c>
      <c r="J88" s="729" t="s">
        <v>52</v>
      </c>
      <c r="K88" s="730">
        <v>3</v>
      </c>
      <c r="L88" s="729">
        <v>110</v>
      </c>
      <c r="M88" s="729">
        <v>110</v>
      </c>
      <c r="N88" s="734" t="s">
        <v>10</v>
      </c>
      <c r="P88" s="718"/>
    </row>
    <row r="89" spans="1:16" x14ac:dyDescent="0.45">
      <c r="A89" s="735">
        <v>87</v>
      </c>
      <c r="B89" s="735">
        <v>77</v>
      </c>
      <c r="C89" s="735" t="s">
        <v>3</v>
      </c>
      <c r="D89" s="733" t="s">
        <v>41</v>
      </c>
      <c r="E89" s="733" t="s">
        <v>45</v>
      </c>
      <c r="F89" s="733" t="s">
        <v>166</v>
      </c>
      <c r="G89" s="736">
        <v>38193</v>
      </c>
      <c r="H89" s="733" t="s">
        <v>167</v>
      </c>
      <c r="I89" s="733" t="s">
        <v>168</v>
      </c>
      <c r="J89" s="737" t="s">
        <v>71</v>
      </c>
      <c r="K89" s="738">
        <v>7</v>
      </c>
      <c r="L89" s="737">
        <v>278</v>
      </c>
      <c r="M89" s="737">
        <v>98</v>
      </c>
      <c r="N89" s="739" t="s">
        <v>10</v>
      </c>
      <c r="O89" s="718" t="s">
        <v>2148</v>
      </c>
      <c r="P89" s="718"/>
    </row>
    <row r="90" spans="1:16" x14ac:dyDescent="0.45">
      <c r="A90" s="735">
        <v>88</v>
      </c>
      <c r="B90" s="735">
        <v>78</v>
      </c>
      <c r="C90" s="735" t="s">
        <v>3</v>
      </c>
      <c r="D90" s="733" t="s">
        <v>41</v>
      </c>
      <c r="E90" s="733" t="s">
        <v>142</v>
      </c>
      <c r="F90" s="733" t="s">
        <v>1507</v>
      </c>
      <c r="G90" s="736">
        <v>38228</v>
      </c>
      <c r="H90" s="733" t="s">
        <v>169</v>
      </c>
      <c r="I90" s="733" t="s">
        <v>17</v>
      </c>
      <c r="J90" s="737" t="s">
        <v>9</v>
      </c>
      <c r="K90" s="738">
        <v>94</v>
      </c>
      <c r="L90" s="737">
        <v>300</v>
      </c>
      <c r="M90" s="737">
        <v>35</v>
      </c>
      <c r="N90" s="739" t="s">
        <v>10</v>
      </c>
    </row>
    <row r="91" spans="1:16" x14ac:dyDescent="0.45">
      <c r="A91" s="735">
        <v>89</v>
      </c>
      <c r="B91" s="735">
        <v>79</v>
      </c>
      <c r="C91" s="735" t="s">
        <v>3</v>
      </c>
      <c r="D91" s="733" t="s">
        <v>132</v>
      </c>
      <c r="E91" s="733" t="s">
        <v>63</v>
      </c>
      <c r="F91" s="733" t="s">
        <v>1525</v>
      </c>
      <c r="G91" s="736">
        <v>38239</v>
      </c>
      <c r="H91" s="733" t="s">
        <v>170</v>
      </c>
      <c r="I91" s="733" t="s">
        <v>70</v>
      </c>
      <c r="J91" s="737" t="s">
        <v>71</v>
      </c>
      <c r="K91" s="738">
        <v>7</v>
      </c>
      <c r="L91" s="737">
        <v>46</v>
      </c>
      <c r="M91" s="737">
        <v>324</v>
      </c>
      <c r="N91" s="739" t="s">
        <v>10</v>
      </c>
    </row>
    <row r="92" spans="1:16" x14ac:dyDescent="0.45">
      <c r="A92" s="735">
        <v>90</v>
      </c>
      <c r="B92" s="735">
        <v>80</v>
      </c>
      <c r="C92" s="735" t="s">
        <v>3</v>
      </c>
      <c r="D92" s="733" t="s">
        <v>83</v>
      </c>
      <c r="E92" s="733" t="s">
        <v>30</v>
      </c>
      <c r="F92" s="733" t="s">
        <v>1508</v>
      </c>
      <c r="G92" s="736">
        <v>38257</v>
      </c>
      <c r="H92" s="733" t="s">
        <v>171</v>
      </c>
      <c r="I92" s="733" t="s">
        <v>17</v>
      </c>
      <c r="J92" s="737" t="s">
        <v>9</v>
      </c>
      <c r="K92" s="738">
        <v>94</v>
      </c>
      <c r="L92" s="737">
        <v>29</v>
      </c>
      <c r="M92" s="737">
        <v>329</v>
      </c>
      <c r="N92" s="739" t="s">
        <v>10</v>
      </c>
    </row>
    <row r="93" spans="1:16" x14ac:dyDescent="0.45">
      <c r="A93" s="735">
        <v>91</v>
      </c>
      <c r="B93" s="735">
        <v>81</v>
      </c>
      <c r="C93" s="735" t="s">
        <v>3</v>
      </c>
      <c r="D93" s="733" t="s">
        <v>91</v>
      </c>
      <c r="E93" s="733" t="s">
        <v>78</v>
      </c>
      <c r="F93" s="733" t="s">
        <v>2293</v>
      </c>
      <c r="G93" s="736">
        <v>38279</v>
      </c>
      <c r="H93" s="733" t="s">
        <v>172</v>
      </c>
      <c r="I93" s="733" t="s">
        <v>51</v>
      </c>
      <c r="J93" s="737" t="s">
        <v>52</v>
      </c>
      <c r="K93" s="738">
        <v>2</v>
      </c>
      <c r="L93" s="737">
        <v>184</v>
      </c>
      <c r="M93" s="737">
        <v>339</v>
      </c>
      <c r="N93" s="739" t="s">
        <v>10</v>
      </c>
    </row>
    <row r="94" spans="1:16" x14ac:dyDescent="0.45">
      <c r="A94" s="735">
        <v>92</v>
      </c>
      <c r="B94" s="735">
        <v>82</v>
      </c>
      <c r="C94" s="735" t="s">
        <v>3</v>
      </c>
      <c r="D94" s="733" t="s">
        <v>132</v>
      </c>
      <c r="E94" s="733" t="s">
        <v>67</v>
      </c>
      <c r="F94" s="733" t="s">
        <v>1286</v>
      </c>
      <c r="G94" s="736">
        <v>38297</v>
      </c>
      <c r="H94" s="733" t="s">
        <v>173</v>
      </c>
      <c r="I94" s="733" t="s">
        <v>70</v>
      </c>
      <c r="J94" s="737" t="s">
        <v>71</v>
      </c>
      <c r="K94" s="738">
        <v>7</v>
      </c>
      <c r="L94" s="737">
        <v>58</v>
      </c>
      <c r="M94" s="737">
        <v>58</v>
      </c>
      <c r="N94" s="739" t="s">
        <v>10</v>
      </c>
    </row>
    <row r="95" spans="1:16" ht="18" thickBot="1" x14ac:dyDescent="0.5">
      <c r="A95" s="740">
        <v>93</v>
      </c>
      <c r="B95" s="740">
        <v>83</v>
      </c>
      <c r="C95" s="740" t="s">
        <v>3</v>
      </c>
      <c r="D95" s="741" t="s">
        <v>41</v>
      </c>
      <c r="E95" s="741" t="s">
        <v>174</v>
      </c>
      <c r="F95" s="741" t="s">
        <v>175</v>
      </c>
      <c r="G95" s="742">
        <v>38309</v>
      </c>
      <c r="H95" s="741" t="s">
        <v>176</v>
      </c>
      <c r="I95" s="741" t="s">
        <v>70</v>
      </c>
      <c r="J95" s="743" t="s">
        <v>52</v>
      </c>
      <c r="K95" s="744">
        <v>3</v>
      </c>
      <c r="L95" s="743">
        <v>30</v>
      </c>
      <c r="M95" s="743">
        <v>81</v>
      </c>
      <c r="N95" s="745" t="s">
        <v>10</v>
      </c>
    </row>
    <row r="96" spans="1:16" ht="18" thickTop="1" x14ac:dyDescent="0.45">
      <c r="A96" s="726">
        <v>94</v>
      </c>
      <c r="B96" s="726">
        <v>84</v>
      </c>
      <c r="C96" s="726" t="s">
        <v>3</v>
      </c>
      <c r="D96" s="727" t="s">
        <v>105</v>
      </c>
      <c r="E96" s="727" t="s">
        <v>33</v>
      </c>
      <c r="F96" s="727" t="s">
        <v>1271</v>
      </c>
      <c r="G96" s="728">
        <v>38454</v>
      </c>
      <c r="H96" s="727" t="s">
        <v>177</v>
      </c>
      <c r="I96" s="727" t="s">
        <v>51</v>
      </c>
      <c r="J96" s="729" t="s">
        <v>52</v>
      </c>
      <c r="K96" s="730">
        <v>2</v>
      </c>
      <c r="L96" s="729">
        <v>145</v>
      </c>
      <c r="M96" s="729">
        <v>2460</v>
      </c>
      <c r="N96" s="734" t="s">
        <v>10</v>
      </c>
    </row>
    <row r="97" spans="1:14" x14ac:dyDescent="0.45">
      <c r="A97" s="735">
        <v>95</v>
      </c>
      <c r="B97" s="735" t="s">
        <v>3</v>
      </c>
      <c r="C97" s="735">
        <v>11</v>
      </c>
      <c r="D97" s="733" t="s">
        <v>151</v>
      </c>
      <c r="E97" s="733" t="s">
        <v>998</v>
      </c>
      <c r="F97" s="733" t="s">
        <v>1468</v>
      </c>
      <c r="G97" s="736">
        <v>38512</v>
      </c>
      <c r="H97" s="733"/>
      <c r="I97" s="733" t="s">
        <v>2195</v>
      </c>
      <c r="J97" s="737" t="s">
        <v>71</v>
      </c>
      <c r="K97" s="738">
        <v>1</v>
      </c>
      <c r="L97" s="737">
        <v>215</v>
      </c>
      <c r="M97" s="737">
        <v>632</v>
      </c>
      <c r="N97" s="746" t="s">
        <v>18</v>
      </c>
    </row>
    <row r="98" spans="1:14" x14ac:dyDescent="0.45">
      <c r="A98" s="735">
        <v>96</v>
      </c>
      <c r="B98" s="735">
        <v>85</v>
      </c>
      <c r="C98" s="735" t="s">
        <v>3</v>
      </c>
      <c r="D98" s="733" t="s">
        <v>83</v>
      </c>
      <c r="E98" s="733" t="s">
        <v>33</v>
      </c>
      <c r="F98" s="733" t="s">
        <v>2341</v>
      </c>
      <c r="G98" s="736">
        <v>38539</v>
      </c>
      <c r="H98" s="733" t="s">
        <v>100</v>
      </c>
      <c r="I98" s="733" t="s">
        <v>70</v>
      </c>
      <c r="J98" s="737" t="s">
        <v>9</v>
      </c>
      <c r="K98" s="738">
        <v>94</v>
      </c>
      <c r="L98" s="737">
        <v>282</v>
      </c>
      <c r="M98" s="737">
        <v>282</v>
      </c>
      <c r="N98" s="739" t="s">
        <v>10</v>
      </c>
    </row>
    <row r="99" spans="1:14" x14ac:dyDescent="0.45">
      <c r="A99" s="735">
        <v>97</v>
      </c>
      <c r="B99" s="735">
        <v>86</v>
      </c>
      <c r="C99" s="735" t="s">
        <v>3</v>
      </c>
      <c r="D99" s="733" t="s">
        <v>41</v>
      </c>
      <c r="E99" s="733" t="s">
        <v>178</v>
      </c>
      <c r="F99" s="733" t="s">
        <v>1509</v>
      </c>
      <c r="G99" s="736">
        <v>38566</v>
      </c>
      <c r="H99" s="733" t="s">
        <v>179</v>
      </c>
      <c r="I99" s="733" t="s">
        <v>17</v>
      </c>
      <c r="J99" s="737" t="s">
        <v>9</v>
      </c>
      <c r="K99" s="738">
        <v>94</v>
      </c>
      <c r="L99" s="737">
        <v>27</v>
      </c>
      <c r="M99" s="737">
        <v>257</v>
      </c>
      <c r="N99" s="739" t="s">
        <v>10</v>
      </c>
    </row>
    <row r="100" spans="1:14" x14ac:dyDescent="0.45">
      <c r="A100" s="735">
        <v>98</v>
      </c>
      <c r="B100" s="735">
        <v>87</v>
      </c>
      <c r="C100" s="735" t="s">
        <v>3</v>
      </c>
      <c r="D100" s="733" t="s">
        <v>83</v>
      </c>
      <c r="E100" s="733" t="s">
        <v>63</v>
      </c>
      <c r="F100" s="733" t="s">
        <v>1067</v>
      </c>
      <c r="G100" s="736">
        <v>38593</v>
      </c>
      <c r="H100" s="733" t="s">
        <v>180</v>
      </c>
      <c r="I100" s="733" t="s">
        <v>17</v>
      </c>
      <c r="J100" s="737" t="s">
        <v>9</v>
      </c>
      <c r="K100" s="738">
        <v>94</v>
      </c>
      <c r="L100" s="737">
        <v>27</v>
      </c>
      <c r="M100" s="737">
        <v>54</v>
      </c>
      <c r="N100" s="739" t="s">
        <v>10</v>
      </c>
    </row>
    <row r="101" spans="1:14" ht="18" thickBot="1" x14ac:dyDescent="0.5">
      <c r="A101" s="740">
        <v>99</v>
      </c>
      <c r="B101" s="740">
        <v>88</v>
      </c>
      <c r="C101" s="740" t="s">
        <v>3</v>
      </c>
      <c r="D101" s="741" t="s">
        <v>138</v>
      </c>
      <c r="E101" s="741" t="s">
        <v>33</v>
      </c>
      <c r="F101" s="741" t="s">
        <v>3097</v>
      </c>
      <c r="G101" s="742">
        <v>38637</v>
      </c>
      <c r="H101" s="741" t="s">
        <v>181</v>
      </c>
      <c r="I101" s="741" t="s">
        <v>17</v>
      </c>
      <c r="J101" s="743" t="s">
        <v>9</v>
      </c>
      <c r="K101" s="744" t="s">
        <v>1819</v>
      </c>
      <c r="L101" s="743">
        <v>44</v>
      </c>
      <c r="M101" s="743">
        <v>728</v>
      </c>
      <c r="N101" s="745" t="s">
        <v>10</v>
      </c>
    </row>
    <row r="102" spans="1:14" ht="18" thickTop="1" x14ac:dyDescent="0.45">
      <c r="A102" s="726">
        <v>100</v>
      </c>
      <c r="B102" s="726">
        <v>89</v>
      </c>
      <c r="C102" s="726" t="s">
        <v>3</v>
      </c>
      <c r="D102" s="727" t="s">
        <v>182</v>
      </c>
      <c r="E102" s="727" t="s">
        <v>42</v>
      </c>
      <c r="F102" s="727" t="s">
        <v>1068</v>
      </c>
      <c r="G102" s="728">
        <v>38834</v>
      </c>
      <c r="H102" s="727" t="s">
        <v>183</v>
      </c>
      <c r="I102" s="727" t="s">
        <v>70</v>
      </c>
      <c r="J102" s="729" t="s">
        <v>71</v>
      </c>
      <c r="K102" s="730">
        <v>7</v>
      </c>
      <c r="L102" s="729">
        <v>322</v>
      </c>
      <c r="M102" s="729"/>
      <c r="N102" s="734" t="s">
        <v>10</v>
      </c>
    </row>
    <row r="103" spans="1:14" x14ac:dyDescent="0.45">
      <c r="A103" s="735">
        <v>101</v>
      </c>
      <c r="B103" s="735">
        <v>90</v>
      </c>
      <c r="C103" s="735" t="s">
        <v>3</v>
      </c>
      <c r="D103" s="733" t="s">
        <v>41</v>
      </c>
      <c r="E103" s="733" t="s">
        <v>184</v>
      </c>
      <c r="F103" s="733" t="s">
        <v>185</v>
      </c>
      <c r="G103" s="736">
        <v>38969</v>
      </c>
      <c r="H103" s="733" t="s">
        <v>186</v>
      </c>
      <c r="I103" s="733" t="s">
        <v>17</v>
      </c>
      <c r="J103" s="737" t="s">
        <v>9</v>
      </c>
      <c r="K103" s="738">
        <v>94</v>
      </c>
      <c r="L103" s="737">
        <v>332</v>
      </c>
      <c r="M103" s="737">
        <v>403</v>
      </c>
      <c r="N103" s="739" t="s">
        <v>10</v>
      </c>
    </row>
    <row r="104" spans="1:14" x14ac:dyDescent="0.45">
      <c r="A104" s="735">
        <v>102</v>
      </c>
      <c r="B104" s="735">
        <v>91</v>
      </c>
      <c r="C104" s="735" t="s">
        <v>3</v>
      </c>
      <c r="D104" s="733" t="s">
        <v>91</v>
      </c>
      <c r="E104" s="733" t="s">
        <v>86</v>
      </c>
      <c r="F104" s="733" t="s">
        <v>1060</v>
      </c>
      <c r="G104" s="736">
        <v>38973</v>
      </c>
      <c r="H104" s="733" t="s">
        <v>144</v>
      </c>
      <c r="I104" s="733" t="s">
        <v>51</v>
      </c>
      <c r="J104" s="737" t="s">
        <v>52</v>
      </c>
      <c r="K104" s="738">
        <v>2</v>
      </c>
      <c r="L104" s="737">
        <v>519</v>
      </c>
      <c r="M104" s="737">
        <v>694</v>
      </c>
      <c r="N104" s="739" t="s">
        <v>10</v>
      </c>
    </row>
    <row r="105" spans="1:14" x14ac:dyDescent="0.45">
      <c r="A105" s="735">
        <v>103</v>
      </c>
      <c r="B105" s="735">
        <v>92</v>
      </c>
      <c r="C105" s="735" t="s">
        <v>3</v>
      </c>
      <c r="D105" s="733" t="s">
        <v>132</v>
      </c>
      <c r="E105" s="733" t="s">
        <v>184</v>
      </c>
      <c r="F105" s="733" t="s">
        <v>1526</v>
      </c>
      <c r="G105" s="736">
        <v>39014</v>
      </c>
      <c r="H105" s="733" t="s">
        <v>187</v>
      </c>
      <c r="I105" s="733" t="s">
        <v>70</v>
      </c>
      <c r="J105" s="737" t="s">
        <v>71</v>
      </c>
      <c r="K105" s="738">
        <v>7</v>
      </c>
      <c r="L105" s="737">
        <v>180</v>
      </c>
      <c r="M105" s="737">
        <v>717</v>
      </c>
      <c r="N105" s="739" t="s">
        <v>10</v>
      </c>
    </row>
    <row r="106" spans="1:14" x14ac:dyDescent="0.45">
      <c r="A106" s="735">
        <v>104</v>
      </c>
      <c r="B106" s="735">
        <v>93</v>
      </c>
      <c r="C106" s="735" t="s">
        <v>3</v>
      </c>
      <c r="D106" s="733" t="s">
        <v>105</v>
      </c>
      <c r="E106" s="733" t="s">
        <v>63</v>
      </c>
      <c r="F106" s="733" t="s">
        <v>188</v>
      </c>
      <c r="G106" s="736">
        <v>39019</v>
      </c>
      <c r="H106" s="733" t="s">
        <v>189</v>
      </c>
      <c r="I106" s="733" t="s">
        <v>51</v>
      </c>
      <c r="J106" s="737" t="s">
        <v>52</v>
      </c>
      <c r="K106" s="738">
        <v>2</v>
      </c>
      <c r="L106" s="737">
        <v>46</v>
      </c>
      <c r="M106" s="737">
        <v>565</v>
      </c>
      <c r="N106" s="739" t="s">
        <v>10</v>
      </c>
    </row>
    <row r="107" spans="1:14" ht="18" thickBot="1" x14ac:dyDescent="0.5">
      <c r="A107" s="740">
        <v>105</v>
      </c>
      <c r="B107" s="740">
        <v>94</v>
      </c>
      <c r="C107" s="740" t="s">
        <v>3</v>
      </c>
      <c r="D107" s="741" t="s">
        <v>91</v>
      </c>
      <c r="E107" s="741" t="s">
        <v>90</v>
      </c>
      <c r="F107" s="741" t="s">
        <v>2294</v>
      </c>
      <c r="G107" s="742">
        <v>39059</v>
      </c>
      <c r="H107" s="741" t="s">
        <v>190</v>
      </c>
      <c r="I107" s="741" t="s">
        <v>51</v>
      </c>
      <c r="J107" s="743" t="s">
        <v>52</v>
      </c>
      <c r="K107" s="744">
        <v>2</v>
      </c>
      <c r="L107" s="743">
        <v>40</v>
      </c>
      <c r="M107" s="743">
        <v>86</v>
      </c>
      <c r="N107" s="745" t="s">
        <v>10</v>
      </c>
    </row>
    <row r="108" spans="1:14" ht="18" thickTop="1" x14ac:dyDescent="0.45">
      <c r="A108" s="726">
        <v>106</v>
      </c>
      <c r="B108" s="726">
        <v>95</v>
      </c>
      <c r="C108" s="726" t="s">
        <v>3</v>
      </c>
      <c r="D108" s="727" t="s">
        <v>91</v>
      </c>
      <c r="E108" s="727" t="s">
        <v>142</v>
      </c>
      <c r="F108" s="727" t="s">
        <v>1472</v>
      </c>
      <c r="G108" s="728">
        <v>39116</v>
      </c>
      <c r="H108" s="727" t="s">
        <v>191</v>
      </c>
      <c r="I108" s="727" t="s">
        <v>51</v>
      </c>
      <c r="J108" s="729" t="s">
        <v>52</v>
      </c>
      <c r="K108" s="730">
        <v>2</v>
      </c>
      <c r="L108" s="729">
        <v>57</v>
      </c>
      <c r="M108" s="729">
        <v>57</v>
      </c>
      <c r="N108" s="734" t="s">
        <v>10</v>
      </c>
    </row>
    <row r="109" spans="1:14" x14ac:dyDescent="0.45">
      <c r="A109" s="735">
        <v>107</v>
      </c>
      <c r="B109" s="735">
        <v>96</v>
      </c>
      <c r="C109" s="735" t="s">
        <v>3</v>
      </c>
      <c r="D109" s="733" t="s">
        <v>41</v>
      </c>
      <c r="E109" s="733" t="s">
        <v>192</v>
      </c>
      <c r="F109" s="733" t="s">
        <v>1119</v>
      </c>
      <c r="G109" s="736">
        <v>39183</v>
      </c>
      <c r="H109" s="733" t="s">
        <v>193</v>
      </c>
      <c r="I109" s="733" t="s">
        <v>70</v>
      </c>
      <c r="J109" s="737" t="s">
        <v>71</v>
      </c>
      <c r="K109" s="738">
        <v>7</v>
      </c>
      <c r="L109" s="737">
        <v>169</v>
      </c>
      <c r="M109" s="737">
        <v>214</v>
      </c>
      <c r="N109" s="739" t="s">
        <v>10</v>
      </c>
    </row>
    <row r="110" spans="1:14" x14ac:dyDescent="0.45">
      <c r="A110" s="735">
        <v>108</v>
      </c>
      <c r="B110" s="735">
        <v>97</v>
      </c>
      <c r="C110" s="735" t="s">
        <v>3</v>
      </c>
      <c r="D110" s="733" t="s">
        <v>91</v>
      </c>
      <c r="E110" s="733" t="s">
        <v>178</v>
      </c>
      <c r="F110" s="733" t="s">
        <v>1482</v>
      </c>
      <c r="G110" s="736">
        <v>39186</v>
      </c>
      <c r="H110" s="733" t="s">
        <v>194</v>
      </c>
      <c r="I110" s="733" t="s">
        <v>1785</v>
      </c>
      <c r="J110" s="737" t="s">
        <v>52</v>
      </c>
      <c r="K110" s="738" t="s">
        <v>1641</v>
      </c>
      <c r="L110" s="737">
        <v>70</v>
      </c>
      <c r="M110" s="737">
        <v>70</v>
      </c>
      <c r="N110" s="739" t="s">
        <v>10</v>
      </c>
    </row>
    <row r="111" spans="1:14" x14ac:dyDescent="0.45">
      <c r="A111" s="735">
        <v>109</v>
      </c>
      <c r="B111" s="735">
        <v>98</v>
      </c>
      <c r="C111" s="735" t="s">
        <v>3</v>
      </c>
      <c r="D111" s="733" t="s">
        <v>105</v>
      </c>
      <c r="E111" s="733" t="s">
        <v>78</v>
      </c>
      <c r="F111" s="733" t="s">
        <v>195</v>
      </c>
      <c r="G111" s="736">
        <v>39216</v>
      </c>
      <c r="H111" s="733" t="s">
        <v>196</v>
      </c>
      <c r="I111" s="733" t="s">
        <v>51</v>
      </c>
      <c r="J111" s="737" t="s">
        <v>52</v>
      </c>
      <c r="K111" s="738">
        <v>2</v>
      </c>
      <c r="L111" s="737">
        <v>30</v>
      </c>
      <c r="M111" s="737">
        <v>197</v>
      </c>
      <c r="N111" s="739" t="s">
        <v>10</v>
      </c>
    </row>
    <row r="112" spans="1:14" x14ac:dyDescent="0.45">
      <c r="A112" s="735">
        <v>110</v>
      </c>
      <c r="B112" s="735">
        <v>99</v>
      </c>
      <c r="C112" s="735" t="s">
        <v>3</v>
      </c>
      <c r="D112" s="733" t="s">
        <v>83</v>
      </c>
      <c r="E112" s="733" t="s">
        <v>67</v>
      </c>
      <c r="F112" s="733" t="s">
        <v>1069</v>
      </c>
      <c r="G112" s="736">
        <v>39227</v>
      </c>
      <c r="H112" s="733" t="s">
        <v>197</v>
      </c>
      <c r="I112" s="733" t="s">
        <v>70</v>
      </c>
      <c r="J112" s="737" t="s">
        <v>9</v>
      </c>
      <c r="K112" s="738">
        <v>94</v>
      </c>
      <c r="L112" s="737">
        <v>258</v>
      </c>
      <c r="M112" s="737">
        <v>634</v>
      </c>
      <c r="N112" s="739" t="s">
        <v>10</v>
      </c>
    </row>
    <row r="113" spans="1:16" x14ac:dyDescent="0.45">
      <c r="A113" s="735">
        <v>111</v>
      </c>
      <c r="B113" s="735">
        <v>100</v>
      </c>
      <c r="C113" s="735" t="s">
        <v>3</v>
      </c>
      <c r="D113" s="733" t="s">
        <v>91</v>
      </c>
      <c r="E113" s="733" t="s">
        <v>174</v>
      </c>
      <c r="F113" s="733" t="s">
        <v>1056</v>
      </c>
      <c r="G113" s="736">
        <v>39234</v>
      </c>
      <c r="H113" s="733" t="s">
        <v>198</v>
      </c>
      <c r="I113" s="733" t="s">
        <v>51</v>
      </c>
      <c r="J113" s="737" t="s">
        <v>52</v>
      </c>
      <c r="K113" s="738" t="s">
        <v>1641</v>
      </c>
      <c r="L113" s="737">
        <v>18</v>
      </c>
      <c r="M113" s="737">
        <v>48</v>
      </c>
      <c r="N113" s="739" t="s">
        <v>10</v>
      </c>
    </row>
    <row r="114" spans="1:16" x14ac:dyDescent="0.45">
      <c r="A114" s="735">
        <v>112</v>
      </c>
      <c r="B114" s="735">
        <v>101</v>
      </c>
      <c r="C114" s="735" t="s">
        <v>3</v>
      </c>
      <c r="D114" s="733" t="s">
        <v>105</v>
      </c>
      <c r="E114" s="733" t="s">
        <v>86</v>
      </c>
      <c r="F114" s="733" t="s">
        <v>1043</v>
      </c>
      <c r="G114" s="736">
        <v>39268</v>
      </c>
      <c r="H114" s="733" t="s">
        <v>199</v>
      </c>
      <c r="I114" s="733" t="s">
        <v>51</v>
      </c>
      <c r="J114" s="737" t="s">
        <v>52</v>
      </c>
      <c r="K114" s="738">
        <v>2</v>
      </c>
      <c r="L114" s="737">
        <v>34</v>
      </c>
      <c r="M114" s="737">
        <v>52</v>
      </c>
      <c r="N114" s="739" t="s">
        <v>10</v>
      </c>
    </row>
    <row r="115" spans="1:16" x14ac:dyDescent="0.45">
      <c r="A115" s="735">
        <v>113</v>
      </c>
      <c r="B115" s="735">
        <v>102</v>
      </c>
      <c r="C115" s="735" t="s">
        <v>3</v>
      </c>
      <c r="D115" s="733" t="s">
        <v>132</v>
      </c>
      <c r="E115" s="733" t="s">
        <v>200</v>
      </c>
      <c r="F115" s="756" t="s">
        <v>1281</v>
      </c>
      <c r="G115" s="736">
        <v>39344</v>
      </c>
      <c r="H115" s="733" t="s">
        <v>201</v>
      </c>
      <c r="I115" s="733" t="s">
        <v>70</v>
      </c>
      <c r="J115" s="737" t="s">
        <v>71</v>
      </c>
      <c r="K115" s="738">
        <v>7</v>
      </c>
      <c r="L115" s="737">
        <v>161</v>
      </c>
      <c r="M115" s="737">
        <v>330</v>
      </c>
      <c r="N115" s="739" t="s">
        <v>10</v>
      </c>
    </row>
    <row r="116" spans="1:16" x14ac:dyDescent="0.45">
      <c r="A116" s="735">
        <v>114</v>
      </c>
      <c r="B116" s="735">
        <v>103</v>
      </c>
      <c r="C116" s="735" t="s">
        <v>3</v>
      </c>
      <c r="D116" s="733" t="s">
        <v>91</v>
      </c>
      <c r="E116" s="733" t="s">
        <v>109</v>
      </c>
      <c r="F116" s="733" t="s">
        <v>1514</v>
      </c>
      <c r="G116" s="736">
        <v>39379</v>
      </c>
      <c r="H116" s="733" t="s">
        <v>1133</v>
      </c>
      <c r="I116" s="733" t="s">
        <v>94</v>
      </c>
      <c r="J116" s="737" t="s">
        <v>52</v>
      </c>
      <c r="K116" s="738" t="s">
        <v>1641</v>
      </c>
      <c r="L116" s="737">
        <v>111</v>
      </c>
      <c r="M116" s="737">
        <v>145</v>
      </c>
      <c r="N116" s="739" t="s">
        <v>10</v>
      </c>
    </row>
    <row r="117" spans="1:16" ht="18" thickBot="1" x14ac:dyDescent="0.5">
      <c r="A117" s="740">
        <v>115</v>
      </c>
      <c r="B117" s="740">
        <v>104</v>
      </c>
      <c r="C117" s="740" t="s">
        <v>3</v>
      </c>
      <c r="D117" s="741" t="s">
        <v>182</v>
      </c>
      <c r="E117" s="741" t="s">
        <v>21</v>
      </c>
      <c r="F117" s="741" t="s">
        <v>1070</v>
      </c>
      <c r="G117" s="742">
        <v>39398</v>
      </c>
      <c r="H117" s="741" t="s">
        <v>202</v>
      </c>
      <c r="I117" s="741" t="s">
        <v>70</v>
      </c>
      <c r="J117" s="743" t="s">
        <v>71</v>
      </c>
      <c r="K117" s="744">
        <v>7</v>
      </c>
      <c r="L117" s="743">
        <v>54</v>
      </c>
      <c r="M117" s="743">
        <v>564</v>
      </c>
      <c r="N117" s="745" t="s">
        <v>10</v>
      </c>
    </row>
    <row r="118" spans="1:16" ht="18" thickTop="1" x14ac:dyDescent="0.45">
      <c r="A118" s="726">
        <v>116</v>
      </c>
      <c r="B118" s="726">
        <v>105</v>
      </c>
      <c r="C118" s="726" t="s">
        <v>3</v>
      </c>
      <c r="D118" s="727" t="s">
        <v>203</v>
      </c>
      <c r="E118" s="727" t="s">
        <v>42</v>
      </c>
      <c r="F118" s="727" t="s">
        <v>1134</v>
      </c>
      <c r="G118" s="728">
        <v>39563</v>
      </c>
      <c r="H118" s="727" t="s">
        <v>204</v>
      </c>
      <c r="I118" s="727" t="s">
        <v>51</v>
      </c>
      <c r="J118" s="729" t="s">
        <v>52</v>
      </c>
      <c r="K118" s="730">
        <v>2</v>
      </c>
      <c r="L118" s="729">
        <v>184</v>
      </c>
      <c r="M118" s="729"/>
      <c r="N118" s="734" t="s">
        <v>10</v>
      </c>
    </row>
    <row r="119" spans="1:16" x14ac:dyDescent="0.45">
      <c r="A119" s="735">
        <v>117</v>
      </c>
      <c r="B119" s="735">
        <v>106</v>
      </c>
      <c r="C119" s="735" t="s">
        <v>3</v>
      </c>
      <c r="D119" s="733" t="s">
        <v>182</v>
      </c>
      <c r="E119" s="733" t="s">
        <v>45</v>
      </c>
      <c r="F119" s="733" t="s">
        <v>2295</v>
      </c>
      <c r="G119" s="736">
        <v>39595</v>
      </c>
      <c r="H119" s="733" t="s">
        <v>205</v>
      </c>
      <c r="I119" s="733" t="s">
        <v>70</v>
      </c>
      <c r="J119" s="737" t="s">
        <v>71</v>
      </c>
      <c r="K119" s="738">
        <v>7</v>
      </c>
      <c r="L119" s="737">
        <v>197</v>
      </c>
      <c r="M119" s="737">
        <v>197</v>
      </c>
      <c r="N119" s="739" t="s">
        <v>10</v>
      </c>
    </row>
    <row r="120" spans="1:16" x14ac:dyDescent="0.45">
      <c r="A120" s="735">
        <v>118</v>
      </c>
      <c r="B120" s="735">
        <v>107</v>
      </c>
      <c r="C120" s="735" t="s">
        <v>3</v>
      </c>
      <c r="D120" s="733" t="s">
        <v>105</v>
      </c>
      <c r="E120" s="733" t="s">
        <v>90</v>
      </c>
      <c r="F120" s="733" t="s">
        <v>1065</v>
      </c>
      <c r="G120" s="736">
        <v>39608</v>
      </c>
      <c r="H120" s="733" t="s">
        <v>206</v>
      </c>
      <c r="I120" s="733" t="s">
        <v>1188</v>
      </c>
      <c r="J120" s="737" t="s">
        <v>52</v>
      </c>
      <c r="K120" s="738">
        <v>2</v>
      </c>
      <c r="L120" s="737">
        <v>45</v>
      </c>
      <c r="M120" s="737">
        <v>340</v>
      </c>
      <c r="N120" s="739" t="s">
        <v>10</v>
      </c>
    </row>
    <row r="121" spans="1:16" x14ac:dyDescent="0.45">
      <c r="A121" s="735">
        <v>119</v>
      </c>
      <c r="B121" s="735">
        <v>108</v>
      </c>
      <c r="C121" s="735" t="s">
        <v>3</v>
      </c>
      <c r="D121" s="733" t="s">
        <v>41</v>
      </c>
      <c r="E121" s="733" t="s">
        <v>42</v>
      </c>
      <c r="F121" s="733" t="s">
        <v>1497</v>
      </c>
      <c r="G121" s="736">
        <v>39697</v>
      </c>
      <c r="H121" s="733" t="s">
        <v>207</v>
      </c>
      <c r="I121" s="733" t="s">
        <v>70</v>
      </c>
      <c r="J121" s="737" t="s">
        <v>71</v>
      </c>
      <c r="K121" s="738">
        <v>7</v>
      </c>
      <c r="L121" s="737">
        <v>102</v>
      </c>
      <c r="M121" s="737">
        <v>514</v>
      </c>
      <c r="N121" s="739" t="s">
        <v>10</v>
      </c>
      <c r="O121" s="718" t="s">
        <v>2149</v>
      </c>
      <c r="P121" s="718"/>
    </row>
    <row r="122" spans="1:16" x14ac:dyDescent="0.45">
      <c r="A122" s="735">
        <v>120</v>
      </c>
      <c r="B122" s="735">
        <v>109</v>
      </c>
      <c r="C122" s="735" t="s">
        <v>3</v>
      </c>
      <c r="D122" s="733" t="s">
        <v>138</v>
      </c>
      <c r="E122" s="733" t="s">
        <v>63</v>
      </c>
      <c r="F122" s="733" t="s">
        <v>3096</v>
      </c>
      <c r="G122" s="736">
        <v>39716</v>
      </c>
      <c r="H122" s="733" t="s">
        <v>208</v>
      </c>
      <c r="I122" s="733" t="s">
        <v>17</v>
      </c>
      <c r="J122" s="737" t="s">
        <v>9</v>
      </c>
      <c r="K122" s="738" t="s">
        <v>1819</v>
      </c>
      <c r="L122" s="737">
        <v>489</v>
      </c>
      <c r="M122" s="737">
        <v>1079</v>
      </c>
      <c r="N122" s="739" t="s">
        <v>10</v>
      </c>
    </row>
    <row r="123" spans="1:16" x14ac:dyDescent="0.45">
      <c r="A123" s="735">
        <v>121</v>
      </c>
      <c r="B123" s="735">
        <v>110</v>
      </c>
      <c r="C123" s="735" t="s">
        <v>3</v>
      </c>
      <c r="D123" s="733" t="s">
        <v>132</v>
      </c>
      <c r="E123" s="733" t="s">
        <v>209</v>
      </c>
      <c r="F123" s="733" t="s">
        <v>1527</v>
      </c>
      <c r="G123" s="736">
        <v>39746</v>
      </c>
      <c r="H123" s="733" t="s">
        <v>210</v>
      </c>
      <c r="I123" s="733" t="s">
        <v>70</v>
      </c>
      <c r="J123" s="737" t="s">
        <v>71</v>
      </c>
      <c r="K123" s="738">
        <v>9</v>
      </c>
      <c r="L123" s="737">
        <v>49</v>
      </c>
      <c r="M123" s="737">
        <v>402</v>
      </c>
      <c r="N123" s="739" t="s">
        <v>10</v>
      </c>
    </row>
    <row r="124" spans="1:16" x14ac:dyDescent="0.45">
      <c r="A124" s="735">
        <v>122</v>
      </c>
      <c r="B124" s="735">
        <v>111</v>
      </c>
      <c r="C124" s="735" t="s">
        <v>3</v>
      </c>
      <c r="D124" s="733" t="s">
        <v>105</v>
      </c>
      <c r="E124" s="733" t="s">
        <v>142</v>
      </c>
      <c r="F124" s="733" t="s">
        <v>211</v>
      </c>
      <c r="G124" s="736">
        <v>39751</v>
      </c>
      <c r="H124" s="733" t="s">
        <v>212</v>
      </c>
      <c r="I124" s="733" t="s">
        <v>51</v>
      </c>
      <c r="J124" s="737" t="s">
        <v>52</v>
      </c>
      <c r="K124" s="738">
        <v>2</v>
      </c>
      <c r="L124" s="737">
        <v>143</v>
      </c>
      <c r="M124" s="737">
        <v>143</v>
      </c>
      <c r="N124" s="739" t="s">
        <v>10</v>
      </c>
    </row>
    <row r="125" spans="1:16" x14ac:dyDescent="0.45">
      <c r="A125" s="735">
        <v>123</v>
      </c>
      <c r="B125" s="735">
        <v>112</v>
      </c>
      <c r="C125" s="735" t="s">
        <v>3</v>
      </c>
      <c r="D125" s="733" t="s">
        <v>83</v>
      </c>
      <c r="E125" s="733" t="s">
        <v>142</v>
      </c>
      <c r="F125" s="733" t="s">
        <v>2327</v>
      </c>
      <c r="G125" s="736">
        <v>39757</v>
      </c>
      <c r="H125" s="733" t="s">
        <v>213</v>
      </c>
      <c r="I125" s="733" t="s">
        <v>70</v>
      </c>
      <c r="J125" s="737" t="s">
        <v>9</v>
      </c>
      <c r="K125" s="738">
        <v>94</v>
      </c>
      <c r="L125" s="737">
        <v>41</v>
      </c>
      <c r="M125" s="737">
        <v>530</v>
      </c>
      <c r="N125" s="739" t="s">
        <v>10</v>
      </c>
    </row>
    <row r="126" spans="1:16" x14ac:dyDescent="0.45">
      <c r="A126" s="735">
        <v>124</v>
      </c>
      <c r="B126" s="735">
        <v>113</v>
      </c>
      <c r="C126" s="735" t="s">
        <v>3</v>
      </c>
      <c r="D126" s="733" t="s">
        <v>83</v>
      </c>
      <c r="E126" s="733" t="s">
        <v>78</v>
      </c>
      <c r="F126" s="733" t="s">
        <v>214</v>
      </c>
      <c r="G126" s="736">
        <v>39783</v>
      </c>
      <c r="H126" s="733" t="s">
        <v>215</v>
      </c>
      <c r="I126" s="733" t="s">
        <v>70</v>
      </c>
      <c r="J126" s="737" t="s">
        <v>9</v>
      </c>
      <c r="K126" s="738">
        <v>94</v>
      </c>
      <c r="L126" s="737">
        <v>26</v>
      </c>
      <c r="M126" s="737">
        <v>26</v>
      </c>
      <c r="N126" s="739" t="s">
        <v>10</v>
      </c>
    </row>
    <row r="127" spans="1:16" x14ac:dyDescent="0.45">
      <c r="A127" s="735">
        <v>125</v>
      </c>
      <c r="B127" s="735">
        <v>114</v>
      </c>
      <c r="C127" s="735" t="s">
        <v>3</v>
      </c>
      <c r="D127" s="733" t="s">
        <v>132</v>
      </c>
      <c r="E127" s="733" t="s">
        <v>216</v>
      </c>
      <c r="F127" s="733" t="s">
        <v>217</v>
      </c>
      <c r="G127" s="736">
        <v>39797</v>
      </c>
      <c r="H127" s="733" t="s">
        <v>218</v>
      </c>
      <c r="I127" s="733" t="s">
        <v>70</v>
      </c>
      <c r="J127" s="737" t="s">
        <v>71</v>
      </c>
      <c r="K127" s="738">
        <v>9</v>
      </c>
      <c r="L127" s="737">
        <v>51</v>
      </c>
      <c r="M127" s="737">
        <v>51</v>
      </c>
      <c r="N127" s="739" t="s">
        <v>10</v>
      </c>
    </row>
    <row r="128" spans="1:16" ht="18" thickBot="1" x14ac:dyDescent="0.5">
      <c r="A128" s="740">
        <v>126</v>
      </c>
      <c r="B128" s="740">
        <v>115</v>
      </c>
      <c r="C128" s="740" t="s">
        <v>3</v>
      </c>
      <c r="D128" s="741" t="s">
        <v>91</v>
      </c>
      <c r="E128" s="741" t="s">
        <v>216</v>
      </c>
      <c r="F128" s="741" t="s">
        <v>2296</v>
      </c>
      <c r="G128" s="742">
        <v>39805</v>
      </c>
      <c r="H128" s="741" t="s">
        <v>219</v>
      </c>
      <c r="I128" s="741" t="s">
        <v>51</v>
      </c>
      <c r="J128" s="743" t="s">
        <v>52</v>
      </c>
      <c r="K128" s="744" t="s">
        <v>1641</v>
      </c>
      <c r="L128" s="743">
        <v>54</v>
      </c>
      <c r="M128" s="743">
        <v>426</v>
      </c>
      <c r="N128" s="745" t="s">
        <v>10</v>
      </c>
    </row>
    <row r="129" spans="1:15" ht="18" thickTop="1" x14ac:dyDescent="0.45">
      <c r="A129" s="726">
        <v>127</v>
      </c>
      <c r="B129" s="726">
        <v>116</v>
      </c>
      <c r="C129" s="726" t="s">
        <v>3</v>
      </c>
      <c r="D129" s="727" t="s">
        <v>203</v>
      </c>
      <c r="E129" s="727" t="s">
        <v>21</v>
      </c>
      <c r="F129" s="727" t="s">
        <v>1483</v>
      </c>
      <c r="G129" s="728">
        <v>39918</v>
      </c>
      <c r="H129" s="727" t="s">
        <v>220</v>
      </c>
      <c r="I129" s="727" t="s">
        <v>51</v>
      </c>
      <c r="J129" s="729" t="s">
        <v>52</v>
      </c>
      <c r="K129" s="730">
        <v>2</v>
      </c>
      <c r="L129" s="729">
        <v>113</v>
      </c>
      <c r="M129" s="729">
        <v>355</v>
      </c>
      <c r="N129" s="734" t="s">
        <v>10</v>
      </c>
      <c r="O129" s="711"/>
    </row>
    <row r="130" spans="1:15" ht="18" thickBot="1" x14ac:dyDescent="0.5">
      <c r="A130" s="757">
        <v>128</v>
      </c>
      <c r="B130" s="757">
        <v>117</v>
      </c>
      <c r="C130" s="757" t="s">
        <v>3</v>
      </c>
      <c r="D130" s="758" t="s">
        <v>41</v>
      </c>
      <c r="E130" s="758" t="s">
        <v>221</v>
      </c>
      <c r="F130" s="758" t="s">
        <v>1071</v>
      </c>
      <c r="G130" s="759">
        <v>39925</v>
      </c>
      <c r="H130" s="758" t="s">
        <v>222</v>
      </c>
      <c r="I130" s="758" t="s">
        <v>70</v>
      </c>
      <c r="J130" s="760" t="s">
        <v>71</v>
      </c>
      <c r="K130" s="761">
        <v>7</v>
      </c>
      <c r="L130" s="760">
        <v>128</v>
      </c>
      <c r="M130" s="760">
        <v>228</v>
      </c>
      <c r="N130" s="762" t="s">
        <v>10</v>
      </c>
      <c r="O130" s="711"/>
    </row>
    <row r="131" spans="1:15" ht="18" thickBot="1" x14ac:dyDescent="0.5">
      <c r="A131" s="763">
        <v>129</v>
      </c>
      <c r="B131" s="763">
        <v>118</v>
      </c>
      <c r="C131" s="763" t="s">
        <v>3</v>
      </c>
      <c r="D131" s="764" t="s">
        <v>105</v>
      </c>
      <c r="E131" s="764" t="s">
        <v>67</v>
      </c>
      <c r="F131" s="764" t="s">
        <v>223</v>
      </c>
      <c r="G131" s="765">
        <v>40056</v>
      </c>
      <c r="H131" s="764" t="s">
        <v>224</v>
      </c>
      <c r="I131" s="764" t="s">
        <v>51</v>
      </c>
      <c r="J131" s="766" t="s">
        <v>52</v>
      </c>
      <c r="K131" s="767">
        <v>2</v>
      </c>
      <c r="L131" s="766">
        <v>138</v>
      </c>
      <c r="M131" s="766">
        <v>305</v>
      </c>
      <c r="N131" s="768" t="s">
        <v>2206</v>
      </c>
      <c r="O131" s="711"/>
    </row>
    <row r="132" spans="1:15" ht="18" thickBot="1" x14ac:dyDescent="0.5">
      <c r="A132" s="763">
        <v>130</v>
      </c>
      <c r="B132" s="763">
        <v>119</v>
      </c>
      <c r="C132" s="763" t="s">
        <v>3</v>
      </c>
      <c r="D132" s="764" t="s">
        <v>41</v>
      </c>
      <c r="E132" s="764" t="s">
        <v>225</v>
      </c>
      <c r="F132" s="764" t="s">
        <v>226</v>
      </c>
      <c r="G132" s="765">
        <v>40129</v>
      </c>
      <c r="H132" s="764" t="s">
        <v>227</v>
      </c>
      <c r="I132" s="764" t="s">
        <v>70</v>
      </c>
      <c r="J132" s="766" t="s">
        <v>9</v>
      </c>
      <c r="K132" s="767">
        <v>94</v>
      </c>
      <c r="L132" s="766">
        <v>346</v>
      </c>
      <c r="M132" s="766">
        <v>204</v>
      </c>
      <c r="N132" s="769" t="s">
        <v>10</v>
      </c>
      <c r="O132" s="711"/>
    </row>
    <row r="133" spans="1:15" x14ac:dyDescent="0.45">
      <c r="A133" s="770">
        <v>131</v>
      </c>
      <c r="B133" s="770">
        <v>120</v>
      </c>
      <c r="C133" s="770" t="s">
        <v>3</v>
      </c>
      <c r="D133" s="771" t="s">
        <v>83</v>
      </c>
      <c r="E133" s="771" t="s">
        <v>86</v>
      </c>
      <c r="F133" s="771" t="s">
        <v>2297</v>
      </c>
      <c r="G133" s="772">
        <v>40156</v>
      </c>
      <c r="H133" s="771" t="s">
        <v>228</v>
      </c>
      <c r="I133" s="771" t="s">
        <v>70</v>
      </c>
      <c r="J133" s="773" t="s">
        <v>9</v>
      </c>
      <c r="K133" s="774">
        <v>94</v>
      </c>
      <c r="L133" s="773">
        <v>27</v>
      </c>
      <c r="M133" s="773">
        <v>373</v>
      </c>
      <c r="N133" s="775" t="s">
        <v>10</v>
      </c>
      <c r="O133" s="711"/>
    </row>
    <row r="134" spans="1:15" ht="18" thickBot="1" x14ac:dyDescent="0.5">
      <c r="A134" s="712">
        <v>132</v>
      </c>
      <c r="B134" s="712">
        <v>121</v>
      </c>
      <c r="C134" s="712" t="s">
        <v>3</v>
      </c>
      <c r="D134" s="713" t="s">
        <v>182</v>
      </c>
      <c r="E134" s="713" t="s">
        <v>5</v>
      </c>
      <c r="F134" s="713" t="s">
        <v>2342</v>
      </c>
      <c r="G134" s="714">
        <v>40162</v>
      </c>
      <c r="H134" s="713" t="s">
        <v>229</v>
      </c>
      <c r="I134" s="713" t="s">
        <v>70</v>
      </c>
      <c r="J134" s="715" t="s">
        <v>71</v>
      </c>
      <c r="K134" s="716">
        <v>9</v>
      </c>
      <c r="L134" s="715">
        <v>237</v>
      </c>
      <c r="M134" s="715">
        <v>567</v>
      </c>
      <c r="N134" s="717" t="s">
        <v>10</v>
      </c>
      <c r="O134" s="711"/>
    </row>
    <row r="135" spans="1:15" ht="18.600000000000001" thickTop="1" thickBot="1" x14ac:dyDescent="0.5">
      <c r="A135" s="776">
        <v>133</v>
      </c>
      <c r="B135" s="776">
        <v>122</v>
      </c>
      <c r="C135" s="776" t="s">
        <v>3</v>
      </c>
      <c r="D135" s="777" t="s">
        <v>203</v>
      </c>
      <c r="E135" s="777" t="s">
        <v>45</v>
      </c>
      <c r="F135" s="777" t="s">
        <v>1484</v>
      </c>
      <c r="G135" s="778">
        <v>40195</v>
      </c>
      <c r="H135" s="777" t="s">
        <v>230</v>
      </c>
      <c r="I135" s="777" t="s">
        <v>51</v>
      </c>
      <c r="J135" s="779" t="s">
        <v>52</v>
      </c>
      <c r="K135" s="780">
        <v>2</v>
      </c>
      <c r="L135" s="779">
        <v>139</v>
      </c>
      <c r="M135" s="779">
        <v>277</v>
      </c>
      <c r="N135" s="781" t="s">
        <v>10</v>
      </c>
      <c r="O135" s="711"/>
    </row>
    <row r="136" spans="1:15" ht="18" thickBot="1" x14ac:dyDescent="0.5">
      <c r="A136" s="763">
        <v>134</v>
      </c>
      <c r="B136" s="763">
        <v>123</v>
      </c>
      <c r="C136" s="763" t="s">
        <v>3</v>
      </c>
      <c r="D136" s="764" t="s">
        <v>182</v>
      </c>
      <c r="E136" s="764" t="s">
        <v>30</v>
      </c>
      <c r="F136" s="764" t="s">
        <v>2398</v>
      </c>
      <c r="G136" s="765">
        <v>40242</v>
      </c>
      <c r="H136" s="764" t="s">
        <v>231</v>
      </c>
      <c r="I136" s="764" t="s">
        <v>17</v>
      </c>
      <c r="J136" s="766" t="s">
        <v>9</v>
      </c>
      <c r="K136" s="767">
        <v>94</v>
      </c>
      <c r="L136" s="766">
        <v>86</v>
      </c>
      <c r="M136" s="766">
        <v>80</v>
      </c>
      <c r="N136" s="769" t="s">
        <v>10</v>
      </c>
      <c r="O136" s="711"/>
    </row>
    <row r="137" spans="1:15" x14ac:dyDescent="0.45">
      <c r="A137" s="770">
        <v>135</v>
      </c>
      <c r="B137" s="770">
        <v>124</v>
      </c>
      <c r="C137" s="770" t="s">
        <v>3</v>
      </c>
      <c r="D137" s="771" t="s">
        <v>203</v>
      </c>
      <c r="E137" s="771" t="s">
        <v>5</v>
      </c>
      <c r="F137" s="771" t="s">
        <v>1481</v>
      </c>
      <c r="G137" s="772">
        <v>40331</v>
      </c>
      <c r="H137" s="771" t="s">
        <v>232</v>
      </c>
      <c r="I137" s="771" t="s">
        <v>51</v>
      </c>
      <c r="J137" s="773" t="s">
        <v>52</v>
      </c>
      <c r="K137" s="774">
        <v>2</v>
      </c>
      <c r="L137" s="773">
        <v>136</v>
      </c>
      <c r="M137" s="773">
        <v>136</v>
      </c>
      <c r="N137" s="775" t="s">
        <v>10</v>
      </c>
      <c r="O137" s="711"/>
    </row>
    <row r="138" spans="1:15" ht="18" thickBot="1" x14ac:dyDescent="0.5">
      <c r="A138" s="757">
        <v>136</v>
      </c>
      <c r="B138" s="757">
        <v>125</v>
      </c>
      <c r="C138" s="757" t="s">
        <v>3</v>
      </c>
      <c r="D138" s="758" t="s">
        <v>83</v>
      </c>
      <c r="E138" s="758" t="s">
        <v>174</v>
      </c>
      <c r="F138" s="758" t="s">
        <v>233</v>
      </c>
      <c r="G138" s="759">
        <v>40344</v>
      </c>
      <c r="H138" s="758" t="s">
        <v>234</v>
      </c>
      <c r="I138" s="758" t="s">
        <v>70</v>
      </c>
      <c r="J138" s="760" t="s">
        <v>9</v>
      </c>
      <c r="K138" s="761">
        <v>94</v>
      </c>
      <c r="L138" s="760">
        <v>102</v>
      </c>
      <c r="M138" s="760">
        <v>188</v>
      </c>
      <c r="N138" s="762" t="s">
        <v>10</v>
      </c>
      <c r="O138" s="711"/>
    </row>
    <row r="139" spans="1:15" x14ac:dyDescent="0.45">
      <c r="A139" s="770">
        <v>137</v>
      </c>
      <c r="B139" s="770">
        <v>126</v>
      </c>
      <c r="C139" s="770" t="s">
        <v>3</v>
      </c>
      <c r="D139" s="771" t="s">
        <v>91</v>
      </c>
      <c r="E139" s="771" t="s">
        <v>184</v>
      </c>
      <c r="F139" s="771" t="s">
        <v>1480</v>
      </c>
      <c r="G139" s="772">
        <v>40391</v>
      </c>
      <c r="H139" s="771" t="s">
        <v>235</v>
      </c>
      <c r="I139" s="771" t="s">
        <v>51</v>
      </c>
      <c r="J139" s="773" t="s">
        <v>52</v>
      </c>
      <c r="K139" s="774" t="s">
        <v>1641</v>
      </c>
      <c r="L139" s="773">
        <v>60</v>
      </c>
      <c r="M139" s="773">
        <v>586</v>
      </c>
      <c r="N139" s="775" t="s">
        <v>10</v>
      </c>
      <c r="O139" s="711"/>
    </row>
    <row r="140" spans="1:15" x14ac:dyDescent="0.45">
      <c r="A140" s="735">
        <v>138</v>
      </c>
      <c r="B140" s="735">
        <v>127</v>
      </c>
      <c r="C140" s="735" t="s">
        <v>3</v>
      </c>
      <c r="D140" s="733" t="s">
        <v>182</v>
      </c>
      <c r="E140" s="733" t="s">
        <v>33</v>
      </c>
      <c r="F140" s="733" t="s">
        <v>1072</v>
      </c>
      <c r="G140" s="736">
        <v>40400</v>
      </c>
      <c r="H140" s="733" t="s">
        <v>236</v>
      </c>
      <c r="I140" s="733" t="s">
        <v>70</v>
      </c>
      <c r="J140" s="737" t="s">
        <v>71</v>
      </c>
      <c r="K140" s="738">
        <v>9</v>
      </c>
      <c r="L140" s="737">
        <v>238</v>
      </c>
      <c r="M140" s="737">
        <v>158</v>
      </c>
      <c r="N140" s="739" t="s">
        <v>10</v>
      </c>
      <c r="O140" s="711"/>
    </row>
    <row r="141" spans="1:15" ht="18" thickBot="1" x14ac:dyDescent="0.5">
      <c r="A141" s="782">
        <v>139</v>
      </c>
      <c r="B141" s="782">
        <v>128</v>
      </c>
      <c r="C141" s="782" t="s">
        <v>3</v>
      </c>
      <c r="D141" s="783" t="s">
        <v>83</v>
      </c>
      <c r="E141" s="783" t="s">
        <v>109</v>
      </c>
      <c r="F141" s="783" t="s">
        <v>1135</v>
      </c>
      <c r="G141" s="784">
        <v>40414</v>
      </c>
      <c r="H141" s="783" t="s">
        <v>237</v>
      </c>
      <c r="I141" s="783" t="s">
        <v>70</v>
      </c>
      <c r="J141" s="785" t="s">
        <v>9</v>
      </c>
      <c r="K141" s="786">
        <v>94</v>
      </c>
      <c r="L141" s="785">
        <v>70</v>
      </c>
      <c r="M141" s="785">
        <v>70</v>
      </c>
      <c r="N141" s="787" t="s">
        <v>10</v>
      </c>
      <c r="O141" s="711"/>
    </row>
    <row r="142" spans="1:15" x14ac:dyDescent="0.45">
      <c r="A142" s="770">
        <v>140</v>
      </c>
      <c r="B142" s="770">
        <v>129</v>
      </c>
      <c r="C142" s="770" t="s">
        <v>3</v>
      </c>
      <c r="D142" s="771" t="s">
        <v>105</v>
      </c>
      <c r="E142" s="771" t="s">
        <v>178</v>
      </c>
      <c r="F142" s="771" t="s">
        <v>1044</v>
      </c>
      <c r="G142" s="772">
        <v>40426</v>
      </c>
      <c r="H142" s="771" t="s">
        <v>238</v>
      </c>
      <c r="I142" s="771" t="s">
        <v>51</v>
      </c>
      <c r="J142" s="773" t="s">
        <v>52</v>
      </c>
      <c r="K142" s="774">
        <v>2</v>
      </c>
      <c r="L142" s="773">
        <v>35</v>
      </c>
      <c r="M142" s="773">
        <v>370</v>
      </c>
      <c r="N142" s="775" t="s">
        <v>10</v>
      </c>
      <c r="O142" s="711"/>
    </row>
    <row r="143" spans="1:15" ht="18" thickBot="1" x14ac:dyDescent="0.5">
      <c r="A143" s="757">
        <v>141</v>
      </c>
      <c r="B143" s="757">
        <v>130</v>
      </c>
      <c r="C143" s="757" t="s">
        <v>3</v>
      </c>
      <c r="D143" s="758" t="s">
        <v>83</v>
      </c>
      <c r="E143" s="758" t="s">
        <v>90</v>
      </c>
      <c r="F143" s="758" t="s">
        <v>1073</v>
      </c>
      <c r="G143" s="759">
        <v>40443</v>
      </c>
      <c r="H143" s="758" t="s">
        <v>239</v>
      </c>
      <c r="I143" s="758" t="s">
        <v>70</v>
      </c>
      <c r="J143" s="760" t="s">
        <v>9</v>
      </c>
      <c r="K143" s="761">
        <v>94</v>
      </c>
      <c r="L143" s="760">
        <v>29</v>
      </c>
      <c r="M143" s="760">
        <v>29</v>
      </c>
      <c r="N143" s="762" t="s">
        <v>10</v>
      </c>
      <c r="O143" s="711"/>
    </row>
    <row r="144" spans="1:15" x14ac:dyDescent="0.45">
      <c r="A144" s="770">
        <v>142</v>
      </c>
      <c r="B144" s="770">
        <v>131</v>
      </c>
      <c r="C144" s="770" t="s">
        <v>3</v>
      </c>
      <c r="D144" s="771" t="s">
        <v>203</v>
      </c>
      <c r="E144" s="771" t="s">
        <v>63</v>
      </c>
      <c r="F144" s="771" t="s">
        <v>1515</v>
      </c>
      <c r="G144" s="772">
        <v>40452</v>
      </c>
      <c r="H144" s="771" t="s">
        <v>1136</v>
      </c>
      <c r="I144" s="771" t="s">
        <v>240</v>
      </c>
      <c r="J144" s="773" t="s">
        <v>52</v>
      </c>
      <c r="K144" s="774">
        <v>2</v>
      </c>
      <c r="L144" s="773">
        <v>26</v>
      </c>
      <c r="M144" s="773">
        <v>121</v>
      </c>
      <c r="N144" s="775" t="s">
        <v>10</v>
      </c>
      <c r="O144" s="711"/>
    </row>
    <row r="145" spans="1:15" ht="18" thickBot="1" x14ac:dyDescent="0.5">
      <c r="A145" s="757">
        <v>143</v>
      </c>
      <c r="B145" s="757">
        <v>132</v>
      </c>
      <c r="C145" s="757" t="s">
        <v>3</v>
      </c>
      <c r="D145" s="758" t="s">
        <v>132</v>
      </c>
      <c r="E145" s="758" t="s">
        <v>241</v>
      </c>
      <c r="F145" s="758" t="s">
        <v>1528</v>
      </c>
      <c r="G145" s="759">
        <v>40457</v>
      </c>
      <c r="H145" s="758" t="s">
        <v>242</v>
      </c>
      <c r="I145" s="758" t="s">
        <v>70</v>
      </c>
      <c r="J145" s="760" t="s">
        <v>71</v>
      </c>
      <c r="K145" s="761">
        <v>9</v>
      </c>
      <c r="L145" s="760">
        <v>57</v>
      </c>
      <c r="M145" s="760">
        <v>660</v>
      </c>
      <c r="N145" s="762" t="s">
        <v>10</v>
      </c>
      <c r="O145" s="711"/>
    </row>
    <row r="146" spans="1:15" x14ac:dyDescent="0.45">
      <c r="A146" s="770">
        <v>144</v>
      </c>
      <c r="B146" s="770">
        <v>133</v>
      </c>
      <c r="C146" s="770" t="s">
        <v>3</v>
      </c>
      <c r="D146" s="771" t="s">
        <v>203</v>
      </c>
      <c r="E146" s="771" t="s">
        <v>30</v>
      </c>
      <c r="F146" s="771" t="s">
        <v>1479</v>
      </c>
      <c r="G146" s="772">
        <v>40483</v>
      </c>
      <c r="H146" s="771" t="s">
        <v>243</v>
      </c>
      <c r="I146" s="771" t="s">
        <v>51</v>
      </c>
      <c r="J146" s="773" t="s">
        <v>52</v>
      </c>
      <c r="K146" s="774">
        <v>2</v>
      </c>
      <c r="L146" s="773">
        <v>31</v>
      </c>
      <c r="M146" s="773">
        <v>31</v>
      </c>
      <c r="N146" s="775" t="s">
        <v>10</v>
      </c>
      <c r="O146" s="711"/>
    </row>
    <row r="147" spans="1:15" x14ac:dyDescent="0.45">
      <c r="A147" s="735">
        <v>145</v>
      </c>
      <c r="B147" s="735">
        <v>134</v>
      </c>
      <c r="C147" s="735" t="s">
        <v>3</v>
      </c>
      <c r="D147" s="733" t="s">
        <v>182</v>
      </c>
      <c r="E147" s="733" t="s">
        <v>63</v>
      </c>
      <c r="F147" s="733" t="s">
        <v>2298</v>
      </c>
      <c r="G147" s="736">
        <v>40487</v>
      </c>
      <c r="H147" s="733" t="s">
        <v>244</v>
      </c>
      <c r="I147" s="733" t="s">
        <v>70</v>
      </c>
      <c r="J147" s="737" t="s">
        <v>71</v>
      </c>
      <c r="K147" s="738">
        <v>9</v>
      </c>
      <c r="L147" s="737">
        <v>30</v>
      </c>
      <c r="M147" s="737">
        <v>87</v>
      </c>
      <c r="N147" s="739" t="s">
        <v>10</v>
      </c>
      <c r="O147" s="711"/>
    </row>
    <row r="148" spans="1:15" ht="18" thickBot="1" x14ac:dyDescent="0.5">
      <c r="A148" s="782">
        <v>146</v>
      </c>
      <c r="B148" s="782">
        <v>135</v>
      </c>
      <c r="C148" s="782" t="s">
        <v>3</v>
      </c>
      <c r="D148" s="783" t="s">
        <v>91</v>
      </c>
      <c r="E148" s="783" t="s">
        <v>225</v>
      </c>
      <c r="F148" s="783" t="s">
        <v>1059</v>
      </c>
      <c r="G148" s="784">
        <v>40507</v>
      </c>
      <c r="H148" s="783" t="s">
        <v>245</v>
      </c>
      <c r="I148" s="783" t="s">
        <v>51</v>
      </c>
      <c r="J148" s="785" t="s">
        <v>52</v>
      </c>
      <c r="K148" s="786" t="s">
        <v>1641</v>
      </c>
      <c r="L148" s="785">
        <v>24</v>
      </c>
      <c r="M148" s="785">
        <v>116</v>
      </c>
      <c r="N148" s="787" t="s">
        <v>10</v>
      </c>
      <c r="O148" s="711"/>
    </row>
    <row r="149" spans="1:15" ht="18" thickBot="1" x14ac:dyDescent="0.5">
      <c r="A149" s="712">
        <v>147</v>
      </c>
      <c r="B149" s="712">
        <v>136</v>
      </c>
      <c r="C149" s="712" t="s">
        <v>3</v>
      </c>
      <c r="D149" s="713" t="s">
        <v>91</v>
      </c>
      <c r="E149" s="713" t="s">
        <v>192</v>
      </c>
      <c r="F149" s="713" t="s">
        <v>1478</v>
      </c>
      <c r="G149" s="714">
        <v>40530</v>
      </c>
      <c r="H149" s="713" t="s">
        <v>246</v>
      </c>
      <c r="I149" s="713" t="s">
        <v>51</v>
      </c>
      <c r="J149" s="715" t="s">
        <v>52</v>
      </c>
      <c r="K149" s="716" t="s">
        <v>1641</v>
      </c>
      <c r="L149" s="715">
        <v>23</v>
      </c>
      <c r="M149" s="715">
        <v>23</v>
      </c>
      <c r="N149" s="717" t="s">
        <v>10</v>
      </c>
      <c r="O149" s="711"/>
    </row>
    <row r="150" spans="1:15" ht="18.600000000000001" thickTop="1" thickBot="1" x14ac:dyDescent="0.5">
      <c r="A150" s="776">
        <v>148</v>
      </c>
      <c r="B150" s="776">
        <v>137</v>
      </c>
      <c r="C150" s="776" t="s">
        <v>3</v>
      </c>
      <c r="D150" s="777" t="s">
        <v>91</v>
      </c>
      <c r="E150" s="777" t="s">
        <v>221</v>
      </c>
      <c r="F150" s="777" t="s">
        <v>1477</v>
      </c>
      <c r="G150" s="778">
        <v>40643</v>
      </c>
      <c r="H150" s="777" t="s">
        <v>247</v>
      </c>
      <c r="I150" s="777" t="s">
        <v>51</v>
      </c>
      <c r="J150" s="779" t="s">
        <v>52</v>
      </c>
      <c r="K150" s="780" t="s">
        <v>1641</v>
      </c>
      <c r="L150" s="779">
        <v>113</v>
      </c>
      <c r="M150" s="779">
        <v>113</v>
      </c>
      <c r="N150" s="781" t="s">
        <v>10</v>
      </c>
      <c r="O150" s="711"/>
    </row>
    <row r="151" spans="1:15" ht="18" thickBot="1" x14ac:dyDescent="0.5">
      <c r="A151" s="763">
        <v>149</v>
      </c>
      <c r="B151" s="763">
        <v>138</v>
      </c>
      <c r="C151" s="763" t="s">
        <v>3</v>
      </c>
      <c r="D151" s="764" t="s">
        <v>105</v>
      </c>
      <c r="E151" s="764" t="s">
        <v>216</v>
      </c>
      <c r="F151" s="764" t="s">
        <v>1045</v>
      </c>
      <c r="G151" s="765">
        <v>40715</v>
      </c>
      <c r="H151" s="764" t="s">
        <v>248</v>
      </c>
      <c r="I151" s="764" t="s">
        <v>51</v>
      </c>
      <c r="J151" s="766" t="s">
        <v>52</v>
      </c>
      <c r="K151" s="767">
        <v>2</v>
      </c>
      <c r="L151" s="766">
        <v>72</v>
      </c>
      <c r="M151" s="766">
        <v>289</v>
      </c>
      <c r="N151" s="769" t="s">
        <v>10</v>
      </c>
      <c r="O151" s="711"/>
    </row>
    <row r="152" spans="1:15" x14ac:dyDescent="0.45">
      <c r="A152" s="770">
        <v>150</v>
      </c>
      <c r="B152" s="770">
        <v>139</v>
      </c>
      <c r="C152" s="770" t="s">
        <v>3</v>
      </c>
      <c r="D152" s="771" t="s">
        <v>41</v>
      </c>
      <c r="E152" s="771" t="s">
        <v>249</v>
      </c>
      <c r="F152" s="771" t="s">
        <v>250</v>
      </c>
      <c r="G152" s="772">
        <v>40730</v>
      </c>
      <c r="H152" s="771" t="s">
        <v>251</v>
      </c>
      <c r="I152" s="771" t="s">
        <v>70</v>
      </c>
      <c r="J152" s="773" t="s">
        <v>9</v>
      </c>
      <c r="K152" s="774">
        <v>94</v>
      </c>
      <c r="L152" s="773">
        <v>287</v>
      </c>
      <c r="M152" s="773">
        <v>601</v>
      </c>
      <c r="N152" s="775" t="s">
        <v>10</v>
      </c>
      <c r="O152" s="711"/>
    </row>
    <row r="153" spans="1:15" x14ac:dyDescent="0.45">
      <c r="A153" s="735">
        <v>151</v>
      </c>
      <c r="B153" s="735">
        <v>140</v>
      </c>
      <c r="C153" s="735" t="s">
        <v>3</v>
      </c>
      <c r="D153" s="733" t="s">
        <v>203</v>
      </c>
      <c r="E153" s="733" t="s">
        <v>67</v>
      </c>
      <c r="F153" s="733" t="s">
        <v>1137</v>
      </c>
      <c r="G153" s="736">
        <v>40735</v>
      </c>
      <c r="H153" s="733" t="s">
        <v>252</v>
      </c>
      <c r="I153" s="733" t="s">
        <v>51</v>
      </c>
      <c r="J153" s="737" t="s">
        <v>52</v>
      </c>
      <c r="K153" s="738">
        <v>2</v>
      </c>
      <c r="L153" s="737">
        <v>20</v>
      </c>
      <c r="M153" s="737">
        <v>252</v>
      </c>
      <c r="N153" s="739" t="s">
        <v>10</v>
      </c>
      <c r="O153" s="711"/>
    </row>
    <row r="154" spans="1:15" x14ac:dyDescent="0.45">
      <c r="A154" s="735">
        <v>152</v>
      </c>
      <c r="B154" s="735">
        <v>141</v>
      </c>
      <c r="C154" s="735" t="s">
        <v>3</v>
      </c>
      <c r="D154" s="733" t="s">
        <v>91</v>
      </c>
      <c r="E154" s="733" t="s">
        <v>200</v>
      </c>
      <c r="F154" s="733" t="s">
        <v>1476</v>
      </c>
      <c r="G154" s="736">
        <v>40751</v>
      </c>
      <c r="H154" s="733" t="s">
        <v>253</v>
      </c>
      <c r="I154" s="733" t="s">
        <v>51</v>
      </c>
      <c r="J154" s="737" t="s">
        <v>52</v>
      </c>
      <c r="K154" s="738" t="s">
        <v>1641</v>
      </c>
      <c r="L154" s="737">
        <v>16</v>
      </c>
      <c r="M154" s="737">
        <v>108</v>
      </c>
      <c r="N154" s="739" t="s">
        <v>10</v>
      </c>
      <c r="O154" s="711"/>
    </row>
    <row r="155" spans="1:15" ht="18" thickBot="1" x14ac:dyDescent="0.5">
      <c r="A155" s="782">
        <v>153</v>
      </c>
      <c r="B155" s="782">
        <v>142</v>
      </c>
      <c r="C155" s="782" t="s">
        <v>3</v>
      </c>
      <c r="D155" s="783" t="s">
        <v>41</v>
      </c>
      <c r="E155" s="783" t="s">
        <v>254</v>
      </c>
      <c r="F155" s="783" t="s">
        <v>255</v>
      </c>
      <c r="G155" s="784">
        <v>40753</v>
      </c>
      <c r="H155" s="783" t="s">
        <v>256</v>
      </c>
      <c r="I155" s="783" t="s">
        <v>70</v>
      </c>
      <c r="J155" s="785" t="s">
        <v>9</v>
      </c>
      <c r="K155" s="786">
        <v>94</v>
      </c>
      <c r="L155" s="785">
        <v>23</v>
      </c>
      <c r="M155" s="785">
        <v>23</v>
      </c>
      <c r="N155" s="787" t="s">
        <v>10</v>
      </c>
      <c r="O155" s="711"/>
    </row>
    <row r="156" spans="1:15" x14ac:dyDescent="0.45">
      <c r="A156" s="770">
        <v>154</v>
      </c>
      <c r="B156" s="770">
        <v>143</v>
      </c>
      <c r="C156" s="770" t="s">
        <v>3</v>
      </c>
      <c r="D156" s="771" t="s">
        <v>105</v>
      </c>
      <c r="E156" s="771" t="s">
        <v>221</v>
      </c>
      <c r="F156" s="771" t="s">
        <v>257</v>
      </c>
      <c r="G156" s="772">
        <v>40767</v>
      </c>
      <c r="H156" s="771" t="s">
        <v>258</v>
      </c>
      <c r="I156" s="771" t="s">
        <v>51</v>
      </c>
      <c r="J156" s="773" t="s">
        <v>52</v>
      </c>
      <c r="K156" s="774">
        <v>2</v>
      </c>
      <c r="L156" s="773">
        <v>16</v>
      </c>
      <c r="M156" s="773">
        <v>52</v>
      </c>
      <c r="N156" s="775" t="s">
        <v>10</v>
      </c>
      <c r="O156" s="711"/>
    </row>
    <row r="157" spans="1:15" x14ac:dyDescent="0.45">
      <c r="A157" s="735">
        <v>155</v>
      </c>
      <c r="B157" s="735">
        <v>144</v>
      </c>
      <c r="C157" s="735" t="s">
        <v>3</v>
      </c>
      <c r="D157" s="733" t="s">
        <v>132</v>
      </c>
      <c r="E157" s="733" t="s">
        <v>109</v>
      </c>
      <c r="F157" s="733" t="s">
        <v>1120</v>
      </c>
      <c r="G157" s="736">
        <v>40771</v>
      </c>
      <c r="H157" s="733" t="s">
        <v>259</v>
      </c>
      <c r="I157" s="733" t="s">
        <v>70</v>
      </c>
      <c r="J157" s="737" t="s">
        <v>71</v>
      </c>
      <c r="K157" s="738">
        <v>9</v>
      </c>
      <c r="L157" s="737">
        <v>284</v>
      </c>
      <c r="M157" s="737">
        <v>314</v>
      </c>
      <c r="N157" s="739" t="s">
        <v>10</v>
      </c>
      <c r="O157" s="711"/>
    </row>
    <row r="158" spans="1:15" ht="18" thickBot="1" x14ac:dyDescent="0.5">
      <c r="A158" s="782">
        <v>156</v>
      </c>
      <c r="B158" s="782">
        <v>145</v>
      </c>
      <c r="C158" s="782" t="s">
        <v>3</v>
      </c>
      <c r="D158" s="783" t="s">
        <v>41</v>
      </c>
      <c r="E158" s="783" t="s">
        <v>260</v>
      </c>
      <c r="F158" s="783" t="s">
        <v>261</v>
      </c>
      <c r="G158" s="784">
        <v>40773</v>
      </c>
      <c r="H158" s="783" t="s">
        <v>262</v>
      </c>
      <c r="I158" s="783" t="s">
        <v>70</v>
      </c>
      <c r="J158" s="785" t="s">
        <v>9</v>
      </c>
      <c r="K158" s="786">
        <v>94</v>
      </c>
      <c r="L158" s="785">
        <v>20</v>
      </c>
      <c r="M158" s="785">
        <v>20</v>
      </c>
      <c r="N158" s="788" t="s">
        <v>18</v>
      </c>
      <c r="O158" s="711"/>
    </row>
    <row r="159" spans="1:15" x14ac:dyDescent="0.45">
      <c r="A159" s="770">
        <v>157</v>
      </c>
      <c r="B159" s="770">
        <v>146</v>
      </c>
      <c r="C159" s="770" t="s">
        <v>3</v>
      </c>
      <c r="D159" s="771" t="s">
        <v>105</v>
      </c>
      <c r="E159" s="771" t="s">
        <v>184</v>
      </c>
      <c r="F159" s="771" t="s">
        <v>1046</v>
      </c>
      <c r="G159" s="772">
        <v>40805</v>
      </c>
      <c r="H159" s="771" t="s">
        <v>263</v>
      </c>
      <c r="I159" s="771" t="s">
        <v>51</v>
      </c>
      <c r="J159" s="773" t="s">
        <v>52</v>
      </c>
      <c r="K159" s="774">
        <v>2</v>
      </c>
      <c r="L159" s="773">
        <v>38</v>
      </c>
      <c r="M159" s="773">
        <v>38</v>
      </c>
      <c r="N159" s="775" t="s">
        <v>10</v>
      </c>
      <c r="O159" s="711"/>
    </row>
    <row r="160" spans="1:15" ht="18" thickBot="1" x14ac:dyDescent="0.5">
      <c r="A160" s="757">
        <v>158</v>
      </c>
      <c r="B160" s="757">
        <v>147</v>
      </c>
      <c r="C160" s="757" t="s">
        <v>3</v>
      </c>
      <c r="D160" s="758" t="s">
        <v>138</v>
      </c>
      <c r="E160" s="758" t="s">
        <v>264</v>
      </c>
      <c r="F160" s="758" t="s">
        <v>265</v>
      </c>
      <c r="G160" s="759">
        <v>40815</v>
      </c>
      <c r="H160" s="758" t="s">
        <v>266</v>
      </c>
      <c r="I160" s="758" t="s">
        <v>17</v>
      </c>
      <c r="J160" s="760" t="s">
        <v>9</v>
      </c>
      <c r="K160" s="761" t="s">
        <v>1819</v>
      </c>
      <c r="L160" s="760">
        <v>42</v>
      </c>
      <c r="M160" s="760">
        <v>1099</v>
      </c>
      <c r="N160" s="762" t="s">
        <v>10</v>
      </c>
      <c r="O160" s="711"/>
    </row>
    <row r="161" spans="1:14" ht="18" thickBot="1" x14ac:dyDescent="0.5">
      <c r="A161" s="763">
        <v>159</v>
      </c>
      <c r="B161" s="763">
        <v>148</v>
      </c>
      <c r="C161" s="763" t="s">
        <v>3</v>
      </c>
      <c r="D161" s="764" t="s">
        <v>105</v>
      </c>
      <c r="E161" s="764" t="s">
        <v>192</v>
      </c>
      <c r="F161" s="764" t="s">
        <v>267</v>
      </c>
      <c r="G161" s="765">
        <v>40823</v>
      </c>
      <c r="H161" s="764" t="s">
        <v>268</v>
      </c>
      <c r="I161" s="764" t="s">
        <v>51</v>
      </c>
      <c r="J161" s="766" t="s">
        <v>52</v>
      </c>
      <c r="K161" s="767">
        <v>2</v>
      </c>
      <c r="L161" s="766">
        <v>18</v>
      </c>
      <c r="M161" s="766">
        <v>18</v>
      </c>
      <c r="N161" s="769" t="s">
        <v>10</v>
      </c>
    </row>
    <row r="162" spans="1:14" x14ac:dyDescent="0.45">
      <c r="A162" s="770">
        <v>160</v>
      </c>
      <c r="B162" s="770">
        <v>149</v>
      </c>
      <c r="C162" s="770" t="s">
        <v>3</v>
      </c>
      <c r="D162" s="771" t="s">
        <v>138</v>
      </c>
      <c r="E162" s="771" t="s">
        <v>67</v>
      </c>
      <c r="F162" s="771" t="s">
        <v>1582</v>
      </c>
      <c r="G162" s="772">
        <v>40848</v>
      </c>
      <c r="H162" s="771" t="s">
        <v>269</v>
      </c>
      <c r="I162" s="771" t="s">
        <v>17</v>
      </c>
      <c r="J162" s="773" t="s">
        <v>9</v>
      </c>
      <c r="K162" s="774" t="s">
        <v>1819</v>
      </c>
      <c r="L162" s="773">
        <v>33</v>
      </c>
      <c r="M162" s="773">
        <v>33</v>
      </c>
      <c r="N162" s="775" t="s">
        <v>10</v>
      </c>
    </row>
    <row r="163" spans="1:14" x14ac:dyDescent="0.45">
      <c r="A163" s="735">
        <v>161</v>
      </c>
      <c r="B163" s="735">
        <v>150</v>
      </c>
      <c r="C163" s="735" t="s">
        <v>3</v>
      </c>
      <c r="D163" s="733" t="s">
        <v>132</v>
      </c>
      <c r="E163" s="733" t="s">
        <v>225</v>
      </c>
      <c r="F163" s="733" t="s">
        <v>1074</v>
      </c>
      <c r="G163" s="736">
        <v>40856</v>
      </c>
      <c r="H163" s="733" t="s">
        <v>270</v>
      </c>
      <c r="I163" s="733" t="s">
        <v>70</v>
      </c>
      <c r="J163" s="737" t="s">
        <v>71</v>
      </c>
      <c r="K163" s="738">
        <v>9</v>
      </c>
      <c r="L163" s="737">
        <v>85</v>
      </c>
      <c r="M163" s="737">
        <v>85</v>
      </c>
      <c r="N163" s="739" t="s">
        <v>10</v>
      </c>
    </row>
    <row r="164" spans="1:14" x14ac:dyDescent="0.45">
      <c r="A164" s="735">
        <v>162</v>
      </c>
      <c r="B164" s="735">
        <v>151</v>
      </c>
      <c r="C164" s="735" t="s">
        <v>3</v>
      </c>
      <c r="D164" s="733" t="s">
        <v>83</v>
      </c>
      <c r="E164" s="733" t="s">
        <v>221</v>
      </c>
      <c r="F164" s="733" t="s">
        <v>271</v>
      </c>
      <c r="G164" s="736">
        <v>40867</v>
      </c>
      <c r="H164" s="733" t="s">
        <v>272</v>
      </c>
      <c r="I164" s="733" t="s">
        <v>70</v>
      </c>
      <c r="J164" s="737" t="s">
        <v>9</v>
      </c>
      <c r="K164" s="738">
        <v>94</v>
      </c>
      <c r="L164" s="737">
        <v>19</v>
      </c>
      <c r="M164" s="737">
        <v>424</v>
      </c>
      <c r="N164" s="739" t="s">
        <v>10</v>
      </c>
    </row>
    <row r="165" spans="1:14" ht="18" thickBot="1" x14ac:dyDescent="0.5">
      <c r="A165" s="782">
        <v>163</v>
      </c>
      <c r="B165" s="782">
        <v>152</v>
      </c>
      <c r="C165" s="782" t="s">
        <v>3</v>
      </c>
      <c r="D165" s="783" t="s">
        <v>41</v>
      </c>
      <c r="E165" s="783" t="s">
        <v>216</v>
      </c>
      <c r="F165" s="783" t="s">
        <v>1075</v>
      </c>
      <c r="G165" s="784">
        <v>40877</v>
      </c>
      <c r="H165" s="783" t="s">
        <v>273</v>
      </c>
      <c r="I165" s="783" t="s">
        <v>70</v>
      </c>
      <c r="J165" s="785" t="s">
        <v>71</v>
      </c>
      <c r="K165" s="786">
        <v>9</v>
      </c>
      <c r="L165" s="785">
        <v>21</v>
      </c>
      <c r="M165" s="785">
        <v>104</v>
      </c>
      <c r="N165" s="787" t="s">
        <v>10</v>
      </c>
    </row>
    <row r="166" spans="1:14" x14ac:dyDescent="0.45">
      <c r="A166" s="770">
        <v>164</v>
      </c>
      <c r="B166" s="770">
        <v>153</v>
      </c>
      <c r="C166" s="770" t="s">
        <v>3</v>
      </c>
      <c r="D166" s="771" t="s">
        <v>91</v>
      </c>
      <c r="E166" s="771" t="s">
        <v>241</v>
      </c>
      <c r="F166" s="771" t="s">
        <v>1475</v>
      </c>
      <c r="G166" s="772">
        <v>40879</v>
      </c>
      <c r="H166" s="771" t="s">
        <v>274</v>
      </c>
      <c r="I166" s="771" t="s">
        <v>51</v>
      </c>
      <c r="J166" s="773" t="s">
        <v>52</v>
      </c>
      <c r="K166" s="774" t="s">
        <v>1641</v>
      </c>
      <c r="L166" s="773">
        <v>56</v>
      </c>
      <c r="M166" s="773">
        <v>128</v>
      </c>
      <c r="N166" s="775" t="s">
        <v>10</v>
      </c>
    </row>
    <row r="167" spans="1:14" x14ac:dyDescent="0.45">
      <c r="A167" s="735">
        <v>165</v>
      </c>
      <c r="B167" s="735">
        <v>154</v>
      </c>
      <c r="C167" s="735" t="s">
        <v>3</v>
      </c>
      <c r="D167" s="733" t="s">
        <v>105</v>
      </c>
      <c r="E167" s="733" t="s">
        <v>225</v>
      </c>
      <c r="F167" s="733" t="s">
        <v>275</v>
      </c>
      <c r="G167" s="736">
        <v>40897</v>
      </c>
      <c r="H167" s="733" t="s">
        <v>276</v>
      </c>
      <c r="I167" s="733" t="s">
        <v>51</v>
      </c>
      <c r="J167" s="737" t="s">
        <v>52</v>
      </c>
      <c r="K167" s="738">
        <v>2</v>
      </c>
      <c r="L167" s="737">
        <v>18</v>
      </c>
      <c r="M167" s="737">
        <v>74</v>
      </c>
      <c r="N167" s="739" t="s">
        <v>10</v>
      </c>
    </row>
    <row r="168" spans="1:14" ht="18" thickBot="1" x14ac:dyDescent="0.5">
      <c r="A168" s="740">
        <v>166</v>
      </c>
      <c r="B168" s="740">
        <v>155</v>
      </c>
      <c r="C168" s="740" t="s">
        <v>3</v>
      </c>
      <c r="D168" s="741" t="s">
        <v>132</v>
      </c>
      <c r="E168" s="741" t="s">
        <v>174</v>
      </c>
      <c r="F168" s="741" t="s">
        <v>1282</v>
      </c>
      <c r="G168" s="742">
        <v>40899</v>
      </c>
      <c r="H168" s="741" t="s">
        <v>277</v>
      </c>
      <c r="I168" s="741" t="s">
        <v>70</v>
      </c>
      <c r="J168" s="743" t="s">
        <v>71</v>
      </c>
      <c r="K168" s="744">
        <v>9</v>
      </c>
      <c r="L168" s="743">
        <v>22</v>
      </c>
      <c r="M168" s="743">
        <v>43</v>
      </c>
      <c r="N168" s="745" t="s">
        <v>10</v>
      </c>
    </row>
    <row r="169" spans="1:14" ht="18" thickTop="1" x14ac:dyDescent="0.45">
      <c r="A169" s="726">
        <v>167</v>
      </c>
      <c r="B169" s="726">
        <v>156</v>
      </c>
      <c r="C169" s="726" t="s">
        <v>3</v>
      </c>
      <c r="D169" s="727" t="s">
        <v>132</v>
      </c>
      <c r="E169" s="727" t="s">
        <v>260</v>
      </c>
      <c r="F169" s="727" t="s">
        <v>1287</v>
      </c>
      <c r="G169" s="728">
        <v>40917</v>
      </c>
      <c r="H169" s="727" t="s">
        <v>278</v>
      </c>
      <c r="I169" s="727" t="s">
        <v>70</v>
      </c>
      <c r="J169" s="729" t="s">
        <v>71</v>
      </c>
      <c r="K169" s="730">
        <v>9</v>
      </c>
      <c r="L169" s="729">
        <v>18</v>
      </c>
      <c r="M169" s="729">
        <v>18</v>
      </c>
      <c r="N169" s="734" t="s">
        <v>10</v>
      </c>
    </row>
    <row r="170" spans="1:14" x14ac:dyDescent="0.45">
      <c r="A170" s="735">
        <v>168</v>
      </c>
      <c r="B170" s="735">
        <v>157</v>
      </c>
      <c r="C170" s="735" t="s">
        <v>3</v>
      </c>
      <c r="D170" s="733" t="s">
        <v>91</v>
      </c>
      <c r="E170" s="733" t="s">
        <v>209</v>
      </c>
      <c r="F170" s="733" t="s">
        <v>2299</v>
      </c>
      <c r="G170" s="736">
        <v>40921</v>
      </c>
      <c r="H170" s="733" t="s">
        <v>279</v>
      </c>
      <c r="I170" s="733" t="s">
        <v>51</v>
      </c>
      <c r="J170" s="737" t="s">
        <v>52</v>
      </c>
      <c r="K170" s="738" t="s">
        <v>1641</v>
      </c>
      <c r="L170" s="737" cm="1">
        <f t="array" aca="1" ref="L170" ca="1">IFERROR($G170-_xlfn.SINGLE(INDIRECT(ADDRESS(LOOKUP(2,1/($J$1:$J169=$J170),ROW($J$1:J169)),7))),"")</f>
        <v>24</v>
      </c>
      <c r="M170" s="737" cm="1">
        <f t="array" aca="1" ref="M170" ca="1">IFERROR($G170-_xlfn.SINGLE(INDIRECT(ADDRESS(LOOKUP(2,1/($D$1:$D169=$D170),ROW($D$1:$D169)),7))),"")</f>
        <v>42</v>
      </c>
      <c r="N170" s="739" t="s">
        <v>10</v>
      </c>
    </row>
    <row r="171" spans="1:14" x14ac:dyDescent="0.45">
      <c r="A171" s="735">
        <v>169</v>
      </c>
      <c r="B171" s="735">
        <v>158</v>
      </c>
      <c r="C171" s="735" t="s">
        <v>3</v>
      </c>
      <c r="D171" s="733" t="s">
        <v>203</v>
      </c>
      <c r="E171" s="733" t="s">
        <v>33</v>
      </c>
      <c r="F171" s="733" t="s">
        <v>1474</v>
      </c>
      <c r="G171" s="736">
        <v>40964</v>
      </c>
      <c r="H171" s="733" t="s">
        <v>280</v>
      </c>
      <c r="I171" s="733" t="s">
        <v>51</v>
      </c>
      <c r="J171" s="737" t="s">
        <v>52</v>
      </c>
      <c r="K171" s="738">
        <v>2</v>
      </c>
      <c r="L171" s="737" cm="1">
        <f t="array" aca="1" ref="L171" ca="1">IFERROR($G171-_xlfn.SINGLE(INDIRECT(ADDRESS(LOOKUP(2,1/($J$1:$J170=$J171),ROW($J$1:J170)),7))),"")</f>
        <v>43</v>
      </c>
      <c r="M171" s="737" cm="1">
        <f t="array" aca="1" ref="M171" ca="1">IFERROR($G171-_xlfn.SINGLE(INDIRECT(ADDRESS(LOOKUP(2,1/($D$1:$D170=$D171),ROW($D$1:$D170)),7))),"")</f>
        <v>229</v>
      </c>
      <c r="N171" s="739" t="s">
        <v>10</v>
      </c>
    </row>
    <row r="172" spans="1:14" x14ac:dyDescent="0.45">
      <c r="A172" s="735">
        <f>A171+1</f>
        <v>170</v>
      </c>
      <c r="B172" s="735">
        <v>159</v>
      </c>
      <c r="C172" s="735" t="s">
        <v>3</v>
      </c>
      <c r="D172" s="733" t="s">
        <v>105</v>
      </c>
      <c r="E172" s="733" t="s">
        <v>209</v>
      </c>
      <c r="F172" s="733" t="s">
        <v>1272</v>
      </c>
      <c r="G172" s="736">
        <v>40999</v>
      </c>
      <c r="H172" s="733" t="s">
        <v>281</v>
      </c>
      <c r="I172" s="733" t="s">
        <v>51</v>
      </c>
      <c r="J172" s="737" t="s">
        <v>52</v>
      </c>
      <c r="K172" s="738">
        <v>2</v>
      </c>
      <c r="L172" s="737">
        <v>35</v>
      </c>
      <c r="M172" s="737">
        <v>102</v>
      </c>
      <c r="N172" s="739" t="s">
        <v>10</v>
      </c>
    </row>
    <row r="173" spans="1:14" x14ac:dyDescent="0.45">
      <c r="A173" s="735">
        <f t="shared" ref="A173:A236" si="0">A172+1</f>
        <v>171</v>
      </c>
      <c r="B173" s="735">
        <v>160</v>
      </c>
      <c r="C173" s="735" t="s">
        <v>3</v>
      </c>
      <c r="D173" s="733" t="s">
        <v>105</v>
      </c>
      <c r="E173" s="733" t="s">
        <v>109</v>
      </c>
      <c r="F173" s="733" t="s">
        <v>1529</v>
      </c>
      <c r="G173" s="736">
        <v>41029</v>
      </c>
      <c r="H173" s="733" t="s">
        <v>282</v>
      </c>
      <c r="I173" s="733" t="s">
        <v>1785</v>
      </c>
      <c r="J173" s="737" t="s">
        <v>52</v>
      </c>
      <c r="K173" s="738">
        <v>2</v>
      </c>
      <c r="L173" s="737">
        <v>30</v>
      </c>
      <c r="M173" s="737">
        <v>30</v>
      </c>
      <c r="N173" s="739" t="s">
        <v>10</v>
      </c>
    </row>
    <row r="174" spans="1:14" x14ac:dyDescent="0.45">
      <c r="A174" s="735">
        <f t="shared" si="0"/>
        <v>172</v>
      </c>
      <c r="B174" s="735">
        <v>161</v>
      </c>
      <c r="C174" s="735" t="s">
        <v>3</v>
      </c>
      <c r="D174" s="733" t="s">
        <v>83</v>
      </c>
      <c r="E174" s="733" t="s">
        <v>200</v>
      </c>
      <c r="F174" s="733" t="s">
        <v>1138</v>
      </c>
      <c r="G174" s="736">
        <v>41035</v>
      </c>
      <c r="H174" s="733" t="s">
        <v>283</v>
      </c>
      <c r="I174" s="733" t="s">
        <v>70</v>
      </c>
      <c r="J174" s="737" t="s">
        <v>9</v>
      </c>
      <c r="K174" s="738">
        <v>94</v>
      </c>
      <c r="L174" s="737">
        <v>50</v>
      </c>
      <c r="M174" s="737">
        <v>168</v>
      </c>
      <c r="N174" s="739" t="s">
        <v>10</v>
      </c>
    </row>
    <row r="175" spans="1:14" x14ac:dyDescent="0.45">
      <c r="A175" s="735">
        <f t="shared" si="0"/>
        <v>173</v>
      </c>
      <c r="B175" s="735">
        <v>162</v>
      </c>
      <c r="C175" s="735" t="s">
        <v>3</v>
      </c>
      <c r="D175" s="733" t="s">
        <v>132</v>
      </c>
      <c r="E175" s="733" t="s">
        <v>142</v>
      </c>
      <c r="F175" s="733" t="s">
        <v>1076</v>
      </c>
      <c r="G175" s="736">
        <v>41039</v>
      </c>
      <c r="H175" s="733" t="s">
        <v>284</v>
      </c>
      <c r="I175" s="733" t="s">
        <v>70</v>
      </c>
      <c r="J175" s="737" t="s">
        <v>71</v>
      </c>
      <c r="K175" s="738">
        <v>9</v>
      </c>
      <c r="L175" s="737">
        <v>122</v>
      </c>
      <c r="M175" s="737">
        <v>122</v>
      </c>
      <c r="N175" s="739" t="s">
        <v>10</v>
      </c>
    </row>
    <row r="176" spans="1:14" x14ac:dyDescent="0.45">
      <c r="A176" s="735">
        <f t="shared" si="0"/>
        <v>174</v>
      </c>
      <c r="B176" s="735">
        <v>163</v>
      </c>
      <c r="C176" s="735" t="s">
        <v>3</v>
      </c>
      <c r="D176" s="733" t="s">
        <v>105</v>
      </c>
      <c r="E176" s="733" t="s">
        <v>200</v>
      </c>
      <c r="F176" s="733" t="s">
        <v>1047</v>
      </c>
      <c r="G176" s="736">
        <v>41055</v>
      </c>
      <c r="H176" s="733" t="s">
        <v>285</v>
      </c>
      <c r="I176" s="733" t="s">
        <v>51</v>
      </c>
      <c r="J176" s="737" t="s">
        <v>52</v>
      </c>
      <c r="K176" s="738">
        <v>2</v>
      </c>
      <c r="L176" s="737">
        <v>26</v>
      </c>
      <c r="M176" s="737">
        <v>26</v>
      </c>
      <c r="N176" s="739" t="s">
        <v>10</v>
      </c>
    </row>
    <row r="177" spans="1:16" x14ac:dyDescent="0.45">
      <c r="A177" s="735">
        <f t="shared" si="0"/>
        <v>175</v>
      </c>
      <c r="B177" s="735">
        <v>164</v>
      </c>
      <c r="C177" s="735" t="s">
        <v>3</v>
      </c>
      <c r="D177" s="733" t="s">
        <v>182</v>
      </c>
      <c r="E177" s="733" t="s">
        <v>86</v>
      </c>
      <c r="F177" s="733" t="s">
        <v>1077</v>
      </c>
      <c r="G177" s="736">
        <v>41058</v>
      </c>
      <c r="H177" s="733" t="s">
        <v>286</v>
      </c>
      <c r="I177" s="733" t="s">
        <v>70</v>
      </c>
      <c r="J177" s="737" t="s">
        <v>71</v>
      </c>
      <c r="K177" s="738">
        <v>9</v>
      </c>
      <c r="L177" s="737">
        <v>19</v>
      </c>
      <c r="M177" s="737">
        <v>571</v>
      </c>
      <c r="N177" s="739" t="s">
        <v>10</v>
      </c>
    </row>
    <row r="178" spans="1:16" x14ac:dyDescent="0.45">
      <c r="A178" s="735">
        <f t="shared" si="0"/>
        <v>176</v>
      </c>
      <c r="B178" s="735">
        <v>165</v>
      </c>
      <c r="C178" s="735" t="s">
        <v>3</v>
      </c>
      <c r="D178" s="733" t="s">
        <v>138</v>
      </c>
      <c r="E178" s="733" t="s">
        <v>78</v>
      </c>
      <c r="F178" s="733" t="s">
        <v>3095</v>
      </c>
      <c r="G178" s="736">
        <v>41076</v>
      </c>
      <c r="H178" s="733" t="s">
        <v>287</v>
      </c>
      <c r="I178" s="733" t="s">
        <v>17</v>
      </c>
      <c r="J178" s="737" t="s">
        <v>9</v>
      </c>
      <c r="K178" s="738" t="s">
        <v>1819</v>
      </c>
      <c r="L178" s="737">
        <v>41</v>
      </c>
      <c r="M178" s="737">
        <v>228</v>
      </c>
      <c r="N178" s="739" t="s">
        <v>10</v>
      </c>
    </row>
    <row r="179" spans="1:16" x14ac:dyDescent="0.45">
      <c r="A179" s="735">
        <f t="shared" si="0"/>
        <v>177</v>
      </c>
      <c r="B179" s="735">
        <v>166</v>
      </c>
      <c r="C179" s="735" t="s">
        <v>3</v>
      </c>
      <c r="D179" s="733" t="s">
        <v>203</v>
      </c>
      <c r="E179" s="733" t="s">
        <v>78</v>
      </c>
      <c r="F179" s="733" t="s">
        <v>1139</v>
      </c>
      <c r="G179" s="736">
        <v>41115</v>
      </c>
      <c r="H179" s="733" t="s">
        <v>288</v>
      </c>
      <c r="I179" s="733" t="s">
        <v>51</v>
      </c>
      <c r="J179" s="737" t="s">
        <v>52</v>
      </c>
      <c r="K179" s="738">
        <v>2</v>
      </c>
      <c r="L179" s="737">
        <v>60</v>
      </c>
      <c r="M179" s="737">
        <v>151</v>
      </c>
      <c r="N179" s="739" t="s">
        <v>10</v>
      </c>
    </row>
    <row r="180" spans="1:16" x14ac:dyDescent="0.45">
      <c r="A180" s="735">
        <f t="shared" si="0"/>
        <v>178</v>
      </c>
      <c r="B180" s="735">
        <v>167</v>
      </c>
      <c r="C180" s="735" t="s">
        <v>3</v>
      </c>
      <c r="D180" s="733" t="s">
        <v>105</v>
      </c>
      <c r="E180" s="733" t="s">
        <v>174</v>
      </c>
      <c r="F180" s="733" t="s">
        <v>1530</v>
      </c>
      <c r="G180" s="750">
        <v>41171</v>
      </c>
      <c r="H180" s="733" t="s">
        <v>289</v>
      </c>
      <c r="I180" s="733" t="s">
        <v>1785</v>
      </c>
      <c r="J180" s="737" t="s">
        <v>52</v>
      </c>
      <c r="K180" s="738">
        <v>2</v>
      </c>
      <c r="L180" s="737">
        <v>56</v>
      </c>
      <c r="M180" s="737">
        <v>116</v>
      </c>
      <c r="N180" s="739" t="s">
        <v>10</v>
      </c>
    </row>
    <row r="181" spans="1:16" x14ac:dyDescent="0.45">
      <c r="A181" s="735">
        <f t="shared" si="0"/>
        <v>179</v>
      </c>
      <c r="B181" s="735">
        <v>168</v>
      </c>
      <c r="C181" s="735" t="s">
        <v>3</v>
      </c>
      <c r="D181" s="733" t="s">
        <v>83</v>
      </c>
      <c r="E181" s="733" t="s">
        <v>184</v>
      </c>
      <c r="F181" s="733" t="s">
        <v>1078</v>
      </c>
      <c r="G181" s="736">
        <v>41181</v>
      </c>
      <c r="H181" s="733" t="s">
        <v>290</v>
      </c>
      <c r="I181" s="733" t="s">
        <v>70</v>
      </c>
      <c r="J181" s="737" t="s">
        <v>9</v>
      </c>
      <c r="K181" s="738">
        <v>94</v>
      </c>
      <c r="L181" s="737">
        <v>105</v>
      </c>
      <c r="M181" s="737">
        <v>146</v>
      </c>
      <c r="N181" s="739" t="s">
        <v>10</v>
      </c>
    </row>
    <row r="182" spans="1:16" x14ac:dyDescent="0.45">
      <c r="A182" s="735">
        <f t="shared" si="0"/>
        <v>180</v>
      </c>
      <c r="B182" s="735">
        <v>169</v>
      </c>
      <c r="C182" s="735" t="s">
        <v>3</v>
      </c>
      <c r="D182" s="733" t="s">
        <v>41</v>
      </c>
      <c r="E182" s="733" t="s">
        <v>45</v>
      </c>
      <c r="F182" s="733" t="s">
        <v>2399</v>
      </c>
      <c r="G182" s="736">
        <v>41196</v>
      </c>
      <c r="H182" s="733" t="s">
        <v>291</v>
      </c>
      <c r="I182" s="733" t="s">
        <v>70</v>
      </c>
      <c r="J182" s="737" t="s">
        <v>71</v>
      </c>
      <c r="K182" s="738">
        <v>9</v>
      </c>
      <c r="L182" s="737">
        <v>138</v>
      </c>
      <c r="M182" s="737">
        <v>319</v>
      </c>
      <c r="N182" s="739" t="s">
        <v>10</v>
      </c>
      <c r="O182" s="718" t="s">
        <v>2149</v>
      </c>
      <c r="P182" s="718"/>
    </row>
    <row r="183" spans="1:16" x14ac:dyDescent="0.45">
      <c r="A183" s="735">
        <f t="shared" si="0"/>
        <v>181</v>
      </c>
      <c r="B183" s="735">
        <v>170</v>
      </c>
      <c r="C183" s="735" t="s">
        <v>3</v>
      </c>
      <c r="D183" s="733" t="s">
        <v>203</v>
      </c>
      <c r="E183" s="733" t="s">
        <v>86</v>
      </c>
      <c r="F183" s="733" t="s">
        <v>1473</v>
      </c>
      <c r="G183" s="736">
        <v>41207</v>
      </c>
      <c r="H183" s="733" t="s">
        <v>292</v>
      </c>
      <c r="I183" s="733" t="s">
        <v>51</v>
      </c>
      <c r="J183" s="737" t="s">
        <v>52</v>
      </c>
      <c r="K183" s="738">
        <v>2</v>
      </c>
      <c r="L183" s="737">
        <v>36</v>
      </c>
      <c r="M183" s="737">
        <v>92</v>
      </c>
      <c r="N183" s="739" t="s">
        <v>10</v>
      </c>
    </row>
    <row r="184" spans="1:16" x14ac:dyDescent="0.45">
      <c r="A184" s="735">
        <f t="shared" si="0"/>
        <v>182</v>
      </c>
      <c r="B184" s="735">
        <v>171</v>
      </c>
      <c r="C184" s="735" t="s">
        <v>3</v>
      </c>
      <c r="D184" s="733" t="s">
        <v>41</v>
      </c>
      <c r="E184" s="733" t="s">
        <v>200</v>
      </c>
      <c r="F184" s="733" t="s">
        <v>293</v>
      </c>
      <c r="G184" s="736">
        <v>41232</v>
      </c>
      <c r="H184" s="733" t="s">
        <v>294</v>
      </c>
      <c r="I184" s="733" t="s">
        <v>70</v>
      </c>
      <c r="J184" s="737" t="s">
        <v>71</v>
      </c>
      <c r="K184" s="738">
        <v>9</v>
      </c>
      <c r="L184" s="737">
        <v>36</v>
      </c>
      <c r="M184" s="737">
        <v>36</v>
      </c>
      <c r="N184" s="739" t="s">
        <v>10</v>
      </c>
    </row>
    <row r="185" spans="1:16" x14ac:dyDescent="0.45">
      <c r="A185" s="735">
        <f t="shared" si="0"/>
        <v>183</v>
      </c>
      <c r="B185" s="735">
        <v>172</v>
      </c>
      <c r="C185" s="735" t="s">
        <v>3</v>
      </c>
      <c r="D185" s="733" t="s">
        <v>182</v>
      </c>
      <c r="E185" s="733" t="s">
        <v>78</v>
      </c>
      <c r="F185" s="733" t="s">
        <v>2400</v>
      </c>
      <c r="G185" s="736">
        <v>41238</v>
      </c>
      <c r="H185" s="733" t="s">
        <v>295</v>
      </c>
      <c r="I185" s="733" t="s">
        <v>17</v>
      </c>
      <c r="J185" s="737" t="s">
        <v>9</v>
      </c>
      <c r="K185" s="738">
        <v>94</v>
      </c>
      <c r="L185" s="737">
        <v>57</v>
      </c>
      <c r="M185" s="737">
        <v>180</v>
      </c>
      <c r="N185" s="739" t="s">
        <v>10</v>
      </c>
    </row>
    <row r="186" spans="1:16" x14ac:dyDescent="0.45">
      <c r="A186" s="735">
        <f t="shared" si="0"/>
        <v>184</v>
      </c>
      <c r="B186" s="735">
        <v>173</v>
      </c>
      <c r="C186" s="735" t="s">
        <v>3</v>
      </c>
      <c r="D186" s="733" t="s">
        <v>105</v>
      </c>
      <c r="E186" s="733" t="s">
        <v>254</v>
      </c>
      <c r="F186" s="733" t="s">
        <v>1048</v>
      </c>
      <c r="G186" s="736">
        <v>41240</v>
      </c>
      <c r="H186" s="733" t="s">
        <v>296</v>
      </c>
      <c r="I186" s="733" t="s">
        <v>51</v>
      </c>
      <c r="J186" s="737" t="s">
        <v>52</v>
      </c>
      <c r="K186" s="738">
        <v>2</v>
      </c>
      <c r="L186" s="737">
        <v>33</v>
      </c>
      <c r="M186" s="737">
        <v>69</v>
      </c>
      <c r="N186" s="739" t="s">
        <v>10</v>
      </c>
    </row>
    <row r="187" spans="1:16" ht="18" thickBot="1" x14ac:dyDescent="0.5">
      <c r="A187" s="740">
        <f t="shared" si="0"/>
        <v>185</v>
      </c>
      <c r="B187" s="740">
        <v>174</v>
      </c>
      <c r="C187" s="740" t="s">
        <v>3</v>
      </c>
      <c r="D187" s="741" t="s">
        <v>83</v>
      </c>
      <c r="E187" s="741" t="s">
        <v>209</v>
      </c>
      <c r="F187" s="741" t="s">
        <v>297</v>
      </c>
      <c r="G187" s="742">
        <v>41262</v>
      </c>
      <c r="H187" s="741" t="s">
        <v>298</v>
      </c>
      <c r="I187" s="741" t="s">
        <v>70</v>
      </c>
      <c r="J187" s="743" t="s">
        <v>9</v>
      </c>
      <c r="K187" s="744">
        <v>94</v>
      </c>
      <c r="L187" s="743">
        <v>24</v>
      </c>
      <c r="M187" s="743">
        <v>81</v>
      </c>
      <c r="N187" s="745" t="s">
        <v>10</v>
      </c>
    </row>
    <row r="188" spans="1:16" ht="18" thickTop="1" x14ac:dyDescent="0.45">
      <c r="A188" s="726">
        <f t="shared" si="0"/>
        <v>186</v>
      </c>
      <c r="B188" s="726">
        <v>175</v>
      </c>
      <c r="C188" s="726" t="s">
        <v>3</v>
      </c>
      <c r="D188" s="727" t="s">
        <v>83</v>
      </c>
      <c r="E188" s="727" t="s">
        <v>192</v>
      </c>
      <c r="F188" s="727" t="s">
        <v>1102</v>
      </c>
      <c r="G188" s="728">
        <v>41390</v>
      </c>
      <c r="H188" s="727" t="s">
        <v>299</v>
      </c>
      <c r="I188" s="727" t="s">
        <v>70</v>
      </c>
      <c r="J188" s="729" t="s">
        <v>9</v>
      </c>
      <c r="K188" s="730">
        <v>94</v>
      </c>
      <c r="L188" s="729">
        <v>128</v>
      </c>
      <c r="M188" s="729">
        <v>128</v>
      </c>
      <c r="N188" s="734" t="s">
        <v>10</v>
      </c>
    </row>
    <row r="189" spans="1:16" x14ac:dyDescent="0.45">
      <c r="A189" s="735">
        <f t="shared" si="0"/>
        <v>187</v>
      </c>
      <c r="B189" s="735">
        <v>176</v>
      </c>
      <c r="C189" s="735" t="s">
        <v>3</v>
      </c>
      <c r="D189" s="733" t="s">
        <v>105</v>
      </c>
      <c r="E189" s="733" t="s">
        <v>249</v>
      </c>
      <c r="F189" s="733" t="s">
        <v>1049</v>
      </c>
      <c r="G189" s="736">
        <v>41396</v>
      </c>
      <c r="H189" s="733" t="s">
        <v>300</v>
      </c>
      <c r="I189" s="733" t="s">
        <v>51</v>
      </c>
      <c r="J189" s="737" t="s">
        <v>52</v>
      </c>
      <c r="K189" s="738">
        <v>2</v>
      </c>
      <c r="L189" s="737">
        <v>156</v>
      </c>
      <c r="M189" s="737">
        <v>156</v>
      </c>
      <c r="N189" s="739" t="s">
        <v>10</v>
      </c>
    </row>
    <row r="190" spans="1:16" x14ac:dyDescent="0.45">
      <c r="A190" s="735">
        <f t="shared" si="0"/>
        <v>188</v>
      </c>
      <c r="B190" s="735">
        <v>177</v>
      </c>
      <c r="C190" s="735" t="s">
        <v>3</v>
      </c>
      <c r="D190" s="733" t="s">
        <v>138</v>
      </c>
      <c r="E190" s="733" t="s">
        <v>86</v>
      </c>
      <c r="F190" s="733" t="s">
        <v>3094</v>
      </c>
      <c r="G190" s="736">
        <v>41436</v>
      </c>
      <c r="H190" s="733" t="s">
        <v>301</v>
      </c>
      <c r="I190" s="733" t="s">
        <v>17</v>
      </c>
      <c r="J190" s="737" t="s">
        <v>9</v>
      </c>
      <c r="K190" s="738" t="s">
        <v>1819</v>
      </c>
      <c r="L190" s="737">
        <v>46</v>
      </c>
      <c r="M190" s="737">
        <v>360</v>
      </c>
      <c r="N190" s="739" t="s">
        <v>10</v>
      </c>
    </row>
    <row r="191" spans="1:16" x14ac:dyDescent="0.45">
      <c r="A191" s="735">
        <f t="shared" si="0"/>
        <v>189</v>
      </c>
      <c r="B191" s="735">
        <v>178</v>
      </c>
      <c r="C191" s="735" t="s">
        <v>3</v>
      </c>
      <c r="D191" s="733" t="s">
        <v>41</v>
      </c>
      <c r="E191" s="733" t="s">
        <v>241</v>
      </c>
      <c r="F191" s="733" t="s">
        <v>302</v>
      </c>
      <c r="G191" s="750">
        <v>41470</v>
      </c>
      <c r="H191" s="733" t="s">
        <v>303</v>
      </c>
      <c r="I191" s="733" t="s">
        <v>70</v>
      </c>
      <c r="J191" s="737" t="s">
        <v>9</v>
      </c>
      <c r="K191" s="738">
        <v>94</v>
      </c>
      <c r="L191" s="737">
        <v>34</v>
      </c>
      <c r="M191" s="737">
        <v>238</v>
      </c>
      <c r="N191" s="739" t="s">
        <v>10</v>
      </c>
    </row>
    <row r="192" spans="1:16" x14ac:dyDescent="0.45">
      <c r="A192" s="735">
        <f t="shared" si="0"/>
        <v>190</v>
      </c>
      <c r="B192" s="735">
        <v>179</v>
      </c>
      <c r="C192" s="735" t="s">
        <v>3</v>
      </c>
      <c r="D192" s="733" t="s">
        <v>182</v>
      </c>
      <c r="E192" s="733" t="s">
        <v>90</v>
      </c>
      <c r="F192" s="733" t="s">
        <v>304</v>
      </c>
      <c r="G192" s="736">
        <v>41475</v>
      </c>
      <c r="H192" s="733" t="s">
        <v>305</v>
      </c>
      <c r="I192" s="733" t="s">
        <v>70</v>
      </c>
      <c r="J192" s="737" t="s">
        <v>71</v>
      </c>
      <c r="K192" s="738">
        <v>9</v>
      </c>
      <c r="L192" s="737">
        <v>243</v>
      </c>
      <c r="M192" s="737">
        <v>237</v>
      </c>
      <c r="N192" s="739" t="s">
        <v>10</v>
      </c>
      <c r="O192" s="711"/>
    </row>
    <row r="193" spans="1:15" x14ac:dyDescent="0.45">
      <c r="A193" s="735">
        <f t="shared" si="0"/>
        <v>191</v>
      </c>
      <c r="B193" s="735">
        <v>180</v>
      </c>
      <c r="C193" s="735" t="s">
        <v>3</v>
      </c>
      <c r="D193" s="733" t="s">
        <v>182</v>
      </c>
      <c r="E193" s="733" t="s">
        <v>178</v>
      </c>
      <c r="F193" s="733" t="s">
        <v>2401</v>
      </c>
      <c r="G193" s="736">
        <v>41519</v>
      </c>
      <c r="H193" s="733" t="s">
        <v>306</v>
      </c>
      <c r="I193" s="733" t="s">
        <v>17</v>
      </c>
      <c r="J193" s="737" t="s">
        <v>9</v>
      </c>
      <c r="K193" s="738">
        <v>94</v>
      </c>
      <c r="L193" s="737">
        <v>49</v>
      </c>
      <c r="M193" s="737">
        <v>44</v>
      </c>
      <c r="N193" s="739" t="s">
        <v>10</v>
      </c>
      <c r="O193" s="711"/>
    </row>
    <row r="194" spans="1:15" x14ac:dyDescent="0.45">
      <c r="A194" s="735">
        <f t="shared" si="0"/>
        <v>192</v>
      </c>
      <c r="B194" s="735" t="s">
        <v>3</v>
      </c>
      <c r="C194" s="735">
        <v>12</v>
      </c>
      <c r="D194" s="733" t="s">
        <v>307</v>
      </c>
      <c r="E194" s="733" t="s">
        <v>42</v>
      </c>
      <c r="F194" s="733" t="s">
        <v>308</v>
      </c>
      <c r="G194" s="736">
        <v>41542</v>
      </c>
      <c r="H194" s="733" t="s">
        <v>309</v>
      </c>
      <c r="I194" s="733" t="s">
        <v>70</v>
      </c>
      <c r="J194" s="737" t="s">
        <v>9</v>
      </c>
      <c r="K194" s="738" t="s">
        <v>310</v>
      </c>
      <c r="L194" s="737">
        <v>23</v>
      </c>
      <c r="M194" s="737" t="s">
        <v>1012</v>
      </c>
      <c r="N194" s="739" t="s">
        <v>10</v>
      </c>
      <c r="O194" s="711"/>
    </row>
    <row r="195" spans="1:15" x14ac:dyDescent="0.45">
      <c r="A195" s="735">
        <f t="shared" si="0"/>
        <v>193</v>
      </c>
      <c r="B195" s="735">
        <v>181</v>
      </c>
      <c r="C195" s="735" t="s">
        <v>3</v>
      </c>
      <c r="D195" s="733" t="s">
        <v>182</v>
      </c>
      <c r="E195" s="733" t="s">
        <v>142</v>
      </c>
      <c r="F195" s="733" t="s">
        <v>2300</v>
      </c>
      <c r="G195" s="736">
        <v>41540</v>
      </c>
      <c r="H195" s="733" t="s">
        <v>311</v>
      </c>
      <c r="I195" s="733" t="s">
        <v>70</v>
      </c>
      <c r="J195" s="737" t="s">
        <v>71</v>
      </c>
      <c r="K195" s="738">
        <v>9</v>
      </c>
      <c r="L195" s="737">
        <v>65</v>
      </c>
      <c r="M195" s="737">
        <v>21</v>
      </c>
      <c r="N195" s="739" t="s">
        <v>10</v>
      </c>
      <c r="O195" s="711"/>
    </row>
    <row r="196" spans="1:15" x14ac:dyDescent="0.45">
      <c r="A196" s="735">
        <f t="shared" si="0"/>
        <v>194</v>
      </c>
      <c r="B196" s="735">
        <v>182</v>
      </c>
      <c r="C196" s="735" t="s">
        <v>3</v>
      </c>
      <c r="D196" s="733" t="s">
        <v>132</v>
      </c>
      <c r="E196" s="733" t="s">
        <v>249</v>
      </c>
      <c r="F196" s="733" t="s">
        <v>312</v>
      </c>
      <c r="G196" s="736">
        <v>41572</v>
      </c>
      <c r="H196" s="733" t="s">
        <v>313</v>
      </c>
      <c r="I196" s="733" t="s">
        <v>17</v>
      </c>
      <c r="J196" s="737" t="s">
        <v>9</v>
      </c>
      <c r="K196" s="738">
        <v>94</v>
      </c>
      <c r="L196" s="737">
        <v>30</v>
      </c>
      <c r="M196" s="737">
        <v>533</v>
      </c>
      <c r="N196" s="739" t="s">
        <v>10</v>
      </c>
      <c r="O196" s="711"/>
    </row>
    <row r="197" spans="1:15" x14ac:dyDescent="0.45">
      <c r="A197" s="735">
        <f t="shared" si="0"/>
        <v>195</v>
      </c>
      <c r="B197" s="735">
        <v>183</v>
      </c>
      <c r="C197" s="735" t="s">
        <v>3</v>
      </c>
      <c r="D197" s="733" t="s">
        <v>41</v>
      </c>
      <c r="E197" s="733" t="s">
        <v>314</v>
      </c>
      <c r="F197" s="733" t="s">
        <v>1079</v>
      </c>
      <c r="G197" s="736">
        <v>41576</v>
      </c>
      <c r="H197" s="733" t="s">
        <v>315</v>
      </c>
      <c r="I197" s="733" t="s">
        <v>70</v>
      </c>
      <c r="J197" s="737" t="s">
        <v>71</v>
      </c>
      <c r="K197" s="738">
        <v>9</v>
      </c>
      <c r="L197" s="737">
        <v>36</v>
      </c>
      <c r="M197" s="737">
        <v>106</v>
      </c>
      <c r="N197" s="739" t="s">
        <v>10</v>
      </c>
      <c r="O197" s="711"/>
    </row>
    <row r="198" spans="1:15" x14ac:dyDescent="0.45">
      <c r="A198" s="735">
        <f t="shared" si="0"/>
        <v>196</v>
      </c>
      <c r="B198" s="735">
        <v>184</v>
      </c>
      <c r="C198" s="735" t="s">
        <v>3</v>
      </c>
      <c r="D198" s="733" t="s">
        <v>182</v>
      </c>
      <c r="E198" s="733" t="s">
        <v>109</v>
      </c>
      <c r="F198" s="733" t="s">
        <v>1080</v>
      </c>
      <c r="G198" s="736">
        <v>41598</v>
      </c>
      <c r="H198" s="733" t="s">
        <v>316</v>
      </c>
      <c r="I198" s="733" t="s">
        <v>70</v>
      </c>
      <c r="J198" s="737" t="s">
        <v>71</v>
      </c>
      <c r="K198" s="738">
        <v>9</v>
      </c>
      <c r="L198" s="737">
        <v>22</v>
      </c>
      <c r="M198" s="737">
        <v>58</v>
      </c>
      <c r="N198" s="739" t="s">
        <v>10</v>
      </c>
      <c r="O198" s="711"/>
    </row>
    <row r="199" spans="1:15" x14ac:dyDescent="0.45">
      <c r="A199" s="735">
        <f t="shared" si="0"/>
        <v>197</v>
      </c>
      <c r="B199" s="735">
        <v>185</v>
      </c>
      <c r="C199" s="735" t="s">
        <v>3</v>
      </c>
      <c r="D199" s="733" t="s">
        <v>83</v>
      </c>
      <c r="E199" s="733" t="s">
        <v>241</v>
      </c>
      <c r="F199" s="733" t="s">
        <v>317</v>
      </c>
      <c r="G199" s="736">
        <v>41603</v>
      </c>
      <c r="H199" s="733" t="s">
        <v>318</v>
      </c>
      <c r="I199" s="733" t="s">
        <v>70</v>
      </c>
      <c r="J199" s="737" t="s">
        <v>9</v>
      </c>
      <c r="K199" s="738">
        <v>94</v>
      </c>
      <c r="L199" s="737">
        <v>31</v>
      </c>
      <c r="M199" s="737">
        <v>213</v>
      </c>
      <c r="N199" s="739" t="s">
        <v>10</v>
      </c>
      <c r="O199" s="711"/>
    </row>
    <row r="200" spans="1:15" x14ac:dyDescent="0.45">
      <c r="A200" s="735">
        <f t="shared" si="0"/>
        <v>198</v>
      </c>
      <c r="B200" s="735">
        <v>186</v>
      </c>
      <c r="C200" s="735" t="s">
        <v>3</v>
      </c>
      <c r="D200" s="733" t="s">
        <v>105</v>
      </c>
      <c r="E200" s="733" t="s">
        <v>241</v>
      </c>
      <c r="F200" s="733" t="s">
        <v>1516</v>
      </c>
      <c r="G200" s="736">
        <v>41610</v>
      </c>
      <c r="H200" s="733" t="s">
        <v>1140</v>
      </c>
      <c r="I200" s="733" t="s">
        <v>240</v>
      </c>
      <c r="J200" s="737" t="s">
        <v>52</v>
      </c>
      <c r="K200" s="738">
        <v>2</v>
      </c>
      <c r="L200" s="737">
        <v>214</v>
      </c>
      <c r="M200" s="737">
        <v>214</v>
      </c>
      <c r="N200" s="739" t="s">
        <v>10</v>
      </c>
      <c r="O200" s="711"/>
    </row>
    <row r="201" spans="1:15" x14ac:dyDescent="0.45">
      <c r="A201" s="735">
        <f t="shared" si="0"/>
        <v>199</v>
      </c>
      <c r="B201" s="735">
        <v>187</v>
      </c>
      <c r="C201" s="735" t="s">
        <v>3</v>
      </c>
      <c r="D201" s="733" t="s">
        <v>132</v>
      </c>
      <c r="E201" s="733" t="s">
        <v>86</v>
      </c>
      <c r="F201" s="733" t="s">
        <v>1288</v>
      </c>
      <c r="G201" s="736">
        <v>41617</v>
      </c>
      <c r="H201" s="733" t="s">
        <v>319</v>
      </c>
      <c r="I201" s="733" t="s">
        <v>70</v>
      </c>
      <c r="J201" s="737" t="s">
        <v>71</v>
      </c>
      <c r="K201" s="738">
        <v>9</v>
      </c>
      <c r="L201" s="737">
        <v>19</v>
      </c>
      <c r="M201" s="737">
        <v>45</v>
      </c>
      <c r="N201" s="746" t="s">
        <v>18</v>
      </c>
      <c r="O201" s="711"/>
    </row>
    <row r="202" spans="1:15" ht="18" thickBot="1" x14ac:dyDescent="0.5">
      <c r="A202" s="740">
        <f t="shared" si="0"/>
        <v>200</v>
      </c>
      <c r="B202" s="740">
        <v>188</v>
      </c>
      <c r="C202" s="740" t="s">
        <v>3</v>
      </c>
      <c r="D202" s="741" t="s">
        <v>105</v>
      </c>
      <c r="E202" s="741" t="s">
        <v>320</v>
      </c>
      <c r="F202" s="741" t="s">
        <v>321</v>
      </c>
      <c r="G202" s="742">
        <v>41629</v>
      </c>
      <c r="H202" s="741" t="s">
        <v>322</v>
      </c>
      <c r="I202" s="741" t="s">
        <v>51</v>
      </c>
      <c r="J202" s="743" t="s">
        <v>52</v>
      </c>
      <c r="K202" s="744">
        <v>2</v>
      </c>
      <c r="L202" s="743">
        <v>19</v>
      </c>
      <c r="M202" s="743">
        <v>19</v>
      </c>
      <c r="N202" s="745" t="s">
        <v>10</v>
      </c>
      <c r="O202" s="711"/>
    </row>
    <row r="203" spans="1:15" ht="18" thickTop="1" x14ac:dyDescent="0.45">
      <c r="A203" s="726">
        <f t="shared" si="0"/>
        <v>201</v>
      </c>
      <c r="B203" s="726">
        <v>189</v>
      </c>
      <c r="C203" s="726" t="s">
        <v>3</v>
      </c>
      <c r="D203" s="727" t="s">
        <v>41</v>
      </c>
      <c r="E203" s="727" t="s">
        <v>320</v>
      </c>
      <c r="F203" s="727" t="s">
        <v>323</v>
      </c>
      <c r="G203" s="792">
        <v>41729</v>
      </c>
      <c r="H203" s="727" t="s">
        <v>324</v>
      </c>
      <c r="I203" s="727" t="s">
        <v>70</v>
      </c>
      <c r="J203" s="729" t="s">
        <v>9</v>
      </c>
      <c r="K203" s="730">
        <v>94</v>
      </c>
      <c r="L203" s="729">
        <v>126</v>
      </c>
      <c r="M203" s="729">
        <v>153</v>
      </c>
      <c r="N203" s="734" t="s">
        <v>10</v>
      </c>
      <c r="O203" s="711"/>
    </row>
    <row r="204" spans="1:15" x14ac:dyDescent="0.45">
      <c r="A204" s="735">
        <f t="shared" si="0"/>
        <v>202</v>
      </c>
      <c r="B204" s="735">
        <v>190</v>
      </c>
      <c r="C204" s="735" t="s">
        <v>3</v>
      </c>
      <c r="D204" s="733" t="s">
        <v>182</v>
      </c>
      <c r="E204" s="733" t="s">
        <v>174</v>
      </c>
      <c r="F204" s="733" t="s">
        <v>2402</v>
      </c>
      <c r="G204" s="736">
        <v>41860</v>
      </c>
      <c r="H204" s="733" t="s">
        <v>325</v>
      </c>
      <c r="I204" s="733" t="s">
        <v>17</v>
      </c>
      <c r="J204" s="737" t="s">
        <v>9</v>
      </c>
      <c r="K204" s="738">
        <v>94</v>
      </c>
      <c r="L204" s="737">
        <v>131</v>
      </c>
      <c r="M204" s="737">
        <v>262</v>
      </c>
      <c r="N204" s="739" t="s">
        <v>10</v>
      </c>
      <c r="O204" s="711"/>
    </row>
    <row r="205" spans="1:15" x14ac:dyDescent="0.45">
      <c r="A205" s="735">
        <f t="shared" si="0"/>
        <v>203</v>
      </c>
      <c r="B205" s="735">
        <v>191</v>
      </c>
      <c r="C205" s="735" t="s">
        <v>3</v>
      </c>
      <c r="D205" s="733" t="s">
        <v>132</v>
      </c>
      <c r="E205" s="733" t="s">
        <v>320</v>
      </c>
      <c r="F205" s="733" t="s">
        <v>1103</v>
      </c>
      <c r="G205" s="736">
        <v>41870</v>
      </c>
      <c r="H205" s="733" t="s">
        <v>326</v>
      </c>
      <c r="I205" s="733" t="s">
        <v>70</v>
      </c>
      <c r="J205" s="737" t="s">
        <v>71</v>
      </c>
      <c r="K205" s="738">
        <v>9</v>
      </c>
      <c r="L205" s="737">
        <v>253</v>
      </c>
      <c r="M205" s="737">
        <v>253</v>
      </c>
      <c r="N205" s="739" t="s">
        <v>10</v>
      </c>
      <c r="O205" s="711"/>
    </row>
    <row r="206" spans="1:15" x14ac:dyDescent="0.45">
      <c r="A206" s="735">
        <f t="shared" si="0"/>
        <v>204</v>
      </c>
      <c r="B206" s="735">
        <v>192</v>
      </c>
      <c r="C206" s="735" t="s">
        <v>3</v>
      </c>
      <c r="D206" s="733" t="s">
        <v>83</v>
      </c>
      <c r="E206" s="733" t="s">
        <v>249</v>
      </c>
      <c r="F206" s="733" t="s">
        <v>1498</v>
      </c>
      <c r="G206" s="736">
        <v>41886</v>
      </c>
      <c r="H206" s="733" t="s">
        <v>327</v>
      </c>
      <c r="I206" s="733" t="s">
        <v>70</v>
      </c>
      <c r="J206" s="737" t="s">
        <v>9</v>
      </c>
      <c r="K206" s="738">
        <v>94</v>
      </c>
      <c r="L206" s="737">
        <v>26</v>
      </c>
      <c r="M206" s="737">
        <v>283</v>
      </c>
      <c r="N206" s="739" t="s">
        <v>10</v>
      </c>
      <c r="O206" s="711"/>
    </row>
    <row r="207" spans="1:15" x14ac:dyDescent="0.45">
      <c r="A207" s="735">
        <f t="shared" si="0"/>
        <v>205</v>
      </c>
      <c r="B207" s="735">
        <v>193</v>
      </c>
      <c r="C207" s="735" t="s">
        <v>3</v>
      </c>
      <c r="D207" s="733" t="s">
        <v>132</v>
      </c>
      <c r="E207" s="733" t="s">
        <v>314</v>
      </c>
      <c r="F207" s="733" t="s">
        <v>1081</v>
      </c>
      <c r="G207" s="736">
        <v>41890</v>
      </c>
      <c r="H207" s="733" t="s">
        <v>328</v>
      </c>
      <c r="I207" s="733" t="s">
        <v>70</v>
      </c>
      <c r="J207" s="737" t="s">
        <v>71</v>
      </c>
      <c r="K207" s="738">
        <v>9</v>
      </c>
      <c r="L207" s="737">
        <v>20</v>
      </c>
      <c r="M207" s="737">
        <v>20</v>
      </c>
      <c r="N207" s="739" t="s">
        <v>10</v>
      </c>
      <c r="O207" s="711"/>
    </row>
    <row r="208" spans="1:15" x14ac:dyDescent="0.45">
      <c r="A208" s="735">
        <f t="shared" si="0"/>
        <v>206</v>
      </c>
      <c r="B208" s="735">
        <v>194</v>
      </c>
      <c r="C208" s="735" t="s">
        <v>3</v>
      </c>
      <c r="D208" s="733" t="s">
        <v>41</v>
      </c>
      <c r="E208" s="733" t="s">
        <v>329</v>
      </c>
      <c r="F208" s="733" t="s">
        <v>330</v>
      </c>
      <c r="G208" s="750">
        <v>41910</v>
      </c>
      <c r="H208" s="733" t="s">
        <v>331</v>
      </c>
      <c r="I208" s="733" t="s">
        <v>70</v>
      </c>
      <c r="J208" s="737" t="s">
        <v>9</v>
      </c>
      <c r="K208" s="738">
        <v>94</v>
      </c>
      <c r="L208" s="737">
        <v>24</v>
      </c>
      <c r="M208" s="737">
        <v>181</v>
      </c>
      <c r="N208" s="739" t="s">
        <v>10</v>
      </c>
    </row>
    <row r="209" spans="1:15" x14ac:dyDescent="0.45">
      <c r="A209" s="735">
        <f t="shared" si="0"/>
        <v>207</v>
      </c>
      <c r="B209" s="735">
        <v>195</v>
      </c>
      <c r="C209" s="735" t="s">
        <v>3</v>
      </c>
      <c r="D209" s="733" t="s">
        <v>182</v>
      </c>
      <c r="E209" s="733" t="s">
        <v>184</v>
      </c>
      <c r="F209" s="733" t="s">
        <v>1082</v>
      </c>
      <c r="G209" s="736">
        <v>41932</v>
      </c>
      <c r="H209" s="733" t="s">
        <v>332</v>
      </c>
      <c r="I209" s="733" t="s">
        <v>70</v>
      </c>
      <c r="J209" s="737" t="s">
        <v>71</v>
      </c>
      <c r="K209" s="738">
        <v>9</v>
      </c>
      <c r="L209" s="737">
        <v>42</v>
      </c>
      <c r="M209" s="737">
        <v>72</v>
      </c>
      <c r="N209" s="739" t="s">
        <v>10</v>
      </c>
    </row>
    <row r="210" spans="1:15" x14ac:dyDescent="0.45">
      <c r="A210" s="735">
        <f t="shared" si="0"/>
        <v>208</v>
      </c>
      <c r="B210" s="735">
        <v>196</v>
      </c>
      <c r="C210" s="735" t="s">
        <v>3</v>
      </c>
      <c r="D210" s="733" t="s">
        <v>203</v>
      </c>
      <c r="E210" s="733" t="s">
        <v>142</v>
      </c>
      <c r="F210" s="733" t="s">
        <v>1520</v>
      </c>
      <c r="G210" s="736">
        <v>41936</v>
      </c>
      <c r="H210" s="733" t="s">
        <v>333</v>
      </c>
      <c r="I210" s="733" t="s">
        <v>334</v>
      </c>
      <c r="J210" s="737" t="s">
        <v>52</v>
      </c>
      <c r="K210" s="738">
        <v>2</v>
      </c>
      <c r="L210" s="737">
        <v>307</v>
      </c>
      <c r="M210" s="737">
        <v>729</v>
      </c>
      <c r="N210" s="739" t="s">
        <v>10</v>
      </c>
    </row>
    <row r="211" spans="1:15" x14ac:dyDescent="0.45">
      <c r="A211" s="735">
        <f t="shared" si="0"/>
        <v>209</v>
      </c>
      <c r="B211" s="735">
        <v>197</v>
      </c>
      <c r="C211" s="735" t="s">
        <v>3</v>
      </c>
      <c r="D211" s="733" t="s">
        <v>41</v>
      </c>
      <c r="E211" s="733" t="s">
        <v>335</v>
      </c>
      <c r="F211" s="733" t="s">
        <v>336</v>
      </c>
      <c r="G211" s="736">
        <v>41939</v>
      </c>
      <c r="H211" s="733" t="s">
        <v>337</v>
      </c>
      <c r="I211" s="733" t="s">
        <v>70</v>
      </c>
      <c r="J211" s="737" t="s">
        <v>9</v>
      </c>
      <c r="K211" s="738">
        <v>94</v>
      </c>
      <c r="L211" s="737">
        <v>29</v>
      </c>
      <c r="M211" s="737">
        <v>29</v>
      </c>
      <c r="N211" s="739" t="s">
        <v>10</v>
      </c>
    </row>
    <row r="212" spans="1:15" x14ac:dyDescent="0.45">
      <c r="A212" s="735">
        <f t="shared" si="0"/>
        <v>210</v>
      </c>
      <c r="B212" s="735">
        <v>198</v>
      </c>
      <c r="C212" s="735" t="s">
        <v>3</v>
      </c>
      <c r="D212" s="733" t="s">
        <v>41</v>
      </c>
      <c r="E212" s="733" t="s">
        <v>338</v>
      </c>
      <c r="F212" s="733" t="s">
        <v>1083</v>
      </c>
      <c r="G212" s="736">
        <v>41958</v>
      </c>
      <c r="H212" s="733" t="s">
        <v>339</v>
      </c>
      <c r="I212" s="733" t="s">
        <v>70</v>
      </c>
      <c r="J212" s="737" t="s">
        <v>71</v>
      </c>
      <c r="K212" s="738">
        <v>9</v>
      </c>
      <c r="L212" s="737">
        <v>26</v>
      </c>
      <c r="M212" s="737">
        <v>19</v>
      </c>
      <c r="N212" s="739" t="s">
        <v>10</v>
      </c>
    </row>
    <row r="213" spans="1:15" x14ac:dyDescent="0.45">
      <c r="A213" s="735">
        <f t="shared" si="0"/>
        <v>211</v>
      </c>
      <c r="B213" s="735">
        <v>199</v>
      </c>
      <c r="C213" s="735" t="s">
        <v>3</v>
      </c>
      <c r="D213" s="733" t="s">
        <v>83</v>
      </c>
      <c r="E213" s="733" t="s">
        <v>254</v>
      </c>
      <c r="F213" s="733" t="s">
        <v>1084</v>
      </c>
      <c r="G213" s="736">
        <v>41963</v>
      </c>
      <c r="H213" s="733" t="s">
        <v>340</v>
      </c>
      <c r="I213" s="733" t="s">
        <v>70</v>
      </c>
      <c r="J213" s="737" t="s">
        <v>9</v>
      </c>
      <c r="K213" s="738">
        <v>94</v>
      </c>
      <c r="L213" s="737">
        <v>24</v>
      </c>
      <c r="M213" s="737">
        <v>77</v>
      </c>
      <c r="N213" s="739" t="s">
        <v>10</v>
      </c>
    </row>
    <row r="214" spans="1:15" x14ac:dyDescent="0.45">
      <c r="A214" s="735">
        <f t="shared" si="0"/>
        <v>212</v>
      </c>
      <c r="B214" s="735" t="s">
        <v>3</v>
      </c>
      <c r="C214" s="735">
        <v>13</v>
      </c>
      <c r="D214" s="733" t="s">
        <v>307</v>
      </c>
      <c r="E214" s="733" t="s">
        <v>45</v>
      </c>
      <c r="F214" s="733" t="s">
        <v>341</v>
      </c>
      <c r="G214" s="736">
        <v>41964</v>
      </c>
      <c r="H214" s="733" t="s">
        <v>342</v>
      </c>
      <c r="I214" s="733" t="s">
        <v>70</v>
      </c>
      <c r="J214" s="737" t="s">
        <v>9</v>
      </c>
      <c r="K214" s="738" t="s">
        <v>310</v>
      </c>
      <c r="L214" s="737">
        <v>1</v>
      </c>
      <c r="M214" s="737">
        <v>422</v>
      </c>
      <c r="N214" s="739" t="s">
        <v>10</v>
      </c>
    </row>
    <row r="215" spans="1:15" x14ac:dyDescent="0.45">
      <c r="A215" s="735">
        <f t="shared" si="0"/>
        <v>213</v>
      </c>
      <c r="B215" s="735">
        <v>200</v>
      </c>
      <c r="C215" s="735" t="s">
        <v>3</v>
      </c>
      <c r="D215" s="733" t="s">
        <v>132</v>
      </c>
      <c r="E215" s="733" t="s">
        <v>335</v>
      </c>
      <c r="F215" s="733" t="s">
        <v>1355</v>
      </c>
      <c r="G215" s="736">
        <v>41980</v>
      </c>
      <c r="H215" s="733" t="s">
        <v>343</v>
      </c>
      <c r="I215" s="733" t="s">
        <v>70</v>
      </c>
      <c r="J215" s="737" t="s">
        <v>71</v>
      </c>
      <c r="K215" s="738">
        <v>9</v>
      </c>
      <c r="L215" s="737">
        <v>22</v>
      </c>
      <c r="M215" s="737">
        <v>90</v>
      </c>
      <c r="N215" s="739" t="s">
        <v>10</v>
      </c>
    </row>
    <row r="216" spans="1:15" x14ac:dyDescent="0.45">
      <c r="A216" s="735">
        <f t="shared" si="0"/>
        <v>214</v>
      </c>
      <c r="B216" s="735">
        <v>201</v>
      </c>
      <c r="C216" s="735" t="s">
        <v>3</v>
      </c>
      <c r="D216" s="733" t="s">
        <v>182</v>
      </c>
      <c r="E216" s="733" t="s">
        <v>200</v>
      </c>
      <c r="F216" s="733" t="s">
        <v>2403</v>
      </c>
      <c r="G216" s="736">
        <v>41984</v>
      </c>
      <c r="H216" s="733" t="s">
        <v>344</v>
      </c>
      <c r="I216" s="733" t="s">
        <v>17</v>
      </c>
      <c r="J216" s="737" t="s">
        <v>9</v>
      </c>
      <c r="K216" s="738">
        <v>94</v>
      </c>
      <c r="L216" s="737">
        <v>20</v>
      </c>
      <c r="M216" s="737">
        <v>52</v>
      </c>
      <c r="N216" s="739" t="s">
        <v>10</v>
      </c>
    </row>
    <row r="217" spans="1:15" x14ac:dyDescent="0.45">
      <c r="A217" s="735">
        <f t="shared" si="0"/>
        <v>215</v>
      </c>
      <c r="B217" s="735">
        <v>202</v>
      </c>
      <c r="C217" s="735" t="s">
        <v>3</v>
      </c>
      <c r="D217" s="733" t="s">
        <v>132</v>
      </c>
      <c r="E217" s="733" t="s">
        <v>345</v>
      </c>
      <c r="F217" s="733" t="s">
        <v>1085</v>
      </c>
      <c r="G217" s="736">
        <v>42000</v>
      </c>
      <c r="H217" s="733" t="s">
        <v>218</v>
      </c>
      <c r="I217" s="733" t="s">
        <v>70</v>
      </c>
      <c r="J217" s="737" t="s">
        <v>71</v>
      </c>
      <c r="K217" s="738">
        <v>9</v>
      </c>
      <c r="L217" s="737">
        <v>20</v>
      </c>
      <c r="M217" s="737">
        <v>20</v>
      </c>
      <c r="N217" s="739" t="s">
        <v>10</v>
      </c>
    </row>
    <row r="218" spans="1:15" ht="18" thickBot="1" x14ac:dyDescent="0.5">
      <c r="A218" s="740">
        <f t="shared" si="0"/>
        <v>216</v>
      </c>
      <c r="B218" s="740">
        <v>203</v>
      </c>
      <c r="C218" s="740" t="s">
        <v>3</v>
      </c>
      <c r="D218" s="741" t="s">
        <v>91</v>
      </c>
      <c r="E218" s="741" t="s">
        <v>254</v>
      </c>
      <c r="F218" s="741" t="s">
        <v>2301</v>
      </c>
      <c r="G218" s="742">
        <v>42004</v>
      </c>
      <c r="H218" s="741" t="s">
        <v>346</v>
      </c>
      <c r="I218" s="741" t="s">
        <v>51</v>
      </c>
      <c r="J218" s="743" t="s">
        <v>52</v>
      </c>
      <c r="K218" s="744">
        <v>2</v>
      </c>
      <c r="L218" s="743">
        <v>68</v>
      </c>
      <c r="M218" s="743">
        <v>1083</v>
      </c>
      <c r="N218" s="745" t="s">
        <v>10</v>
      </c>
    </row>
    <row r="219" spans="1:15" ht="18" thickTop="1" x14ac:dyDescent="0.45">
      <c r="A219" s="793">
        <f t="shared" si="0"/>
        <v>217</v>
      </c>
      <c r="B219" s="793">
        <v>204</v>
      </c>
      <c r="C219" s="793" t="s">
        <v>3</v>
      </c>
      <c r="D219" s="794" t="s">
        <v>203</v>
      </c>
      <c r="E219" s="794" t="s">
        <v>90</v>
      </c>
      <c r="F219" s="795" t="s">
        <v>1487</v>
      </c>
      <c r="G219" s="796">
        <v>42093</v>
      </c>
      <c r="H219" s="795" t="s">
        <v>347</v>
      </c>
      <c r="I219" s="795" t="s">
        <v>1189</v>
      </c>
      <c r="J219" s="797" t="s">
        <v>52</v>
      </c>
      <c r="K219" s="798">
        <v>2</v>
      </c>
      <c r="L219" s="797">
        <v>89</v>
      </c>
      <c r="M219" s="797">
        <v>157</v>
      </c>
      <c r="N219" s="799" t="s">
        <v>10</v>
      </c>
      <c r="O219" s="718" t="s">
        <v>1761</v>
      </c>
    </row>
    <row r="220" spans="1:15" x14ac:dyDescent="0.45">
      <c r="A220" s="735">
        <f t="shared" si="0"/>
        <v>218</v>
      </c>
      <c r="B220" s="735">
        <v>205</v>
      </c>
      <c r="C220" s="735" t="s">
        <v>3</v>
      </c>
      <c r="D220" s="733" t="s">
        <v>132</v>
      </c>
      <c r="E220" s="733" t="s">
        <v>348</v>
      </c>
      <c r="F220" s="733" t="s">
        <v>1104</v>
      </c>
      <c r="G220" s="736">
        <v>42181</v>
      </c>
      <c r="H220" s="733" t="s">
        <v>349</v>
      </c>
      <c r="I220" s="733" t="s">
        <v>70</v>
      </c>
      <c r="J220" s="737" t="s">
        <v>71</v>
      </c>
      <c r="K220" s="738">
        <v>9</v>
      </c>
      <c r="L220" s="737">
        <v>181</v>
      </c>
      <c r="M220" s="737">
        <v>181</v>
      </c>
      <c r="N220" s="739" t="s">
        <v>10</v>
      </c>
    </row>
    <row r="221" spans="1:15" x14ac:dyDescent="0.45">
      <c r="A221" s="800">
        <f t="shared" si="0"/>
        <v>219</v>
      </c>
      <c r="B221" s="800">
        <v>206</v>
      </c>
      <c r="C221" s="800" t="s">
        <v>3</v>
      </c>
      <c r="D221" s="801" t="s">
        <v>105</v>
      </c>
      <c r="E221" s="801" t="s">
        <v>260</v>
      </c>
      <c r="F221" s="802" t="s">
        <v>1910</v>
      </c>
      <c r="G221" s="803">
        <v>42210</v>
      </c>
      <c r="H221" s="802" t="s">
        <v>350</v>
      </c>
      <c r="I221" s="802" t="s">
        <v>351</v>
      </c>
      <c r="J221" s="804" t="s">
        <v>52</v>
      </c>
      <c r="K221" s="805">
        <v>2</v>
      </c>
      <c r="L221" s="804">
        <v>117</v>
      </c>
      <c r="M221" s="804">
        <v>581</v>
      </c>
      <c r="N221" s="806" t="s">
        <v>10</v>
      </c>
      <c r="O221" s="718" t="s">
        <v>1762</v>
      </c>
    </row>
    <row r="222" spans="1:15" x14ac:dyDescent="0.45">
      <c r="A222" s="735">
        <f t="shared" si="0"/>
        <v>220</v>
      </c>
      <c r="B222" s="735">
        <v>207</v>
      </c>
      <c r="C222" s="735" t="s">
        <v>3</v>
      </c>
      <c r="D222" s="733" t="s">
        <v>182</v>
      </c>
      <c r="E222" s="733" t="s">
        <v>192</v>
      </c>
      <c r="F222" s="733" t="s">
        <v>1086</v>
      </c>
      <c r="G222" s="736">
        <v>42243</v>
      </c>
      <c r="H222" s="733" t="s">
        <v>352</v>
      </c>
      <c r="I222" s="733" t="s">
        <v>70</v>
      </c>
      <c r="J222" s="737" t="s">
        <v>71</v>
      </c>
      <c r="K222" s="738">
        <v>9</v>
      </c>
      <c r="L222" s="737">
        <v>62</v>
      </c>
      <c r="M222" s="737">
        <v>259</v>
      </c>
      <c r="N222" s="739" t="s">
        <v>10</v>
      </c>
    </row>
    <row r="223" spans="1:15" x14ac:dyDescent="0.45">
      <c r="A223" s="735">
        <f t="shared" si="0"/>
        <v>221</v>
      </c>
      <c r="B223" s="735">
        <v>208</v>
      </c>
      <c r="C223" s="735" t="s">
        <v>3</v>
      </c>
      <c r="D223" s="733" t="s">
        <v>105</v>
      </c>
      <c r="E223" s="733" t="s">
        <v>335</v>
      </c>
      <c r="F223" s="733" t="s">
        <v>1610</v>
      </c>
      <c r="G223" s="736">
        <v>42259</v>
      </c>
      <c r="H223" s="733" t="s">
        <v>353</v>
      </c>
      <c r="I223" s="733" t="s">
        <v>51</v>
      </c>
      <c r="J223" s="737" t="s">
        <v>52</v>
      </c>
      <c r="K223" s="738">
        <v>2</v>
      </c>
      <c r="L223" s="737">
        <v>49</v>
      </c>
      <c r="M223" s="737">
        <v>49</v>
      </c>
      <c r="N223" s="739" t="s">
        <v>10</v>
      </c>
    </row>
    <row r="224" spans="1:15" x14ac:dyDescent="0.45">
      <c r="A224" s="735">
        <f t="shared" si="0"/>
        <v>222</v>
      </c>
      <c r="B224" s="735">
        <v>209</v>
      </c>
      <c r="C224" s="735" t="s">
        <v>3</v>
      </c>
      <c r="D224" s="733" t="s">
        <v>83</v>
      </c>
      <c r="E224" s="733" t="s">
        <v>225</v>
      </c>
      <c r="F224" s="733" t="s">
        <v>1105</v>
      </c>
      <c r="G224" s="736">
        <v>42261</v>
      </c>
      <c r="H224" s="733" t="s">
        <v>354</v>
      </c>
      <c r="I224" s="733" t="s">
        <v>70</v>
      </c>
      <c r="J224" s="737" t="s">
        <v>9</v>
      </c>
      <c r="K224" s="738">
        <v>94</v>
      </c>
      <c r="L224" s="737">
        <v>277</v>
      </c>
      <c r="M224" s="737">
        <v>298</v>
      </c>
      <c r="N224" s="739" t="s">
        <v>10</v>
      </c>
    </row>
    <row r="225" spans="1:15" x14ac:dyDescent="0.45">
      <c r="A225" s="735">
        <f t="shared" si="0"/>
        <v>223</v>
      </c>
      <c r="B225" s="735">
        <v>210</v>
      </c>
      <c r="C225" s="735" t="s">
        <v>3</v>
      </c>
      <c r="D225" s="733" t="s">
        <v>355</v>
      </c>
      <c r="E225" s="733" t="s">
        <v>42</v>
      </c>
      <c r="F225" s="733" t="s">
        <v>2404</v>
      </c>
      <c r="G225" s="736">
        <v>42267</v>
      </c>
      <c r="H225" s="733" t="s">
        <v>356</v>
      </c>
      <c r="I225" s="733" t="s">
        <v>70</v>
      </c>
      <c r="J225" s="737" t="s">
        <v>71</v>
      </c>
      <c r="K225" s="738">
        <v>16</v>
      </c>
      <c r="L225" s="737">
        <v>24</v>
      </c>
      <c r="M225" s="737" t="s">
        <v>1012</v>
      </c>
      <c r="N225" s="739" t="s">
        <v>10</v>
      </c>
    </row>
    <row r="226" spans="1:15" x14ac:dyDescent="0.45">
      <c r="A226" s="735">
        <f t="shared" si="0"/>
        <v>224</v>
      </c>
      <c r="B226" s="735">
        <v>211</v>
      </c>
      <c r="C226" s="735" t="s">
        <v>3</v>
      </c>
      <c r="D226" s="733" t="s">
        <v>357</v>
      </c>
      <c r="E226" s="733" t="s">
        <v>42</v>
      </c>
      <c r="F226" s="733" t="s">
        <v>358</v>
      </c>
      <c r="G226" s="736">
        <v>42272</v>
      </c>
      <c r="H226" s="733" t="s">
        <v>359</v>
      </c>
      <c r="I226" s="733" t="s">
        <v>70</v>
      </c>
      <c r="J226" s="737" t="s">
        <v>9</v>
      </c>
      <c r="K226" s="738" t="s">
        <v>310</v>
      </c>
      <c r="L226" s="737">
        <v>11</v>
      </c>
      <c r="M226" s="737" t="s">
        <v>1012</v>
      </c>
      <c r="N226" s="739" t="s">
        <v>10</v>
      </c>
    </row>
    <row r="227" spans="1:15" x14ac:dyDescent="0.45">
      <c r="A227" s="735">
        <f t="shared" si="0"/>
        <v>225</v>
      </c>
      <c r="B227" s="735">
        <v>212</v>
      </c>
      <c r="C227" s="735" t="s">
        <v>3</v>
      </c>
      <c r="D227" s="733" t="s">
        <v>105</v>
      </c>
      <c r="E227" s="733" t="s">
        <v>360</v>
      </c>
      <c r="F227" s="733" t="s">
        <v>1488</v>
      </c>
      <c r="G227" s="736">
        <v>42277</v>
      </c>
      <c r="H227" s="733" t="s">
        <v>361</v>
      </c>
      <c r="I227" s="733" t="s">
        <v>51</v>
      </c>
      <c r="J227" s="737" t="s">
        <v>52</v>
      </c>
      <c r="K227" s="738" t="s">
        <v>1641</v>
      </c>
      <c r="L227" s="737">
        <v>18</v>
      </c>
      <c r="M227" s="737">
        <v>18</v>
      </c>
      <c r="N227" s="739" t="s">
        <v>10</v>
      </c>
    </row>
    <row r="228" spans="1:15" x14ac:dyDescent="0.45">
      <c r="A228" s="735">
        <f t="shared" si="0"/>
        <v>226</v>
      </c>
      <c r="B228" s="735">
        <v>213</v>
      </c>
      <c r="C228" s="735" t="s">
        <v>3</v>
      </c>
      <c r="D228" s="733" t="s">
        <v>83</v>
      </c>
      <c r="E228" s="733" t="s">
        <v>362</v>
      </c>
      <c r="F228" s="733" t="s">
        <v>2405</v>
      </c>
      <c r="G228" s="736">
        <v>42284</v>
      </c>
      <c r="H228" s="733" t="s">
        <v>363</v>
      </c>
      <c r="I228" s="733" t="s">
        <v>70</v>
      </c>
      <c r="J228" s="737" t="s">
        <v>9</v>
      </c>
      <c r="K228" s="738">
        <v>94</v>
      </c>
      <c r="L228" s="737">
        <v>12</v>
      </c>
      <c r="M228" s="737">
        <v>23</v>
      </c>
      <c r="N228" s="739" t="s">
        <v>10</v>
      </c>
    </row>
    <row r="229" spans="1:15" x14ac:dyDescent="0.45">
      <c r="A229" s="735">
        <f t="shared" si="0"/>
        <v>227</v>
      </c>
      <c r="B229" s="735">
        <v>214</v>
      </c>
      <c r="C229" s="735" t="s">
        <v>3</v>
      </c>
      <c r="D229" s="733" t="s">
        <v>105</v>
      </c>
      <c r="E229" s="733" t="s">
        <v>364</v>
      </c>
      <c r="F229" s="733" t="s">
        <v>1273</v>
      </c>
      <c r="G229" s="736">
        <v>42294</v>
      </c>
      <c r="H229" s="733" t="s">
        <v>365</v>
      </c>
      <c r="I229" s="733" t="s">
        <v>51</v>
      </c>
      <c r="J229" s="737" t="s">
        <v>52</v>
      </c>
      <c r="K229" s="738">
        <v>2</v>
      </c>
      <c r="L229" s="737">
        <v>17</v>
      </c>
      <c r="M229" s="737">
        <v>17</v>
      </c>
      <c r="N229" s="739" t="s">
        <v>10</v>
      </c>
    </row>
    <row r="230" spans="1:15" x14ac:dyDescent="0.45">
      <c r="A230" s="735">
        <f t="shared" si="0"/>
        <v>228</v>
      </c>
      <c r="B230" s="735">
        <v>215</v>
      </c>
      <c r="C230" s="735" t="s">
        <v>3</v>
      </c>
      <c r="D230" s="733" t="s">
        <v>83</v>
      </c>
      <c r="E230" s="733" t="s">
        <v>260</v>
      </c>
      <c r="F230" s="733" t="s">
        <v>1141</v>
      </c>
      <c r="G230" s="736">
        <v>42303</v>
      </c>
      <c r="H230" s="733" t="s">
        <v>366</v>
      </c>
      <c r="I230" s="733" t="s">
        <v>70</v>
      </c>
      <c r="J230" s="737" t="s">
        <v>9</v>
      </c>
      <c r="K230" s="738">
        <v>94</v>
      </c>
      <c r="L230" s="737">
        <v>19</v>
      </c>
      <c r="M230" s="737">
        <v>19</v>
      </c>
      <c r="N230" s="739" t="s">
        <v>10</v>
      </c>
    </row>
    <row r="231" spans="1:15" x14ac:dyDescent="0.45">
      <c r="A231" s="735">
        <f t="shared" si="0"/>
        <v>229</v>
      </c>
      <c r="B231" s="735">
        <v>216</v>
      </c>
      <c r="C231" s="735" t="s">
        <v>3</v>
      </c>
      <c r="D231" s="733" t="s">
        <v>105</v>
      </c>
      <c r="E231" s="733" t="s">
        <v>367</v>
      </c>
      <c r="F231" s="733" t="s">
        <v>1050</v>
      </c>
      <c r="G231" s="736">
        <v>42312</v>
      </c>
      <c r="H231" s="733" t="s">
        <v>368</v>
      </c>
      <c r="I231" s="733" t="s">
        <v>51</v>
      </c>
      <c r="J231" s="737" t="s">
        <v>52</v>
      </c>
      <c r="K231" s="738" t="s">
        <v>1641</v>
      </c>
      <c r="L231" s="737">
        <v>18</v>
      </c>
      <c r="M231" s="737">
        <v>18</v>
      </c>
      <c r="N231" s="739" t="s">
        <v>10</v>
      </c>
    </row>
    <row r="232" spans="1:15" x14ac:dyDescent="0.45">
      <c r="A232" s="735">
        <f t="shared" si="0"/>
        <v>230</v>
      </c>
      <c r="B232" s="735">
        <v>217</v>
      </c>
      <c r="C232" s="735" t="s">
        <v>3</v>
      </c>
      <c r="D232" s="733" t="s">
        <v>132</v>
      </c>
      <c r="E232" s="733" t="s">
        <v>254</v>
      </c>
      <c r="F232" s="733" t="s">
        <v>1087</v>
      </c>
      <c r="G232" s="736">
        <v>42316</v>
      </c>
      <c r="H232" s="733" t="s">
        <v>369</v>
      </c>
      <c r="I232" s="733" t="s">
        <v>70</v>
      </c>
      <c r="J232" s="737" t="s">
        <v>71</v>
      </c>
      <c r="K232" s="738">
        <v>9</v>
      </c>
      <c r="L232" s="737">
        <v>49</v>
      </c>
      <c r="M232" s="737">
        <v>135</v>
      </c>
      <c r="N232" s="739" t="s">
        <v>10</v>
      </c>
    </row>
    <row r="233" spans="1:15" x14ac:dyDescent="0.45">
      <c r="A233" s="735">
        <f t="shared" si="0"/>
        <v>231</v>
      </c>
      <c r="B233" s="735">
        <v>218</v>
      </c>
      <c r="C233" s="735" t="s">
        <v>3</v>
      </c>
      <c r="D233" s="733" t="s">
        <v>105</v>
      </c>
      <c r="E233" s="733" t="s">
        <v>370</v>
      </c>
      <c r="F233" s="733" t="s">
        <v>371</v>
      </c>
      <c r="G233" s="736">
        <v>42329</v>
      </c>
      <c r="H233" s="733" t="s">
        <v>372</v>
      </c>
      <c r="I233" s="733" t="s">
        <v>51</v>
      </c>
      <c r="J233" s="737" t="s">
        <v>52</v>
      </c>
      <c r="K233" s="738">
        <v>2</v>
      </c>
      <c r="L233" s="737">
        <v>17</v>
      </c>
      <c r="M233" s="737">
        <v>17</v>
      </c>
      <c r="N233" s="739" t="s">
        <v>10</v>
      </c>
    </row>
    <row r="234" spans="1:15" x14ac:dyDescent="0.45">
      <c r="A234" s="735">
        <f t="shared" si="0"/>
        <v>232</v>
      </c>
      <c r="B234" s="735">
        <v>219</v>
      </c>
      <c r="C234" s="735" t="s">
        <v>3</v>
      </c>
      <c r="D234" s="733" t="s">
        <v>182</v>
      </c>
      <c r="E234" s="733" t="s">
        <v>67</v>
      </c>
      <c r="F234" s="733" t="s">
        <v>1088</v>
      </c>
      <c r="G234" s="736">
        <v>42335</v>
      </c>
      <c r="H234" s="733" t="s">
        <v>373</v>
      </c>
      <c r="I234" s="733" t="s">
        <v>70</v>
      </c>
      <c r="J234" s="737" t="s">
        <v>71</v>
      </c>
      <c r="K234" s="738">
        <v>9</v>
      </c>
      <c r="L234" s="737">
        <v>19</v>
      </c>
      <c r="M234" s="737">
        <v>92</v>
      </c>
      <c r="N234" s="739" t="s">
        <v>10</v>
      </c>
    </row>
    <row r="235" spans="1:15" x14ac:dyDescent="0.45">
      <c r="A235" s="735">
        <f t="shared" si="0"/>
        <v>233</v>
      </c>
      <c r="B235" s="735">
        <v>220</v>
      </c>
      <c r="C235" s="735" t="s">
        <v>3</v>
      </c>
      <c r="D235" s="733" t="s">
        <v>105</v>
      </c>
      <c r="E235" s="733" t="s">
        <v>329</v>
      </c>
      <c r="F235" s="733" t="s">
        <v>1051</v>
      </c>
      <c r="G235" s="736">
        <v>42348</v>
      </c>
      <c r="H235" s="733" t="s">
        <v>374</v>
      </c>
      <c r="I235" s="733" t="s">
        <v>51</v>
      </c>
      <c r="J235" s="737" t="s">
        <v>52</v>
      </c>
      <c r="K235" s="738" t="s">
        <v>1641</v>
      </c>
      <c r="L235" s="737">
        <v>19</v>
      </c>
      <c r="M235" s="737">
        <v>19</v>
      </c>
      <c r="N235" s="739" t="s">
        <v>10</v>
      </c>
    </row>
    <row r="236" spans="1:15" x14ac:dyDescent="0.45">
      <c r="A236" s="735">
        <f t="shared" si="0"/>
        <v>234</v>
      </c>
      <c r="B236" s="735">
        <v>221</v>
      </c>
      <c r="C236" s="735" t="s">
        <v>3</v>
      </c>
      <c r="D236" s="733" t="s">
        <v>83</v>
      </c>
      <c r="E236" s="733" t="s">
        <v>329</v>
      </c>
      <c r="F236" s="733" t="s">
        <v>375</v>
      </c>
      <c r="G236" s="736">
        <v>42355</v>
      </c>
      <c r="H236" s="733" t="s">
        <v>376</v>
      </c>
      <c r="I236" s="733" t="s">
        <v>70</v>
      </c>
      <c r="J236" s="737" t="s">
        <v>9</v>
      </c>
      <c r="K236" s="738">
        <v>94</v>
      </c>
      <c r="L236" s="737">
        <v>52</v>
      </c>
      <c r="M236" s="737">
        <v>52</v>
      </c>
      <c r="N236" s="739" t="s">
        <v>10</v>
      </c>
    </row>
    <row r="237" spans="1:15" ht="18" thickBot="1" x14ac:dyDescent="0.5">
      <c r="A237" s="740">
        <f t="shared" ref="A237:A300" si="1">A236+1</f>
        <v>235</v>
      </c>
      <c r="B237" s="740">
        <v>222</v>
      </c>
      <c r="C237" s="740" t="s">
        <v>3</v>
      </c>
      <c r="D237" s="741" t="s">
        <v>105</v>
      </c>
      <c r="E237" s="741" t="s">
        <v>362</v>
      </c>
      <c r="F237" s="741" t="s">
        <v>1106</v>
      </c>
      <c r="G237" s="742">
        <v>42367</v>
      </c>
      <c r="H237" s="741" t="s">
        <v>377</v>
      </c>
      <c r="I237" s="741" t="s">
        <v>51</v>
      </c>
      <c r="J237" s="743" t="s">
        <v>52</v>
      </c>
      <c r="K237" s="744">
        <v>2</v>
      </c>
      <c r="L237" s="743">
        <v>19</v>
      </c>
      <c r="M237" s="743">
        <v>19</v>
      </c>
      <c r="N237" s="745" t="s">
        <v>10</v>
      </c>
    </row>
    <row r="238" spans="1:15" ht="18" thickTop="1" x14ac:dyDescent="0.45">
      <c r="A238" s="726">
        <f t="shared" si="1"/>
        <v>236</v>
      </c>
      <c r="B238" s="726">
        <v>223</v>
      </c>
      <c r="C238" s="726" t="s">
        <v>3</v>
      </c>
      <c r="D238" s="727" t="s">
        <v>105</v>
      </c>
      <c r="E238" s="727" t="s">
        <v>345</v>
      </c>
      <c r="F238" s="727" t="s">
        <v>1052</v>
      </c>
      <c r="G238" s="728">
        <v>42385</v>
      </c>
      <c r="H238" s="727" t="s">
        <v>378</v>
      </c>
      <c r="I238" s="727" t="s">
        <v>51</v>
      </c>
      <c r="J238" s="729" t="s">
        <v>52</v>
      </c>
      <c r="K238" s="730" t="s">
        <v>1641</v>
      </c>
      <c r="L238" s="729">
        <v>18</v>
      </c>
      <c r="M238" s="729">
        <v>18</v>
      </c>
      <c r="N238" s="734" t="s">
        <v>10</v>
      </c>
    </row>
    <row r="239" spans="1:15" x14ac:dyDescent="0.45">
      <c r="A239" s="800">
        <f t="shared" si="1"/>
        <v>237</v>
      </c>
      <c r="B239" s="800">
        <v>224</v>
      </c>
      <c r="C239" s="800" t="s">
        <v>3</v>
      </c>
      <c r="D239" s="801" t="s">
        <v>203</v>
      </c>
      <c r="E239" s="801" t="s">
        <v>109</v>
      </c>
      <c r="F239" s="802" t="s">
        <v>1489</v>
      </c>
      <c r="G239" s="803">
        <v>42401</v>
      </c>
      <c r="H239" s="802" t="s">
        <v>379</v>
      </c>
      <c r="I239" s="802" t="s">
        <v>351</v>
      </c>
      <c r="J239" s="804" t="s">
        <v>52</v>
      </c>
      <c r="K239" s="805">
        <v>2</v>
      </c>
      <c r="L239" s="804">
        <v>16</v>
      </c>
      <c r="M239" s="804">
        <v>308</v>
      </c>
      <c r="N239" s="806" t="s">
        <v>10</v>
      </c>
      <c r="O239" s="718" t="s">
        <v>1763</v>
      </c>
    </row>
    <row r="240" spans="1:15" x14ac:dyDescent="0.45">
      <c r="A240" s="735">
        <f t="shared" si="1"/>
        <v>238</v>
      </c>
      <c r="B240" s="735">
        <v>225</v>
      </c>
      <c r="C240" s="735" t="s">
        <v>3</v>
      </c>
      <c r="D240" s="733" t="s">
        <v>91</v>
      </c>
      <c r="E240" s="733" t="s">
        <v>260</v>
      </c>
      <c r="F240" s="733" t="s">
        <v>1485</v>
      </c>
      <c r="G240" s="736">
        <v>42459</v>
      </c>
      <c r="H240" s="733" t="s">
        <v>380</v>
      </c>
      <c r="I240" s="733" t="s">
        <v>51</v>
      </c>
      <c r="J240" s="737" t="s">
        <v>52</v>
      </c>
      <c r="K240" s="738">
        <v>2</v>
      </c>
      <c r="L240" s="737">
        <v>58</v>
      </c>
      <c r="M240" s="737">
        <v>455</v>
      </c>
      <c r="N240" s="739" t="s">
        <v>10</v>
      </c>
    </row>
    <row r="241" spans="1:15" x14ac:dyDescent="0.45">
      <c r="A241" s="735">
        <f t="shared" si="1"/>
        <v>239</v>
      </c>
      <c r="B241" s="735">
        <v>226</v>
      </c>
      <c r="C241" s="735" t="s">
        <v>3</v>
      </c>
      <c r="D241" s="733" t="s">
        <v>83</v>
      </c>
      <c r="E241" s="733" t="s">
        <v>364</v>
      </c>
      <c r="F241" s="733" t="s">
        <v>381</v>
      </c>
      <c r="G241" s="736">
        <v>42466</v>
      </c>
      <c r="H241" s="733" t="s">
        <v>382</v>
      </c>
      <c r="I241" s="733" t="s">
        <v>8</v>
      </c>
      <c r="J241" s="737" t="s">
        <v>9</v>
      </c>
      <c r="K241" s="738">
        <v>94</v>
      </c>
      <c r="L241" s="737">
        <v>111</v>
      </c>
      <c r="M241" s="737">
        <v>111</v>
      </c>
      <c r="N241" s="739" t="s">
        <v>10</v>
      </c>
    </row>
    <row r="242" spans="1:15" x14ac:dyDescent="0.45">
      <c r="A242" s="735">
        <f t="shared" si="1"/>
        <v>240</v>
      </c>
      <c r="B242" s="735">
        <v>227</v>
      </c>
      <c r="C242" s="735" t="s">
        <v>3</v>
      </c>
      <c r="D242" s="733" t="s">
        <v>83</v>
      </c>
      <c r="E242" s="733" t="s">
        <v>320</v>
      </c>
      <c r="F242" s="733" t="s">
        <v>1089</v>
      </c>
      <c r="G242" s="736">
        <v>42505</v>
      </c>
      <c r="H242" s="733" t="s">
        <v>383</v>
      </c>
      <c r="I242" s="733" t="s">
        <v>70</v>
      </c>
      <c r="J242" s="737" t="s">
        <v>9</v>
      </c>
      <c r="K242" s="738">
        <v>94</v>
      </c>
      <c r="L242" s="737">
        <v>39</v>
      </c>
      <c r="M242" s="737">
        <v>39</v>
      </c>
      <c r="N242" s="739" t="s">
        <v>10</v>
      </c>
    </row>
    <row r="243" spans="1:15" x14ac:dyDescent="0.45">
      <c r="A243" s="735">
        <f t="shared" si="1"/>
        <v>241</v>
      </c>
      <c r="B243" s="735">
        <v>228</v>
      </c>
      <c r="C243" s="735" t="s">
        <v>3</v>
      </c>
      <c r="D243" s="733" t="s">
        <v>132</v>
      </c>
      <c r="E243" s="733" t="s">
        <v>360</v>
      </c>
      <c r="F243" s="733" t="s">
        <v>1289</v>
      </c>
      <c r="G243" s="736">
        <v>42520</v>
      </c>
      <c r="H243" s="733" t="s">
        <v>384</v>
      </c>
      <c r="I243" s="733" t="s">
        <v>70</v>
      </c>
      <c r="J243" s="737" t="s">
        <v>71</v>
      </c>
      <c r="K243" s="738">
        <v>9</v>
      </c>
      <c r="L243" s="737">
        <v>185</v>
      </c>
      <c r="M243" s="737">
        <v>204</v>
      </c>
      <c r="N243" s="739" t="s">
        <v>10</v>
      </c>
    </row>
    <row r="244" spans="1:15" x14ac:dyDescent="0.45">
      <c r="A244" s="735">
        <f t="shared" si="1"/>
        <v>242</v>
      </c>
      <c r="B244" s="735">
        <v>229</v>
      </c>
      <c r="C244" s="735" t="s">
        <v>3</v>
      </c>
      <c r="D244" s="733" t="s">
        <v>203</v>
      </c>
      <c r="E244" s="733" t="s">
        <v>174</v>
      </c>
      <c r="F244" s="733" t="s">
        <v>1486</v>
      </c>
      <c r="G244" s="736">
        <v>42533</v>
      </c>
      <c r="H244" s="733" t="s">
        <v>385</v>
      </c>
      <c r="I244" s="733" t="s">
        <v>51</v>
      </c>
      <c r="J244" s="737" t="s">
        <v>52</v>
      </c>
      <c r="K244" s="738" t="s">
        <v>1641</v>
      </c>
      <c r="L244" s="737">
        <v>74</v>
      </c>
      <c r="M244" s="737">
        <v>132</v>
      </c>
      <c r="N244" s="739" t="s">
        <v>10</v>
      </c>
    </row>
    <row r="245" spans="1:15" x14ac:dyDescent="0.45">
      <c r="A245" s="800">
        <f t="shared" si="1"/>
        <v>243</v>
      </c>
      <c r="B245" s="800">
        <v>230</v>
      </c>
      <c r="C245" s="800" t="s">
        <v>3</v>
      </c>
      <c r="D245" s="801" t="s">
        <v>1269</v>
      </c>
      <c r="E245" s="801" t="s">
        <v>42</v>
      </c>
      <c r="F245" s="802" t="s">
        <v>2343</v>
      </c>
      <c r="G245" s="803">
        <v>42546</v>
      </c>
      <c r="H245" s="802" t="s">
        <v>387</v>
      </c>
      <c r="I245" s="802" t="s">
        <v>8</v>
      </c>
      <c r="J245" s="804" t="s">
        <v>388</v>
      </c>
      <c r="K245" s="805">
        <v>201</v>
      </c>
      <c r="L245" s="804" t="s">
        <v>1012</v>
      </c>
      <c r="M245" s="804" t="s">
        <v>1012</v>
      </c>
      <c r="N245" s="806" t="s">
        <v>10</v>
      </c>
      <c r="O245" s="718" t="s">
        <v>1764</v>
      </c>
    </row>
    <row r="246" spans="1:15" x14ac:dyDescent="0.45">
      <c r="A246" s="735">
        <f t="shared" si="1"/>
        <v>244</v>
      </c>
      <c r="B246" s="735">
        <v>231</v>
      </c>
      <c r="C246" s="735" t="s">
        <v>3</v>
      </c>
      <c r="D246" s="733" t="s">
        <v>132</v>
      </c>
      <c r="E246" s="733" t="s">
        <v>338</v>
      </c>
      <c r="F246" s="733" t="s">
        <v>2150</v>
      </c>
      <c r="G246" s="736">
        <v>42550</v>
      </c>
      <c r="H246" s="733" t="s">
        <v>389</v>
      </c>
      <c r="I246" s="733" t="s">
        <v>17</v>
      </c>
      <c r="J246" s="737" t="s">
        <v>9</v>
      </c>
      <c r="K246" s="738">
        <v>94</v>
      </c>
      <c r="L246" s="737">
        <v>45</v>
      </c>
      <c r="M246" s="737">
        <v>30</v>
      </c>
      <c r="N246" s="739" t="s">
        <v>10</v>
      </c>
    </row>
    <row r="247" spans="1:15" x14ac:dyDescent="0.45">
      <c r="A247" s="735">
        <f t="shared" si="1"/>
        <v>245</v>
      </c>
      <c r="B247" s="735">
        <v>232</v>
      </c>
      <c r="C247" s="735" t="s">
        <v>3</v>
      </c>
      <c r="D247" s="733" t="s">
        <v>105</v>
      </c>
      <c r="E247" s="733" t="s">
        <v>338</v>
      </c>
      <c r="F247" s="733" t="s">
        <v>1521</v>
      </c>
      <c r="G247" s="736">
        <v>42588</v>
      </c>
      <c r="H247" s="733" t="s">
        <v>390</v>
      </c>
      <c r="I247" s="733" t="s">
        <v>51</v>
      </c>
      <c r="J247" s="737" t="s">
        <v>52</v>
      </c>
      <c r="K247" s="738" t="s">
        <v>1641</v>
      </c>
      <c r="L247" s="737">
        <v>55</v>
      </c>
      <c r="M247" s="737">
        <v>203</v>
      </c>
      <c r="N247" s="739" t="s">
        <v>10</v>
      </c>
    </row>
    <row r="248" spans="1:15" x14ac:dyDescent="0.45">
      <c r="A248" s="735">
        <f t="shared" si="1"/>
        <v>246</v>
      </c>
      <c r="B248" s="735">
        <v>233</v>
      </c>
      <c r="C248" s="735" t="s">
        <v>3</v>
      </c>
      <c r="D248" s="733" t="s">
        <v>182</v>
      </c>
      <c r="E248" s="733" t="s">
        <v>221</v>
      </c>
      <c r="F248" s="733" t="s">
        <v>1107</v>
      </c>
      <c r="G248" s="736">
        <v>42592</v>
      </c>
      <c r="H248" s="733" t="s">
        <v>391</v>
      </c>
      <c r="I248" s="733" t="s">
        <v>70</v>
      </c>
      <c r="J248" s="737" t="s">
        <v>71</v>
      </c>
      <c r="K248" s="738">
        <v>9</v>
      </c>
      <c r="L248" s="737">
        <v>72</v>
      </c>
      <c r="M248" s="737">
        <v>257</v>
      </c>
      <c r="N248" s="739" t="s">
        <v>10</v>
      </c>
    </row>
    <row r="249" spans="1:15" x14ac:dyDescent="0.45">
      <c r="A249" s="735">
        <f t="shared" si="1"/>
        <v>247</v>
      </c>
      <c r="B249" s="735">
        <v>234</v>
      </c>
      <c r="C249" s="735" t="s">
        <v>3</v>
      </c>
      <c r="D249" s="733" t="s">
        <v>83</v>
      </c>
      <c r="E249" s="733" t="s">
        <v>335</v>
      </c>
      <c r="F249" s="733" t="s">
        <v>392</v>
      </c>
      <c r="G249" s="736">
        <v>42598</v>
      </c>
      <c r="H249" s="733" t="s">
        <v>393</v>
      </c>
      <c r="I249" s="733" t="s">
        <v>70</v>
      </c>
      <c r="J249" s="737" t="s">
        <v>9</v>
      </c>
      <c r="K249" s="738">
        <v>94</v>
      </c>
      <c r="L249" s="737">
        <v>48</v>
      </c>
      <c r="M249" s="737">
        <v>93</v>
      </c>
      <c r="N249" s="739" t="s">
        <v>10</v>
      </c>
    </row>
    <row r="250" spans="1:15" x14ac:dyDescent="0.45">
      <c r="A250" s="735">
        <f t="shared" si="1"/>
        <v>248</v>
      </c>
      <c r="B250" s="735">
        <v>235</v>
      </c>
      <c r="C250" s="735" t="s">
        <v>3</v>
      </c>
      <c r="D250" s="733" t="s">
        <v>182</v>
      </c>
      <c r="E250" s="733" t="s">
        <v>209</v>
      </c>
      <c r="F250" s="733" t="s">
        <v>1108</v>
      </c>
      <c r="G250" s="736">
        <v>42614</v>
      </c>
      <c r="H250" s="733" t="s">
        <v>394</v>
      </c>
      <c r="I250" s="733" t="s">
        <v>70</v>
      </c>
      <c r="J250" s="737" t="s">
        <v>71</v>
      </c>
      <c r="K250" s="738">
        <v>9</v>
      </c>
      <c r="L250" s="737">
        <v>22</v>
      </c>
      <c r="M250" s="737">
        <v>22</v>
      </c>
      <c r="N250" s="746" t="s">
        <v>18</v>
      </c>
    </row>
    <row r="251" spans="1:15" x14ac:dyDescent="0.45">
      <c r="A251" s="735">
        <f t="shared" si="1"/>
        <v>249</v>
      </c>
      <c r="B251" s="735">
        <v>236</v>
      </c>
      <c r="C251" s="735" t="s">
        <v>3</v>
      </c>
      <c r="D251" s="733" t="s">
        <v>138</v>
      </c>
      <c r="E251" s="733" t="s">
        <v>395</v>
      </c>
      <c r="F251" s="733" t="s">
        <v>396</v>
      </c>
      <c r="G251" s="736">
        <v>42628</v>
      </c>
      <c r="H251" s="733" t="s">
        <v>397</v>
      </c>
      <c r="I251" s="733" t="s">
        <v>17</v>
      </c>
      <c r="J251" s="737" t="s">
        <v>9</v>
      </c>
      <c r="K251" s="738" t="s">
        <v>1819</v>
      </c>
      <c r="L251" s="737">
        <v>30</v>
      </c>
      <c r="M251" s="737">
        <v>1192</v>
      </c>
      <c r="N251" s="739" t="s">
        <v>10</v>
      </c>
    </row>
    <row r="252" spans="1:15" x14ac:dyDescent="0.45">
      <c r="A252" s="735">
        <f t="shared" si="1"/>
        <v>250</v>
      </c>
      <c r="B252" s="735">
        <v>237</v>
      </c>
      <c r="C252" s="735" t="s">
        <v>3</v>
      </c>
      <c r="D252" s="733" t="s">
        <v>138</v>
      </c>
      <c r="E252" s="733" t="s">
        <v>90</v>
      </c>
      <c r="F252" s="733" t="s">
        <v>3093</v>
      </c>
      <c r="G252" s="736">
        <v>42660</v>
      </c>
      <c r="H252" s="733" t="s">
        <v>398</v>
      </c>
      <c r="I252" s="733" t="s">
        <v>17</v>
      </c>
      <c r="J252" s="737" t="s">
        <v>9</v>
      </c>
      <c r="K252" s="738" t="s">
        <v>1819</v>
      </c>
      <c r="L252" s="737">
        <v>32</v>
      </c>
      <c r="M252" s="737">
        <v>32</v>
      </c>
      <c r="N252" s="739" t="s">
        <v>10</v>
      </c>
    </row>
    <row r="253" spans="1:15" x14ac:dyDescent="0.45">
      <c r="A253" s="800">
        <f t="shared" si="1"/>
        <v>251</v>
      </c>
      <c r="B253" s="800">
        <v>238</v>
      </c>
      <c r="C253" s="800" t="s">
        <v>3</v>
      </c>
      <c r="D253" s="801" t="s">
        <v>399</v>
      </c>
      <c r="E253" s="801" t="s">
        <v>42</v>
      </c>
      <c r="F253" s="802" t="s">
        <v>1344</v>
      </c>
      <c r="G253" s="807">
        <v>42677</v>
      </c>
      <c r="H253" s="802" t="s">
        <v>1343</v>
      </c>
      <c r="I253" s="802" t="s">
        <v>1188</v>
      </c>
      <c r="J253" s="804" t="s">
        <v>388</v>
      </c>
      <c r="K253" s="805">
        <v>101</v>
      </c>
      <c r="L253" s="804">
        <v>131</v>
      </c>
      <c r="M253" s="804" t="s">
        <v>1012</v>
      </c>
      <c r="N253" s="806" t="s">
        <v>10</v>
      </c>
      <c r="O253" s="718" t="s">
        <v>1765</v>
      </c>
    </row>
    <row r="254" spans="1:15" x14ac:dyDescent="0.45">
      <c r="A254" s="735">
        <f t="shared" si="1"/>
        <v>252</v>
      </c>
      <c r="B254" s="735">
        <v>239</v>
      </c>
      <c r="C254" s="735" t="s">
        <v>3</v>
      </c>
      <c r="D254" s="733" t="s">
        <v>357</v>
      </c>
      <c r="E254" s="733" t="s">
        <v>45</v>
      </c>
      <c r="F254" s="733" t="s">
        <v>2344</v>
      </c>
      <c r="G254" s="736">
        <v>42684</v>
      </c>
      <c r="H254" s="733" t="s">
        <v>400</v>
      </c>
      <c r="I254" s="733" t="s">
        <v>70</v>
      </c>
      <c r="J254" s="737" t="s">
        <v>9</v>
      </c>
      <c r="K254" s="738" t="s">
        <v>310</v>
      </c>
      <c r="L254" s="737">
        <v>24</v>
      </c>
      <c r="M254" s="737">
        <v>412</v>
      </c>
      <c r="N254" s="739" t="s">
        <v>10</v>
      </c>
    </row>
    <row r="255" spans="1:15" x14ac:dyDescent="0.45">
      <c r="A255" s="735">
        <f t="shared" si="1"/>
        <v>253</v>
      </c>
      <c r="B255" s="735">
        <v>240</v>
      </c>
      <c r="C255" s="735" t="s">
        <v>3</v>
      </c>
      <c r="D255" s="733" t="s">
        <v>83</v>
      </c>
      <c r="E255" s="733" t="s">
        <v>367</v>
      </c>
      <c r="F255" s="733" t="s">
        <v>1668</v>
      </c>
      <c r="G255" s="736">
        <v>42686</v>
      </c>
      <c r="H255" s="733" t="s">
        <v>401</v>
      </c>
      <c r="I255" s="733" t="s">
        <v>70</v>
      </c>
      <c r="J255" s="737" t="s">
        <v>9</v>
      </c>
      <c r="K255" s="738">
        <v>94</v>
      </c>
      <c r="L255" s="737">
        <v>2</v>
      </c>
      <c r="M255" s="737">
        <v>88</v>
      </c>
      <c r="N255" s="739" t="s">
        <v>10</v>
      </c>
    </row>
    <row r="256" spans="1:15" x14ac:dyDescent="0.45">
      <c r="A256" s="735">
        <f t="shared" si="1"/>
        <v>254</v>
      </c>
      <c r="B256" s="735">
        <v>241</v>
      </c>
      <c r="C256" s="735" t="s">
        <v>3</v>
      </c>
      <c r="D256" s="733" t="s">
        <v>203</v>
      </c>
      <c r="E256" s="733" t="s">
        <v>178</v>
      </c>
      <c r="F256" s="733" t="s">
        <v>1142</v>
      </c>
      <c r="G256" s="736">
        <v>42696</v>
      </c>
      <c r="H256" s="733" t="s">
        <v>402</v>
      </c>
      <c r="I256" s="733" t="s">
        <v>51</v>
      </c>
      <c r="J256" s="737" t="s">
        <v>52</v>
      </c>
      <c r="K256" s="738">
        <v>2</v>
      </c>
      <c r="L256" s="737">
        <v>108</v>
      </c>
      <c r="M256" s="737">
        <v>163</v>
      </c>
      <c r="N256" s="739" t="s">
        <v>10</v>
      </c>
    </row>
    <row r="257" spans="1:15" x14ac:dyDescent="0.45">
      <c r="A257" s="735">
        <f t="shared" si="1"/>
        <v>255</v>
      </c>
      <c r="B257" s="735">
        <v>242</v>
      </c>
      <c r="C257" s="735" t="s">
        <v>3</v>
      </c>
      <c r="D257" s="733" t="s">
        <v>105</v>
      </c>
      <c r="E257" s="733" t="s">
        <v>403</v>
      </c>
      <c r="F257" s="733" t="s">
        <v>2302</v>
      </c>
      <c r="G257" s="736">
        <v>42715</v>
      </c>
      <c r="H257" s="733" t="s">
        <v>404</v>
      </c>
      <c r="I257" s="733" t="s">
        <v>51</v>
      </c>
      <c r="J257" s="737" t="s">
        <v>52</v>
      </c>
      <c r="K257" s="738" t="s">
        <v>1641</v>
      </c>
      <c r="L257" s="737">
        <v>19</v>
      </c>
      <c r="M257" s="737">
        <v>127</v>
      </c>
      <c r="N257" s="739" t="s">
        <v>10</v>
      </c>
    </row>
    <row r="258" spans="1:15" x14ac:dyDescent="0.45">
      <c r="A258" s="735">
        <f t="shared" si="1"/>
        <v>256</v>
      </c>
      <c r="B258" s="735">
        <v>243</v>
      </c>
      <c r="C258" s="735" t="s">
        <v>3</v>
      </c>
      <c r="D258" s="733" t="s">
        <v>83</v>
      </c>
      <c r="E258" s="733" t="s">
        <v>360</v>
      </c>
      <c r="F258" s="733" t="s">
        <v>1143</v>
      </c>
      <c r="G258" s="736">
        <v>42726</v>
      </c>
      <c r="H258" s="733" t="s">
        <v>405</v>
      </c>
      <c r="I258" s="733" t="s">
        <v>70</v>
      </c>
      <c r="J258" s="737" t="s">
        <v>9</v>
      </c>
      <c r="K258" s="738">
        <v>94</v>
      </c>
      <c r="L258" s="737">
        <v>40</v>
      </c>
      <c r="M258" s="737">
        <v>40</v>
      </c>
      <c r="N258" s="739" t="s">
        <v>10</v>
      </c>
    </row>
    <row r="259" spans="1:15" ht="18" thickBot="1" x14ac:dyDescent="0.5">
      <c r="A259" s="740">
        <f t="shared" si="1"/>
        <v>257</v>
      </c>
      <c r="B259" s="740">
        <v>244</v>
      </c>
      <c r="C259" s="740" t="s">
        <v>3</v>
      </c>
      <c r="D259" s="741" t="s">
        <v>83</v>
      </c>
      <c r="E259" s="741" t="s">
        <v>406</v>
      </c>
      <c r="F259" s="741" t="s">
        <v>2345</v>
      </c>
      <c r="G259" s="742">
        <v>42732</v>
      </c>
      <c r="H259" s="741" t="s">
        <v>407</v>
      </c>
      <c r="I259" s="741" t="s">
        <v>70</v>
      </c>
      <c r="J259" s="743" t="s">
        <v>71</v>
      </c>
      <c r="K259" s="744">
        <v>9</v>
      </c>
      <c r="L259" s="743">
        <v>118</v>
      </c>
      <c r="M259" s="743">
        <v>6</v>
      </c>
      <c r="N259" s="751" t="s">
        <v>2206</v>
      </c>
    </row>
    <row r="260" spans="1:15" ht="18" thickTop="1" x14ac:dyDescent="0.45">
      <c r="A260" s="726">
        <f t="shared" si="1"/>
        <v>258</v>
      </c>
      <c r="B260" s="726">
        <v>245</v>
      </c>
      <c r="C260" s="726" t="s">
        <v>3</v>
      </c>
      <c r="D260" s="727" t="s">
        <v>105</v>
      </c>
      <c r="E260" s="727" t="s">
        <v>406</v>
      </c>
      <c r="F260" s="727" t="s">
        <v>1611</v>
      </c>
      <c r="G260" s="728">
        <v>42740</v>
      </c>
      <c r="H260" s="727" t="s">
        <v>408</v>
      </c>
      <c r="I260" s="727" t="s">
        <v>51</v>
      </c>
      <c r="J260" s="729" t="s">
        <v>52</v>
      </c>
      <c r="K260" s="730">
        <v>2</v>
      </c>
      <c r="L260" s="729">
        <v>25</v>
      </c>
      <c r="M260" s="729">
        <v>25</v>
      </c>
      <c r="N260" s="734" t="s">
        <v>10</v>
      </c>
    </row>
    <row r="261" spans="1:15" ht="18" thickBot="1" x14ac:dyDescent="0.5">
      <c r="A261" s="757">
        <f t="shared" si="1"/>
        <v>259</v>
      </c>
      <c r="B261" s="757" t="s">
        <v>3</v>
      </c>
      <c r="C261" s="757">
        <v>14</v>
      </c>
      <c r="D261" s="758" t="s">
        <v>409</v>
      </c>
      <c r="E261" s="758" t="s">
        <v>42</v>
      </c>
      <c r="F261" s="758" t="s">
        <v>2328</v>
      </c>
      <c r="G261" s="759">
        <v>42744</v>
      </c>
      <c r="H261" s="758" t="s">
        <v>410</v>
      </c>
      <c r="I261" s="758" t="s">
        <v>70</v>
      </c>
      <c r="J261" s="760" t="s">
        <v>9</v>
      </c>
      <c r="K261" s="761" t="s">
        <v>310</v>
      </c>
      <c r="L261" s="760">
        <v>18</v>
      </c>
      <c r="M261" s="760" t="s">
        <v>1012</v>
      </c>
      <c r="N261" s="762" t="s">
        <v>10</v>
      </c>
    </row>
    <row r="262" spans="1:15" ht="18" thickBot="1" x14ac:dyDescent="0.5">
      <c r="A262" s="763">
        <f t="shared" si="1"/>
        <v>260</v>
      </c>
      <c r="B262" s="763" t="s">
        <v>3</v>
      </c>
      <c r="C262" s="763">
        <v>15</v>
      </c>
      <c r="D262" s="764" t="s">
        <v>411</v>
      </c>
      <c r="E262" s="764" t="s">
        <v>42</v>
      </c>
      <c r="F262" s="764" t="s">
        <v>412</v>
      </c>
      <c r="G262" s="765">
        <v>42797</v>
      </c>
      <c r="H262" s="764" t="s">
        <v>413</v>
      </c>
      <c r="I262" s="764" t="s">
        <v>70</v>
      </c>
      <c r="J262" s="766" t="s">
        <v>9</v>
      </c>
      <c r="K262" s="767" t="s">
        <v>310</v>
      </c>
      <c r="L262" s="766">
        <v>53</v>
      </c>
      <c r="M262" s="766" t="s">
        <v>1012</v>
      </c>
      <c r="N262" s="769" t="s">
        <v>10</v>
      </c>
    </row>
    <row r="263" spans="1:15" x14ac:dyDescent="0.45">
      <c r="A263" s="770">
        <f t="shared" si="1"/>
        <v>261</v>
      </c>
      <c r="B263" s="770">
        <v>246</v>
      </c>
      <c r="C263" s="770" t="s">
        <v>3</v>
      </c>
      <c r="D263" s="771" t="s">
        <v>105</v>
      </c>
      <c r="E263" s="771" t="s">
        <v>414</v>
      </c>
      <c r="F263" s="771" t="s">
        <v>2346</v>
      </c>
      <c r="G263" s="772">
        <v>42837</v>
      </c>
      <c r="H263" s="771" t="s">
        <v>415</v>
      </c>
      <c r="I263" s="771" t="s">
        <v>51</v>
      </c>
      <c r="J263" s="773" t="s">
        <v>52</v>
      </c>
      <c r="K263" s="774">
        <v>2</v>
      </c>
      <c r="L263" s="773">
        <v>97</v>
      </c>
      <c r="M263" s="773">
        <v>97</v>
      </c>
      <c r="N263" s="775" t="s">
        <v>10</v>
      </c>
    </row>
    <row r="264" spans="1:15" ht="18" thickBot="1" x14ac:dyDescent="0.5">
      <c r="A264" s="757">
        <f t="shared" si="1"/>
        <v>262</v>
      </c>
      <c r="B264" s="757">
        <v>247</v>
      </c>
      <c r="C264" s="757" t="s">
        <v>3</v>
      </c>
      <c r="D264" s="758" t="s">
        <v>386</v>
      </c>
      <c r="E264" s="758" t="s">
        <v>45</v>
      </c>
      <c r="F264" s="758" t="s">
        <v>416</v>
      </c>
      <c r="G264" s="759">
        <v>42845</v>
      </c>
      <c r="H264" s="758" t="s">
        <v>417</v>
      </c>
      <c r="I264" s="758" t="s">
        <v>17</v>
      </c>
      <c r="J264" s="760" t="s">
        <v>388</v>
      </c>
      <c r="K264" s="761">
        <v>201</v>
      </c>
      <c r="L264" s="760">
        <v>168</v>
      </c>
      <c r="M264" s="760">
        <v>299</v>
      </c>
      <c r="N264" s="762" t="s">
        <v>10</v>
      </c>
    </row>
    <row r="265" spans="1:15" x14ac:dyDescent="0.45">
      <c r="A265" s="770">
        <f t="shared" si="1"/>
        <v>263</v>
      </c>
      <c r="B265" s="770">
        <v>248</v>
      </c>
      <c r="C265" s="770" t="s">
        <v>3</v>
      </c>
      <c r="D265" s="771" t="s">
        <v>132</v>
      </c>
      <c r="E265" s="771" t="s">
        <v>329</v>
      </c>
      <c r="F265" s="771" t="s">
        <v>1531</v>
      </c>
      <c r="G265" s="772">
        <v>42901</v>
      </c>
      <c r="H265" s="771" t="s">
        <v>418</v>
      </c>
      <c r="I265" s="771" t="s">
        <v>17</v>
      </c>
      <c r="J265" s="773" t="s">
        <v>9</v>
      </c>
      <c r="K265" s="774">
        <v>603</v>
      </c>
      <c r="L265" s="773">
        <v>104</v>
      </c>
      <c r="M265" s="773">
        <v>351</v>
      </c>
      <c r="N265" s="775" t="s">
        <v>10</v>
      </c>
    </row>
    <row r="266" spans="1:15" ht="18" thickBot="1" x14ac:dyDescent="0.5">
      <c r="A266" s="757">
        <f t="shared" si="1"/>
        <v>264</v>
      </c>
      <c r="B266" s="757">
        <v>249</v>
      </c>
      <c r="C266" s="757" t="s">
        <v>3</v>
      </c>
      <c r="D266" s="758" t="s">
        <v>105</v>
      </c>
      <c r="E266" s="758" t="s">
        <v>314</v>
      </c>
      <c r="F266" s="758" t="s">
        <v>419</v>
      </c>
      <c r="G266" s="759">
        <v>42905</v>
      </c>
      <c r="H266" s="758" t="s">
        <v>420</v>
      </c>
      <c r="I266" s="758" t="s">
        <v>1188</v>
      </c>
      <c r="J266" s="760" t="s">
        <v>52</v>
      </c>
      <c r="K266" s="761">
        <v>2</v>
      </c>
      <c r="L266" s="760">
        <v>68</v>
      </c>
      <c r="M266" s="760">
        <v>68</v>
      </c>
      <c r="N266" s="808" t="s">
        <v>2206</v>
      </c>
    </row>
    <row r="267" spans="1:15" ht="18" thickBot="1" x14ac:dyDescent="0.5">
      <c r="A267" s="763">
        <f t="shared" si="1"/>
        <v>265</v>
      </c>
      <c r="B267" s="763">
        <v>250</v>
      </c>
      <c r="C267" s="763" t="s">
        <v>3</v>
      </c>
      <c r="D267" s="764" t="s">
        <v>399</v>
      </c>
      <c r="E267" s="764" t="s">
        <v>45</v>
      </c>
      <c r="F267" s="764" t="s">
        <v>1345</v>
      </c>
      <c r="G267" s="765">
        <v>42918</v>
      </c>
      <c r="H267" s="764" t="s">
        <v>421</v>
      </c>
      <c r="I267" s="764" t="s">
        <v>1188</v>
      </c>
      <c r="J267" s="766" t="s">
        <v>388</v>
      </c>
      <c r="K267" s="767">
        <v>101</v>
      </c>
      <c r="L267" s="766">
        <v>73</v>
      </c>
      <c r="M267" s="766">
        <v>241</v>
      </c>
      <c r="N267" s="809" t="s">
        <v>18</v>
      </c>
    </row>
    <row r="268" spans="1:15" ht="18" thickBot="1" x14ac:dyDescent="0.5">
      <c r="A268" s="763">
        <f t="shared" si="1"/>
        <v>266</v>
      </c>
      <c r="B268" s="763">
        <v>251</v>
      </c>
      <c r="C268" s="763" t="s">
        <v>3</v>
      </c>
      <c r="D268" s="764" t="s">
        <v>41</v>
      </c>
      <c r="E268" s="764" t="s">
        <v>345</v>
      </c>
      <c r="F268" s="764" t="s">
        <v>1510</v>
      </c>
      <c r="G268" s="765">
        <v>43007</v>
      </c>
      <c r="H268" s="764" t="s">
        <v>422</v>
      </c>
      <c r="I268" s="764" t="s">
        <v>1237</v>
      </c>
      <c r="J268" s="766" t="s">
        <v>52</v>
      </c>
      <c r="K268" s="767">
        <v>3</v>
      </c>
      <c r="L268" s="766">
        <v>102</v>
      </c>
      <c r="M268" s="766">
        <v>1049</v>
      </c>
      <c r="N268" s="769" t="s">
        <v>10</v>
      </c>
    </row>
    <row r="269" spans="1:15" ht="18" thickBot="1" x14ac:dyDescent="0.5">
      <c r="A269" s="763">
        <f t="shared" si="1"/>
        <v>267</v>
      </c>
      <c r="B269" s="763">
        <v>252</v>
      </c>
      <c r="C269" s="763" t="s">
        <v>3</v>
      </c>
      <c r="D269" s="764" t="s">
        <v>83</v>
      </c>
      <c r="E269" s="764" t="s">
        <v>348</v>
      </c>
      <c r="F269" s="764" t="s">
        <v>1090</v>
      </c>
      <c r="G269" s="765">
        <v>43017</v>
      </c>
      <c r="H269" s="764" t="s">
        <v>423</v>
      </c>
      <c r="I269" s="764" t="s">
        <v>70</v>
      </c>
      <c r="J269" s="766" t="s">
        <v>9</v>
      </c>
      <c r="K269" s="767">
        <v>94</v>
      </c>
      <c r="L269" s="766">
        <v>116</v>
      </c>
      <c r="M269" s="766">
        <v>285</v>
      </c>
      <c r="N269" s="769" t="s">
        <v>10</v>
      </c>
    </row>
    <row r="270" spans="1:15" x14ac:dyDescent="0.45">
      <c r="A270" s="770">
        <f t="shared" si="1"/>
        <v>268</v>
      </c>
      <c r="B270" s="770">
        <v>253</v>
      </c>
      <c r="C270" s="770" t="s">
        <v>3</v>
      </c>
      <c r="D270" s="771" t="s">
        <v>105</v>
      </c>
      <c r="E270" s="771" t="s">
        <v>1172</v>
      </c>
      <c r="F270" s="771" t="s">
        <v>1532</v>
      </c>
      <c r="G270" s="772">
        <v>43044</v>
      </c>
      <c r="H270" s="771" t="s">
        <v>28</v>
      </c>
      <c r="I270" s="771" t="s">
        <v>351</v>
      </c>
      <c r="J270" s="773" t="s">
        <v>52</v>
      </c>
      <c r="K270" s="774">
        <v>2</v>
      </c>
      <c r="L270" s="773">
        <v>37</v>
      </c>
      <c r="M270" s="773">
        <v>139</v>
      </c>
      <c r="N270" s="775" t="s">
        <v>10</v>
      </c>
      <c r="O270" s="718" t="s">
        <v>2096</v>
      </c>
    </row>
    <row r="271" spans="1:15" x14ac:dyDescent="0.45">
      <c r="A271" s="735">
        <f t="shared" si="1"/>
        <v>269</v>
      </c>
      <c r="B271" s="735">
        <v>254</v>
      </c>
      <c r="C271" s="735" t="s">
        <v>3</v>
      </c>
      <c r="D271" s="733" t="s">
        <v>182</v>
      </c>
      <c r="E271" s="733" t="s">
        <v>225</v>
      </c>
      <c r="F271" s="733" t="s">
        <v>2303</v>
      </c>
      <c r="G271" s="736">
        <v>43054</v>
      </c>
      <c r="H271" s="733" t="s">
        <v>424</v>
      </c>
      <c r="I271" s="733" t="s">
        <v>70</v>
      </c>
      <c r="J271" s="737" t="s">
        <v>71</v>
      </c>
      <c r="K271" s="738">
        <v>9</v>
      </c>
      <c r="L271" s="737">
        <v>322</v>
      </c>
      <c r="M271" s="737">
        <v>440</v>
      </c>
      <c r="N271" s="739" t="s">
        <v>10</v>
      </c>
    </row>
    <row r="272" spans="1:15" x14ac:dyDescent="0.45">
      <c r="A272" s="735">
        <f t="shared" si="1"/>
        <v>270</v>
      </c>
      <c r="B272" s="735">
        <v>255</v>
      </c>
      <c r="C272" s="735" t="s">
        <v>3</v>
      </c>
      <c r="D272" s="733" t="s">
        <v>355</v>
      </c>
      <c r="E272" s="733" t="s">
        <v>45</v>
      </c>
      <c r="F272" s="733" t="s">
        <v>425</v>
      </c>
      <c r="G272" s="736">
        <v>43060</v>
      </c>
      <c r="H272" s="733" t="s">
        <v>426</v>
      </c>
      <c r="I272" s="733" t="s">
        <v>70</v>
      </c>
      <c r="J272" s="737" t="s">
        <v>71</v>
      </c>
      <c r="K272" s="738">
        <v>16</v>
      </c>
      <c r="L272" s="737">
        <v>6</v>
      </c>
      <c r="M272" s="737">
        <v>793</v>
      </c>
      <c r="N272" s="739" t="s">
        <v>10</v>
      </c>
    </row>
    <row r="273" spans="1:15" ht="18" thickBot="1" x14ac:dyDescent="0.5">
      <c r="A273" s="782">
        <f t="shared" si="1"/>
        <v>271</v>
      </c>
      <c r="B273" s="782">
        <v>256</v>
      </c>
      <c r="C273" s="782" t="s">
        <v>3</v>
      </c>
      <c r="D273" s="783" t="s">
        <v>41</v>
      </c>
      <c r="E273" s="783" t="s">
        <v>360</v>
      </c>
      <c r="F273" s="783" t="s">
        <v>1511</v>
      </c>
      <c r="G273" s="784">
        <v>43064</v>
      </c>
      <c r="H273" s="783" t="s">
        <v>427</v>
      </c>
      <c r="I273" s="783" t="s">
        <v>1237</v>
      </c>
      <c r="J273" s="785" t="s">
        <v>52</v>
      </c>
      <c r="K273" s="786">
        <v>3</v>
      </c>
      <c r="L273" s="785">
        <v>20</v>
      </c>
      <c r="M273" s="785">
        <v>57</v>
      </c>
      <c r="N273" s="787" t="s">
        <v>10</v>
      </c>
    </row>
    <row r="274" spans="1:15" x14ac:dyDescent="0.45">
      <c r="A274" s="770">
        <f t="shared" si="1"/>
        <v>272</v>
      </c>
      <c r="B274" s="770">
        <v>257</v>
      </c>
      <c r="C274" s="770" t="s">
        <v>3</v>
      </c>
      <c r="D274" s="771" t="s">
        <v>83</v>
      </c>
      <c r="E274" s="771" t="s">
        <v>428</v>
      </c>
      <c r="F274" s="771" t="s">
        <v>429</v>
      </c>
      <c r="G274" s="772">
        <v>43072</v>
      </c>
      <c r="H274" s="771" t="s">
        <v>430</v>
      </c>
      <c r="I274" s="771" t="s">
        <v>70</v>
      </c>
      <c r="J274" s="773" t="s">
        <v>9</v>
      </c>
      <c r="K274" s="774">
        <v>94</v>
      </c>
      <c r="L274" s="773">
        <v>55</v>
      </c>
      <c r="M274" s="773">
        <v>55</v>
      </c>
      <c r="N274" s="775" t="s">
        <v>10</v>
      </c>
    </row>
    <row r="275" spans="1:15" x14ac:dyDescent="0.45">
      <c r="A275" s="735">
        <f t="shared" si="1"/>
        <v>273</v>
      </c>
      <c r="B275" s="735">
        <v>258</v>
      </c>
      <c r="C275" s="735" t="s">
        <v>3</v>
      </c>
      <c r="D275" s="733" t="s">
        <v>105</v>
      </c>
      <c r="E275" s="733" t="s">
        <v>431</v>
      </c>
      <c r="F275" s="733" t="s">
        <v>432</v>
      </c>
      <c r="G275" s="736">
        <v>43080</v>
      </c>
      <c r="H275" s="733" t="s">
        <v>433</v>
      </c>
      <c r="I275" s="733" t="s">
        <v>51</v>
      </c>
      <c r="J275" s="737" t="s">
        <v>52</v>
      </c>
      <c r="K275" s="738">
        <v>2</v>
      </c>
      <c r="L275" s="737">
        <v>16</v>
      </c>
      <c r="M275" s="737">
        <v>36</v>
      </c>
      <c r="N275" s="739" t="s">
        <v>10</v>
      </c>
    </row>
    <row r="276" spans="1:15" x14ac:dyDescent="0.45">
      <c r="A276" s="735">
        <f t="shared" si="1"/>
        <v>274</v>
      </c>
      <c r="B276" s="735">
        <v>259</v>
      </c>
      <c r="C276" s="735" t="s">
        <v>3</v>
      </c>
      <c r="D276" s="733" t="s">
        <v>83</v>
      </c>
      <c r="E276" s="733" t="s">
        <v>434</v>
      </c>
      <c r="F276" s="733" t="s">
        <v>435</v>
      </c>
      <c r="G276" s="736">
        <v>43092</v>
      </c>
      <c r="H276" s="733" t="s">
        <v>436</v>
      </c>
      <c r="I276" s="733" t="s">
        <v>70</v>
      </c>
      <c r="J276" s="737" t="s">
        <v>9</v>
      </c>
      <c r="K276" s="738">
        <v>94</v>
      </c>
      <c r="L276" s="737">
        <v>20</v>
      </c>
      <c r="M276" s="737">
        <v>20</v>
      </c>
      <c r="N276" s="739" t="s">
        <v>10</v>
      </c>
    </row>
    <row r="277" spans="1:15" ht="18" thickBot="1" x14ac:dyDescent="0.5">
      <c r="A277" s="740">
        <f t="shared" si="1"/>
        <v>275</v>
      </c>
      <c r="B277" s="740">
        <v>260</v>
      </c>
      <c r="C277" s="740" t="s">
        <v>3</v>
      </c>
      <c r="D277" s="741" t="s">
        <v>41</v>
      </c>
      <c r="E277" s="741" t="s">
        <v>367</v>
      </c>
      <c r="F277" s="741" t="s">
        <v>1512</v>
      </c>
      <c r="G277" s="742">
        <v>43095</v>
      </c>
      <c r="H277" s="741" t="s">
        <v>437</v>
      </c>
      <c r="I277" s="741" t="s">
        <v>1237</v>
      </c>
      <c r="J277" s="743" t="s">
        <v>52</v>
      </c>
      <c r="K277" s="744">
        <v>3</v>
      </c>
      <c r="L277" s="743">
        <v>15</v>
      </c>
      <c r="M277" s="743">
        <v>31</v>
      </c>
      <c r="N277" s="745" t="s">
        <v>10</v>
      </c>
    </row>
    <row r="278" spans="1:15" ht="18" thickTop="1" x14ac:dyDescent="0.45">
      <c r="A278" s="726">
        <f t="shared" si="1"/>
        <v>276</v>
      </c>
      <c r="B278" s="726">
        <v>261</v>
      </c>
      <c r="C278" s="726" t="s">
        <v>3</v>
      </c>
      <c r="D278" s="727" t="s">
        <v>83</v>
      </c>
      <c r="E278" s="727" t="s">
        <v>431</v>
      </c>
      <c r="F278" s="727" t="s">
        <v>1533</v>
      </c>
      <c r="G278" s="728">
        <v>43109</v>
      </c>
      <c r="H278" s="727" t="s">
        <v>438</v>
      </c>
      <c r="I278" s="727" t="s">
        <v>70</v>
      </c>
      <c r="J278" s="729" t="s">
        <v>71</v>
      </c>
      <c r="K278" s="730">
        <v>9</v>
      </c>
      <c r="L278" s="729">
        <v>49</v>
      </c>
      <c r="M278" s="729">
        <v>17</v>
      </c>
      <c r="N278" s="734" t="s">
        <v>10</v>
      </c>
    </row>
    <row r="279" spans="1:15" x14ac:dyDescent="0.45">
      <c r="A279" s="735">
        <f t="shared" si="1"/>
        <v>277</v>
      </c>
      <c r="B279" s="735">
        <v>262</v>
      </c>
      <c r="C279" s="735" t="s">
        <v>3</v>
      </c>
      <c r="D279" s="733" t="s">
        <v>105</v>
      </c>
      <c r="E279" s="733" t="s">
        <v>439</v>
      </c>
      <c r="F279" s="733" t="s">
        <v>1537</v>
      </c>
      <c r="G279" s="736">
        <v>43112</v>
      </c>
      <c r="H279" s="733" t="s">
        <v>440</v>
      </c>
      <c r="I279" s="733" t="s">
        <v>351</v>
      </c>
      <c r="J279" s="737" t="s">
        <v>52</v>
      </c>
      <c r="K279" s="738">
        <v>2</v>
      </c>
      <c r="L279" s="737">
        <v>17</v>
      </c>
      <c r="M279" s="737">
        <v>32</v>
      </c>
      <c r="N279" s="739" t="s">
        <v>10</v>
      </c>
      <c r="O279" s="718" t="s">
        <v>2097</v>
      </c>
    </row>
    <row r="280" spans="1:15" x14ac:dyDescent="0.45">
      <c r="A280" s="735">
        <f t="shared" si="1"/>
        <v>278</v>
      </c>
      <c r="B280" s="735">
        <v>263</v>
      </c>
      <c r="C280" s="735" t="s">
        <v>3</v>
      </c>
      <c r="D280" s="733" t="s">
        <v>83</v>
      </c>
      <c r="E280" s="733" t="s">
        <v>441</v>
      </c>
      <c r="F280" s="733" t="s">
        <v>442</v>
      </c>
      <c r="G280" s="736">
        <v>43113</v>
      </c>
      <c r="H280" s="733" t="s">
        <v>443</v>
      </c>
      <c r="I280" s="733" t="s">
        <v>70</v>
      </c>
      <c r="J280" s="737" t="s">
        <v>9</v>
      </c>
      <c r="K280" s="738">
        <v>94</v>
      </c>
      <c r="L280" s="737">
        <v>21</v>
      </c>
      <c r="M280" s="737">
        <v>4</v>
      </c>
      <c r="N280" s="739" t="s">
        <v>10</v>
      </c>
    </row>
    <row r="281" spans="1:15" x14ac:dyDescent="0.45">
      <c r="A281" s="735">
        <f t="shared" si="1"/>
        <v>279</v>
      </c>
      <c r="B281" s="735">
        <v>264</v>
      </c>
      <c r="C281" s="735" t="s">
        <v>3</v>
      </c>
      <c r="D281" s="733" t="s">
        <v>357</v>
      </c>
      <c r="E281" s="733" t="s">
        <v>21</v>
      </c>
      <c r="F281" s="733" t="s">
        <v>1535</v>
      </c>
      <c r="G281" s="736">
        <v>43119</v>
      </c>
      <c r="H281" s="733" t="s">
        <v>444</v>
      </c>
      <c r="I281" s="733" t="s">
        <v>70</v>
      </c>
      <c r="J281" s="737" t="s">
        <v>9</v>
      </c>
      <c r="K281" s="738" t="s">
        <v>310</v>
      </c>
      <c r="L281" s="737">
        <v>6</v>
      </c>
      <c r="M281" s="737">
        <v>435</v>
      </c>
      <c r="N281" s="739" t="s">
        <v>10</v>
      </c>
    </row>
    <row r="282" spans="1:15" ht="18" thickBot="1" x14ac:dyDescent="0.5">
      <c r="A282" s="782">
        <f t="shared" si="1"/>
        <v>280</v>
      </c>
      <c r="B282" s="782">
        <v>265</v>
      </c>
      <c r="C282" s="782" t="s">
        <v>3</v>
      </c>
      <c r="D282" s="783" t="s">
        <v>41</v>
      </c>
      <c r="E282" s="783" t="s">
        <v>364</v>
      </c>
      <c r="F282" s="783" t="s">
        <v>2406</v>
      </c>
      <c r="G282" s="784">
        <v>43125</v>
      </c>
      <c r="H282" s="783" t="s">
        <v>445</v>
      </c>
      <c r="I282" s="783" t="s">
        <v>17</v>
      </c>
      <c r="J282" s="785" t="s">
        <v>52</v>
      </c>
      <c r="K282" s="786">
        <v>3</v>
      </c>
      <c r="L282" s="785">
        <v>13</v>
      </c>
      <c r="M282" s="785">
        <v>30</v>
      </c>
      <c r="N282" s="787" t="s">
        <v>10</v>
      </c>
    </row>
    <row r="283" spans="1:15" x14ac:dyDescent="0.45">
      <c r="A283" s="770">
        <f t="shared" si="1"/>
        <v>281</v>
      </c>
      <c r="B283" s="770">
        <v>266</v>
      </c>
      <c r="C283" s="770" t="s">
        <v>3</v>
      </c>
      <c r="D283" s="771" t="s">
        <v>83</v>
      </c>
      <c r="E283" s="771" t="s">
        <v>178</v>
      </c>
      <c r="F283" s="771" t="s">
        <v>446</v>
      </c>
      <c r="G283" s="772">
        <v>43133</v>
      </c>
      <c r="H283" s="771" t="s">
        <v>447</v>
      </c>
      <c r="I283" s="771" t="s">
        <v>448</v>
      </c>
      <c r="J283" s="773" t="s">
        <v>9</v>
      </c>
      <c r="K283" s="774">
        <v>94</v>
      </c>
      <c r="L283" s="773">
        <v>14</v>
      </c>
      <c r="M283" s="773">
        <v>20</v>
      </c>
      <c r="N283" s="775" t="s">
        <v>10</v>
      </c>
    </row>
    <row r="284" spans="1:15" ht="18" thickBot="1" x14ac:dyDescent="0.5">
      <c r="A284" s="757">
        <f t="shared" si="1"/>
        <v>282</v>
      </c>
      <c r="B284" s="757">
        <v>267</v>
      </c>
      <c r="C284" s="757" t="s">
        <v>3</v>
      </c>
      <c r="D284" s="758" t="s">
        <v>105</v>
      </c>
      <c r="E284" s="758" t="s">
        <v>428</v>
      </c>
      <c r="F284" s="758" t="s">
        <v>1534</v>
      </c>
      <c r="G284" s="759">
        <v>43143</v>
      </c>
      <c r="H284" s="758" t="s">
        <v>449</v>
      </c>
      <c r="I284" s="758" t="s">
        <v>351</v>
      </c>
      <c r="J284" s="760" t="s">
        <v>52</v>
      </c>
      <c r="K284" s="761">
        <v>2</v>
      </c>
      <c r="L284" s="760">
        <v>18</v>
      </c>
      <c r="M284" s="760">
        <v>31</v>
      </c>
      <c r="N284" s="762" t="s">
        <v>10</v>
      </c>
      <c r="O284" s="718" t="s">
        <v>2098</v>
      </c>
    </row>
    <row r="285" spans="1:15" x14ac:dyDescent="0.45">
      <c r="A285" s="770">
        <f t="shared" si="1"/>
        <v>283</v>
      </c>
      <c r="B285" s="770">
        <v>268</v>
      </c>
      <c r="C285" s="770" t="s">
        <v>3</v>
      </c>
      <c r="D285" s="771" t="s">
        <v>83</v>
      </c>
      <c r="E285" s="771" t="s">
        <v>450</v>
      </c>
      <c r="F285" s="771" t="s">
        <v>451</v>
      </c>
      <c r="G285" s="772">
        <v>43176</v>
      </c>
      <c r="H285" s="771" t="s">
        <v>443</v>
      </c>
      <c r="I285" s="771" t="s">
        <v>70</v>
      </c>
      <c r="J285" s="773" t="s">
        <v>9</v>
      </c>
      <c r="K285" s="774">
        <v>94</v>
      </c>
      <c r="L285" s="773">
        <v>43</v>
      </c>
      <c r="M285" s="773">
        <v>43</v>
      </c>
      <c r="N285" s="775" t="s">
        <v>10</v>
      </c>
    </row>
    <row r="286" spans="1:15" x14ac:dyDescent="0.45">
      <c r="A286" s="735">
        <f t="shared" si="1"/>
        <v>284</v>
      </c>
      <c r="B286" s="735">
        <v>269</v>
      </c>
      <c r="C286" s="735" t="s">
        <v>3</v>
      </c>
      <c r="D286" s="733" t="s">
        <v>105</v>
      </c>
      <c r="E286" s="733" t="s">
        <v>434</v>
      </c>
      <c r="F286" s="733" t="s">
        <v>1539</v>
      </c>
      <c r="G286" s="736">
        <v>43189</v>
      </c>
      <c r="H286" s="733" t="s">
        <v>452</v>
      </c>
      <c r="I286" s="733" t="s">
        <v>351</v>
      </c>
      <c r="J286" s="737" t="s">
        <v>52</v>
      </c>
      <c r="K286" s="738">
        <v>2</v>
      </c>
      <c r="L286" s="737">
        <v>46</v>
      </c>
      <c r="M286" s="737">
        <v>46</v>
      </c>
      <c r="N286" s="739" t="s">
        <v>10</v>
      </c>
      <c r="O286" s="718" t="s">
        <v>2099</v>
      </c>
    </row>
    <row r="287" spans="1:15" ht="18" thickBot="1" x14ac:dyDescent="0.5">
      <c r="A287" s="782">
        <f t="shared" si="1"/>
        <v>285</v>
      </c>
      <c r="B287" s="782">
        <v>270</v>
      </c>
      <c r="C287" s="782" t="s">
        <v>3</v>
      </c>
      <c r="D287" s="783" t="s">
        <v>182</v>
      </c>
      <c r="E287" s="783" t="s">
        <v>260</v>
      </c>
      <c r="F287" s="783" t="s">
        <v>1538</v>
      </c>
      <c r="G287" s="784">
        <v>43190</v>
      </c>
      <c r="H287" s="783" t="s">
        <v>453</v>
      </c>
      <c r="I287" s="783" t="s">
        <v>70</v>
      </c>
      <c r="J287" s="785" t="s">
        <v>71</v>
      </c>
      <c r="K287" s="786">
        <v>9</v>
      </c>
      <c r="L287" s="785">
        <v>81</v>
      </c>
      <c r="M287" s="785">
        <v>136</v>
      </c>
      <c r="N287" s="787" t="s">
        <v>10</v>
      </c>
    </row>
    <row r="288" spans="1:15" x14ac:dyDescent="0.45">
      <c r="A288" s="770">
        <f t="shared" si="1"/>
        <v>286</v>
      </c>
      <c r="B288" s="770">
        <v>271</v>
      </c>
      <c r="C288" s="770" t="s">
        <v>3</v>
      </c>
      <c r="D288" s="771" t="s">
        <v>182</v>
      </c>
      <c r="E288" s="771" t="s">
        <v>249</v>
      </c>
      <c r="F288" s="771" t="s">
        <v>2407</v>
      </c>
      <c r="G288" s="772">
        <v>43200</v>
      </c>
      <c r="H288" s="771" t="s">
        <v>454</v>
      </c>
      <c r="I288" s="771" t="s">
        <v>17</v>
      </c>
      <c r="J288" s="773" t="s">
        <v>9</v>
      </c>
      <c r="K288" s="774">
        <v>94</v>
      </c>
      <c r="L288" s="773">
        <v>24</v>
      </c>
      <c r="M288" s="773">
        <v>10</v>
      </c>
      <c r="N288" s="775" t="s">
        <v>10</v>
      </c>
    </row>
    <row r="289" spans="1:15" ht="18" thickBot="1" x14ac:dyDescent="0.5">
      <c r="A289" s="757">
        <f t="shared" si="1"/>
        <v>287</v>
      </c>
      <c r="B289" s="757">
        <v>272</v>
      </c>
      <c r="C289" s="757" t="s">
        <v>3</v>
      </c>
      <c r="D289" s="758" t="s">
        <v>357</v>
      </c>
      <c r="E289" s="758" t="s">
        <v>5</v>
      </c>
      <c r="F289" s="758" t="s">
        <v>1490</v>
      </c>
      <c r="G289" s="759">
        <v>43216</v>
      </c>
      <c r="H289" s="758" t="s">
        <v>354</v>
      </c>
      <c r="I289" s="758" t="s">
        <v>70</v>
      </c>
      <c r="J289" s="760" t="s">
        <v>9</v>
      </c>
      <c r="K289" s="761" t="s">
        <v>310</v>
      </c>
      <c r="L289" s="760">
        <v>16</v>
      </c>
      <c r="M289" s="760">
        <v>97</v>
      </c>
      <c r="N289" s="762" t="s">
        <v>10</v>
      </c>
    </row>
    <row r="290" spans="1:15" x14ac:dyDescent="0.45">
      <c r="A290" s="770">
        <f t="shared" si="1"/>
        <v>288</v>
      </c>
      <c r="B290" s="770">
        <v>273</v>
      </c>
      <c r="C290" s="770" t="s">
        <v>3</v>
      </c>
      <c r="D290" s="771" t="s">
        <v>105</v>
      </c>
      <c r="E290" s="771" t="s">
        <v>455</v>
      </c>
      <c r="F290" s="771" t="s">
        <v>1274</v>
      </c>
      <c r="G290" s="772">
        <v>43224</v>
      </c>
      <c r="H290" s="771" t="s">
        <v>456</v>
      </c>
      <c r="I290" s="771" t="s">
        <v>51</v>
      </c>
      <c r="J290" s="773" t="s">
        <v>52</v>
      </c>
      <c r="K290" s="774">
        <v>2</v>
      </c>
      <c r="L290" s="773">
        <v>35</v>
      </c>
      <c r="M290" s="773">
        <v>35</v>
      </c>
      <c r="N290" s="775" t="s">
        <v>10</v>
      </c>
    </row>
    <row r="291" spans="1:15" x14ac:dyDescent="0.45">
      <c r="A291" s="735">
        <f t="shared" si="1"/>
        <v>289</v>
      </c>
      <c r="B291" s="735">
        <v>274</v>
      </c>
      <c r="C291" s="735" t="s">
        <v>3</v>
      </c>
      <c r="D291" s="733" t="s">
        <v>182</v>
      </c>
      <c r="E291" s="733" t="s">
        <v>216</v>
      </c>
      <c r="F291" s="733" t="s">
        <v>457</v>
      </c>
      <c r="G291" s="736">
        <v>43229</v>
      </c>
      <c r="H291" s="733" t="s">
        <v>458</v>
      </c>
      <c r="I291" s="733" t="s">
        <v>70</v>
      </c>
      <c r="J291" s="737" t="s">
        <v>71</v>
      </c>
      <c r="K291" s="738">
        <v>9</v>
      </c>
      <c r="L291" s="737">
        <v>39</v>
      </c>
      <c r="M291" s="737">
        <v>29</v>
      </c>
      <c r="N291" s="739" t="s">
        <v>10</v>
      </c>
    </row>
    <row r="292" spans="1:15" ht="18" thickBot="1" x14ac:dyDescent="0.5">
      <c r="A292" s="782">
        <f t="shared" si="1"/>
        <v>290</v>
      </c>
      <c r="B292" s="782">
        <v>275</v>
      </c>
      <c r="C292" s="782" t="s">
        <v>3</v>
      </c>
      <c r="D292" s="783" t="s">
        <v>182</v>
      </c>
      <c r="E292" s="783" t="s">
        <v>320</v>
      </c>
      <c r="F292" s="783" t="s">
        <v>1519</v>
      </c>
      <c r="G292" s="784">
        <v>43241</v>
      </c>
      <c r="H292" s="783" t="s">
        <v>37</v>
      </c>
      <c r="I292" s="783" t="s">
        <v>240</v>
      </c>
      <c r="J292" s="785" t="s">
        <v>52</v>
      </c>
      <c r="K292" s="786">
        <v>3</v>
      </c>
      <c r="L292" s="785">
        <v>17</v>
      </c>
      <c r="M292" s="785">
        <v>12</v>
      </c>
      <c r="N292" s="787" t="s">
        <v>10</v>
      </c>
    </row>
    <row r="293" spans="1:15" x14ac:dyDescent="0.45">
      <c r="A293" s="770">
        <f t="shared" si="1"/>
        <v>291</v>
      </c>
      <c r="B293" s="770">
        <v>276</v>
      </c>
      <c r="C293" s="770" t="s">
        <v>3</v>
      </c>
      <c r="D293" s="771" t="s">
        <v>83</v>
      </c>
      <c r="E293" s="771" t="s">
        <v>216</v>
      </c>
      <c r="F293" s="771" t="s">
        <v>459</v>
      </c>
      <c r="G293" s="772">
        <v>43253</v>
      </c>
      <c r="H293" s="771" t="s">
        <v>423</v>
      </c>
      <c r="I293" s="771" t="s">
        <v>70</v>
      </c>
      <c r="J293" s="773" t="s">
        <v>9</v>
      </c>
      <c r="K293" s="774">
        <v>94</v>
      </c>
      <c r="L293" s="773">
        <v>37</v>
      </c>
      <c r="M293" s="773">
        <v>77</v>
      </c>
      <c r="N293" s="775" t="s">
        <v>10</v>
      </c>
    </row>
    <row r="294" spans="1:15" x14ac:dyDescent="0.45">
      <c r="A294" s="735">
        <f t="shared" si="1"/>
        <v>292</v>
      </c>
      <c r="B294" s="735">
        <v>277</v>
      </c>
      <c r="C294" s="735" t="s">
        <v>3</v>
      </c>
      <c r="D294" s="733" t="s">
        <v>91</v>
      </c>
      <c r="E294" s="733" t="s">
        <v>249</v>
      </c>
      <c r="F294" s="733" t="s">
        <v>2304</v>
      </c>
      <c r="G294" s="736">
        <v>43256</v>
      </c>
      <c r="H294" s="733" t="s">
        <v>460</v>
      </c>
      <c r="I294" s="733" t="s">
        <v>1188</v>
      </c>
      <c r="J294" s="737" t="s">
        <v>52</v>
      </c>
      <c r="K294" s="738">
        <v>2</v>
      </c>
      <c r="L294" s="737">
        <v>15</v>
      </c>
      <c r="M294" s="737">
        <v>797</v>
      </c>
      <c r="N294" s="739" t="s">
        <v>10</v>
      </c>
    </row>
    <row r="295" spans="1:15" ht="18" thickBot="1" x14ac:dyDescent="0.5">
      <c r="A295" s="782">
        <f t="shared" si="1"/>
        <v>293</v>
      </c>
      <c r="B295" s="782">
        <v>278</v>
      </c>
      <c r="C295" s="782" t="s">
        <v>3</v>
      </c>
      <c r="D295" s="783" t="s">
        <v>41</v>
      </c>
      <c r="E295" s="783" t="s">
        <v>461</v>
      </c>
      <c r="F295" s="783" t="s">
        <v>462</v>
      </c>
      <c r="G295" s="784">
        <v>43278</v>
      </c>
      <c r="H295" s="783" t="s">
        <v>463</v>
      </c>
      <c r="I295" s="783" t="s">
        <v>17</v>
      </c>
      <c r="J295" s="785" t="s">
        <v>52</v>
      </c>
      <c r="K295" s="786">
        <v>3</v>
      </c>
      <c r="L295" s="785">
        <v>22</v>
      </c>
      <c r="M295" s="785">
        <v>153</v>
      </c>
      <c r="N295" s="787" t="s">
        <v>10</v>
      </c>
    </row>
    <row r="296" spans="1:15" x14ac:dyDescent="0.45">
      <c r="A296" s="770">
        <f t="shared" si="1"/>
        <v>294</v>
      </c>
      <c r="B296" s="770">
        <v>279</v>
      </c>
      <c r="C296" s="770" t="s">
        <v>3</v>
      </c>
      <c r="D296" s="771" t="s">
        <v>41</v>
      </c>
      <c r="E296" s="771" t="s">
        <v>21</v>
      </c>
      <c r="F296" s="771" t="s">
        <v>1091</v>
      </c>
      <c r="G296" s="772">
        <v>43290</v>
      </c>
      <c r="H296" s="771" t="s">
        <v>464</v>
      </c>
      <c r="I296" s="771" t="s">
        <v>70</v>
      </c>
      <c r="J296" s="773" t="s">
        <v>9</v>
      </c>
      <c r="K296" s="774">
        <v>94</v>
      </c>
      <c r="L296" s="773">
        <v>37</v>
      </c>
      <c r="M296" s="773">
        <v>12</v>
      </c>
      <c r="N296" s="775" t="s">
        <v>10</v>
      </c>
      <c r="O296" s="718" t="s">
        <v>2149</v>
      </c>
    </row>
    <row r="297" spans="1:15" x14ac:dyDescent="0.45">
      <c r="A297" s="735">
        <f t="shared" si="1"/>
        <v>295</v>
      </c>
      <c r="B297" s="735">
        <v>280</v>
      </c>
      <c r="C297" s="735" t="s">
        <v>3</v>
      </c>
      <c r="D297" s="733" t="s">
        <v>91</v>
      </c>
      <c r="E297" s="733" t="s">
        <v>320</v>
      </c>
      <c r="F297" s="733" t="s">
        <v>1499</v>
      </c>
      <c r="G297" s="736">
        <v>43291</v>
      </c>
      <c r="H297" s="733" t="s">
        <v>465</v>
      </c>
      <c r="I297" s="733" t="s">
        <v>1188</v>
      </c>
      <c r="J297" s="737" t="s">
        <v>52</v>
      </c>
      <c r="K297" s="738" t="s">
        <v>1641</v>
      </c>
      <c r="L297" s="737">
        <v>13</v>
      </c>
      <c r="M297" s="737">
        <v>35</v>
      </c>
      <c r="N297" s="739" t="s">
        <v>10</v>
      </c>
    </row>
    <row r="298" spans="1:15" x14ac:dyDescent="0.45">
      <c r="A298" s="735">
        <f t="shared" si="1"/>
        <v>296</v>
      </c>
      <c r="B298" s="735">
        <v>281</v>
      </c>
      <c r="C298" s="735" t="s">
        <v>3</v>
      </c>
      <c r="D298" s="733" t="s">
        <v>105</v>
      </c>
      <c r="E298" s="733" t="s">
        <v>441</v>
      </c>
      <c r="F298" s="733" t="s">
        <v>1536</v>
      </c>
      <c r="G298" s="736">
        <v>43310</v>
      </c>
      <c r="H298" s="733" t="s">
        <v>466</v>
      </c>
      <c r="I298" s="733" t="s">
        <v>351</v>
      </c>
      <c r="J298" s="737" t="s">
        <v>52</v>
      </c>
      <c r="K298" s="738" t="s">
        <v>1641</v>
      </c>
      <c r="L298" s="737">
        <v>19</v>
      </c>
      <c r="M298" s="737">
        <v>86</v>
      </c>
      <c r="N298" s="739" t="s">
        <v>10</v>
      </c>
      <c r="O298" s="718" t="s">
        <v>2100</v>
      </c>
    </row>
    <row r="299" spans="1:15" ht="18" thickBot="1" x14ac:dyDescent="0.5">
      <c r="A299" s="782">
        <f t="shared" si="1"/>
        <v>297</v>
      </c>
      <c r="B299" s="782">
        <v>282</v>
      </c>
      <c r="C299" s="782" t="s">
        <v>3</v>
      </c>
      <c r="D299" s="783" t="s">
        <v>132</v>
      </c>
      <c r="E299" s="783" t="s">
        <v>362</v>
      </c>
      <c r="F299" s="783" t="s">
        <v>467</v>
      </c>
      <c r="G299" s="784">
        <v>43312</v>
      </c>
      <c r="H299" s="783" t="s">
        <v>418</v>
      </c>
      <c r="I299" s="783" t="s">
        <v>70</v>
      </c>
      <c r="J299" s="785" t="s">
        <v>71</v>
      </c>
      <c r="K299" s="786">
        <v>9</v>
      </c>
      <c r="L299" s="785">
        <v>83</v>
      </c>
      <c r="M299" s="785">
        <v>411</v>
      </c>
      <c r="N299" s="787" t="s">
        <v>10</v>
      </c>
    </row>
    <row r="300" spans="1:15" ht="18" thickBot="1" x14ac:dyDescent="0.5">
      <c r="A300" s="757">
        <f t="shared" si="1"/>
        <v>298</v>
      </c>
      <c r="B300" s="757">
        <v>283</v>
      </c>
      <c r="C300" s="757" t="s">
        <v>3</v>
      </c>
      <c r="D300" s="758" t="s">
        <v>105</v>
      </c>
      <c r="E300" s="758" t="s">
        <v>450</v>
      </c>
      <c r="F300" s="758" t="s">
        <v>1540</v>
      </c>
      <c r="G300" s="759">
        <v>43337</v>
      </c>
      <c r="H300" s="758" t="s">
        <v>468</v>
      </c>
      <c r="I300" s="758" t="s">
        <v>351</v>
      </c>
      <c r="J300" s="760" t="s">
        <v>52</v>
      </c>
      <c r="K300" s="761" t="s">
        <v>1641</v>
      </c>
      <c r="L300" s="760">
        <v>27</v>
      </c>
      <c r="M300" s="760">
        <v>27</v>
      </c>
      <c r="N300" s="762" t="s">
        <v>10</v>
      </c>
      <c r="O300" s="718" t="s">
        <v>2101</v>
      </c>
    </row>
    <row r="301" spans="1:15" x14ac:dyDescent="0.45">
      <c r="A301" s="770">
        <f t="shared" ref="A301:A364" si="2">A300+1</f>
        <v>299</v>
      </c>
      <c r="B301" s="770">
        <v>284</v>
      </c>
      <c r="C301" s="770" t="s">
        <v>3</v>
      </c>
      <c r="D301" s="771" t="s">
        <v>41</v>
      </c>
      <c r="E301" s="771" t="s">
        <v>406</v>
      </c>
      <c r="F301" s="771" t="s">
        <v>1121</v>
      </c>
      <c r="G301" s="772">
        <v>43350</v>
      </c>
      <c r="H301" s="771" t="s">
        <v>469</v>
      </c>
      <c r="I301" s="771" t="s">
        <v>70</v>
      </c>
      <c r="J301" s="773" t="s">
        <v>71</v>
      </c>
      <c r="K301" s="774">
        <v>9</v>
      </c>
      <c r="L301" s="773">
        <v>38</v>
      </c>
      <c r="M301" s="773">
        <v>60</v>
      </c>
      <c r="N301" s="775" t="s">
        <v>10</v>
      </c>
    </row>
    <row r="302" spans="1:15" x14ac:dyDescent="0.45">
      <c r="A302" s="735">
        <f t="shared" si="2"/>
        <v>300</v>
      </c>
      <c r="B302" s="735">
        <v>285</v>
      </c>
      <c r="C302" s="735" t="s">
        <v>3</v>
      </c>
      <c r="D302" s="733" t="s">
        <v>105</v>
      </c>
      <c r="E302" s="733" t="s">
        <v>470</v>
      </c>
      <c r="F302" s="733" t="s">
        <v>1541</v>
      </c>
      <c r="G302" s="736">
        <v>43362</v>
      </c>
      <c r="H302" s="733" t="s">
        <v>471</v>
      </c>
      <c r="I302" s="733" t="s">
        <v>351</v>
      </c>
      <c r="J302" s="737" t="s">
        <v>52</v>
      </c>
      <c r="K302" s="738">
        <v>2</v>
      </c>
      <c r="L302" s="737">
        <v>25</v>
      </c>
      <c r="M302" s="737">
        <v>25</v>
      </c>
      <c r="N302" s="739" t="s">
        <v>10</v>
      </c>
      <c r="O302" s="718" t="s">
        <v>2102</v>
      </c>
    </row>
    <row r="303" spans="1:15" ht="18" thickBot="1" x14ac:dyDescent="0.5">
      <c r="A303" s="782">
        <f t="shared" si="2"/>
        <v>301</v>
      </c>
      <c r="B303" s="782" t="s">
        <v>3</v>
      </c>
      <c r="C303" s="782">
        <v>16</v>
      </c>
      <c r="D303" s="783" t="s">
        <v>409</v>
      </c>
      <c r="E303" s="783" t="s">
        <v>67</v>
      </c>
      <c r="F303" s="783" t="s">
        <v>1491</v>
      </c>
      <c r="G303" s="784">
        <v>43372</v>
      </c>
      <c r="H303" s="783" t="s">
        <v>423</v>
      </c>
      <c r="I303" s="783" t="s">
        <v>70</v>
      </c>
      <c r="J303" s="785" t="s">
        <v>9</v>
      </c>
      <c r="K303" s="786" t="s">
        <v>310</v>
      </c>
      <c r="L303" s="785">
        <v>82</v>
      </c>
      <c r="M303" s="785">
        <v>628</v>
      </c>
      <c r="N303" s="787" t="s">
        <v>10</v>
      </c>
    </row>
    <row r="304" spans="1:15" x14ac:dyDescent="0.45">
      <c r="A304" s="810">
        <f t="shared" si="2"/>
        <v>302</v>
      </c>
      <c r="B304" s="810">
        <v>286</v>
      </c>
      <c r="C304" s="810" t="s">
        <v>3</v>
      </c>
      <c r="D304" s="811" t="s">
        <v>41</v>
      </c>
      <c r="E304" s="811" t="s">
        <v>370</v>
      </c>
      <c r="F304" s="812" t="s">
        <v>2408</v>
      </c>
      <c r="G304" s="813">
        <v>43382</v>
      </c>
      <c r="H304" s="812" t="s">
        <v>383</v>
      </c>
      <c r="I304" s="812" t="s">
        <v>70</v>
      </c>
      <c r="J304" s="814" t="s">
        <v>9</v>
      </c>
      <c r="K304" s="815">
        <v>94</v>
      </c>
      <c r="L304" s="814">
        <v>10</v>
      </c>
      <c r="M304" s="814">
        <v>32</v>
      </c>
      <c r="N304" s="816" t="s">
        <v>10</v>
      </c>
      <c r="O304" s="718" t="s">
        <v>1766</v>
      </c>
    </row>
    <row r="305" spans="1:15" x14ac:dyDescent="0.45">
      <c r="A305" s="800">
        <f t="shared" si="2"/>
        <v>303</v>
      </c>
      <c r="B305" s="800">
        <v>287</v>
      </c>
      <c r="C305" s="800" t="s">
        <v>3</v>
      </c>
      <c r="D305" s="801" t="s">
        <v>105</v>
      </c>
      <c r="E305" s="801" t="s">
        <v>472</v>
      </c>
      <c r="F305" s="802" t="s">
        <v>1542</v>
      </c>
      <c r="G305" s="803">
        <v>43388</v>
      </c>
      <c r="H305" s="802" t="s">
        <v>473</v>
      </c>
      <c r="I305" s="802" t="s">
        <v>351</v>
      </c>
      <c r="J305" s="804" t="s">
        <v>52</v>
      </c>
      <c r="K305" s="805" t="s">
        <v>1641</v>
      </c>
      <c r="L305" s="804">
        <v>26</v>
      </c>
      <c r="M305" s="804">
        <v>26</v>
      </c>
      <c r="N305" s="806" t="s">
        <v>10</v>
      </c>
      <c r="O305" s="718" t="s">
        <v>1767</v>
      </c>
    </row>
    <row r="306" spans="1:15" x14ac:dyDescent="0.45">
      <c r="A306" s="735">
        <f t="shared" si="2"/>
        <v>304</v>
      </c>
      <c r="B306" s="735">
        <v>288</v>
      </c>
      <c r="C306" s="735" t="s">
        <v>3</v>
      </c>
      <c r="D306" s="733" t="s">
        <v>132</v>
      </c>
      <c r="E306" s="733" t="s">
        <v>367</v>
      </c>
      <c r="F306" s="733" t="s">
        <v>1122</v>
      </c>
      <c r="G306" s="736">
        <v>43398</v>
      </c>
      <c r="H306" s="733" t="s">
        <v>474</v>
      </c>
      <c r="I306" s="733" t="s">
        <v>70</v>
      </c>
      <c r="J306" s="737" t="s">
        <v>71</v>
      </c>
      <c r="K306" s="738">
        <v>9</v>
      </c>
      <c r="L306" s="737">
        <v>48</v>
      </c>
      <c r="M306" s="737">
        <v>86</v>
      </c>
      <c r="N306" s="739" t="s">
        <v>10</v>
      </c>
    </row>
    <row r="307" spans="1:15" x14ac:dyDescent="0.45">
      <c r="A307" s="735">
        <f t="shared" si="2"/>
        <v>305</v>
      </c>
      <c r="B307" s="735" t="s">
        <v>3</v>
      </c>
      <c r="C307" s="735">
        <v>17</v>
      </c>
      <c r="D307" s="733" t="s">
        <v>475</v>
      </c>
      <c r="E307" s="733" t="s">
        <v>42</v>
      </c>
      <c r="F307" s="733" t="s">
        <v>476</v>
      </c>
      <c r="G307" s="736">
        <v>43400</v>
      </c>
      <c r="H307" s="733" t="s">
        <v>1151</v>
      </c>
      <c r="I307" s="733" t="s">
        <v>70</v>
      </c>
      <c r="J307" s="737" t="s">
        <v>9</v>
      </c>
      <c r="K307" s="738" t="s">
        <v>310</v>
      </c>
      <c r="L307" s="737">
        <v>18</v>
      </c>
      <c r="M307" s="737" t="s">
        <v>1012</v>
      </c>
      <c r="N307" s="746" t="s">
        <v>18</v>
      </c>
    </row>
    <row r="308" spans="1:15" ht="18" thickBot="1" x14ac:dyDescent="0.5">
      <c r="A308" s="782">
        <f t="shared" si="2"/>
        <v>306</v>
      </c>
      <c r="B308" s="782">
        <v>289</v>
      </c>
      <c r="C308" s="782" t="s">
        <v>3</v>
      </c>
      <c r="D308" s="783" t="s">
        <v>41</v>
      </c>
      <c r="E308" s="783" t="s">
        <v>209</v>
      </c>
      <c r="F308" s="783" t="s">
        <v>2347</v>
      </c>
      <c r="G308" s="784">
        <v>43402</v>
      </c>
      <c r="H308" s="783" t="s">
        <v>477</v>
      </c>
      <c r="I308" s="783" t="s">
        <v>70</v>
      </c>
      <c r="J308" s="785" t="s">
        <v>9</v>
      </c>
      <c r="K308" s="786">
        <v>94</v>
      </c>
      <c r="L308" s="785">
        <v>2</v>
      </c>
      <c r="M308" s="785">
        <v>20</v>
      </c>
      <c r="N308" s="787" t="s">
        <v>10</v>
      </c>
    </row>
    <row r="309" spans="1:15" x14ac:dyDescent="0.45">
      <c r="A309" s="770">
        <f t="shared" si="2"/>
        <v>307</v>
      </c>
      <c r="B309" s="770">
        <v>290</v>
      </c>
      <c r="C309" s="770" t="s">
        <v>3</v>
      </c>
      <c r="D309" s="771" t="s">
        <v>105</v>
      </c>
      <c r="E309" s="771" t="s">
        <v>478</v>
      </c>
      <c r="F309" s="771" t="s">
        <v>965</v>
      </c>
      <c r="G309" s="772">
        <v>43405</v>
      </c>
      <c r="H309" s="771" t="s">
        <v>479</v>
      </c>
      <c r="I309" s="771" t="s">
        <v>1188</v>
      </c>
      <c r="J309" s="773" t="s">
        <v>52</v>
      </c>
      <c r="K309" s="774">
        <v>2</v>
      </c>
      <c r="L309" s="773">
        <v>17</v>
      </c>
      <c r="M309" s="773">
        <v>17</v>
      </c>
      <c r="N309" s="775" t="s">
        <v>10</v>
      </c>
    </row>
    <row r="310" spans="1:15" x14ac:dyDescent="0.45">
      <c r="A310" s="800">
        <f t="shared" si="2"/>
        <v>308</v>
      </c>
      <c r="B310" s="800">
        <v>291</v>
      </c>
      <c r="C310" s="800" t="s">
        <v>3</v>
      </c>
      <c r="D310" s="801" t="s">
        <v>105</v>
      </c>
      <c r="E310" s="801" t="s">
        <v>480</v>
      </c>
      <c r="F310" s="802" t="s">
        <v>1543</v>
      </c>
      <c r="G310" s="803">
        <v>43423</v>
      </c>
      <c r="H310" s="802" t="s">
        <v>481</v>
      </c>
      <c r="I310" s="802" t="s">
        <v>351</v>
      </c>
      <c r="J310" s="804" t="s">
        <v>52</v>
      </c>
      <c r="K310" s="805" t="s">
        <v>1641</v>
      </c>
      <c r="L310" s="804">
        <v>18</v>
      </c>
      <c r="M310" s="804">
        <v>18</v>
      </c>
      <c r="N310" s="806" t="s">
        <v>10</v>
      </c>
      <c r="O310" s="718" t="s">
        <v>1768</v>
      </c>
    </row>
    <row r="311" spans="1:15" ht="18" thickBot="1" x14ac:dyDescent="0.5">
      <c r="A311" s="782">
        <f t="shared" si="2"/>
        <v>309</v>
      </c>
      <c r="B311" s="782">
        <v>292</v>
      </c>
      <c r="C311" s="782" t="s">
        <v>3</v>
      </c>
      <c r="D311" s="783" t="s">
        <v>83</v>
      </c>
      <c r="E311" s="783" t="s">
        <v>314</v>
      </c>
      <c r="F311" s="783" t="s">
        <v>482</v>
      </c>
      <c r="G311" s="784">
        <v>43424</v>
      </c>
      <c r="H311" s="783" t="s">
        <v>483</v>
      </c>
      <c r="I311" s="783" t="s">
        <v>70</v>
      </c>
      <c r="J311" s="785" t="s">
        <v>9</v>
      </c>
      <c r="K311" s="786">
        <v>94</v>
      </c>
      <c r="L311" s="785">
        <v>22</v>
      </c>
      <c r="M311" s="785">
        <v>171</v>
      </c>
      <c r="N311" s="787" t="s">
        <v>10</v>
      </c>
    </row>
    <row r="312" spans="1:15" x14ac:dyDescent="0.45">
      <c r="A312" s="770">
        <f t="shared" si="2"/>
        <v>310</v>
      </c>
      <c r="B312" s="770">
        <v>293</v>
      </c>
      <c r="C312" s="770" t="s">
        <v>3</v>
      </c>
      <c r="D312" s="771" t="s">
        <v>83</v>
      </c>
      <c r="E312" s="771" t="s">
        <v>370</v>
      </c>
      <c r="F312" s="771" t="s">
        <v>2348</v>
      </c>
      <c r="G312" s="772">
        <v>43441</v>
      </c>
      <c r="H312" s="771" t="s">
        <v>444</v>
      </c>
      <c r="I312" s="771" t="s">
        <v>70</v>
      </c>
      <c r="J312" s="773" t="s">
        <v>9</v>
      </c>
      <c r="K312" s="774">
        <v>94</v>
      </c>
      <c r="L312" s="773">
        <v>17</v>
      </c>
      <c r="M312" s="773">
        <v>17</v>
      </c>
      <c r="N312" s="775" t="s">
        <v>10</v>
      </c>
    </row>
    <row r="313" spans="1:15" x14ac:dyDescent="0.45">
      <c r="A313" s="735">
        <f t="shared" si="2"/>
        <v>311</v>
      </c>
      <c r="B313" s="735">
        <v>294</v>
      </c>
      <c r="C313" s="735" t="s">
        <v>3</v>
      </c>
      <c r="D313" s="733" t="s">
        <v>105</v>
      </c>
      <c r="E313" s="733" t="s">
        <v>348</v>
      </c>
      <c r="F313" s="733" t="s">
        <v>1517</v>
      </c>
      <c r="G313" s="736">
        <v>43442</v>
      </c>
      <c r="H313" s="733" t="s">
        <v>1144</v>
      </c>
      <c r="I313" s="733" t="s">
        <v>240</v>
      </c>
      <c r="J313" s="737" t="s">
        <v>52</v>
      </c>
      <c r="K313" s="738">
        <v>2</v>
      </c>
      <c r="L313" s="737">
        <v>19</v>
      </c>
      <c r="M313" s="737">
        <v>19</v>
      </c>
      <c r="N313" s="739" t="s">
        <v>10</v>
      </c>
    </row>
    <row r="314" spans="1:15" x14ac:dyDescent="0.45">
      <c r="A314" s="735">
        <f t="shared" si="2"/>
        <v>312</v>
      </c>
      <c r="B314" s="735">
        <v>295</v>
      </c>
      <c r="C314" s="735" t="s">
        <v>3</v>
      </c>
      <c r="D314" s="733" t="s">
        <v>357</v>
      </c>
      <c r="E314" s="733" t="s">
        <v>30</v>
      </c>
      <c r="F314" s="733" t="s">
        <v>484</v>
      </c>
      <c r="G314" s="736">
        <v>43456</v>
      </c>
      <c r="H314" s="733" t="s">
        <v>485</v>
      </c>
      <c r="I314" s="733" t="s">
        <v>70</v>
      </c>
      <c r="J314" s="737" t="s">
        <v>9</v>
      </c>
      <c r="K314" s="738" t="s">
        <v>310</v>
      </c>
      <c r="L314" s="737">
        <v>15</v>
      </c>
      <c r="M314" s="737">
        <v>240</v>
      </c>
      <c r="N314" s="739" t="s">
        <v>10</v>
      </c>
    </row>
    <row r="315" spans="1:15" x14ac:dyDescent="0.45">
      <c r="A315" s="735">
        <f t="shared" si="2"/>
        <v>313</v>
      </c>
      <c r="B315" s="735">
        <v>296</v>
      </c>
      <c r="C315" s="735" t="s">
        <v>3</v>
      </c>
      <c r="D315" s="733" t="s">
        <v>203</v>
      </c>
      <c r="E315" s="733" t="s">
        <v>200</v>
      </c>
      <c r="F315" s="733" t="s">
        <v>1612</v>
      </c>
      <c r="G315" s="736">
        <v>43459</v>
      </c>
      <c r="H315" s="733" t="s">
        <v>486</v>
      </c>
      <c r="I315" s="733" t="s">
        <v>51</v>
      </c>
      <c r="J315" s="737" t="s">
        <v>52</v>
      </c>
      <c r="K315" s="738" t="s">
        <v>1641</v>
      </c>
      <c r="L315" s="737">
        <v>17</v>
      </c>
      <c r="M315" s="737">
        <v>763</v>
      </c>
      <c r="N315" s="739" t="s">
        <v>10</v>
      </c>
    </row>
    <row r="316" spans="1:15" ht="18" thickBot="1" x14ac:dyDescent="0.5">
      <c r="A316" s="800">
        <f t="shared" si="2"/>
        <v>314</v>
      </c>
      <c r="B316" s="800">
        <v>297</v>
      </c>
      <c r="C316" s="800" t="s">
        <v>3</v>
      </c>
      <c r="D316" s="801" t="s">
        <v>83</v>
      </c>
      <c r="E316" s="801" t="s">
        <v>338</v>
      </c>
      <c r="F316" s="802" t="s">
        <v>3346</v>
      </c>
      <c r="G316" s="803">
        <v>43463</v>
      </c>
      <c r="H316" s="802" t="s">
        <v>84</v>
      </c>
      <c r="I316" s="802" t="s">
        <v>1237</v>
      </c>
      <c r="J316" s="804" t="s">
        <v>9</v>
      </c>
      <c r="K316" s="805">
        <v>94</v>
      </c>
      <c r="L316" s="804">
        <v>7</v>
      </c>
      <c r="M316" s="804">
        <v>22</v>
      </c>
      <c r="N316" s="806" t="s">
        <v>10</v>
      </c>
      <c r="O316" s="718" t="s">
        <v>1769</v>
      </c>
    </row>
    <row r="317" spans="1:15" ht="18" thickTop="1" x14ac:dyDescent="0.45">
      <c r="A317" s="726">
        <f t="shared" si="2"/>
        <v>315</v>
      </c>
      <c r="B317" s="726">
        <v>298</v>
      </c>
      <c r="C317" s="726" t="s">
        <v>3</v>
      </c>
      <c r="D317" s="727" t="s">
        <v>105</v>
      </c>
      <c r="E317" s="727" t="s">
        <v>487</v>
      </c>
      <c r="F317" s="727" t="s">
        <v>488</v>
      </c>
      <c r="G317" s="728">
        <v>43476</v>
      </c>
      <c r="H317" s="727" t="s">
        <v>489</v>
      </c>
      <c r="I317" s="727" t="s">
        <v>51</v>
      </c>
      <c r="J317" s="729" t="s">
        <v>52</v>
      </c>
      <c r="K317" s="730">
        <v>2</v>
      </c>
      <c r="L317" s="729">
        <v>17</v>
      </c>
      <c r="M317" s="729">
        <v>34</v>
      </c>
      <c r="N317" s="734" t="s">
        <v>10</v>
      </c>
    </row>
    <row r="318" spans="1:15" ht="18" thickBot="1" x14ac:dyDescent="0.5">
      <c r="A318" s="757">
        <f t="shared" si="2"/>
        <v>316</v>
      </c>
      <c r="B318" s="757">
        <v>299</v>
      </c>
      <c r="C318" s="757" t="s">
        <v>3</v>
      </c>
      <c r="D318" s="758" t="s">
        <v>357</v>
      </c>
      <c r="E318" s="758" t="s">
        <v>33</v>
      </c>
      <c r="F318" s="758" t="s">
        <v>1544</v>
      </c>
      <c r="G318" s="759">
        <v>43486</v>
      </c>
      <c r="H318" s="758" t="s">
        <v>490</v>
      </c>
      <c r="I318" s="758" t="s">
        <v>70</v>
      </c>
      <c r="J318" s="760" t="s">
        <v>9</v>
      </c>
      <c r="K318" s="761" t="s">
        <v>310</v>
      </c>
      <c r="L318" s="760">
        <v>23</v>
      </c>
      <c r="M318" s="760">
        <v>30</v>
      </c>
      <c r="N318" s="762" t="s">
        <v>10</v>
      </c>
    </row>
    <row r="319" spans="1:15" x14ac:dyDescent="0.45">
      <c r="A319" s="770">
        <f t="shared" si="2"/>
        <v>317</v>
      </c>
      <c r="B319" s="770">
        <v>300</v>
      </c>
      <c r="C319" s="770" t="s">
        <v>3</v>
      </c>
      <c r="D319" s="771" t="s">
        <v>105</v>
      </c>
      <c r="E319" s="771" t="s">
        <v>491</v>
      </c>
      <c r="F319" s="771" t="s">
        <v>492</v>
      </c>
      <c r="G319" s="772">
        <v>43534</v>
      </c>
      <c r="H319" s="771" t="s">
        <v>191</v>
      </c>
      <c r="I319" s="771" t="s">
        <v>51</v>
      </c>
      <c r="J319" s="773" t="s">
        <v>52</v>
      </c>
      <c r="K319" s="774" t="s">
        <v>1641</v>
      </c>
      <c r="L319" s="773">
        <v>58</v>
      </c>
      <c r="M319" s="773">
        <v>58</v>
      </c>
      <c r="N319" s="775" t="s">
        <v>10</v>
      </c>
    </row>
    <row r="320" spans="1:15" x14ac:dyDescent="0.45">
      <c r="A320" s="735">
        <f t="shared" si="2"/>
        <v>318</v>
      </c>
      <c r="B320" s="735" t="s">
        <v>3</v>
      </c>
      <c r="C320" s="735">
        <v>18</v>
      </c>
      <c r="D320" s="733" t="s">
        <v>493</v>
      </c>
      <c r="E320" s="733" t="s">
        <v>42</v>
      </c>
      <c r="F320" s="733" t="s">
        <v>1492</v>
      </c>
      <c r="G320" s="736">
        <v>43551</v>
      </c>
      <c r="H320" s="733" t="s">
        <v>494</v>
      </c>
      <c r="I320" s="733" t="s">
        <v>1237</v>
      </c>
      <c r="J320" s="737" t="s">
        <v>9</v>
      </c>
      <c r="K320" s="738" t="s">
        <v>310</v>
      </c>
      <c r="L320" s="737">
        <v>65</v>
      </c>
      <c r="M320" s="737" t="s">
        <v>1012</v>
      </c>
      <c r="N320" s="746" t="s">
        <v>18</v>
      </c>
    </row>
    <row r="321" spans="1:15" ht="18" thickBot="1" x14ac:dyDescent="0.5">
      <c r="A321" s="782">
        <f t="shared" si="2"/>
        <v>319</v>
      </c>
      <c r="B321" s="782">
        <v>301</v>
      </c>
      <c r="C321" s="782" t="s">
        <v>3</v>
      </c>
      <c r="D321" s="783" t="s">
        <v>105</v>
      </c>
      <c r="E321" s="783" t="s">
        <v>461</v>
      </c>
      <c r="F321" s="783" t="s">
        <v>1145</v>
      </c>
      <c r="G321" s="784">
        <v>43555</v>
      </c>
      <c r="H321" s="783" t="s">
        <v>495</v>
      </c>
      <c r="I321" s="783" t="s">
        <v>51</v>
      </c>
      <c r="J321" s="785" t="s">
        <v>52</v>
      </c>
      <c r="K321" s="786">
        <v>2</v>
      </c>
      <c r="L321" s="785">
        <v>21</v>
      </c>
      <c r="M321" s="785">
        <v>21</v>
      </c>
      <c r="N321" s="787" t="s">
        <v>10</v>
      </c>
    </row>
    <row r="322" spans="1:15" x14ac:dyDescent="0.45">
      <c r="A322" s="770">
        <f t="shared" si="2"/>
        <v>320</v>
      </c>
      <c r="B322" s="770">
        <v>302</v>
      </c>
      <c r="C322" s="770" t="s">
        <v>3</v>
      </c>
      <c r="D322" s="771" t="s">
        <v>105</v>
      </c>
      <c r="E322" s="771" t="s">
        <v>496</v>
      </c>
      <c r="F322" s="771" t="s">
        <v>962</v>
      </c>
      <c r="G322" s="772">
        <v>43575</v>
      </c>
      <c r="H322" s="771" t="s">
        <v>497</v>
      </c>
      <c r="I322" s="771" t="s">
        <v>51</v>
      </c>
      <c r="J322" s="773" t="s">
        <v>52</v>
      </c>
      <c r="K322" s="774" t="s">
        <v>1641</v>
      </c>
      <c r="L322" s="773">
        <v>20</v>
      </c>
      <c r="M322" s="773">
        <v>20</v>
      </c>
      <c r="N322" s="775" t="s">
        <v>10</v>
      </c>
    </row>
    <row r="323" spans="1:15" ht="18" thickBot="1" x14ac:dyDescent="0.5">
      <c r="A323" s="757">
        <f t="shared" si="2"/>
        <v>321</v>
      </c>
      <c r="B323" s="757">
        <v>303</v>
      </c>
      <c r="C323" s="757" t="s">
        <v>3</v>
      </c>
      <c r="D323" s="758" t="s">
        <v>132</v>
      </c>
      <c r="E323" s="758" t="s">
        <v>364</v>
      </c>
      <c r="F323" s="758" t="s">
        <v>2409</v>
      </c>
      <c r="G323" s="759">
        <v>43585</v>
      </c>
      <c r="H323" s="758" t="s">
        <v>498</v>
      </c>
      <c r="I323" s="758" t="s">
        <v>70</v>
      </c>
      <c r="J323" s="760" t="s">
        <v>71</v>
      </c>
      <c r="K323" s="761">
        <v>9</v>
      </c>
      <c r="L323" s="760">
        <v>187</v>
      </c>
      <c r="M323" s="760">
        <v>187</v>
      </c>
      <c r="N323" s="762" t="s">
        <v>10</v>
      </c>
    </row>
    <row r="324" spans="1:15" x14ac:dyDescent="0.45">
      <c r="A324" s="770">
        <f t="shared" si="2"/>
        <v>322</v>
      </c>
      <c r="B324" s="770">
        <v>304</v>
      </c>
      <c r="C324" s="770" t="s">
        <v>3</v>
      </c>
      <c r="D324" s="771" t="s">
        <v>203</v>
      </c>
      <c r="E324" s="771" t="s">
        <v>184</v>
      </c>
      <c r="F324" s="771" t="s">
        <v>1493</v>
      </c>
      <c r="G324" s="772">
        <v>43602</v>
      </c>
      <c r="H324" s="771" t="s">
        <v>499</v>
      </c>
      <c r="I324" s="771" t="s">
        <v>51</v>
      </c>
      <c r="J324" s="773" t="s">
        <v>52</v>
      </c>
      <c r="K324" s="774">
        <v>2</v>
      </c>
      <c r="L324" s="773">
        <v>27</v>
      </c>
      <c r="M324" s="773">
        <v>143</v>
      </c>
      <c r="N324" s="775" t="s">
        <v>10</v>
      </c>
    </row>
    <row r="325" spans="1:15" ht="18" thickBot="1" x14ac:dyDescent="0.5">
      <c r="A325" s="757">
        <f t="shared" si="2"/>
        <v>323</v>
      </c>
      <c r="B325" s="757">
        <v>305</v>
      </c>
      <c r="C325" s="757" t="s">
        <v>3</v>
      </c>
      <c r="D325" s="758" t="s">
        <v>182</v>
      </c>
      <c r="E325" s="758" t="s">
        <v>241</v>
      </c>
      <c r="F325" s="758" t="s">
        <v>1092</v>
      </c>
      <c r="G325" s="759">
        <v>43608</v>
      </c>
      <c r="H325" s="758" t="s">
        <v>500</v>
      </c>
      <c r="I325" s="758" t="s">
        <v>70</v>
      </c>
      <c r="J325" s="760" t="s">
        <v>71</v>
      </c>
      <c r="K325" s="761">
        <v>9</v>
      </c>
      <c r="L325" s="760">
        <v>23</v>
      </c>
      <c r="M325" s="760">
        <v>367</v>
      </c>
      <c r="N325" s="817" t="s">
        <v>18</v>
      </c>
    </row>
    <row r="326" spans="1:15" ht="18" thickBot="1" x14ac:dyDescent="0.5">
      <c r="A326" s="770">
        <f t="shared" si="2"/>
        <v>324</v>
      </c>
      <c r="B326" s="770">
        <v>306</v>
      </c>
      <c r="C326" s="770" t="s">
        <v>3</v>
      </c>
      <c r="D326" s="771" t="s">
        <v>501</v>
      </c>
      <c r="E326" s="771" t="s">
        <v>42</v>
      </c>
      <c r="F326" s="771" t="s">
        <v>3103</v>
      </c>
      <c r="G326" s="772">
        <v>43621</v>
      </c>
      <c r="H326" s="771" t="s">
        <v>502</v>
      </c>
      <c r="I326" s="771" t="s">
        <v>17</v>
      </c>
      <c r="J326" s="818" t="s">
        <v>503</v>
      </c>
      <c r="K326" s="819" t="s">
        <v>2316</v>
      </c>
      <c r="L326" s="818" t="s">
        <v>1012</v>
      </c>
      <c r="M326" s="818" t="s">
        <v>1012</v>
      </c>
      <c r="N326" s="775" t="s">
        <v>10</v>
      </c>
    </row>
    <row r="327" spans="1:15" ht="18" thickBot="1" x14ac:dyDescent="0.5">
      <c r="A327" s="757">
        <f t="shared" si="2"/>
        <v>325</v>
      </c>
      <c r="B327" s="757">
        <v>307</v>
      </c>
      <c r="C327" s="757" t="s">
        <v>3</v>
      </c>
      <c r="D327" s="758" t="s">
        <v>105</v>
      </c>
      <c r="E327" s="758" t="s">
        <v>504</v>
      </c>
      <c r="F327" s="758" t="s">
        <v>963</v>
      </c>
      <c r="G327" s="759">
        <v>43641</v>
      </c>
      <c r="H327" s="758" t="s">
        <v>505</v>
      </c>
      <c r="I327" s="758" t="s">
        <v>51</v>
      </c>
      <c r="J327" s="760" t="s">
        <v>52</v>
      </c>
      <c r="K327" s="761" t="s">
        <v>1641</v>
      </c>
      <c r="L327" s="760">
        <v>39</v>
      </c>
      <c r="M327" s="760">
        <v>66</v>
      </c>
      <c r="N327" s="762" t="s">
        <v>10</v>
      </c>
    </row>
    <row r="328" spans="1:15" x14ac:dyDescent="0.45">
      <c r="A328" s="770">
        <f t="shared" si="2"/>
        <v>326</v>
      </c>
      <c r="B328" s="770" t="s">
        <v>3</v>
      </c>
      <c r="C328" s="770">
        <v>19</v>
      </c>
      <c r="D328" s="771" t="s">
        <v>506</v>
      </c>
      <c r="E328" s="771" t="s">
        <v>42</v>
      </c>
      <c r="F328" s="771" t="s">
        <v>2305</v>
      </c>
      <c r="G328" s="772">
        <v>43671</v>
      </c>
      <c r="H328" s="771" t="s">
        <v>507</v>
      </c>
      <c r="I328" s="771" t="s">
        <v>17</v>
      </c>
      <c r="J328" s="773" t="s">
        <v>9</v>
      </c>
      <c r="K328" s="774" t="s">
        <v>310</v>
      </c>
      <c r="L328" s="773">
        <v>120</v>
      </c>
      <c r="M328" s="773" t="s">
        <v>1012</v>
      </c>
      <c r="N328" s="775" t="s">
        <v>10</v>
      </c>
    </row>
    <row r="329" spans="1:15" ht="18" thickBot="1" x14ac:dyDescent="0.5">
      <c r="A329" s="757">
        <f t="shared" si="2"/>
        <v>327</v>
      </c>
      <c r="B329" s="757">
        <v>308</v>
      </c>
      <c r="C329" s="757" t="s">
        <v>3</v>
      </c>
      <c r="D329" s="758" t="s">
        <v>41</v>
      </c>
      <c r="E329" s="758" t="s">
        <v>362</v>
      </c>
      <c r="F329" s="758" t="s">
        <v>1545</v>
      </c>
      <c r="G329" s="759">
        <v>43672</v>
      </c>
      <c r="H329" s="758" t="s">
        <v>508</v>
      </c>
      <c r="I329" s="758" t="s">
        <v>17</v>
      </c>
      <c r="J329" s="760" t="s">
        <v>52</v>
      </c>
      <c r="K329" s="761">
        <v>3</v>
      </c>
      <c r="L329" s="760">
        <v>31</v>
      </c>
      <c r="M329" s="760">
        <v>270</v>
      </c>
      <c r="N329" s="762" t="s">
        <v>10</v>
      </c>
    </row>
    <row r="330" spans="1:15" x14ac:dyDescent="0.45">
      <c r="A330" s="770">
        <f t="shared" si="2"/>
        <v>328</v>
      </c>
      <c r="B330" s="770" t="s">
        <v>3</v>
      </c>
      <c r="C330" s="770">
        <v>20</v>
      </c>
      <c r="D330" s="771" t="s">
        <v>509</v>
      </c>
      <c r="E330" s="771" t="s">
        <v>42</v>
      </c>
      <c r="F330" s="771" t="s">
        <v>2349</v>
      </c>
      <c r="G330" s="772">
        <v>43694</v>
      </c>
      <c r="H330" s="771" t="s">
        <v>430</v>
      </c>
      <c r="I330" s="771" t="s">
        <v>70</v>
      </c>
      <c r="J330" s="773" t="s">
        <v>9</v>
      </c>
      <c r="K330" s="774" t="s">
        <v>310</v>
      </c>
      <c r="L330" s="773">
        <v>23</v>
      </c>
      <c r="M330" s="773" t="s">
        <v>1012</v>
      </c>
      <c r="N330" s="775" t="s">
        <v>10</v>
      </c>
    </row>
    <row r="331" spans="1:15" x14ac:dyDescent="0.45">
      <c r="A331" s="735">
        <f t="shared" si="2"/>
        <v>329</v>
      </c>
      <c r="B331" s="735">
        <v>309</v>
      </c>
      <c r="C331" s="735" t="s">
        <v>3</v>
      </c>
      <c r="D331" s="733" t="s">
        <v>105</v>
      </c>
      <c r="E331" s="733" t="s">
        <v>510</v>
      </c>
      <c r="F331" s="733" t="s">
        <v>1040</v>
      </c>
      <c r="G331" s="736">
        <v>43696</v>
      </c>
      <c r="H331" s="733" t="s">
        <v>12</v>
      </c>
      <c r="I331" s="733" t="s">
        <v>51</v>
      </c>
      <c r="J331" s="737" t="s">
        <v>52</v>
      </c>
      <c r="K331" s="738">
        <v>2</v>
      </c>
      <c r="L331" s="737">
        <v>24</v>
      </c>
      <c r="M331" s="737">
        <v>55</v>
      </c>
      <c r="N331" s="739" t="s">
        <v>10</v>
      </c>
    </row>
    <row r="332" spans="1:15" ht="18" thickBot="1" x14ac:dyDescent="0.5">
      <c r="A332" s="782">
        <f t="shared" si="2"/>
        <v>330</v>
      </c>
      <c r="B332" s="782" t="s">
        <v>3</v>
      </c>
      <c r="C332" s="782">
        <v>21</v>
      </c>
      <c r="D332" s="783" t="s">
        <v>409</v>
      </c>
      <c r="E332" s="783" t="s">
        <v>86</v>
      </c>
      <c r="F332" s="783" t="s">
        <v>2350</v>
      </c>
      <c r="G332" s="784">
        <v>43708</v>
      </c>
      <c r="H332" s="783" t="s">
        <v>511</v>
      </c>
      <c r="I332" s="783" t="s">
        <v>70</v>
      </c>
      <c r="J332" s="785" t="s">
        <v>9</v>
      </c>
      <c r="K332" s="786" t="s">
        <v>310</v>
      </c>
      <c r="L332" s="785">
        <v>14</v>
      </c>
      <c r="M332" s="785">
        <v>336</v>
      </c>
      <c r="N332" s="787" t="s">
        <v>10</v>
      </c>
    </row>
    <row r="333" spans="1:15" x14ac:dyDescent="0.45">
      <c r="A333" s="770">
        <f t="shared" si="2"/>
        <v>331</v>
      </c>
      <c r="B333" s="770">
        <v>310</v>
      </c>
      <c r="C333" s="770" t="s">
        <v>3</v>
      </c>
      <c r="D333" s="771" t="s">
        <v>132</v>
      </c>
      <c r="E333" s="771" t="s">
        <v>406</v>
      </c>
      <c r="F333" s="771" t="s">
        <v>1283</v>
      </c>
      <c r="G333" s="772">
        <v>43720</v>
      </c>
      <c r="H333" s="771" t="s">
        <v>319</v>
      </c>
      <c r="I333" s="771" t="s">
        <v>70</v>
      </c>
      <c r="J333" s="773" t="s">
        <v>71</v>
      </c>
      <c r="K333" s="774">
        <v>9</v>
      </c>
      <c r="L333" s="773">
        <v>112</v>
      </c>
      <c r="M333" s="773">
        <v>135</v>
      </c>
      <c r="N333" s="775" t="s">
        <v>10</v>
      </c>
    </row>
    <row r="334" spans="1:15" x14ac:dyDescent="0.45">
      <c r="A334" s="735">
        <f t="shared" si="2"/>
        <v>332</v>
      </c>
      <c r="B334" s="735">
        <v>311</v>
      </c>
      <c r="C334" s="735" t="s">
        <v>3</v>
      </c>
      <c r="D334" s="733" t="s">
        <v>357</v>
      </c>
      <c r="E334" s="733" t="s">
        <v>63</v>
      </c>
      <c r="F334" s="733" t="s">
        <v>1494</v>
      </c>
      <c r="G334" s="736">
        <v>43727</v>
      </c>
      <c r="H334" s="733" t="s">
        <v>512</v>
      </c>
      <c r="I334" s="733" t="s">
        <v>70</v>
      </c>
      <c r="J334" s="737" t="s">
        <v>9</v>
      </c>
      <c r="K334" s="738" t="s">
        <v>310</v>
      </c>
      <c r="L334" s="737">
        <v>19</v>
      </c>
      <c r="M334" s="737">
        <v>241</v>
      </c>
      <c r="N334" s="739" t="s">
        <v>10</v>
      </c>
    </row>
    <row r="335" spans="1:15" x14ac:dyDescent="0.45">
      <c r="A335" s="800">
        <f t="shared" si="2"/>
        <v>333</v>
      </c>
      <c r="B335" s="800">
        <v>312</v>
      </c>
      <c r="C335" s="800" t="s">
        <v>3</v>
      </c>
      <c r="D335" s="801" t="s">
        <v>105</v>
      </c>
      <c r="E335" s="801" t="s">
        <v>513</v>
      </c>
      <c r="F335" s="802" t="s">
        <v>1546</v>
      </c>
      <c r="G335" s="803">
        <v>43731</v>
      </c>
      <c r="H335" s="802" t="s">
        <v>514</v>
      </c>
      <c r="I335" s="802" t="s">
        <v>351</v>
      </c>
      <c r="J335" s="804" t="s">
        <v>52</v>
      </c>
      <c r="K335" s="805">
        <v>2</v>
      </c>
      <c r="L335" s="804">
        <v>35</v>
      </c>
      <c r="M335" s="804">
        <v>35</v>
      </c>
      <c r="N335" s="806" t="s">
        <v>10</v>
      </c>
      <c r="O335" s="718" t="s">
        <v>1770</v>
      </c>
    </row>
    <row r="336" spans="1:15" ht="18" thickBot="1" x14ac:dyDescent="0.5">
      <c r="A336" s="782">
        <f t="shared" si="2"/>
        <v>334</v>
      </c>
      <c r="B336" s="782">
        <v>313</v>
      </c>
      <c r="C336" s="782" t="s">
        <v>3</v>
      </c>
      <c r="D336" s="783" t="s">
        <v>83</v>
      </c>
      <c r="E336" s="783" t="s">
        <v>414</v>
      </c>
      <c r="F336" s="783" t="s">
        <v>1495</v>
      </c>
      <c r="G336" s="784">
        <v>43733</v>
      </c>
      <c r="H336" s="783" t="s">
        <v>515</v>
      </c>
      <c r="I336" s="783" t="s">
        <v>70</v>
      </c>
      <c r="J336" s="785" t="s">
        <v>9</v>
      </c>
      <c r="K336" s="786">
        <v>94</v>
      </c>
      <c r="L336" s="785">
        <v>6</v>
      </c>
      <c r="M336" s="785">
        <v>270</v>
      </c>
      <c r="N336" s="787" t="s">
        <v>10</v>
      </c>
    </row>
    <row r="337" spans="1:15" x14ac:dyDescent="0.45">
      <c r="A337" s="770">
        <f t="shared" si="2"/>
        <v>335</v>
      </c>
      <c r="B337" s="770">
        <v>314</v>
      </c>
      <c r="C337" s="770" t="s">
        <v>3</v>
      </c>
      <c r="D337" s="771" t="s">
        <v>182</v>
      </c>
      <c r="E337" s="771" t="s">
        <v>360</v>
      </c>
      <c r="F337" s="771" t="s">
        <v>516</v>
      </c>
      <c r="G337" s="772">
        <v>43743</v>
      </c>
      <c r="H337" s="771" t="s">
        <v>517</v>
      </c>
      <c r="I337" s="771" t="s">
        <v>70</v>
      </c>
      <c r="J337" s="773" t="s">
        <v>71</v>
      </c>
      <c r="K337" s="774" t="s">
        <v>2030</v>
      </c>
      <c r="L337" s="773">
        <v>23</v>
      </c>
      <c r="M337" s="773">
        <v>135</v>
      </c>
      <c r="N337" s="775" t="s">
        <v>10</v>
      </c>
    </row>
    <row r="338" spans="1:15" ht="18" thickBot="1" x14ac:dyDescent="0.5">
      <c r="A338" s="757">
        <f t="shared" si="2"/>
        <v>336</v>
      </c>
      <c r="B338" s="757">
        <v>315</v>
      </c>
      <c r="C338" s="757" t="s">
        <v>3</v>
      </c>
      <c r="D338" s="758" t="s">
        <v>105</v>
      </c>
      <c r="E338" s="758" t="s">
        <v>518</v>
      </c>
      <c r="F338" s="758" t="s">
        <v>1613</v>
      </c>
      <c r="G338" s="759">
        <v>43755</v>
      </c>
      <c r="H338" s="758" t="s">
        <v>519</v>
      </c>
      <c r="I338" s="758" t="s">
        <v>51</v>
      </c>
      <c r="J338" s="760" t="s">
        <v>52</v>
      </c>
      <c r="K338" s="761" t="s">
        <v>1641</v>
      </c>
      <c r="L338" s="760">
        <v>24</v>
      </c>
      <c r="M338" s="760">
        <v>24</v>
      </c>
      <c r="N338" s="762" t="s">
        <v>10</v>
      </c>
    </row>
    <row r="339" spans="1:15" x14ac:dyDescent="0.45">
      <c r="A339" s="770">
        <f t="shared" si="2"/>
        <v>337</v>
      </c>
      <c r="B339" s="770">
        <v>316</v>
      </c>
      <c r="C339" s="770" t="s">
        <v>3</v>
      </c>
      <c r="D339" s="771" t="s">
        <v>132</v>
      </c>
      <c r="E339" s="771" t="s">
        <v>370</v>
      </c>
      <c r="F339" s="771" t="s">
        <v>520</v>
      </c>
      <c r="G339" s="772">
        <v>43772</v>
      </c>
      <c r="H339" s="771" t="s">
        <v>453</v>
      </c>
      <c r="I339" s="771" t="s">
        <v>70</v>
      </c>
      <c r="J339" s="773" t="s">
        <v>71</v>
      </c>
      <c r="K339" s="774">
        <v>9</v>
      </c>
      <c r="L339" s="773">
        <v>29</v>
      </c>
      <c r="M339" s="773">
        <v>52</v>
      </c>
      <c r="N339" s="775" t="s">
        <v>10</v>
      </c>
    </row>
    <row r="340" spans="1:15" x14ac:dyDescent="0.45">
      <c r="A340" s="735">
        <f t="shared" si="2"/>
        <v>338</v>
      </c>
      <c r="B340" s="735">
        <v>317</v>
      </c>
      <c r="C340" s="735" t="s">
        <v>3</v>
      </c>
      <c r="D340" s="733" t="s">
        <v>105</v>
      </c>
      <c r="E340" s="733" t="s">
        <v>521</v>
      </c>
      <c r="F340" s="733" t="s">
        <v>964</v>
      </c>
      <c r="G340" s="736">
        <v>43774</v>
      </c>
      <c r="H340" s="733" t="s">
        <v>522</v>
      </c>
      <c r="I340" s="733" t="s">
        <v>51</v>
      </c>
      <c r="J340" s="737" t="s">
        <v>52</v>
      </c>
      <c r="K340" s="738">
        <v>2</v>
      </c>
      <c r="L340" s="737">
        <v>19</v>
      </c>
      <c r="M340" s="737">
        <v>19</v>
      </c>
      <c r="N340" s="739" t="s">
        <v>10</v>
      </c>
    </row>
    <row r="341" spans="1:15" x14ac:dyDescent="0.45">
      <c r="A341" s="735">
        <f t="shared" si="2"/>
        <v>339</v>
      </c>
      <c r="B341" s="735" t="s">
        <v>3</v>
      </c>
      <c r="C341" s="735">
        <v>22</v>
      </c>
      <c r="D341" s="733" t="s">
        <v>409</v>
      </c>
      <c r="E341" s="733" t="s">
        <v>90</v>
      </c>
      <c r="F341" s="733" t="s">
        <v>523</v>
      </c>
      <c r="G341" s="736">
        <v>43782</v>
      </c>
      <c r="H341" s="733" t="s">
        <v>524</v>
      </c>
      <c r="I341" s="733" t="s">
        <v>70</v>
      </c>
      <c r="J341" s="737" t="s">
        <v>9</v>
      </c>
      <c r="K341" s="738" t="s">
        <v>310</v>
      </c>
      <c r="L341" s="737">
        <v>49</v>
      </c>
      <c r="M341" s="737">
        <v>74</v>
      </c>
      <c r="N341" s="739" t="s">
        <v>10</v>
      </c>
    </row>
    <row r="342" spans="1:15" x14ac:dyDescent="0.45">
      <c r="A342" s="735">
        <f t="shared" si="2"/>
        <v>340</v>
      </c>
      <c r="B342" s="735">
        <v>318</v>
      </c>
      <c r="C342" s="735" t="s">
        <v>3</v>
      </c>
      <c r="D342" s="733" t="s">
        <v>355</v>
      </c>
      <c r="E342" s="733" t="s">
        <v>5</v>
      </c>
      <c r="F342" s="733" t="s">
        <v>2732</v>
      </c>
      <c r="G342" s="736">
        <v>43782</v>
      </c>
      <c r="H342" s="733" t="s">
        <v>525</v>
      </c>
      <c r="I342" s="733" t="s">
        <v>17</v>
      </c>
      <c r="J342" s="737" t="s">
        <v>71</v>
      </c>
      <c r="K342" s="738">
        <v>16</v>
      </c>
      <c r="L342" s="737">
        <v>10</v>
      </c>
      <c r="M342" s="737">
        <v>722</v>
      </c>
      <c r="N342" s="739" t="s">
        <v>10</v>
      </c>
    </row>
    <row r="343" spans="1:15" x14ac:dyDescent="0.45">
      <c r="A343" s="735">
        <f t="shared" si="2"/>
        <v>341</v>
      </c>
      <c r="B343" s="735" t="s">
        <v>3</v>
      </c>
      <c r="C343" s="735">
        <v>23</v>
      </c>
      <c r="D343" s="733" t="s">
        <v>409</v>
      </c>
      <c r="E343" s="733" t="s">
        <v>63</v>
      </c>
      <c r="F343" s="733" t="s">
        <v>526</v>
      </c>
      <c r="G343" s="736">
        <v>43786</v>
      </c>
      <c r="H343" s="733" t="s">
        <v>527</v>
      </c>
      <c r="I343" s="733" t="s">
        <v>1237</v>
      </c>
      <c r="J343" s="737" t="s">
        <v>9</v>
      </c>
      <c r="K343" s="738" t="s">
        <v>310</v>
      </c>
      <c r="L343" s="737">
        <v>4</v>
      </c>
      <c r="M343" s="737">
        <v>4</v>
      </c>
      <c r="N343" s="739" t="s">
        <v>10</v>
      </c>
    </row>
    <row r="344" spans="1:15" x14ac:dyDescent="0.45">
      <c r="A344" s="800">
        <f t="shared" si="2"/>
        <v>342</v>
      </c>
      <c r="B344" s="800">
        <v>319</v>
      </c>
      <c r="C344" s="800" t="s">
        <v>3</v>
      </c>
      <c r="D344" s="801" t="s">
        <v>105</v>
      </c>
      <c r="E344" s="801" t="s">
        <v>528</v>
      </c>
      <c r="F344" s="802" t="s">
        <v>1547</v>
      </c>
      <c r="G344" s="803">
        <v>43792</v>
      </c>
      <c r="H344" s="802" t="s">
        <v>529</v>
      </c>
      <c r="I344" s="802" t="s">
        <v>351</v>
      </c>
      <c r="J344" s="804" t="s">
        <v>52</v>
      </c>
      <c r="K344" s="805" t="s">
        <v>1641</v>
      </c>
      <c r="L344" s="804">
        <v>18</v>
      </c>
      <c r="M344" s="804">
        <v>18</v>
      </c>
      <c r="N344" s="806" t="s">
        <v>10</v>
      </c>
      <c r="O344" s="718" t="s">
        <v>1771</v>
      </c>
    </row>
    <row r="345" spans="1:15" ht="18" thickBot="1" x14ac:dyDescent="0.5">
      <c r="A345" s="782">
        <f t="shared" si="2"/>
        <v>343</v>
      </c>
      <c r="B345" s="782">
        <v>320</v>
      </c>
      <c r="C345" s="782" t="s">
        <v>3</v>
      </c>
      <c r="D345" s="783" t="s">
        <v>182</v>
      </c>
      <c r="E345" s="783" t="s">
        <v>254</v>
      </c>
      <c r="F345" s="783" t="s">
        <v>1118</v>
      </c>
      <c r="G345" s="784">
        <v>43797</v>
      </c>
      <c r="H345" s="783" t="s">
        <v>468</v>
      </c>
      <c r="I345" s="783" t="s">
        <v>70</v>
      </c>
      <c r="J345" s="785" t="s">
        <v>71</v>
      </c>
      <c r="K345" s="786">
        <v>9</v>
      </c>
      <c r="L345" s="785">
        <v>15</v>
      </c>
      <c r="M345" s="785">
        <v>54</v>
      </c>
      <c r="N345" s="787" t="s">
        <v>10</v>
      </c>
    </row>
    <row r="346" spans="1:15" x14ac:dyDescent="0.45">
      <c r="A346" s="770">
        <f t="shared" si="2"/>
        <v>344</v>
      </c>
      <c r="B346" s="770" t="s">
        <v>3</v>
      </c>
      <c r="C346" s="770">
        <v>24</v>
      </c>
      <c r="D346" s="771" t="s">
        <v>409</v>
      </c>
      <c r="E346" s="771" t="s">
        <v>45</v>
      </c>
      <c r="F346" s="771" t="s">
        <v>530</v>
      </c>
      <c r="G346" s="772">
        <v>43806</v>
      </c>
      <c r="H346" s="771" t="s">
        <v>531</v>
      </c>
      <c r="I346" s="771" t="s">
        <v>70</v>
      </c>
      <c r="J346" s="773" t="s">
        <v>71</v>
      </c>
      <c r="K346" s="774" t="s">
        <v>310</v>
      </c>
      <c r="L346" s="773">
        <v>9</v>
      </c>
      <c r="M346" s="773">
        <v>20</v>
      </c>
      <c r="N346" s="775" t="s">
        <v>10</v>
      </c>
    </row>
    <row r="347" spans="1:15" x14ac:dyDescent="0.45">
      <c r="A347" s="735">
        <f t="shared" si="2"/>
        <v>345</v>
      </c>
      <c r="B347" s="735" t="s">
        <v>3</v>
      </c>
      <c r="C347" s="735">
        <v>25</v>
      </c>
      <c r="D347" s="733" t="s">
        <v>409</v>
      </c>
      <c r="E347" s="733" t="s">
        <v>142</v>
      </c>
      <c r="F347" s="733" t="s">
        <v>2146</v>
      </c>
      <c r="G347" s="736">
        <v>43806</v>
      </c>
      <c r="H347" s="733" t="s">
        <v>532</v>
      </c>
      <c r="I347" s="733" t="s">
        <v>70</v>
      </c>
      <c r="J347" s="737" t="s">
        <v>71</v>
      </c>
      <c r="K347" s="738" t="s">
        <v>310</v>
      </c>
      <c r="L347" s="737">
        <v>0</v>
      </c>
      <c r="M347" s="737">
        <v>0</v>
      </c>
      <c r="N347" s="739" t="s">
        <v>10</v>
      </c>
    </row>
    <row r="348" spans="1:15" x14ac:dyDescent="0.45">
      <c r="A348" s="800">
        <f t="shared" si="2"/>
        <v>346</v>
      </c>
      <c r="B348" s="800">
        <v>321</v>
      </c>
      <c r="C348" s="800" t="s">
        <v>3</v>
      </c>
      <c r="D348" s="801" t="s">
        <v>105</v>
      </c>
      <c r="E348" s="801" t="s">
        <v>533</v>
      </c>
      <c r="F348" s="802" t="s">
        <v>1548</v>
      </c>
      <c r="G348" s="803">
        <v>43815</v>
      </c>
      <c r="H348" s="802" t="s">
        <v>534</v>
      </c>
      <c r="I348" s="802" t="s">
        <v>351</v>
      </c>
      <c r="J348" s="820" t="s">
        <v>52</v>
      </c>
      <c r="K348" s="805" t="s">
        <v>1641</v>
      </c>
      <c r="L348" s="820">
        <v>23</v>
      </c>
      <c r="M348" s="820">
        <v>23</v>
      </c>
      <c r="N348" s="806" t="s">
        <v>10</v>
      </c>
      <c r="O348" s="718" t="s">
        <v>1772</v>
      </c>
    </row>
    <row r="349" spans="1:15" x14ac:dyDescent="0.45">
      <c r="A349" s="735">
        <f t="shared" si="2"/>
        <v>347</v>
      </c>
      <c r="B349" s="735">
        <v>322</v>
      </c>
      <c r="C349" s="735" t="s">
        <v>3</v>
      </c>
      <c r="D349" s="733" t="s">
        <v>132</v>
      </c>
      <c r="E349" s="733" t="s">
        <v>461</v>
      </c>
      <c r="F349" s="733" t="s">
        <v>2351</v>
      </c>
      <c r="G349" s="736">
        <v>43819</v>
      </c>
      <c r="H349" s="733" t="s">
        <v>453</v>
      </c>
      <c r="I349" s="733" t="s">
        <v>70</v>
      </c>
      <c r="J349" s="737" t="s">
        <v>71</v>
      </c>
      <c r="K349" s="738">
        <v>7</v>
      </c>
      <c r="L349" s="737">
        <v>13</v>
      </c>
      <c r="M349" s="737">
        <v>47</v>
      </c>
      <c r="N349" s="739" t="s">
        <v>10</v>
      </c>
    </row>
    <row r="350" spans="1:15" ht="18" thickBot="1" x14ac:dyDescent="0.5">
      <c r="A350" s="740">
        <f t="shared" si="2"/>
        <v>348</v>
      </c>
      <c r="B350" s="740">
        <v>323</v>
      </c>
      <c r="C350" s="740" t="s">
        <v>3</v>
      </c>
      <c r="D350" s="741" t="s">
        <v>399</v>
      </c>
      <c r="E350" s="741" t="s">
        <v>21</v>
      </c>
      <c r="F350" s="741" t="s">
        <v>1346</v>
      </c>
      <c r="G350" s="742">
        <v>43826</v>
      </c>
      <c r="H350" s="741" t="s">
        <v>1342</v>
      </c>
      <c r="I350" s="741" t="s">
        <v>51</v>
      </c>
      <c r="J350" s="743" t="s">
        <v>388</v>
      </c>
      <c r="K350" s="744">
        <v>101</v>
      </c>
      <c r="L350" s="743">
        <v>908</v>
      </c>
      <c r="M350" s="743">
        <v>908</v>
      </c>
      <c r="N350" s="745" t="s">
        <v>10</v>
      </c>
    </row>
    <row r="351" spans="1:15" ht="18" thickTop="1" x14ac:dyDescent="0.45">
      <c r="A351" s="726">
        <f t="shared" si="2"/>
        <v>349</v>
      </c>
      <c r="B351" s="726">
        <v>324</v>
      </c>
      <c r="C351" s="726" t="s">
        <v>3</v>
      </c>
      <c r="D351" s="727" t="s">
        <v>105</v>
      </c>
      <c r="E351" s="727" t="s">
        <v>535</v>
      </c>
      <c r="F351" s="727" t="s">
        <v>1614</v>
      </c>
      <c r="G351" s="728">
        <v>43837</v>
      </c>
      <c r="H351" s="727" t="s">
        <v>536</v>
      </c>
      <c r="I351" s="727" t="s">
        <v>51</v>
      </c>
      <c r="J351" s="729" t="s">
        <v>52</v>
      </c>
      <c r="K351" s="730">
        <v>2</v>
      </c>
      <c r="L351" s="729">
        <v>22</v>
      </c>
      <c r="M351" s="729">
        <v>22</v>
      </c>
      <c r="N351" s="734" t="s">
        <v>10</v>
      </c>
    </row>
    <row r="352" spans="1:15" x14ac:dyDescent="0.45">
      <c r="A352" s="735">
        <f t="shared" si="2"/>
        <v>350</v>
      </c>
      <c r="B352" s="735">
        <v>325</v>
      </c>
      <c r="C352" s="735" t="s">
        <v>3</v>
      </c>
      <c r="D352" s="733" t="s">
        <v>83</v>
      </c>
      <c r="E352" s="733" t="s">
        <v>510</v>
      </c>
      <c r="F352" s="733" t="s">
        <v>2352</v>
      </c>
      <c r="G352" s="736">
        <v>43845</v>
      </c>
      <c r="H352" s="733" t="s">
        <v>537</v>
      </c>
      <c r="I352" s="733" t="s">
        <v>70</v>
      </c>
      <c r="J352" s="737" t="s">
        <v>71</v>
      </c>
      <c r="K352" s="738">
        <v>9</v>
      </c>
      <c r="L352" s="737">
        <v>26</v>
      </c>
      <c r="M352" s="737">
        <v>112</v>
      </c>
      <c r="N352" s="739" t="s">
        <v>10</v>
      </c>
      <c r="O352" s="711"/>
    </row>
    <row r="353" spans="1:15" ht="18" thickBot="1" x14ac:dyDescent="0.5">
      <c r="A353" s="782">
        <f t="shared" si="2"/>
        <v>351</v>
      </c>
      <c r="B353" s="782" t="s">
        <v>3</v>
      </c>
      <c r="C353" s="782">
        <v>26</v>
      </c>
      <c r="D353" s="783" t="s">
        <v>409</v>
      </c>
      <c r="E353" s="783" t="s">
        <v>78</v>
      </c>
      <c r="F353" s="783" t="s">
        <v>538</v>
      </c>
      <c r="G353" s="784">
        <v>43846</v>
      </c>
      <c r="H353" s="783" t="s">
        <v>539</v>
      </c>
      <c r="I353" s="783" t="s">
        <v>17</v>
      </c>
      <c r="J353" s="785" t="s">
        <v>9</v>
      </c>
      <c r="K353" s="786" t="s">
        <v>310</v>
      </c>
      <c r="L353" s="785">
        <v>60</v>
      </c>
      <c r="M353" s="785">
        <v>40</v>
      </c>
      <c r="N353" s="787" t="s">
        <v>10</v>
      </c>
      <c r="O353" s="711"/>
    </row>
    <row r="354" spans="1:15" ht="18" thickBot="1" x14ac:dyDescent="0.5">
      <c r="A354" s="757">
        <f t="shared" si="2"/>
        <v>352</v>
      </c>
      <c r="B354" s="757">
        <v>326</v>
      </c>
      <c r="C354" s="757" t="s">
        <v>3</v>
      </c>
      <c r="D354" s="758" t="s">
        <v>83</v>
      </c>
      <c r="E354" s="758" t="s">
        <v>521</v>
      </c>
      <c r="F354" s="758" t="s">
        <v>1549</v>
      </c>
      <c r="G354" s="759">
        <v>43881</v>
      </c>
      <c r="H354" s="758" t="s">
        <v>540</v>
      </c>
      <c r="I354" s="758" t="s">
        <v>1237</v>
      </c>
      <c r="J354" s="760" t="s">
        <v>52</v>
      </c>
      <c r="K354" s="761">
        <v>3</v>
      </c>
      <c r="L354" s="760">
        <v>44</v>
      </c>
      <c r="M354" s="760">
        <v>36</v>
      </c>
      <c r="N354" s="762" t="s">
        <v>10</v>
      </c>
      <c r="O354" s="711"/>
    </row>
    <row r="355" spans="1:15" x14ac:dyDescent="0.45">
      <c r="A355" s="770">
        <f t="shared" si="2"/>
        <v>353</v>
      </c>
      <c r="B355" s="770">
        <v>327</v>
      </c>
      <c r="C355" s="770" t="s">
        <v>3</v>
      </c>
      <c r="D355" s="771" t="s">
        <v>105</v>
      </c>
      <c r="E355" s="771" t="s">
        <v>541</v>
      </c>
      <c r="F355" s="771" t="s">
        <v>966</v>
      </c>
      <c r="G355" s="772">
        <v>43899</v>
      </c>
      <c r="H355" s="771" t="s">
        <v>542</v>
      </c>
      <c r="I355" s="771" t="s">
        <v>1188</v>
      </c>
      <c r="J355" s="773" t="s">
        <v>52</v>
      </c>
      <c r="K355" s="774">
        <v>2</v>
      </c>
      <c r="L355" s="773">
        <v>18</v>
      </c>
      <c r="M355" s="773">
        <v>62</v>
      </c>
      <c r="N355" s="775" t="s">
        <v>10</v>
      </c>
      <c r="O355" s="711"/>
    </row>
    <row r="356" spans="1:15" x14ac:dyDescent="0.45">
      <c r="A356" s="735">
        <f t="shared" si="2"/>
        <v>354</v>
      </c>
      <c r="B356" s="735">
        <v>328</v>
      </c>
      <c r="C356" s="735" t="s">
        <v>3</v>
      </c>
      <c r="D356" s="733" t="s">
        <v>543</v>
      </c>
      <c r="E356" s="733" t="s">
        <v>42</v>
      </c>
      <c r="F356" s="733" t="s">
        <v>2034</v>
      </c>
      <c r="G356" s="736">
        <v>43906</v>
      </c>
      <c r="H356" s="733" t="s">
        <v>544</v>
      </c>
      <c r="I356" s="733" t="s">
        <v>51</v>
      </c>
      <c r="J356" s="737" t="s">
        <v>388</v>
      </c>
      <c r="K356" s="738" t="s">
        <v>310</v>
      </c>
      <c r="L356" s="737">
        <v>80</v>
      </c>
      <c r="M356" s="737" t="s">
        <v>1012</v>
      </c>
      <c r="N356" s="746" t="s">
        <v>18</v>
      </c>
      <c r="O356" s="711"/>
    </row>
    <row r="357" spans="1:15" ht="18" thickBot="1" x14ac:dyDescent="0.5">
      <c r="A357" s="782">
        <f t="shared" si="2"/>
        <v>355</v>
      </c>
      <c r="B357" s="782">
        <v>329</v>
      </c>
      <c r="C357" s="782" t="s">
        <v>3</v>
      </c>
      <c r="D357" s="783" t="s">
        <v>41</v>
      </c>
      <c r="E357" s="783" t="s">
        <v>403</v>
      </c>
      <c r="F357" s="783" t="s">
        <v>2410</v>
      </c>
      <c r="G357" s="784">
        <v>43914</v>
      </c>
      <c r="H357" s="783" t="s">
        <v>545</v>
      </c>
      <c r="I357" s="783" t="s">
        <v>17</v>
      </c>
      <c r="J357" s="785" t="s">
        <v>52</v>
      </c>
      <c r="K357" s="786">
        <v>3</v>
      </c>
      <c r="L357" s="785">
        <v>15</v>
      </c>
      <c r="M357" s="785">
        <v>242</v>
      </c>
      <c r="N357" s="787" t="s">
        <v>10</v>
      </c>
      <c r="O357" s="711"/>
    </row>
    <row r="358" spans="1:15" ht="18" thickBot="1" x14ac:dyDescent="0.5">
      <c r="A358" s="757">
        <f t="shared" si="2"/>
        <v>356</v>
      </c>
      <c r="B358" s="757">
        <v>330</v>
      </c>
      <c r="C358" s="757" t="s">
        <v>3</v>
      </c>
      <c r="D358" s="758" t="s">
        <v>105</v>
      </c>
      <c r="E358" s="758" t="s">
        <v>546</v>
      </c>
      <c r="F358" s="758" t="s">
        <v>2411</v>
      </c>
      <c r="G358" s="759">
        <v>43930</v>
      </c>
      <c r="H358" s="758" t="s">
        <v>547</v>
      </c>
      <c r="I358" s="758" t="s">
        <v>51</v>
      </c>
      <c r="J358" s="760" t="s">
        <v>52</v>
      </c>
      <c r="K358" s="761">
        <v>2</v>
      </c>
      <c r="L358" s="760">
        <v>16</v>
      </c>
      <c r="M358" s="760">
        <v>31</v>
      </c>
      <c r="N358" s="817" t="s">
        <v>18</v>
      </c>
      <c r="O358" s="711"/>
    </row>
    <row r="359" spans="1:15" x14ac:dyDescent="0.45">
      <c r="A359" s="770">
        <f t="shared" si="2"/>
        <v>357</v>
      </c>
      <c r="B359" s="770">
        <v>331</v>
      </c>
      <c r="C359" s="770" t="s">
        <v>3</v>
      </c>
      <c r="D359" s="771" t="s">
        <v>548</v>
      </c>
      <c r="E359" s="771" t="s">
        <v>42</v>
      </c>
      <c r="F359" s="771" t="s">
        <v>549</v>
      </c>
      <c r="G359" s="772">
        <v>43956</v>
      </c>
      <c r="H359" s="771" t="s">
        <v>550</v>
      </c>
      <c r="I359" s="771" t="s">
        <v>17</v>
      </c>
      <c r="J359" s="773" t="s">
        <v>388</v>
      </c>
      <c r="K359" s="774" t="s">
        <v>310</v>
      </c>
      <c r="L359" s="773">
        <v>50</v>
      </c>
      <c r="M359" s="773" t="s">
        <v>1012</v>
      </c>
      <c r="N359" s="775" t="s">
        <v>10</v>
      </c>
      <c r="O359" s="711"/>
    </row>
    <row r="360" spans="1:15" x14ac:dyDescent="0.45">
      <c r="A360" s="735">
        <f t="shared" si="2"/>
        <v>358</v>
      </c>
      <c r="B360" s="735" t="s">
        <v>3</v>
      </c>
      <c r="C360" s="735">
        <v>27</v>
      </c>
      <c r="D360" s="733" t="s">
        <v>409</v>
      </c>
      <c r="E360" s="733" t="s">
        <v>33</v>
      </c>
      <c r="F360" s="733" t="s">
        <v>2353</v>
      </c>
      <c r="G360" s="736">
        <v>43963</v>
      </c>
      <c r="H360" s="733" t="s">
        <v>551</v>
      </c>
      <c r="I360" s="733" t="s">
        <v>70</v>
      </c>
      <c r="J360" s="737" t="s">
        <v>9</v>
      </c>
      <c r="K360" s="738" t="s">
        <v>310</v>
      </c>
      <c r="L360" s="737">
        <v>117</v>
      </c>
      <c r="M360" s="737">
        <v>117</v>
      </c>
      <c r="N360" s="739" t="s">
        <v>10</v>
      </c>
      <c r="O360" s="711"/>
    </row>
    <row r="361" spans="1:15" x14ac:dyDescent="0.45">
      <c r="A361" s="735">
        <f t="shared" si="2"/>
        <v>359</v>
      </c>
      <c r="B361" s="735">
        <v>332</v>
      </c>
      <c r="C361" s="735" t="s">
        <v>3</v>
      </c>
      <c r="D361" s="733" t="s">
        <v>357</v>
      </c>
      <c r="E361" s="733" t="s">
        <v>67</v>
      </c>
      <c r="F361" s="733" t="s">
        <v>1550</v>
      </c>
      <c r="G361" s="736">
        <v>43981</v>
      </c>
      <c r="H361" s="733" t="s">
        <v>552</v>
      </c>
      <c r="I361" s="733" t="s">
        <v>17</v>
      </c>
      <c r="J361" s="737" t="s">
        <v>52</v>
      </c>
      <c r="K361" s="738" t="s">
        <v>310</v>
      </c>
      <c r="L361" s="737">
        <v>51</v>
      </c>
      <c r="M361" s="737">
        <v>254</v>
      </c>
      <c r="N361" s="739" t="s">
        <v>10</v>
      </c>
      <c r="O361" s="711"/>
    </row>
    <row r="362" spans="1:15" ht="18" thickBot="1" x14ac:dyDescent="0.5">
      <c r="A362" s="782">
        <f t="shared" si="2"/>
        <v>360</v>
      </c>
      <c r="B362" s="782">
        <v>333</v>
      </c>
      <c r="C362" s="782" t="s">
        <v>3</v>
      </c>
      <c r="D362" s="783" t="s">
        <v>83</v>
      </c>
      <c r="E362" s="783" t="s">
        <v>470</v>
      </c>
      <c r="F362" s="783" t="s">
        <v>1109</v>
      </c>
      <c r="G362" s="784">
        <v>43982</v>
      </c>
      <c r="H362" s="783" t="s">
        <v>553</v>
      </c>
      <c r="I362" s="783" t="s">
        <v>70</v>
      </c>
      <c r="J362" s="785" t="s">
        <v>9</v>
      </c>
      <c r="K362" s="786">
        <v>94</v>
      </c>
      <c r="L362" s="785">
        <v>19</v>
      </c>
      <c r="M362" s="785">
        <v>101</v>
      </c>
      <c r="N362" s="787" t="s">
        <v>10</v>
      </c>
      <c r="O362" s="711"/>
    </row>
    <row r="363" spans="1:15" x14ac:dyDescent="0.45">
      <c r="A363" s="770">
        <f t="shared" si="2"/>
        <v>361</v>
      </c>
      <c r="B363" s="770">
        <v>334</v>
      </c>
      <c r="C363" s="770" t="s">
        <v>3</v>
      </c>
      <c r="D363" s="771" t="s">
        <v>41</v>
      </c>
      <c r="E363" s="771" t="s">
        <v>431</v>
      </c>
      <c r="F363" s="771" t="s">
        <v>1123</v>
      </c>
      <c r="G363" s="772">
        <v>43993</v>
      </c>
      <c r="H363" s="771" t="s">
        <v>554</v>
      </c>
      <c r="I363" s="771" t="s">
        <v>70</v>
      </c>
      <c r="J363" s="773" t="s">
        <v>71</v>
      </c>
      <c r="K363" s="774">
        <v>9</v>
      </c>
      <c r="L363" s="773">
        <v>148</v>
      </c>
      <c r="M363" s="773">
        <v>79</v>
      </c>
      <c r="N363" s="775" t="s">
        <v>10</v>
      </c>
      <c r="O363" s="711"/>
    </row>
    <row r="364" spans="1:15" x14ac:dyDescent="0.45">
      <c r="A364" s="735">
        <f t="shared" si="2"/>
        <v>362</v>
      </c>
      <c r="B364" s="735">
        <v>335</v>
      </c>
      <c r="C364" s="735" t="s">
        <v>3</v>
      </c>
      <c r="D364" s="733" t="s">
        <v>83</v>
      </c>
      <c r="E364" s="733" t="s">
        <v>472</v>
      </c>
      <c r="F364" s="733" t="s">
        <v>1110</v>
      </c>
      <c r="G364" s="736">
        <v>43999</v>
      </c>
      <c r="H364" s="733" t="s">
        <v>44</v>
      </c>
      <c r="I364" s="733" t="s">
        <v>70</v>
      </c>
      <c r="J364" s="737" t="s">
        <v>9</v>
      </c>
      <c r="K364" s="738">
        <v>94</v>
      </c>
      <c r="L364" s="737">
        <v>17</v>
      </c>
      <c r="M364" s="737">
        <v>17</v>
      </c>
      <c r="N364" s="739" t="s">
        <v>10</v>
      </c>
      <c r="O364" s="711"/>
    </row>
    <row r="365" spans="1:15" ht="18" thickBot="1" x14ac:dyDescent="0.5">
      <c r="A365" s="782">
        <f t="shared" ref="A365:A428" si="3">A364+1</f>
        <v>363</v>
      </c>
      <c r="B365" s="782">
        <v>336</v>
      </c>
      <c r="C365" s="782" t="s">
        <v>3</v>
      </c>
      <c r="D365" s="783" t="s">
        <v>105</v>
      </c>
      <c r="E365" s="783" t="s">
        <v>555</v>
      </c>
      <c r="F365" s="783" t="s">
        <v>967</v>
      </c>
      <c r="G365" s="784">
        <v>44005</v>
      </c>
      <c r="H365" s="783" t="s">
        <v>556</v>
      </c>
      <c r="I365" s="783" t="s">
        <v>1188</v>
      </c>
      <c r="J365" s="785" t="s">
        <v>52</v>
      </c>
      <c r="K365" s="786">
        <v>2</v>
      </c>
      <c r="L365" s="785">
        <v>24</v>
      </c>
      <c r="M365" s="785">
        <v>75</v>
      </c>
      <c r="N365" s="787" t="s">
        <v>10</v>
      </c>
      <c r="O365" s="711"/>
    </row>
    <row r="366" spans="1:15" x14ac:dyDescent="0.45">
      <c r="A366" s="770">
        <f t="shared" si="3"/>
        <v>364</v>
      </c>
      <c r="B366" s="770">
        <v>337</v>
      </c>
      <c r="C366" s="770" t="s">
        <v>3</v>
      </c>
      <c r="D366" s="771" t="s">
        <v>132</v>
      </c>
      <c r="E366" s="771" t="s">
        <v>414</v>
      </c>
      <c r="F366" s="771" t="s">
        <v>557</v>
      </c>
      <c r="G366" s="772">
        <v>44015</v>
      </c>
      <c r="H366" s="771" t="s">
        <v>173</v>
      </c>
      <c r="I366" s="771" t="s">
        <v>70</v>
      </c>
      <c r="J366" s="773" t="s">
        <v>71</v>
      </c>
      <c r="K366" s="774">
        <v>9</v>
      </c>
      <c r="L366" s="773">
        <v>22</v>
      </c>
      <c r="M366" s="773">
        <v>196</v>
      </c>
      <c r="N366" s="775" t="s">
        <v>10</v>
      </c>
      <c r="O366" s="711"/>
    </row>
    <row r="367" spans="1:15" x14ac:dyDescent="0.45">
      <c r="A367" s="735">
        <f t="shared" si="3"/>
        <v>365</v>
      </c>
      <c r="B367" s="735">
        <v>338</v>
      </c>
      <c r="C367" s="735" t="s">
        <v>3</v>
      </c>
      <c r="D367" s="733" t="s">
        <v>83</v>
      </c>
      <c r="E367" s="733" t="s">
        <v>345</v>
      </c>
      <c r="F367" s="733" t="s">
        <v>558</v>
      </c>
      <c r="G367" s="736">
        <v>44017</v>
      </c>
      <c r="H367" s="733" t="s">
        <v>559</v>
      </c>
      <c r="I367" s="733" t="s">
        <v>70</v>
      </c>
      <c r="J367" s="737" t="s">
        <v>9</v>
      </c>
      <c r="K367" s="738">
        <v>94</v>
      </c>
      <c r="L367" s="737">
        <v>18</v>
      </c>
      <c r="M367" s="737">
        <v>18</v>
      </c>
      <c r="N367" s="739" t="s">
        <v>10</v>
      </c>
      <c r="O367" s="711"/>
    </row>
    <row r="368" spans="1:15" x14ac:dyDescent="0.45">
      <c r="A368" s="735">
        <f t="shared" si="3"/>
        <v>366</v>
      </c>
      <c r="B368" s="735">
        <v>339</v>
      </c>
      <c r="C368" s="735" t="s">
        <v>3</v>
      </c>
      <c r="D368" s="733" t="s">
        <v>105</v>
      </c>
      <c r="E368" s="733" t="s">
        <v>560</v>
      </c>
      <c r="F368" s="733" t="s">
        <v>1275</v>
      </c>
      <c r="G368" s="736">
        <v>44021</v>
      </c>
      <c r="H368" s="733" t="s">
        <v>561</v>
      </c>
      <c r="I368" s="733" t="s">
        <v>1188</v>
      </c>
      <c r="J368" s="737" t="s">
        <v>52</v>
      </c>
      <c r="K368" s="738" t="s">
        <v>1641</v>
      </c>
      <c r="L368" s="737">
        <v>16</v>
      </c>
      <c r="M368" s="737">
        <v>16</v>
      </c>
      <c r="N368" s="739" t="s">
        <v>10</v>
      </c>
      <c r="O368" s="711"/>
    </row>
    <row r="369" spans="1:15" x14ac:dyDescent="0.45">
      <c r="A369" s="735">
        <f t="shared" si="3"/>
        <v>367</v>
      </c>
      <c r="B369" s="735" t="s">
        <v>3</v>
      </c>
      <c r="C369" s="735">
        <v>28</v>
      </c>
      <c r="D369" s="733" t="s">
        <v>562</v>
      </c>
      <c r="E369" s="733" t="s">
        <v>42</v>
      </c>
      <c r="F369" s="733" t="s">
        <v>2354</v>
      </c>
      <c r="G369" s="736">
        <v>44022</v>
      </c>
      <c r="H369" s="733" t="s">
        <v>563</v>
      </c>
      <c r="I369" s="733" t="s">
        <v>70</v>
      </c>
      <c r="J369" s="737" t="s">
        <v>9</v>
      </c>
      <c r="K369" s="738" t="s">
        <v>310</v>
      </c>
      <c r="L369" s="737">
        <v>5</v>
      </c>
      <c r="M369" s="737" t="s">
        <v>1012</v>
      </c>
      <c r="N369" s="746" t="s">
        <v>18</v>
      </c>
      <c r="O369" s="711"/>
    </row>
    <row r="370" spans="1:15" x14ac:dyDescent="0.45">
      <c r="A370" s="735">
        <f t="shared" si="3"/>
        <v>368</v>
      </c>
      <c r="B370" s="735">
        <v>340</v>
      </c>
      <c r="C370" s="735" t="s">
        <v>3</v>
      </c>
      <c r="D370" s="733" t="s">
        <v>399</v>
      </c>
      <c r="E370" s="733" t="s">
        <v>5</v>
      </c>
      <c r="F370" s="733" t="s">
        <v>564</v>
      </c>
      <c r="G370" s="736">
        <v>44035</v>
      </c>
      <c r="H370" s="733" t="s">
        <v>565</v>
      </c>
      <c r="I370" s="733" t="s">
        <v>566</v>
      </c>
      <c r="J370" s="737" t="s">
        <v>388</v>
      </c>
      <c r="K370" s="738">
        <v>101</v>
      </c>
      <c r="L370" s="737">
        <v>79</v>
      </c>
      <c r="M370" s="737">
        <v>209</v>
      </c>
      <c r="N370" s="739" t="s">
        <v>10</v>
      </c>
      <c r="O370" s="711"/>
    </row>
    <row r="371" spans="1:15" ht="18" thickBot="1" x14ac:dyDescent="0.5">
      <c r="A371" s="782">
        <f t="shared" si="3"/>
        <v>369</v>
      </c>
      <c r="B371" s="782">
        <v>341</v>
      </c>
      <c r="C371" s="782" t="s">
        <v>3</v>
      </c>
      <c r="D371" s="783" t="s">
        <v>132</v>
      </c>
      <c r="E371" s="783" t="s">
        <v>439</v>
      </c>
      <c r="F371" s="783" t="s">
        <v>2355</v>
      </c>
      <c r="G371" s="784">
        <v>44037</v>
      </c>
      <c r="H371" s="783" t="s">
        <v>567</v>
      </c>
      <c r="I371" s="783" t="s">
        <v>70</v>
      </c>
      <c r="J371" s="785" t="s">
        <v>71</v>
      </c>
      <c r="K371" s="786">
        <v>9</v>
      </c>
      <c r="L371" s="785">
        <v>22</v>
      </c>
      <c r="M371" s="785">
        <v>22</v>
      </c>
      <c r="N371" s="787" t="s">
        <v>10</v>
      </c>
      <c r="O371" s="711"/>
    </row>
    <row r="372" spans="1:15" x14ac:dyDescent="0.45">
      <c r="A372" s="770">
        <f t="shared" si="3"/>
        <v>370</v>
      </c>
      <c r="B372" s="770">
        <v>342</v>
      </c>
      <c r="C372" s="770" t="s">
        <v>3</v>
      </c>
      <c r="D372" s="771" t="s">
        <v>83</v>
      </c>
      <c r="E372" s="771" t="s">
        <v>487</v>
      </c>
      <c r="F372" s="771" t="s">
        <v>1111</v>
      </c>
      <c r="G372" s="772">
        <v>44049</v>
      </c>
      <c r="H372" s="771" t="s">
        <v>568</v>
      </c>
      <c r="I372" s="771" t="s">
        <v>70</v>
      </c>
      <c r="J372" s="773" t="s">
        <v>9</v>
      </c>
      <c r="K372" s="774">
        <v>94</v>
      </c>
      <c r="L372" s="773">
        <v>27</v>
      </c>
      <c r="M372" s="773">
        <v>32</v>
      </c>
      <c r="N372" s="775" t="s">
        <v>10</v>
      </c>
      <c r="O372" s="711"/>
    </row>
    <row r="373" spans="1:15" ht="18" thickBot="1" x14ac:dyDescent="0.5">
      <c r="A373" s="757">
        <f t="shared" si="3"/>
        <v>371</v>
      </c>
      <c r="B373" s="757">
        <v>343</v>
      </c>
      <c r="C373" s="757" t="s">
        <v>3</v>
      </c>
      <c r="D373" s="758" t="s">
        <v>83</v>
      </c>
      <c r="E373" s="758" t="s">
        <v>518</v>
      </c>
      <c r="F373" s="758" t="s">
        <v>1112</v>
      </c>
      <c r="G373" s="759">
        <v>44066</v>
      </c>
      <c r="H373" s="758" t="s">
        <v>569</v>
      </c>
      <c r="I373" s="758" t="s">
        <v>70</v>
      </c>
      <c r="J373" s="760" t="s">
        <v>9</v>
      </c>
      <c r="K373" s="761">
        <v>94</v>
      </c>
      <c r="L373" s="760">
        <v>17</v>
      </c>
      <c r="M373" s="760">
        <v>17</v>
      </c>
      <c r="N373" s="762" t="s">
        <v>10</v>
      </c>
      <c r="O373" s="711"/>
    </row>
    <row r="374" spans="1:15" x14ac:dyDescent="0.45">
      <c r="A374" s="770">
        <f t="shared" si="3"/>
        <v>372</v>
      </c>
      <c r="B374" s="770">
        <v>344</v>
      </c>
      <c r="C374" s="770" t="s">
        <v>3</v>
      </c>
      <c r="D374" s="771" t="s">
        <v>138</v>
      </c>
      <c r="E374" s="771" t="s">
        <v>1335</v>
      </c>
      <c r="F374" s="771" t="s">
        <v>1429</v>
      </c>
      <c r="G374" s="772">
        <v>44078</v>
      </c>
      <c r="H374" s="821" t="s">
        <v>3059</v>
      </c>
      <c r="I374" s="771" t="s">
        <v>17</v>
      </c>
      <c r="J374" s="773" t="s">
        <v>9</v>
      </c>
      <c r="K374" s="774" t="s">
        <v>1819</v>
      </c>
      <c r="L374" s="773">
        <v>12</v>
      </c>
      <c r="M374" s="773">
        <v>1418</v>
      </c>
      <c r="N374" s="775" t="s">
        <v>10</v>
      </c>
      <c r="O374" s="711"/>
    </row>
    <row r="375" spans="1:15" x14ac:dyDescent="0.45">
      <c r="A375" s="735">
        <f t="shared" si="3"/>
        <v>373</v>
      </c>
      <c r="B375" s="735">
        <v>345</v>
      </c>
      <c r="C375" s="735" t="s">
        <v>3</v>
      </c>
      <c r="D375" s="733" t="s">
        <v>132</v>
      </c>
      <c r="E375" s="733" t="s">
        <v>570</v>
      </c>
      <c r="F375" s="733" t="s">
        <v>1113</v>
      </c>
      <c r="G375" s="736">
        <v>44081</v>
      </c>
      <c r="H375" s="733" t="s">
        <v>571</v>
      </c>
      <c r="I375" s="733" t="s">
        <v>70</v>
      </c>
      <c r="J375" s="737" t="s">
        <v>71</v>
      </c>
      <c r="K375" s="738">
        <v>9</v>
      </c>
      <c r="L375" s="737">
        <v>44</v>
      </c>
      <c r="M375" s="737">
        <v>44</v>
      </c>
      <c r="N375" s="739" t="s">
        <v>10</v>
      </c>
      <c r="O375" s="711"/>
    </row>
    <row r="376" spans="1:15" x14ac:dyDescent="0.45">
      <c r="A376" s="735">
        <f t="shared" si="3"/>
        <v>374</v>
      </c>
      <c r="B376" s="735" t="s">
        <v>3</v>
      </c>
      <c r="C376" s="735">
        <v>29</v>
      </c>
      <c r="D376" s="733" t="s">
        <v>409</v>
      </c>
      <c r="E376" s="733" t="s">
        <v>21</v>
      </c>
      <c r="F376" s="733" t="s">
        <v>2329</v>
      </c>
      <c r="G376" s="736">
        <v>44086</v>
      </c>
      <c r="H376" s="733" t="s">
        <v>572</v>
      </c>
      <c r="I376" s="733" t="s">
        <v>70</v>
      </c>
      <c r="J376" s="737" t="s">
        <v>9</v>
      </c>
      <c r="K376" s="738" t="s">
        <v>310</v>
      </c>
      <c r="L376" s="737">
        <v>8</v>
      </c>
      <c r="M376" s="737">
        <v>123</v>
      </c>
      <c r="N376" s="746" t="s">
        <v>18</v>
      </c>
      <c r="O376" s="711"/>
    </row>
    <row r="377" spans="1:15" x14ac:dyDescent="0.45">
      <c r="A377" s="735">
        <f t="shared" si="3"/>
        <v>375</v>
      </c>
      <c r="B377" s="735">
        <v>346</v>
      </c>
      <c r="C377" s="735" t="s">
        <v>3</v>
      </c>
      <c r="D377" s="733" t="s">
        <v>501</v>
      </c>
      <c r="E377" s="733" t="s">
        <v>45</v>
      </c>
      <c r="F377" s="733" t="s">
        <v>3104</v>
      </c>
      <c r="G377" s="736">
        <v>44089</v>
      </c>
      <c r="H377" s="733" t="s">
        <v>573</v>
      </c>
      <c r="I377" s="733" t="s">
        <v>70</v>
      </c>
      <c r="J377" s="822" t="s">
        <v>503</v>
      </c>
      <c r="K377" s="823" t="s">
        <v>2317</v>
      </c>
      <c r="L377" s="822">
        <v>468</v>
      </c>
      <c r="M377" s="822">
        <v>468</v>
      </c>
      <c r="N377" s="739" t="s">
        <v>10</v>
      </c>
      <c r="O377" s="711"/>
    </row>
    <row r="378" spans="1:15" x14ac:dyDescent="0.45">
      <c r="A378" s="735">
        <f t="shared" si="3"/>
        <v>376</v>
      </c>
      <c r="B378" s="735">
        <v>347</v>
      </c>
      <c r="C378" s="735" t="s">
        <v>3</v>
      </c>
      <c r="D378" s="733" t="s">
        <v>132</v>
      </c>
      <c r="E378" s="733" t="s">
        <v>478</v>
      </c>
      <c r="F378" s="733" t="s">
        <v>1124</v>
      </c>
      <c r="G378" s="736">
        <v>44095</v>
      </c>
      <c r="H378" s="733" t="s">
        <v>61</v>
      </c>
      <c r="I378" s="733" t="s">
        <v>70</v>
      </c>
      <c r="J378" s="737" t="s">
        <v>9</v>
      </c>
      <c r="K378" s="738">
        <v>94</v>
      </c>
      <c r="L378" s="737">
        <v>9</v>
      </c>
      <c r="M378" s="737">
        <v>14</v>
      </c>
      <c r="N378" s="739" t="s">
        <v>10</v>
      </c>
      <c r="O378" s="711"/>
    </row>
    <row r="379" spans="1:15" ht="18" thickBot="1" x14ac:dyDescent="0.5">
      <c r="A379" s="782">
        <f t="shared" si="3"/>
        <v>377</v>
      </c>
      <c r="B379" s="782">
        <v>348</v>
      </c>
      <c r="C379" s="782" t="s">
        <v>3</v>
      </c>
      <c r="D379" s="783" t="s">
        <v>132</v>
      </c>
      <c r="E379" s="783" t="s">
        <v>403</v>
      </c>
      <c r="F379" s="783" t="s">
        <v>2412</v>
      </c>
      <c r="G379" s="784">
        <v>44101</v>
      </c>
      <c r="H379" s="783" t="s">
        <v>574</v>
      </c>
      <c r="I379" s="783" t="s">
        <v>70</v>
      </c>
      <c r="J379" s="785" t="s">
        <v>71</v>
      </c>
      <c r="K379" s="786">
        <v>9</v>
      </c>
      <c r="L379" s="785">
        <v>20</v>
      </c>
      <c r="M379" s="785">
        <v>6</v>
      </c>
      <c r="N379" s="787" t="s">
        <v>10</v>
      </c>
      <c r="O379" s="711"/>
    </row>
    <row r="380" spans="1:15" x14ac:dyDescent="0.45">
      <c r="A380" s="770">
        <f t="shared" si="3"/>
        <v>378</v>
      </c>
      <c r="B380" s="770">
        <v>349</v>
      </c>
      <c r="C380" s="770" t="s">
        <v>3</v>
      </c>
      <c r="D380" s="771" t="s">
        <v>105</v>
      </c>
      <c r="E380" s="771" t="s">
        <v>575</v>
      </c>
      <c r="F380" s="771" t="s">
        <v>1114</v>
      </c>
      <c r="G380" s="772">
        <v>44116</v>
      </c>
      <c r="H380" s="771" t="s">
        <v>576</v>
      </c>
      <c r="I380" s="771" t="s">
        <v>51</v>
      </c>
      <c r="J380" s="773" t="s">
        <v>52</v>
      </c>
      <c r="K380" s="774">
        <v>2</v>
      </c>
      <c r="L380" s="773">
        <v>95</v>
      </c>
      <c r="M380" s="773">
        <v>95</v>
      </c>
      <c r="N380" s="775" t="s">
        <v>10</v>
      </c>
      <c r="O380" s="711"/>
    </row>
    <row r="381" spans="1:15" ht="18" thickBot="1" x14ac:dyDescent="0.5">
      <c r="A381" s="757">
        <f t="shared" si="3"/>
        <v>379</v>
      </c>
      <c r="B381" s="757">
        <v>350</v>
      </c>
      <c r="C381" s="757" t="s">
        <v>3</v>
      </c>
      <c r="D381" s="758" t="s">
        <v>41</v>
      </c>
      <c r="E381" s="758" t="s">
        <v>414</v>
      </c>
      <c r="F381" s="758" t="s">
        <v>2330</v>
      </c>
      <c r="G381" s="759">
        <v>44130</v>
      </c>
      <c r="H381" s="758" t="s">
        <v>577</v>
      </c>
      <c r="I381" s="758" t="s">
        <v>17</v>
      </c>
      <c r="J381" s="760" t="s">
        <v>52</v>
      </c>
      <c r="K381" s="761">
        <v>3</v>
      </c>
      <c r="L381" s="760">
        <v>14</v>
      </c>
      <c r="M381" s="760">
        <v>137</v>
      </c>
      <c r="N381" s="762" t="s">
        <v>10</v>
      </c>
      <c r="O381" s="711"/>
    </row>
    <row r="382" spans="1:15" x14ac:dyDescent="0.45">
      <c r="A382" s="770">
        <f t="shared" si="3"/>
        <v>380</v>
      </c>
      <c r="B382" s="770">
        <v>351</v>
      </c>
      <c r="C382" s="770" t="s">
        <v>3</v>
      </c>
      <c r="D382" s="771" t="s">
        <v>355</v>
      </c>
      <c r="E382" s="771" t="s">
        <v>21</v>
      </c>
      <c r="F382" s="771" t="s">
        <v>2356</v>
      </c>
      <c r="G382" s="772">
        <v>44141</v>
      </c>
      <c r="H382" s="771" t="s">
        <v>578</v>
      </c>
      <c r="I382" s="771" t="s">
        <v>70</v>
      </c>
      <c r="J382" s="773" t="s">
        <v>71</v>
      </c>
      <c r="K382" s="774">
        <v>16</v>
      </c>
      <c r="L382" s="773">
        <v>40</v>
      </c>
      <c r="M382" s="773">
        <v>359</v>
      </c>
      <c r="N382" s="775" t="s">
        <v>10</v>
      </c>
      <c r="O382" s="711"/>
    </row>
    <row r="383" spans="1:15" x14ac:dyDescent="0.45">
      <c r="A383" s="735">
        <f t="shared" si="3"/>
        <v>381</v>
      </c>
      <c r="B383" s="735" t="s">
        <v>3</v>
      </c>
      <c r="C383" s="735">
        <v>30</v>
      </c>
      <c r="D383" s="733" t="s">
        <v>579</v>
      </c>
      <c r="E383" s="733" t="s">
        <v>42</v>
      </c>
      <c r="F383" s="733" t="s">
        <v>2331</v>
      </c>
      <c r="G383" s="736">
        <v>44142</v>
      </c>
      <c r="H383" s="733" t="s">
        <v>197</v>
      </c>
      <c r="I383" s="733" t="s">
        <v>70</v>
      </c>
      <c r="J383" s="737" t="s">
        <v>9</v>
      </c>
      <c r="K383" s="738" t="s">
        <v>310</v>
      </c>
      <c r="L383" s="737">
        <v>47</v>
      </c>
      <c r="M383" s="737" t="s">
        <v>1012</v>
      </c>
      <c r="N383" s="739" t="s">
        <v>10</v>
      </c>
      <c r="O383" s="711"/>
    </row>
    <row r="384" spans="1:15" x14ac:dyDescent="0.45">
      <c r="A384" s="735">
        <f t="shared" si="3"/>
        <v>382</v>
      </c>
      <c r="B384" s="735">
        <v>352</v>
      </c>
      <c r="C384" s="735" t="s">
        <v>3</v>
      </c>
      <c r="D384" s="733" t="s">
        <v>105</v>
      </c>
      <c r="E384" s="733" t="s">
        <v>580</v>
      </c>
      <c r="F384" s="733" t="s">
        <v>1496</v>
      </c>
      <c r="G384" s="736">
        <v>44147</v>
      </c>
      <c r="H384" s="733" t="s">
        <v>581</v>
      </c>
      <c r="I384" s="733" t="s">
        <v>51</v>
      </c>
      <c r="J384" s="737" t="s">
        <v>52</v>
      </c>
      <c r="K384" s="738">
        <v>2</v>
      </c>
      <c r="L384" s="737">
        <v>17</v>
      </c>
      <c r="M384" s="737">
        <v>31</v>
      </c>
      <c r="N384" s="739" t="s">
        <v>10</v>
      </c>
      <c r="O384" s="711"/>
    </row>
    <row r="385" spans="1:15" ht="18" thickBot="1" x14ac:dyDescent="0.5">
      <c r="A385" s="782">
        <f t="shared" si="3"/>
        <v>383</v>
      </c>
      <c r="B385" s="782">
        <v>353</v>
      </c>
      <c r="C385" s="782" t="s">
        <v>3</v>
      </c>
      <c r="D385" s="783" t="s">
        <v>399</v>
      </c>
      <c r="E385" s="783" t="s">
        <v>30</v>
      </c>
      <c r="F385" s="783" t="s">
        <v>3342</v>
      </c>
      <c r="G385" s="784">
        <v>44159</v>
      </c>
      <c r="H385" s="783" t="s">
        <v>1146</v>
      </c>
      <c r="I385" s="783" t="s">
        <v>240</v>
      </c>
      <c r="J385" s="785" t="s">
        <v>388</v>
      </c>
      <c r="K385" s="786">
        <v>101</v>
      </c>
      <c r="L385" s="785">
        <v>124</v>
      </c>
      <c r="M385" s="785">
        <v>124</v>
      </c>
      <c r="N385" s="787" t="s">
        <v>10</v>
      </c>
      <c r="O385" s="711"/>
    </row>
    <row r="386" spans="1:15" x14ac:dyDescent="0.45">
      <c r="A386" s="770">
        <f t="shared" si="3"/>
        <v>384</v>
      </c>
      <c r="B386" s="770">
        <v>354</v>
      </c>
      <c r="C386" s="770" t="s">
        <v>3</v>
      </c>
      <c r="D386" s="771" t="s">
        <v>105</v>
      </c>
      <c r="E386" s="771" t="s">
        <v>582</v>
      </c>
      <c r="F386" s="771" t="s">
        <v>3084</v>
      </c>
      <c r="G386" s="772">
        <v>44171</v>
      </c>
      <c r="H386" s="771" t="s">
        <v>583</v>
      </c>
      <c r="I386" s="771" t="s">
        <v>70</v>
      </c>
      <c r="J386" s="773" t="s">
        <v>52</v>
      </c>
      <c r="K386" s="774" t="s">
        <v>1641</v>
      </c>
      <c r="L386" s="773">
        <v>24</v>
      </c>
      <c r="M386" s="773">
        <v>24</v>
      </c>
      <c r="N386" s="775" t="s">
        <v>10</v>
      </c>
      <c r="O386" s="711"/>
    </row>
    <row r="387" spans="1:15" x14ac:dyDescent="0.45">
      <c r="A387" s="735">
        <f t="shared" si="3"/>
        <v>385</v>
      </c>
      <c r="B387" s="735">
        <v>355</v>
      </c>
      <c r="C387" s="735" t="s">
        <v>3</v>
      </c>
      <c r="D387" s="733" t="s">
        <v>357</v>
      </c>
      <c r="E387" s="733" t="s">
        <v>78</v>
      </c>
      <c r="F387" s="733" t="s">
        <v>3105</v>
      </c>
      <c r="G387" s="736">
        <v>44175</v>
      </c>
      <c r="H387" s="733" t="s">
        <v>584</v>
      </c>
      <c r="I387" s="733" t="s">
        <v>70</v>
      </c>
      <c r="J387" s="737" t="s">
        <v>52</v>
      </c>
      <c r="K387" s="738" t="s">
        <v>310</v>
      </c>
      <c r="L387" s="737">
        <v>4</v>
      </c>
      <c r="M387" s="737">
        <v>194</v>
      </c>
      <c r="N387" s="739" t="s">
        <v>10</v>
      </c>
      <c r="O387" s="711"/>
    </row>
    <row r="388" spans="1:15" x14ac:dyDescent="0.45">
      <c r="A388" s="735">
        <f t="shared" si="3"/>
        <v>386</v>
      </c>
      <c r="B388" s="735">
        <v>356</v>
      </c>
      <c r="C388" s="735" t="s">
        <v>3</v>
      </c>
      <c r="D388" s="733" t="s">
        <v>585</v>
      </c>
      <c r="E388" s="733" t="s">
        <v>42</v>
      </c>
      <c r="F388" s="733" t="s">
        <v>2357</v>
      </c>
      <c r="G388" s="736">
        <v>44187</v>
      </c>
      <c r="H388" s="733" t="s">
        <v>586</v>
      </c>
      <c r="I388" s="733" t="s">
        <v>70</v>
      </c>
      <c r="J388" s="737" t="s">
        <v>388</v>
      </c>
      <c r="K388" s="738">
        <v>201</v>
      </c>
      <c r="L388" s="737">
        <v>28</v>
      </c>
      <c r="M388" s="737" t="s">
        <v>1012</v>
      </c>
      <c r="N388" s="739" t="s">
        <v>10</v>
      </c>
      <c r="O388" s="711"/>
    </row>
    <row r="389" spans="1:15" ht="18" thickBot="1" x14ac:dyDescent="0.5">
      <c r="A389" s="740">
        <f t="shared" si="3"/>
        <v>387</v>
      </c>
      <c r="B389" s="740">
        <v>357</v>
      </c>
      <c r="C389" s="740" t="s">
        <v>3</v>
      </c>
      <c r="D389" s="741" t="s">
        <v>182</v>
      </c>
      <c r="E389" s="741" t="s">
        <v>338</v>
      </c>
      <c r="F389" s="741" t="s">
        <v>587</v>
      </c>
      <c r="G389" s="742">
        <v>44192</v>
      </c>
      <c r="H389" s="741" t="s">
        <v>588</v>
      </c>
      <c r="I389" s="741" t="s">
        <v>70</v>
      </c>
      <c r="J389" s="743" t="s">
        <v>9</v>
      </c>
      <c r="K389" s="744">
        <v>94</v>
      </c>
      <c r="L389" s="743">
        <v>50</v>
      </c>
      <c r="M389" s="743">
        <v>395</v>
      </c>
      <c r="N389" s="745" t="s">
        <v>10</v>
      </c>
      <c r="O389" s="711"/>
    </row>
    <row r="390" spans="1:15" ht="18" thickTop="1" x14ac:dyDescent="0.45">
      <c r="A390" s="726">
        <f t="shared" si="3"/>
        <v>388</v>
      </c>
      <c r="B390" s="726">
        <v>358</v>
      </c>
      <c r="C390" s="726" t="s">
        <v>3</v>
      </c>
      <c r="D390" s="727" t="s">
        <v>105</v>
      </c>
      <c r="E390" s="727" t="s">
        <v>589</v>
      </c>
      <c r="F390" s="727" t="s">
        <v>1522</v>
      </c>
      <c r="G390" s="728">
        <v>44216</v>
      </c>
      <c r="H390" s="727" t="s">
        <v>590</v>
      </c>
      <c r="I390" s="727" t="s">
        <v>51</v>
      </c>
      <c r="J390" s="729" t="s">
        <v>52</v>
      </c>
      <c r="K390" s="730">
        <v>2</v>
      </c>
      <c r="L390" s="729">
        <v>41</v>
      </c>
      <c r="M390" s="729">
        <v>45</v>
      </c>
      <c r="N390" s="734" t="s">
        <v>10</v>
      </c>
      <c r="O390" s="711"/>
    </row>
    <row r="391" spans="1:15" ht="18" thickBot="1" x14ac:dyDescent="0.5">
      <c r="A391" s="757">
        <f t="shared" si="3"/>
        <v>389</v>
      </c>
      <c r="B391" s="757">
        <v>359</v>
      </c>
      <c r="C391" s="757" t="s">
        <v>3</v>
      </c>
      <c r="D391" s="758" t="s">
        <v>182</v>
      </c>
      <c r="E391" s="758" t="s">
        <v>329</v>
      </c>
      <c r="F391" s="758" t="s">
        <v>2413</v>
      </c>
      <c r="G391" s="759">
        <v>44225</v>
      </c>
      <c r="H391" s="758" t="s">
        <v>591</v>
      </c>
      <c r="I391" s="758" t="s">
        <v>17</v>
      </c>
      <c r="J391" s="760" t="s">
        <v>9</v>
      </c>
      <c r="K391" s="761">
        <v>94</v>
      </c>
      <c r="L391" s="760">
        <v>33</v>
      </c>
      <c r="M391" s="760">
        <v>33</v>
      </c>
      <c r="N391" s="762" t="s">
        <v>10</v>
      </c>
      <c r="O391" s="711"/>
    </row>
    <row r="392" spans="1:15" x14ac:dyDescent="0.45">
      <c r="A392" s="770">
        <f t="shared" si="3"/>
        <v>390</v>
      </c>
      <c r="B392" s="770" t="s">
        <v>3</v>
      </c>
      <c r="C392" s="770">
        <v>31</v>
      </c>
      <c r="D392" s="771" t="s">
        <v>506</v>
      </c>
      <c r="E392" s="771" t="s">
        <v>45</v>
      </c>
      <c r="F392" s="771" t="s">
        <v>2826</v>
      </c>
      <c r="G392" s="772">
        <v>44228</v>
      </c>
      <c r="H392" s="771" t="s">
        <v>592</v>
      </c>
      <c r="I392" s="771" t="s">
        <v>70</v>
      </c>
      <c r="J392" s="773" t="s">
        <v>9</v>
      </c>
      <c r="K392" s="774" t="s">
        <v>310</v>
      </c>
      <c r="L392" s="773">
        <v>3</v>
      </c>
      <c r="M392" s="773">
        <v>557</v>
      </c>
      <c r="N392" s="824" t="s">
        <v>18</v>
      </c>
      <c r="O392" s="711"/>
    </row>
    <row r="393" spans="1:15" x14ac:dyDescent="0.45">
      <c r="A393" s="735">
        <f t="shared" si="3"/>
        <v>391</v>
      </c>
      <c r="B393" s="735">
        <v>360</v>
      </c>
      <c r="C393" s="735" t="s">
        <v>3</v>
      </c>
      <c r="D393" s="733" t="s">
        <v>105</v>
      </c>
      <c r="E393" s="733" t="s">
        <v>593</v>
      </c>
      <c r="F393" s="733" t="s">
        <v>594</v>
      </c>
      <c r="G393" s="736">
        <v>44231</v>
      </c>
      <c r="H393" s="733" t="s">
        <v>595</v>
      </c>
      <c r="I393" s="733" t="s">
        <v>51</v>
      </c>
      <c r="J393" s="737" t="s">
        <v>52</v>
      </c>
      <c r="K393" s="738" t="s">
        <v>1641</v>
      </c>
      <c r="L393" s="737">
        <v>15</v>
      </c>
      <c r="M393" s="737">
        <v>15</v>
      </c>
      <c r="N393" s="739" t="s">
        <v>10</v>
      </c>
      <c r="O393" s="711"/>
    </row>
    <row r="394" spans="1:15" ht="18" thickBot="1" x14ac:dyDescent="0.5">
      <c r="A394" s="782">
        <f t="shared" si="3"/>
        <v>392</v>
      </c>
      <c r="B394" s="782">
        <v>361</v>
      </c>
      <c r="C394" s="782" t="s">
        <v>3</v>
      </c>
      <c r="D394" s="783" t="s">
        <v>182</v>
      </c>
      <c r="E394" s="783" t="s">
        <v>335</v>
      </c>
      <c r="F394" s="783" t="s">
        <v>2414</v>
      </c>
      <c r="G394" s="784">
        <v>44251</v>
      </c>
      <c r="H394" s="783" t="s">
        <v>596</v>
      </c>
      <c r="I394" s="783" t="s">
        <v>17</v>
      </c>
      <c r="J394" s="785" t="s">
        <v>9</v>
      </c>
      <c r="K394" s="786">
        <v>94</v>
      </c>
      <c r="L394" s="785">
        <v>23</v>
      </c>
      <c r="M394" s="785">
        <v>26</v>
      </c>
      <c r="N394" s="787" t="s">
        <v>10</v>
      </c>
      <c r="O394" s="711"/>
    </row>
    <row r="395" spans="1:15" x14ac:dyDescent="0.45">
      <c r="A395" s="770">
        <f t="shared" si="3"/>
        <v>393</v>
      </c>
      <c r="B395" s="770">
        <v>362</v>
      </c>
      <c r="C395" s="770" t="s">
        <v>3</v>
      </c>
      <c r="D395" s="771" t="s">
        <v>543</v>
      </c>
      <c r="E395" s="771" t="s">
        <v>45</v>
      </c>
      <c r="F395" s="771" t="s">
        <v>597</v>
      </c>
      <c r="G395" s="772">
        <v>44267</v>
      </c>
      <c r="H395" s="771" t="s">
        <v>2185</v>
      </c>
      <c r="I395" s="771" t="s">
        <v>51</v>
      </c>
      <c r="J395" s="773" t="s">
        <v>388</v>
      </c>
      <c r="K395" s="774">
        <v>201</v>
      </c>
      <c r="L395" s="773">
        <v>80</v>
      </c>
      <c r="M395" s="773">
        <v>361</v>
      </c>
      <c r="N395" s="775" t="s">
        <v>10</v>
      </c>
      <c r="O395" s="711"/>
    </row>
    <row r="396" spans="1:15" x14ac:dyDescent="0.45">
      <c r="A396" s="735">
        <f t="shared" si="3"/>
        <v>394</v>
      </c>
      <c r="B396" s="735">
        <v>363</v>
      </c>
      <c r="C396" s="735" t="s">
        <v>3</v>
      </c>
      <c r="D396" s="733" t="s">
        <v>182</v>
      </c>
      <c r="E396" s="733" t="s">
        <v>403</v>
      </c>
      <c r="F396" s="733" t="s">
        <v>2415</v>
      </c>
      <c r="G396" s="736">
        <v>44268</v>
      </c>
      <c r="H396" s="733" t="s">
        <v>598</v>
      </c>
      <c r="I396" s="733" t="s">
        <v>17</v>
      </c>
      <c r="J396" s="737" t="s">
        <v>9</v>
      </c>
      <c r="K396" s="738">
        <v>94</v>
      </c>
      <c r="L396" s="737">
        <v>17</v>
      </c>
      <c r="M396" s="737">
        <v>17</v>
      </c>
      <c r="N396" s="739" t="s">
        <v>10</v>
      </c>
      <c r="O396" s="711"/>
    </row>
    <row r="397" spans="1:15" ht="18" thickBot="1" x14ac:dyDescent="0.5">
      <c r="A397" s="782">
        <f t="shared" si="3"/>
        <v>395</v>
      </c>
      <c r="B397" s="782">
        <v>364</v>
      </c>
      <c r="C397" s="782" t="s">
        <v>3</v>
      </c>
      <c r="D397" s="783" t="s">
        <v>182</v>
      </c>
      <c r="E397" s="783" t="s">
        <v>364</v>
      </c>
      <c r="F397" s="783" t="s">
        <v>1115</v>
      </c>
      <c r="G397" s="784">
        <v>44286</v>
      </c>
      <c r="H397" s="783" t="s">
        <v>599</v>
      </c>
      <c r="I397" s="783" t="s">
        <v>70</v>
      </c>
      <c r="J397" s="785" t="s">
        <v>9</v>
      </c>
      <c r="K397" s="786">
        <v>94</v>
      </c>
      <c r="L397" s="785">
        <v>18</v>
      </c>
      <c r="M397" s="785">
        <v>18</v>
      </c>
      <c r="N397" s="787" t="s">
        <v>10</v>
      </c>
      <c r="O397" s="711"/>
    </row>
    <row r="398" spans="1:15" x14ac:dyDescent="0.45">
      <c r="A398" s="770">
        <f t="shared" si="3"/>
        <v>396</v>
      </c>
      <c r="B398" s="770">
        <v>365</v>
      </c>
      <c r="C398" s="770" t="s">
        <v>3</v>
      </c>
      <c r="D398" s="771" t="s">
        <v>132</v>
      </c>
      <c r="E398" s="771" t="s">
        <v>441</v>
      </c>
      <c r="F398" s="771" t="s">
        <v>600</v>
      </c>
      <c r="G398" s="772">
        <v>44295</v>
      </c>
      <c r="H398" s="771" t="s">
        <v>2186</v>
      </c>
      <c r="I398" s="771" t="s">
        <v>70</v>
      </c>
      <c r="J398" s="773" t="s">
        <v>71</v>
      </c>
      <c r="K398" s="774">
        <v>9</v>
      </c>
      <c r="L398" s="773">
        <v>154</v>
      </c>
      <c r="M398" s="773">
        <v>194</v>
      </c>
      <c r="N398" s="775" t="s">
        <v>10</v>
      </c>
      <c r="O398" s="711"/>
    </row>
    <row r="399" spans="1:15" x14ac:dyDescent="0.45">
      <c r="A399" s="735">
        <f t="shared" si="3"/>
        <v>397</v>
      </c>
      <c r="B399" s="735">
        <v>366</v>
      </c>
      <c r="C399" s="735" t="s">
        <v>3</v>
      </c>
      <c r="D399" s="733" t="s">
        <v>355</v>
      </c>
      <c r="E399" s="733" t="s">
        <v>30</v>
      </c>
      <c r="F399" s="733" t="s">
        <v>2515</v>
      </c>
      <c r="G399" s="736">
        <v>44313</v>
      </c>
      <c r="H399" s="733" t="s">
        <v>601</v>
      </c>
      <c r="I399" s="733" t="s">
        <v>70</v>
      </c>
      <c r="J399" s="737" t="s">
        <v>71</v>
      </c>
      <c r="K399" s="738">
        <v>16</v>
      </c>
      <c r="L399" s="737">
        <v>18</v>
      </c>
      <c r="M399" s="737">
        <v>172</v>
      </c>
      <c r="N399" s="739" t="s">
        <v>10</v>
      </c>
      <c r="O399" s="711"/>
    </row>
    <row r="400" spans="1:15" x14ac:dyDescent="0.45">
      <c r="A400" s="735">
        <f t="shared" si="3"/>
        <v>398</v>
      </c>
      <c r="B400" s="735">
        <v>367</v>
      </c>
      <c r="C400" s="735" t="s">
        <v>3</v>
      </c>
      <c r="D400" s="733" t="s">
        <v>548</v>
      </c>
      <c r="E400" s="733" t="s">
        <v>45</v>
      </c>
      <c r="F400" s="733" t="s">
        <v>2046</v>
      </c>
      <c r="G400" s="736">
        <v>44315</v>
      </c>
      <c r="H400" s="733" t="s">
        <v>602</v>
      </c>
      <c r="I400" s="733" t="s">
        <v>17</v>
      </c>
      <c r="J400" s="737" t="s">
        <v>388</v>
      </c>
      <c r="K400" s="738">
        <v>101</v>
      </c>
      <c r="L400" s="737">
        <v>48</v>
      </c>
      <c r="M400" s="737">
        <v>359</v>
      </c>
      <c r="N400" s="739" t="s">
        <v>10</v>
      </c>
      <c r="O400" s="711"/>
    </row>
    <row r="401" spans="1:15" ht="18" thickBot="1" x14ac:dyDescent="0.5">
      <c r="A401" s="782">
        <f t="shared" si="3"/>
        <v>399</v>
      </c>
      <c r="B401" s="782">
        <v>368</v>
      </c>
      <c r="C401" s="782" t="s">
        <v>3</v>
      </c>
      <c r="D401" s="783" t="s">
        <v>182</v>
      </c>
      <c r="E401" s="783" t="s">
        <v>367</v>
      </c>
      <c r="F401" s="783" t="s">
        <v>603</v>
      </c>
      <c r="G401" s="784">
        <v>44316</v>
      </c>
      <c r="H401" s="783" t="s">
        <v>604</v>
      </c>
      <c r="I401" s="783" t="s">
        <v>1237</v>
      </c>
      <c r="J401" s="785" t="s">
        <v>9</v>
      </c>
      <c r="K401" s="786">
        <v>94</v>
      </c>
      <c r="L401" s="785">
        <v>30</v>
      </c>
      <c r="M401" s="785">
        <v>30</v>
      </c>
      <c r="N401" s="787" t="s">
        <v>10</v>
      </c>
      <c r="O401" s="711"/>
    </row>
    <row r="402" spans="1:15" x14ac:dyDescent="0.45">
      <c r="A402" s="770">
        <f t="shared" si="3"/>
        <v>400</v>
      </c>
      <c r="B402" s="770">
        <v>369</v>
      </c>
      <c r="C402" s="770" t="s">
        <v>3</v>
      </c>
      <c r="D402" s="771" t="s">
        <v>41</v>
      </c>
      <c r="E402" s="771" t="s">
        <v>428</v>
      </c>
      <c r="F402" s="771" t="s">
        <v>2358</v>
      </c>
      <c r="G402" s="772">
        <v>44323</v>
      </c>
      <c r="H402" s="771" t="s">
        <v>605</v>
      </c>
      <c r="I402" s="771" t="s">
        <v>1237</v>
      </c>
      <c r="J402" s="773" t="s">
        <v>52</v>
      </c>
      <c r="K402" s="774">
        <v>3</v>
      </c>
      <c r="L402" s="773">
        <v>92</v>
      </c>
      <c r="M402" s="773">
        <v>193</v>
      </c>
      <c r="N402" s="775" t="s">
        <v>10</v>
      </c>
      <c r="O402" s="711"/>
    </row>
    <row r="403" spans="1:15" x14ac:dyDescent="0.45">
      <c r="A403" s="735">
        <f t="shared" si="3"/>
        <v>401</v>
      </c>
      <c r="B403" s="735">
        <v>370</v>
      </c>
      <c r="C403" s="735" t="s">
        <v>3</v>
      </c>
      <c r="D403" s="733" t="s">
        <v>132</v>
      </c>
      <c r="E403" s="733" t="s">
        <v>3058</v>
      </c>
      <c r="F403" s="733" t="s">
        <v>1125</v>
      </c>
      <c r="G403" s="736">
        <v>44335</v>
      </c>
      <c r="H403" s="733" t="s">
        <v>606</v>
      </c>
      <c r="I403" s="733" t="s">
        <v>70</v>
      </c>
      <c r="J403" s="737" t="s">
        <v>9</v>
      </c>
      <c r="K403" s="738">
        <v>94</v>
      </c>
      <c r="L403" s="737">
        <v>19</v>
      </c>
      <c r="M403" s="737">
        <v>40</v>
      </c>
      <c r="N403" s="739" t="s">
        <v>10</v>
      </c>
      <c r="O403" s="711"/>
    </row>
    <row r="404" spans="1:15" ht="18" thickBot="1" x14ac:dyDescent="0.5">
      <c r="A404" s="782">
        <f t="shared" si="3"/>
        <v>402</v>
      </c>
      <c r="B404" s="782">
        <v>371</v>
      </c>
      <c r="C404" s="782" t="s">
        <v>3</v>
      </c>
      <c r="D404" s="783" t="s">
        <v>386</v>
      </c>
      <c r="E404" s="783" t="s">
        <v>21</v>
      </c>
      <c r="F404" s="783" t="s">
        <v>607</v>
      </c>
      <c r="G404" s="784">
        <v>44345</v>
      </c>
      <c r="H404" s="783" t="s">
        <v>608</v>
      </c>
      <c r="I404" s="783" t="s">
        <v>17</v>
      </c>
      <c r="J404" s="785" t="s">
        <v>388</v>
      </c>
      <c r="K404" s="786">
        <v>201</v>
      </c>
      <c r="L404" s="785">
        <v>30</v>
      </c>
      <c r="M404" s="785">
        <v>1500</v>
      </c>
      <c r="N404" s="787" t="s">
        <v>10</v>
      </c>
      <c r="O404" s="711"/>
    </row>
    <row r="405" spans="1:15" x14ac:dyDescent="0.45">
      <c r="A405" s="770">
        <f t="shared" si="3"/>
        <v>403</v>
      </c>
      <c r="B405" s="770">
        <v>372</v>
      </c>
      <c r="C405" s="770" t="s">
        <v>3</v>
      </c>
      <c r="D405" s="771" t="s">
        <v>105</v>
      </c>
      <c r="E405" s="771" t="s">
        <v>609</v>
      </c>
      <c r="F405" s="771" t="s">
        <v>2306</v>
      </c>
      <c r="G405" s="772">
        <v>44350</v>
      </c>
      <c r="H405" s="771" t="s">
        <v>610</v>
      </c>
      <c r="I405" s="771" t="s">
        <v>51</v>
      </c>
      <c r="J405" s="773" t="s">
        <v>52</v>
      </c>
      <c r="K405" s="774">
        <v>2</v>
      </c>
      <c r="L405" s="773">
        <v>27</v>
      </c>
      <c r="M405" s="773">
        <v>119</v>
      </c>
      <c r="N405" s="775" t="s">
        <v>10</v>
      </c>
      <c r="O405" s="711"/>
    </row>
    <row r="406" spans="1:15" x14ac:dyDescent="0.45">
      <c r="A406" s="735">
        <f t="shared" si="3"/>
        <v>404</v>
      </c>
      <c r="B406" s="735">
        <v>373</v>
      </c>
      <c r="C406" s="735" t="s">
        <v>3</v>
      </c>
      <c r="D406" s="733" t="s">
        <v>83</v>
      </c>
      <c r="E406" s="733" t="s">
        <v>491</v>
      </c>
      <c r="F406" s="733" t="s">
        <v>2359</v>
      </c>
      <c r="G406" s="736">
        <v>44358</v>
      </c>
      <c r="H406" s="733" t="s">
        <v>611</v>
      </c>
      <c r="I406" s="733" t="s">
        <v>70</v>
      </c>
      <c r="J406" s="737" t="s">
        <v>71</v>
      </c>
      <c r="K406" s="738">
        <v>9</v>
      </c>
      <c r="L406" s="737">
        <v>45</v>
      </c>
      <c r="M406" s="737">
        <v>292</v>
      </c>
      <c r="N406" s="739" t="s">
        <v>10</v>
      </c>
      <c r="O406" s="711"/>
    </row>
    <row r="407" spans="1:15" x14ac:dyDescent="0.45">
      <c r="A407" s="735">
        <f t="shared" si="3"/>
        <v>405</v>
      </c>
      <c r="B407" s="735">
        <v>374</v>
      </c>
      <c r="C407" s="735" t="s">
        <v>3</v>
      </c>
      <c r="D407" s="733" t="s">
        <v>138</v>
      </c>
      <c r="E407" s="733" t="s">
        <v>142</v>
      </c>
      <c r="F407" s="733" t="s">
        <v>3092</v>
      </c>
      <c r="G407" s="736">
        <v>44364</v>
      </c>
      <c r="H407" s="733" t="s">
        <v>612</v>
      </c>
      <c r="I407" s="733" t="s">
        <v>17</v>
      </c>
      <c r="J407" s="737" t="s">
        <v>9</v>
      </c>
      <c r="K407" s="738" t="s">
        <v>1819</v>
      </c>
      <c r="L407" s="737">
        <v>29</v>
      </c>
      <c r="M407" s="737">
        <v>286</v>
      </c>
      <c r="N407" s="739" t="s">
        <v>10</v>
      </c>
      <c r="O407" s="711"/>
    </row>
    <row r="408" spans="1:15" ht="18" thickBot="1" x14ac:dyDescent="0.5">
      <c r="A408" s="782">
        <f t="shared" si="3"/>
        <v>406</v>
      </c>
      <c r="B408" s="782">
        <v>375</v>
      </c>
      <c r="C408" s="782" t="s">
        <v>3</v>
      </c>
      <c r="D408" s="783" t="s">
        <v>41</v>
      </c>
      <c r="E408" s="783" t="s">
        <v>434</v>
      </c>
      <c r="F408" s="783" t="s">
        <v>2397</v>
      </c>
      <c r="G408" s="784">
        <v>44365</v>
      </c>
      <c r="H408" s="783" t="s">
        <v>613</v>
      </c>
      <c r="I408" s="783" t="s">
        <v>1237</v>
      </c>
      <c r="J408" s="785" t="s">
        <v>52</v>
      </c>
      <c r="K408" s="786">
        <v>3</v>
      </c>
      <c r="L408" s="785">
        <v>15</v>
      </c>
      <c r="M408" s="785">
        <v>42</v>
      </c>
      <c r="N408" s="787" t="s">
        <v>10</v>
      </c>
      <c r="O408" s="711"/>
    </row>
    <row r="409" spans="1:15" x14ac:dyDescent="0.45">
      <c r="A409" s="770">
        <f t="shared" si="3"/>
        <v>407</v>
      </c>
      <c r="B409" s="770">
        <v>376</v>
      </c>
      <c r="C409" s="770" t="s">
        <v>3</v>
      </c>
      <c r="D409" s="771" t="s">
        <v>83</v>
      </c>
      <c r="E409" s="771" t="s">
        <v>589</v>
      </c>
      <c r="F409" s="771" t="s">
        <v>2827</v>
      </c>
      <c r="G409" s="772">
        <v>44380</v>
      </c>
      <c r="H409" s="771" t="s">
        <v>614</v>
      </c>
      <c r="I409" s="771" t="s">
        <v>70</v>
      </c>
      <c r="J409" s="773" t="s">
        <v>71</v>
      </c>
      <c r="K409" s="774">
        <v>9</v>
      </c>
      <c r="L409" s="773">
        <v>22</v>
      </c>
      <c r="M409" s="773">
        <v>22</v>
      </c>
      <c r="N409" s="775" t="s">
        <v>10</v>
      </c>
      <c r="O409" s="711"/>
    </row>
    <row r="410" spans="1:15" x14ac:dyDescent="0.45">
      <c r="A410" s="735">
        <f t="shared" si="3"/>
        <v>408</v>
      </c>
      <c r="B410" s="735">
        <v>377</v>
      </c>
      <c r="C410" s="735" t="s">
        <v>3</v>
      </c>
      <c r="D410" s="733" t="s">
        <v>182</v>
      </c>
      <c r="E410" s="733" t="s">
        <v>414</v>
      </c>
      <c r="F410" s="733" t="s">
        <v>2307</v>
      </c>
      <c r="G410" s="736">
        <v>44382</v>
      </c>
      <c r="H410" s="733" t="s">
        <v>615</v>
      </c>
      <c r="I410" s="733" t="s">
        <v>70</v>
      </c>
      <c r="J410" s="737" t="s">
        <v>9</v>
      </c>
      <c r="K410" s="738">
        <v>94</v>
      </c>
      <c r="L410" s="737">
        <v>18</v>
      </c>
      <c r="M410" s="737">
        <v>66</v>
      </c>
      <c r="N410" s="739" t="s">
        <v>10</v>
      </c>
      <c r="O410" s="711"/>
    </row>
    <row r="411" spans="1:15" x14ac:dyDescent="0.45">
      <c r="A411" s="735">
        <f t="shared" si="3"/>
        <v>409</v>
      </c>
      <c r="B411" s="735">
        <v>378</v>
      </c>
      <c r="C411" s="735" t="s">
        <v>3</v>
      </c>
      <c r="D411" s="733" t="s">
        <v>203</v>
      </c>
      <c r="E411" s="733" t="s">
        <v>192</v>
      </c>
      <c r="F411" s="733" t="s">
        <v>1147</v>
      </c>
      <c r="G411" s="736">
        <v>44383</v>
      </c>
      <c r="H411" s="733" t="s">
        <v>616</v>
      </c>
      <c r="I411" s="733" t="s">
        <v>51</v>
      </c>
      <c r="J411" s="737" t="s">
        <v>52</v>
      </c>
      <c r="K411" s="738">
        <v>2</v>
      </c>
      <c r="L411" s="737">
        <v>18</v>
      </c>
      <c r="M411" s="737">
        <v>781</v>
      </c>
      <c r="N411" s="739" t="s">
        <v>10</v>
      </c>
      <c r="O411" s="711"/>
    </row>
    <row r="412" spans="1:15" x14ac:dyDescent="0.45">
      <c r="A412" s="735">
        <f t="shared" si="3"/>
        <v>410</v>
      </c>
      <c r="B412" s="735">
        <v>379</v>
      </c>
      <c r="C412" s="735" t="s">
        <v>3</v>
      </c>
      <c r="D412" s="733" t="s">
        <v>355</v>
      </c>
      <c r="E412" s="733" t="s">
        <v>33</v>
      </c>
      <c r="F412" s="733" t="s">
        <v>2731</v>
      </c>
      <c r="G412" s="736">
        <v>44386</v>
      </c>
      <c r="H412" s="733" t="s">
        <v>617</v>
      </c>
      <c r="I412" s="733" t="s">
        <v>17</v>
      </c>
      <c r="J412" s="737" t="s">
        <v>71</v>
      </c>
      <c r="K412" s="738">
        <v>16</v>
      </c>
      <c r="L412" s="737">
        <v>6</v>
      </c>
      <c r="M412" s="737">
        <v>73</v>
      </c>
      <c r="N412" s="739" t="s">
        <v>10</v>
      </c>
      <c r="O412" s="711"/>
    </row>
    <row r="413" spans="1:15" x14ac:dyDescent="0.45">
      <c r="A413" s="735">
        <f t="shared" si="3"/>
        <v>411</v>
      </c>
      <c r="B413" s="735">
        <v>380</v>
      </c>
      <c r="C413" s="735" t="s">
        <v>3</v>
      </c>
      <c r="D413" s="733" t="s">
        <v>41</v>
      </c>
      <c r="E413" s="733" t="s">
        <v>441</v>
      </c>
      <c r="F413" s="733" t="s">
        <v>2360</v>
      </c>
      <c r="G413" s="736">
        <v>44396</v>
      </c>
      <c r="H413" s="733" t="s">
        <v>618</v>
      </c>
      <c r="I413" s="733" t="s">
        <v>1237</v>
      </c>
      <c r="J413" s="737" t="s">
        <v>52</v>
      </c>
      <c r="K413" s="738">
        <v>3</v>
      </c>
      <c r="L413" s="737">
        <v>13</v>
      </c>
      <c r="M413" s="737">
        <v>31</v>
      </c>
      <c r="N413" s="739" t="s">
        <v>10</v>
      </c>
      <c r="O413" s="711"/>
    </row>
    <row r="414" spans="1:15" ht="18" thickBot="1" x14ac:dyDescent="0.5">
      <c r="A414" s="782">
        <f t="shared" si="3"/>
        <v>412</v>
      </c>
      <c r="B414" s="782">
        <v>381</v>
      </c>
      <c r="C414" s="782" t="s">
        <v>3</v>
      </c>
      <c r="D414" s="783" t="s">
        <v>83</v>
      </c>
      <c r="E414" s="783" t="s">
        <v>535</v>
      </c>
      <c r="F414" s="783" t="s">
        <v>1148</v>
      </c>
      <c r="G414" s="784">
        <v>44406</v>
      </c>
      <c r="H414" s="783" t="s">
        <v>568</v>
      </c>
      <c r="I414" s="783" t="s">
        <v>70</v>
      </c>
      <c r="J414" s="785" t="s">
        <v>9</v>
      </c>
      <c r="K414" s="786">
        <v>94</v>
      </c>
      <c r="L414" s="785">
        <v>24</v>
      </c>
      <c r="M414" s="785">
        <v>26</v>
      </c>
      <c r="N414" s="787" t="s">
        <v>10</v>
      </c>
      <c r="O414" s="711"/>
    </row>
    <row r="415" spans="1:15" x14ac:dyDescent="0.45">
      <c r="A415" s="770">
        <f t="shared" si="3"/>
        <v>413</v>
      </c>
      <c r="B415" s="770" t="s">
        <v>3</v>
      </c>
      <c r="C415" s="770">
        <v>32</v>
      </c>
      <c r="D415" s="771" t="s">
        <v>506</v>
      </c>
      <c r="E415" s="771" t="s">
        <v>30</v>
      </c>
      <c r="F415" s="771" t="s">
        <v>619</v>
      </c>
      <c r="G415" s="772">
        <v>44411</v>
      </c>
      <c r="H415" s="771" t="s">
        <v>620</v>
      </c>
      <c r="I415" s="771" t="s">
        <v>70</v>
      </c>
      <c r="J415" s="773" t="s">
        <v>9</v>
      </c>
      <c r="K415" s="774" t="s">
        <v>310</v>
      </c>
      <c r="L415" s="773">
        <v>5</v>
      </c>
      <c r="M415" s="773">
        <v>183</v>
      </c>
      <c r="N415" s="824" t="s">
        <v>18</v>
      </c>
      <c r="O415" s="711"/>
    </row>
    <row r="416" spans="1:15" x14ac:dyDescent="0.45">
      <c r="A416" s="735">
        <f t="shared" si="3"/>
        <v>414</v>
      </c>
      <c r="B416" s="735">
        <v>382</v>
      </c>
      <c r="C416" s="735" t="s">
        <v>3</v>
      </c>
      <c r="D416" s="733" t="s">
        <v>355</v>
      </c>
      <c r="E416" s="733" t="s">
        <v>63</v>
      </c>
      <c r="F416" s="733" t="s">
        <v>1551</v>
      </c>
      <c r="G416" s="736">
        <v>44412</v>
      </c>
      <c r="H416" s="733" t="s">
        <v>621</v>
      </c>
      <c r="I416" s="733" t="s">
        <v>17</v>
      </c>
      <c r="J416" s="737" t="s">
        <v>71</v>
      </c>
      <c r="K416" s="738">
        <v>16</v>
      </c>
      <c r="L416" s="737">
        <v>26</v>
      </c>
      <c r="M416" s="737">
        <v>26</v>
      </c>
      <c r="N416" s="739" t="s">
        <v>10</v>
      </c>
    </row>
    <row r="417" spans="1:15" x14ac:dyDescent="0.45">
      <c r="A417" s="735">
        <f t="shared" si="3"/>
        <v>415</v>
      </c>
      <c r="B417" s="735">
        <v>383</v>
      </c>
      <c r="C417" s="735" t="s">
        <v>3</v>
      </c>
      <c r="D417" s="733" t="s">
        <v>105</v>
      </c>
      <c r="E417" s="733" t="s">
        <v>622</v>
      </c>
      <c r="F417" s="733" t="s">
        <v>1041</v>
      </c>
      <c r="G417" s="736">
        <v>44414</v>
      </c>
      <c r="H417" s="733" t="s">
        <v>623</v>
      </c>
      <c r="I417" s="733" t="s">
        <v>51</v>
      </c>
      <c r="J417" s="737" t="s">
        <v>52</v>
      </c>
      <c r="K417" s="738">
        <v>2</v>
      </c>
      <c r="L417" s="737">
        <v>18</v>
      </c>
      <c r="M417" s="737">
        <v>64</v>
      </c>
      <c r="N417" s="739" t="s">
        <v>10</v>
      </c>
    </row>
    <row r="418" spans="1:15" x14ac:dyDescent="0.45">
      <c r="A418" s="735">
        <f t="shared" si="3"/>
        <v>416</v>
      </c>
      <c r="B418" s="735">
        <v>384</v>
      </c>
      <c r="C418" s="735" t="s">
        <v>3</v>
      </c>
      <c r="D418" s="733" t="s">
        <v>132</v>
      </c>
      <c r="E418" s="733" t="s">
        <v>450</v>
      </c>
      <c r="F418" s="733" t="s">
        <v>2416</v>
      </c>
      <c r="G418" s="736">
        <v>44427</v>
      </c>
      <c r="H418" s="733" t="s">
        <v>624</v>
      </c>
      <c r="I418" s="733" t="s">
        <v>70</v>
      </c>
      <c r="J418" s="737" t="s">
        <v>71</v>
      </c>
      <c r="K418" s="738">
        <v>9</v>
      </c>
      <c r="L418" s="737">
        <v>15</v>
      </c>
      <c r="M418" s="737">
        <v>92</v>
      </c>
      <c r="N418" s="739" t="s">
        <v>10</v>
      </c>
    </row>
    <row r="419" spans="1:15" x14ac:dyDescent="0.45">
      <c r="A419" s="800">
        <f t="shared" si="3"/>
        <v>417</v>
      </c>
      <c r="B419" s="800">
        <v>385</v>
      </c>
      <c r="C419" s="800" t="s">
        <v>3</v>
      </c>
      <c r="D419" s="801" t="s">
        <v>41</v>
      </c>
      <c r="E419" s="801" t="s">
        <v>470</v>
      </c>
      <c r="F419" s="802" t="s">
        <v>1552</v>
      </c>
      <c r="G419" s="803">
        <v>44432</v>
      </c>
      <c r="H419" s="802" t="s">
        <v>625</v>
      </c>
      <c r="I419" s="802" t="s">
        <v>1237</v>
      </c>
      <c r="J419" s="804" t="s">
        <v>9</v>
      </c>
      <c r="K419" s="805">
        <v>94</v>
      </c>
      <c r="L419" s="804">
        <v>21</v>
      </c>
      <c r="M419" s="804">
        <v>36</v>
      </c>
      <c r="N419" s="806" t="s">
        <v>10</v>
      </c>
      <c r="O419" s="718" t="s">
        <v>1773</v>
      </c>
    </row>
    <row r="420" spans="1:15" ht="18" thickBot="1" x14ac:dyDescent="0.5">
      <c r="A420" s="782">
        <f t="shared" si="3"/>
        <v>418</v>
      </c>
      <c r="B420" s="782">
        <v>386</v>
      </c>
      <c r="C420" s="782" t="s">
        <v>3</v>
      </c>
      <c r="D420" s="783" t="s">
        <v>105</v>
      </c>
      <c r="E420" s="783" t="s">
        <v>626</v>
      </c>
      <c r="F420" s="783" t="s">
        <v>1615</v>
      </c>
      <c r="G420" s="784">
        <v>44432</v>
      </c>
      <c r="H420" s="783" t="s">
        <v>627</v>
      </c>
      <c r="I420" s="783" t="s">
        <v>51</v>
      </c>
      <c r="J420" s="785" t="s">
        <v>52</v>
      </c>
      <c r="K420" s="786" t="s">
        <v>1641</v>
      </c>
      <c r="L420" s="785">
        <v>18</v>
      </c>
      <c r="M420" s="785">
        <v>18</v>
      </c>
      <c r="N420" s="787" t="s">
        <v>10</v>
      </c>
    </row>
    <row r="421" spans="1:15" x14ac:dyDescent="0.45">
      <c r="A421" s="770">
        <f t="shared" si="3"/>
        <v>419</v>
      </c>
      <c r="B421" s="770">
        <v>387</v>
      </c>
      <c r="C421" s="770" t="s">
        <v>3</v>
      </c>
      <c r="D421" s="771" t="s">
        <v>182</v>
      </c>
      <c r="E421" s="771" t="s">
        <v>431</v>
      </c>
      <c r="F421" s="771" t="s">
        <v>1116</v>
      </c>
      <c r="G421" s="772">
        <v>44446</v>
      </c>
      <c r="H421" s="771" t="s">
        <v>628</v>
      </c>
      <c r="I421" s="771" t="s">
        <v>70</v>
      </c>
      <c r="J421" s="773" t="s">
        <v>71</v>
      </c>
      <c r="K421" s="774">
        <v>9</v>
      </c>
      <c r="L421" s="773">
        <v>19</v>
      </c>
      <c r="M421" s="773">
        <v>64</v>
      </c>
      <c r="N421" s="775" t="s">
        <v>10</v>
      </c>
    </row>
    <row r="422" spans="1:15" x14ac:dyDescent="0.45">
      <c r="A422" s="735">
        <f t="shared" si="3"/>
        <v>420</v>
      </c>
      <c r="B422" s="735">
        <v>388</v>
      </c>
      <c r="C422" s="735" t="s">
        <v>3</v>
      </c>
      <c r="D422" s="733" t="s">
        <v>105</v>
      </c>
      <c r="E422" s="733" t="s">
        <v>629</v>
      </c>
      <c r="F422" s="733" t="s">
        <v>630</v>
      </c>
      <c r="G422" s="736">
        <v>44448</v>
      </c>
      <c r="H422" s="733" t="s">
        <v>104</v>
      </c>
      <c r="I422" s="733" t="s">
        <v>51</v>
      </c>
      <c r="J422" s="737" t="s">
        <v>52</v>
      </c>
      <c r="K422" s="738">
        <v>2</v>
      </c>
      <c r="L422" s="737">
        <v>16</v>
      </c>
      <c r="M422" s="737">
        <v>16</v>
      </c>
      <c r="N422" s="739" t="s">
        <v>10</v>
      </c>
    </row>
    <row r="423" spans="1:15" x14ac:dyDescent="0.45">
      <c r="A423" s="735">
        <f t="shared" si="3"/>
        <v>421</v>
      </c>
      <c r="B423" s="735">
        <v>389</v>
      </c>
      <c r="C423" s="735" t="s">
        <v>3</v>
      </c>
      <c r="D423" s="733" t="s">
        <v>386</v>
      </c>
      <c r="E423" s="733" t="s">
        <v>5</v>
      </c>
      <c r="F423" s="733" t="s">
        <v>631</v>
      </c>
      <c r="G423" s="736">
        <v>44459</v>
      </c>
      <c r="H423" s="733" t="s">
        <v>632</v>
      </c>
      <c r="I423" s="733" t="s">
        <v>17</v>
      </c>
      <c r="J423" s="737" t="s">
        <v>388</v>
      </c>
      <c r="K423" s="738">
        <v>201</v>
      </c>
      <c r="L423" s="737">
        <v>114</v>
      </c>
      <c r="M423" s="737">
        <v>114</v>
      </c>
      <c r="N423" s="739" t="s">
        <v>10</v>
      </c>
    </row>
    <row r="424" spans="1:15" x14ac:dyDescent="0.45">
      <c r="A424" s="735">
        <f t="shared" si="3"/>
        <v>422</v>
      </c>
      <c r="B424" s="735" t="s">
        <v>3</v>
      </c>
      <c r="C424" s="735">
        <v>33</v>
      </c>
      <c r="D424" s="733" t="s">
        <v>409</v>
      </c>
      <c r="E424" s="733" t="s">
        <v>5</v>
      </c>
      <c r="F424" s="733" t="s">
        <v>2332</v>
      </c>
      <c r="G424" s="736">
        <v>44466</v>
      </c>
      <c r="H424" s="733" t="s">
        <v>633</v>
      </c>
      <c r="I424" s="733" t="s">
        <v>70</v>
      </c>
      <c r="J424" s="737" t="s">
        <v>9</v>
      </c>
      <c r="K424" s="738" t="s">
        <v>310</v>
      </c>
      <c r="L424" s="737">
        <v>34</v>
      </c>
      <c r="M424" s="737">
        <v>380</v>
      </c>
      <c r="N424" s="739" t="s">
        <v>10</v>
      </c>
    </row>
    <row r="425" spans="1:15" ht="18" thickBot="1" x14ac:dyDescent="0.5">
      <c r="A425" s="782">
        <f t="shared" si="3"/>
        <v>423</v>
      </c>
      <c r="B425" s="782">
        <v>390</v>
      </c>
      <c r="C425" s="782" t="s">
        <v>3</v>
      </c>
      <c r="D425" s="783" t="s">
        <v>105</v>
      </c>
      <c r="E425" s="783" t="s">
        <v>634</v>
      </c>
      <c r="F425" s="783" t="s">
        <v>1617</v>
      </c>
      <c r="G425" s="784">
        <v>44466</v>
      </c>
      <c r="H425" s="783" t="s">
        <v>635</v>
      </c>
      <c r="I425" s="783" t="s">
        <v>51</v>
      </c>
      <c r="J425" s="785" t="s">
        <v>52</v>
      </c>
      <c r="K425" s="786" t="s">
        <v>1641</v>
      </c>
      <c r="L425" s="785">
        <v>18</v>
      </c>
      <c r="M425" s="785">
        <v>18</v>
      </c>
      <c r="N425" s="787" t="s">
        <v>10</v>
      </c>
    </row>
    <row r="426" spans="1:15" x14ac:dyDescent="0.45">
      <c r="A426" s="770">
        <f t="shared" si="3"/>
        <v>424</v>
      </c>
      <c r="B426" s="770">
        <v>391</v>
      </c>
      <c r="C426" s="770" t="s">
        <v>3</v>
      </c>
      <c r="D426" s="771" t="s">
        <v>83</v>
      </c>
      <c r="E426" s="771" t="s">
        <v>480</v>
      </c>
      <c r="F426" s="771" t="s">
        <v>3518</v>
      </c>
      <c r="G426" s="772">
        <v>44483</v>
      </c>
      <c r="H426" s="771" t="s">
        <v>636</v>
      </c>
      <c r="I426" s="771" t="s">
        <v>70</v>
      </c>
      <c r="J426" s="773" t="s">
        <v>71</v>
      </c>
      <c r="K426" s="774">
        <v>9</v>
      </c>
      <c r="L426" s="773">
        <v>37</v>
      </c>
      <c r="M426" s="773">
        <v>77</v>
      </c>
      <c r="N426" s="775" t="s">
        <v>10</v>
      </c>
    </row>
    <row r="427" spans="1:15" x14ac:dyDescent="0.45">
      <c r="A427" s="735">
        <f t="shared" si="3"/>
        <v>425</v>
      </c>
      <c r="B427" s="735">
        <v>392</v>
      </c>
      <c r="C427" s="735" t="s">
        <v>3</v>
      </c>
      <c r="D427" s="733" t="s">
        <v>138</v>
      </c>
      <c r="E427" s="733" t="s">
        <v>178</v>
      </c>
      <c r="F427" s="733" t="s">
        <v>3086</v>
      </c>
      <c r="G427" s="736">
        <v>44485</v>
      </c>
      <c r="H427" s="733" t="s">
        <v>1226</v>
      </c>
      <c r="I427" s="733" t="s">
        <v>17</v>
      </c>
      <c r="J427" s="737" t="s">
        <v>9</v>
      </c>
      <c r="K427" s="738" t="s">
        <v>1819</v>
      </c>
      <c r="L427" s="737">
        <v>19</v>
      </c>
      <c r="M427" s="737">
        <v>121</v>
      </c>
      <c r="N427" s="739" t="s">
        <v>10</v>
      </c>
    </row>
    <row r="428" spans="1:15" x14ac:dyDescent="0.45">
      <c r="A428" s="735">
        <f t="shared" si="3"/>
        <v>426</v>
      </c>
      <c r="B428" s="735">
        <v>393</v>
      </c>
      <c r="C428" s="735" t="s">
        <v>3</v>
      </c>
      <c r="D428" s="733" t="s">
        <v>105</v>
      </c>
      <c r="E428" s="733" t="s">
        <v>637</v>
      </c>
      <c r="F428" s="733" t="s">
        <v>638</v>
      </c>
      <c r="G428" s="736">
        <v>44493</v>
      </c>
      <c r="H428" s="733" t="s">
        <v>639</v>
      </c>
      <c r="I428" s="733" t="s">
        <v>51</v>
      </c>
      <c r="J428" s="737" t="s">
        <v>52</v>
      </c>
      <c r="K428" s="738">
        <v>2</v>
      </c>
      <c r="L428" s="737">
        <v>27</v>
      </c>
      <c r="M428" s="737">
        <v>27</v>
      </c>
      <c r="N428" s="739" t="s">
        <v>10</v>
      </c>
    </row>
    <row r="429" spans="1:15" ht="18" thickBot="1" x14ac:dyDescent="0.5">
      <c r="A429" s="782">
        <f t="shared" ref="A429:A492" si="4">A428+1</f>
        <v>427</v>
      </c>
      <c r="B429" s="782" t="s">
        <v>3</v>
      </c>
      <c r="C429" s="782">
        <v>34</v>
      </c>
      <c r="D429" s="783" t="s">
        <v>409</v>
      </c>
      <c r="E429" s="783" t="s">
        <v>30</v>
      </c>
      <c r="F429" s="783" t="s">
        <v>1513</v>
      </c>
      <c r="G429" s="784">
        <v>44496</v>
      </c>
      <c r="H429" s="783" t="s">
        <v>633</v>
      </c>
      <c r="I429" s="783" t="s">
        <v>70</v>
      </c>
      <c r="J429" s="785" t="s">
        <v>9</v>
      </c>
      <c r="K429" s="786" t="s">
        <v>310</v>
      </c>
      <c r="L429" s="785">
        <v>11</v>
      </c>
      <c r="M429" s="785">
        <v>30</v>
      </c>
      <c r="N429" s="787" t="s">
        <v>10</v>
      </c>
    </row>
    <row r="430" spans="1:15" x14ac:dyDescent="0.45">
      <c r="A430" s="810">
        <f t="shared" si="4"/>
        <v>428</v>
      </c>
      <c r="B430" s="810">
        <v>394</v>
      </c>
      <c r="C430" s="810" t="s">
        <v>3</v>
      </c>
      <c r="D430" s="811" t="s">
        <v>41</v>
      </c>
      <c r="E430" s="811" t="s">
        <v>478</v>
      </c>
      <c r="F430" s="812" t="s">
        <v>1553</v>
      </c>
      <c r="G430" s="813">
        <v>44503</v>
      </c>
      <c r="H430" s="812" t="s">
        <v>640</v>
      </c>
      <c r="I430" s="812" t="s">
        <v>70</v>
      </c>
      <c r="J430" s="814" t="s">
        <v>9</v>
      </c>
      <c r="K430" s="815">
        <v>94</v>
      </c>
      <c r="L430" s="814">
        <v>7</v>
      </c>
      <c r="M430" s="814">
        <v>71</v>
      </c>
      <c r="N430" s="816" t="s">
        <v>10</v>
      </c>
      <c r="O430" s="718" t="s">
        <v>1774</v>
      </c>
    </row>
    <row r="431" spans="1:15" x14ac:dyDescent="0.45">
      <c r="A431" s="735">
        <f t="shared" si="4"/>
        <v>429</v>
      </c>
      <c r="B431" s="735">
        <v>395</v>
      </c>
      <c r="C431" s="735" t="s">
        <v>3</v>
      </c>
      <c r="D431" s="733" t="s">
        <v>355</v>
      </c>
      <c r="E431" s="733" t="s">
        <v>67</v>
      </c>
      <c r="F431" s="733" t="s">
        <v>641</v>
      </c>
      <c r="G431" s="736">
        <v>44505</v>
      </c>
      <c r="H431" s="733" t="s">
        <v>598</v>
      </c>
      <c r="I431" s="733" t="s">
        <v>70</v>
      </c>
      <c r="J431" s="737" t="s">
        <v>71</v>
      </c>
      <c r="K431" s="738">
        <v>16</v>
      </c>
      <c r="L431" s="737">
        <v>22</v>
      </c>
      <c r="M431" s="737">
        <v>93</v>
      </c>
      <c r="N431" s="739" t="s">
        <v>10</v>
      </c>
    </row>
    <row r="432" spans="1:15" x14ac:dyDescent="0.45">
      <c r="A432" s="735">
        <f t="shared" si="4"/>
        <v>430</v>
      </c>
      <c r="B432" s="735">
        <v>396</v>
      </c>
      <c r="C432" s="735" t="s">
        <v>3</v>
      </c>
      <c r="D432" s="733" t="s">
        <v>83</v>
      </c>
      <c r="E432" s="733" t="s">
        <v>575</v>
      </c>
      <c r="F432" s="733" t="s">
        <v>1554</v>
      </c>
      <c r="G432" s="736">
        <v>44506</v>
      </c>
      <c r="H432" s="733" t="s">
        <v>418</v>
      </c>
      <c r="I432" s="733" t="s">
        <v>70</v>
      </c>
      <c r="J432" s="737" t="s">
        <v>52</v>
      </c>
      <c r="K432" s="738">
        <v>3</v>
      </c>
      <c r="L432" s="737">
        <v>13</v>
      </c>
      <c r="M432" s="737">
        <v>23</v>
      </c>
      <c r="N432" s="739" t="s">
        <v>10</v>
      </c>
      <c r="O432" s="711"/>
    </row>
    <row r="433" spans="1:15" x14ac:dyDescent="0.45">
      <c r="A433" s="735">
        <f t="shared" si="4"/>
        <v>431</v>
      </c>
      <c r="B433" s="735">
        <v>397</v>
      </c>
      <c r="C433" s="735" t="s">
        <v>3</v>
      </c>
      <c r="D433" s="733" t="s">
        <v>132</v>
      </c>
      <c r="E433" s="733" t="s">
        <v>472</v>
      </c>
      <c r="F433" s="733" t="s">
        <v>642</v>
      </c>
      <c r="G433" s="736">
        <v>44520</v>
      </c>
      <c r="H433" s="733" t="s">
        <v>643</v>
      </c>
      <c r="I433" s="733" t="s">
        <v>70</v>
      </c>
      <c r="J433" s="737" t="s">
        <v>71</v>
      </c>
      <c r="K433" s="738">
        <v>9</v>
      </c>
      <c r="L433" s="737">
        <v>15</v>
      </c>
      <c r="M433" s="737">
        <v>93</v>
      </c>
      <c r="N433" s="739" t="s">
        <v>10</v>
      </c>
      <c r="O433" s="711"/>
    </row>
    <row r="434" spans="1:15" x14ac:dyDescent="0.45">
      <c r="A434" s="735">
        <f t="shared" si="4"/>
        <v>432</v>
      </c>
      <c r="B434" s="735">
        <v>398</v>
      </c>
      <c r="C434" s="735" t="s">
        <v>3</v>
      </c>
      <c r="D434" s="733" t="s">
        <v>182</v>
      </c>
      <c r="E434" s="733" t="s">
        <v>362</v>
      </c>
      <c r="F434" s="733" t="s">
        <v>644</v>
      </c>
      <c r="G434" s="736">
        <v>44523</v>
      </c>
      <c r="H434" s="733" t="s">
        <v>645</v>
      </c>
      <c r="I434" s="733" t="s">
        <v>70</v>
      </c>
      <c r="J434" s="737" t="s">
        <v>9</v>
      </c>
      <c r="K434" s="738">
        <v>94</v>
      </c>
      <c r="L434" s="737">
        <v>20</v>
      </c>
      <c r="M434" s="737">
        <v>77</v>
      </c>
      <c r="N434" s="739" t="s">
        <v>10</v>
      </c>
      <c r="O434" s="711"/>
    </row>
    <row r="435" spans="1:15" x14ac:dyDescent="0.45">
      <c r="A435" s="735">
        <f t="shared" si="4"/>
        <v>433</v>
      </c>
      <c r="B435" s="735" t="s">
        <v>3</v>
      </c>
      <c r="C435" s="735">
        <v>35</v>
      </c>
      <c r="D435" s="733" t="s">
        <v>409</v>
      </c>
      <c r="E435" s="733" t="s">
        <v>178</v>
      </c>
      <c r="F435" s="733" t="s">
        <v>646</v>
      </c>
      <c r="G435" s="736">
        <v>44525</v>
      </c>
      <c r="H435" s="733" t="s">
        <v>511</v>
      </c>
      <c r="I435" s="733" t="s">
        <v>70</v>
      </c>
      <c r="J435" s="737" t="s">
        <v>9</v>
      </c>
      <c r="K435" s="738" t="s">
        <v>310</v>
      </c>
      <c r="L435" s="737">
        <v>2</v>
      </c>
      <c r="M435" s="737">
        <v>29</v>
      </c>
      <c r="N435" s="739" t="s">
        <v>10</v>
      </c>
      <c r="O435" s="711"/>
    </row>
    <row r="436" spans="1:15" ht="18" thickBot="1" x14ac:dyDescent="0.5">
      <c r="A436" s="782">
        <f t="shared" si="4"/>
        <v>434</v>
      </c>
      <c r="B436" s="782">
        <v>399</v>
      </c>
      <c r="C436" s="782" t="s">
        <v>3</v>
      </c>
      <c r="D436" s="783" t="s">
        <v>105</v>
      </c>
      <c r="E436" s="783" t="s">
        <v>647</v>
      </c>
      <c r="F436" s="783" t="s">
        <v>648</v>
      </c>
      <c r="G436" s="784">
        <v>44527</v>
      </c>
      <c r="H436" s="783" t="s">
        <v>649</v>
      </c>
      <c r="I436" s="783" t="s">
        <v>51</v>
      </c>
      <c r="J436" s="785" t="s">
        <v>52</v>
      </c>
      <c r="K436" s="786">
        <v>2</v>
      </c>
      <c r="L436" s="785">
        <v>21</v>
      </c>
      <c r="M436" s="785">
        <v>34</v>
      </c>
      <c r="N436" s="787" t="s">
        <v>10</v>
      </c>
      <c r="O436" s="711"/>
    </row>
    <row r="437" spans="1:15" x14ac:dyDescent="0.45">
      <c r="A437" s="770">
        <f t="shared" si="4"/>
        <v>435</v>
      </c>
      <c r="B437" s="770" t="s">
        <v>3</v>
      </c>
      <c r="C437" s="770">
        <v>36</v>
      </c>
      <c r="D437" s="771" t="s">
        <v>579</v>
      </c>
      <c r="E437" s="771" t="s">
        <v>45</v>
      </c>
      <c r="F437" s="771" t="s">
        <v>2737</v>
      </c>
      <c r="G437" s="772">
        <v>44537</v>
      </c>
      <c r="H437" s="771" t="s">
        <v>650</v>
      </c>
      <c r="I437" s="825" t="s">
        <v>70</v>
      </c>
      <c r="J437" s="773" t="s">
        <v>9</v>
      </c>
      <c r="K437" s="774" t="s">
        <v>310</v>
      </c>
      <c r="L437" s="773">
        <v>12</v>
      </c>
      <c r="M437" s="773">
        <v>395</v>
      </c>
      <c r="N437" s="775" t="s">
        <v>10</v>
      </c>
      <c r="O437" s="711"/>
    </row>
    <row r="438" spans="1:15" x14ac:dyDescent="0.45">
      <c r="A438" s="735">
        <f t="shared" si="4"/>
        <v>436</v>
      </c>
      <c r="B438" s="735">
        <v>400</v>
      </c>
      <c r="C438" s="735" t="s">
        <v>3</v>
      </c>
      <c r="D438" s="826" t="s">
        <v>132</v>
      </c>
      <c r="E438" s="733" t="s">
        <v>428</v>
      </c>
      <c r="F438" s="733" t="s">
        <v>2701</v>
      </c>
      <c r="G438" s="736">
        <v>44540</v>
      </c>
      <c r="H438" s="733" t="s">
        <v>651</v>
      </c>
      <c r="I438" s="733" t="s">
        <v>70</v>
      </c>
      <c r="J438" s="737" t="s">
        <v>9</v>
      </c>
      <c r="K438" s="738">
        <v>94</v>
      </c>
      <c r="L438" s="737">
        <v>3</v>
      </c>
      <c r="M438" s="737">
        <v>20</v>
      </c>
      <c r="N438" s="739" t="s">
        <v>10</v>
      </c>
      <c r="O438" s="711"/>
    </row>
    <row r="439" spans="1:15" x14ac:dyDescent="0.45">
      <c r="A439" s="735">
        <f t="shared" si="4"/>
        <v>437</v>
      </c>
      <c r="B439" s="735">
        <v>401</v>
      </c>
      <c r="C439" s="735" t="s">
        <v>3</v>
      </c>
      <c r="D439" s="733" t="s">
        <v>105</v>
      </c>
      <c r="E439" s="733" t="s">
        <v>652</v>
      </c>
      <c r="F439" s="733" t="s">
        <v>2726</v>
      </c>
      <c r="G439" s="736">
        <v>44544</v>
      </c>
      <c r="H439" s="733" t="s">
        <v>653</v>
      </c>
      <c r="I439" s="733" t="s">
        <v>51</v>
      </c>
      <c r="J439" s="737" t="s">
        <v>52</v>
      </c>
      <c r="K439" s="738" t="s">
        <v>1641</v>
      </c>
      <c r="L439" s="737">
        <v>17</v>
      </c>
      <c r="M439" s="737">
        <v>17</v>
      </c>
      <c r="N439" s="739" t="s">
        <v>10</v>
      </c>
      <c r="O439" s="711"/>
    </row>
    <row r="440" spans="1:15" x14ac:dyDescent="0.45">
      <c r="A440" s="735">
        <f t="shared" si="4"/>
        <v>438</v>
      </c>
      <c r="B440" s="735" t="s">
        <v>3</v>
      </c>
      <c r="C440" s="735">
        <v>37</v>
      </c>
      <c r="D440" s="733" t="s">
        <v>409</v>
      </c>
      <c r="E440" s="733" t="s">
        <v>1013</v>
      </c>
      <c r="F440" s="733" t="s">
        <v>654</v>
      </c>
      <c r="G440" s="736">
        <v>44545</v>
      </c>
      <c r="H440" s="733" t="s">
        <v>655</v>
      </c>
      <c r="I440" s="733" t="s">
        <v>70</v>
      </c>
      <c r="J440" s="737" t="s">
        <v>9</v>
      </c>
      <c r="K440" s="738" t="s">
        <v>310</v>
      </c>
      <c r="L440" s="737">
        <v>5</v>
      </c>
      <c r="M440" s="737">
        <v>20</v>
      </c>
      <c r="N440" s="746" t="s">
        <v>18</v>
      </c>
      <c r="O440" s="711"/>
    </row>
    <row r="441" spans="1:15" x14ac:dyDescent="0.45">
      <c r="A441" s="735">
        <f t="shared" si="4"/>
        <v>439</v>
      </c>
      <c r="B441" s="735">
        <v>402</v>
      </c>
      <c r="C441" s="735" t="s">
        <v>3</v>
      </c>
      <c r="D441" s="733" t="s">
        <v>543</v>
      </c>
      <c r="E441" s="733" t="s">
        <v>21</v>
      </c>
      <c r="F441" s="733" t="s">
        <v>1555</v>
      </c>
      <c r="G441" s="736">
        <v>44553</v>
      </c>
      <c r="H441" s="733" t="s">
        <v>656</v>
      </c>
      <c r="I441" s="733" t="s">
        <v>51</v>
      </c>
      <c r="J441" s="737" t="s">
        <v>388</v>
      </c>
      <c r="K441" s="738">
        <v>201</v>
      </c>
      <c r="L441" s="737">
        <v>94</v>
      </c>
      <c r="M441" s="737">
        <v>286</v>
      </c>
      <c r="N441" s="739" t="s">
        <v>10</v>
      </c>
      <c r="O441" s="711"/>
    </row>
    <row r="442" spans="1:15" x14ac:dyDescent="0.45">
      <c r="A442" s="735">
        <f t="shared" si="4"/>
        <v>440</v>
      </c>
      <c r="B442" s="735">
        <v>403</v>
      </c>
      <c r="C442" s="735" t="s">
        <v>3</v>
      </c>
      <c r="D442" s="733" t="s">
        <v>182</v>
      </c>
      <c r="E442" s="733" t="s">
        <v>406</v>
      </c>
      <c r="F442" s="733" t="s">
        <v>2361</v>
      </c>
      <c r="G442" s="736">
        <v>44556</v>
      </c>
      <c r="H442" s="733" t="s">
        <v>657</v>
      </c>
      <c r="I442" s="733" t="s">
        <v>70</v>
      </c>
      <c r="J442" s="737" t="s">
        <v>71</v>
      </c>
      <c r="K442" s="738">
        <v>9</v>
      </c>
      <c r="L442" s="737">
        <v>36</v>
      </c>
      <c r="M442" s="737">
        <v>33</v>
      </c>
      <c r="N442" s="739" t="s">
        <v>10</v>
      </c>
      <c r="O442" s="711"/>
    </row>
    <row r="443" spans="1:15" x14ac:dyDescent="0.45">
      <c r="A443" s="735">
        <f t="shared" si="4"/>
        <v>441</v>
      </c>
      <c r="B443" s="735">
        <v>404</v>
      </c>
      <c r="C443" s="735" t="s">
        <v>3</v>
      </c>
      <c r="D443" s="733" t="s">
        <v>83</v>
      </c>
      <c r="E443" s="733" t="s">
        <v>478</v>
      </c>
      <c r="F443" s="733" t="s">
        <v>658</v>
      </c>
      <c r="G443" s="736">
        <v>44559</v>
      </c>
      <c r="H443" s="733" t="s">
        <v>659</v>
      </c>
      <c r="I443" s="733" t="s">
        <v>70</v>
      </c>
      <c r="J443" s="737" t="s">
        <v>9</v>
      </c>
      <c r="K443" s="738">
        <v>94</v>
      </c>
      <c r="L443" s="737">
        <v>14</v>
      </c>
      <c r="M443" s="737">
        <v>53</v>
      </c>
      <c r="N443" s="739" t="s">
        <v>10</v>
      </c>
      <c r="O443" s="711"/>
    </row>
    <row r="444" spans="1:15" ht="18" thickBot="1" x14ac:dyDescent="0.5">
      <c r="A444" s="740">
        <f t="shared" si="4"/>
        <v>442</v>
      </c>
      <c r="B444" s="740">
        <v>405</v>
      </c>
      <c r="C444" s="740" t="s">
        <v>3</v>
      </c>
      <c r="D444" s="741" t="s">
        <v>105</v>
      </c>
      <c r="E444" s="741" t="s">
        <v>660</v>
      </c>
      <c r="F444" s="741" t="s">
        <v>661</v>
      </c>
      <c r="G444" s="742">
        <v>44560</v>
      </c>
      <c r="H444" s="741" t="s">
        <v>662</v>
      </c>
      <c r="I444" s="741" t="s">
        <v>51</v>
      </c>
      <c r="J444" s="743" t="s">
        <v>52</v>
      </c>
      <c r="K444" s="744">
        <v>2</v>
      </c>
      <c r="L444" s="743">
        <v>16</v>
      </c>
      <c r="M444" s="743">
        <v>16</v>
      </c>
      <c r="N444" s="745" t="s">
        <v>10</v>
      </c>
      <c r="O444" s="711"/>
    </row>
    <row r="445" spans="1:15" ht="18" thickTop="1" x14ac:dyDescent="0.45">
      <c r="A445" s="726">
        <f t="shared" si="4"/>
        <v>443</v>
      </c>
      <c r="B445" s="726">
        <v>406</v>
      </c>
      <c r="C445" s="726" t="s">
        <v>3</v>
      </c>
      <c r="D445" s="727" t="s">
        <v>83</v>
      </c>
      <c r="E445" s="727" t="s">
        <v>582</v>
      </c>
      <c r="F445" s="727" t="s">
        <v>663</v>
      </c>
      <c r="G445" s="728">
        <v>44578</v>
      </c>
      <c r="H445" s="727" t="s">
        <v>664</v>
      </c>
      <c r="I445" s="727" t="s">
        <v>70</v>
      </c>
      <c r="J445" s="729" t="s">
        <v>71</v>
      </c>
      <c r="K445" s="730">
        <v>9</v>
      </c>
      <c r="L445" s="729">
        <v>22</v>
      </c>
      <c r="M445" s="729">
        <v>19</v>
      </c>
      <c r="N445" s="734" t="s">
        <v>10</v>
      </c>
      <c r="O445" s="711"/>
    </row>
    <row r="446" spans="1:15" ht="18" thickBot="1" x14ac:dyDescent="0.5">
      <c r="A446" s="782">
        <f t="shared" si="4"/>
        <v>444</v>
      </c>
      <c r="B446" s="782">
        <v>407</v>
      </c>
      <c r="C446" s="782" t="s">
        <v>3</v>
      </c>
      <c r="D446" s="827" t="s">
        <v>182</v>
      </c>
      <c r="E446" s="783" t="s">
        <v>345</v>
      </c>
      <c r="F446" s="783" t="s">
        <v>665</v>
      </c>
      <c r="G446" s="784">
        <v>44587</v>
      </c>
      <c r="H446" s="783" t="s">
        <v>559</v>
      </c>
      <c r="I446" s="783" t="s">
        <v>70</v>
      </c>
      <c r="J446" s="785" t="s">
        <v>9</v>
      </c>
      <c r="K446" s="786">
        <v>94</v>
      </c>
      <c r="L446" s="785">
        <v>28</v>
      </c>
      <c r="M446" s="785">
        <v>31</v>
      </c>
      <c r="N446" s="787" t="s">
        <v>10</v>
      </c>
      <c r="O446" s="711"/>
    </row>
    <row r="447" spans="1:15" x14ac:dyDescent="0.45">
      <c r="A447" s="735">
        <f t="shared" si="4"/>
        <v>445</v>
      </c>
      <c r="B447" s="735">
        <v>408</v>
      </c>
      <c r="C447" s="735" t="s">
        <v>3</v>
      </c>
      <c r="D447" s="826" t="s">
        <v>182</v>
      </c>
      <c r="E447" s="771" t="s">
        <v>348</v>
      </c>
      <c r="F447" s="733" t="s">
        <v>666</v>
      </c>
      <c r="G447" s="736">
        <v>44619</v>
      </c>
      <c r="H447" s="733" t="s">
        <v>559</v>
      </c>
      <c r="I447" s="733" t="s">
        <v>70</v>
      </c>
      <c r="J447" s="737" t="s">
        <v>9</v>
      </c>
      <c r="K447" s="738">
        <v>94</v>
      </c>
      <c r="L447" s="737">
        <v>32</v>
      </c>
      <c r="M447" s="737">
        <v>32</v>
      </c>
      <c r="N447" s="775" t="s">
        <v>10</v>
      </c>
      <c r="O447" s="711"/>
    </row>
    <row r="448" spans="1:15" ht="18" thickBot="1" x14ac:dyDescent="0.5">
      <c r="A448" s="782">
        <f t="shared" si="4"/>
        <v>446</v>
      </c>
      <c r="B448" s="782">
        <v>409</v>
      </c>
      <c r="C448" s="782" t="s">
        <v>3</v>
      </c>
      <c r="D448" s="783" t="s">
        <v>585</v>
      </c>
      <c r="E448" s="758" t="s">
        <v>45</v>
      </c>
      <c r="F448" s="783" t="s">
        <v>3579</v>
      </c>
      <c r="G448" s="784">
        <v>44619</v>
      </c>
      <c r="H448" s="783" t="s">
        <v>667</v>
      </c>
      <c r="I448" s="783" t="s">
        <v>70</v>
      </c>
      <c r="J448" s="785" t="s">
        <v>388</v>
      </c>
      <c r="K448" s="786">
        <v>2</v>
      </c>
      <c r="L448" s="785">
        <v>66</v>
      </c>
      <c r="M448" s="785">
        <v>432</v>
      </c>
      <c r="N448" s="762" t="s">
        <v>10</v>
      </c>
    </row>
    <row r="449" spans="1:15" x14ac:dyDescent="0.45">
      <c r="A449" s="828">
        <f t="shared" si="4"/>
        <v>447</v>
      </c>
      <c r="B449" s="828">
        <v>410</v>
      </c>
      <c r="C449" s="828" t="s">
        <v>3</v>
      </c>
      <c r="D449" s="821" t="s">
        <v>41</v>
      </c>
      <c r="E449" s="821" t="s">
        <v>535</v>
      </c>
      <c r="F449" s="821" t="s">
        <v>2362</v>
      </c>
      <c r="G449" s="829">
        <v>44625</v>
      </c>
      <c r="H449" s="821" t="s">
        <v>668</v>
      </c>
      <c r="I449" s="821" t="s">
        <v>17</v>
      </c>
      <c r="J449" s="830" t="s">
        <v>52</v>
      </c>
      <c r="K449" s="831">
        <v>3</v>
      </c>
      <c r="L449" s="830">
        <v>65</v>
      </c>
      <c r="M449" s="830">
        <v>122</v>
      </c>
      <c r="N449" s="832" t="s">
        <v>10</v>
      </c>
    </row>
    <row r="450" spans="1:15" x14ac:dyDescent="0.45">
      <c r="A450" s="735">
        <f t="shared" si="4"/>
        <v>448</v>
      </c>
      <c r="B450" s="735">
        <v>411</v>
      </c>
      <c r="C450" s="735" t="s">
        <v>3</v>
      </c>
      <c r="D450" s="733" t="s">
        <v>182</v>
      </c>
      <c r="E450" s="733" t="s">
        <v>428</v>
      </c>
      <c r="F450" s="733" t="s">
        <v>1132</v>
      </c>
      <c r="G450" s="736">
        <v>44637</v>
      </c>
      <c r="H450" s="733" t="s">
        <v>669</v>
      </c>
      <c r="I450" s="733" t="s">
        <v>70</v>
      </c>
      <c r="J450" s="737" t="s">
        <v>9</v>
      </c>
      <c r="K450" s="738">
        <v>94</v>
      </c>
      <c r="L450" s="737">
        <v>18</v>
      </c>
      <c r="M450" s="737">
        <v>18</v>
      </c>
      <c r="N450" s="739" t="s">
        <v>10</v>
      </c>
    </row>
    <row r="451" spans="1:15" x14ac:dyDescent="0.45">
      <c r="A451" s="735">
        <f t="shared" si="4"/>
        <v>449</v>
      </c>
      <c r="B451" s="735">
        <v>412</v>
      </c>
      <c r="C451" s="735" t="s">
        <v>3</v>
      </c>
      <c r="D451" s="733" t="s">
        <v>670</v>
      </c>
      <c r="E451" s="733" t="s">
        <v>42</v>
      </c>
      <c r="F451" s="733" t="s">
        <v>2363</v>
      </c>
      <c r="G451" s="736">
        <v>44649</v>
      </c>
      <c r="H451" s="733" t="s">
        <v>671</v>
      </c>
      <c r="I451" s="733" t="s">
        <v>70</v>
      </c>
      <c r="J451" s="737" t="s">
        <v>71</v>
      </c>
      <c r="K451" s="738" t="s">
        <v>672</v>
      </c>
      <c r="L451" s="737">
        <v>71</v>
      </c>
      <c r="M451" s="737" t="s">
        <v>1012</v>
      </c>
      <c r="N451" s="739" t="s">
        <v>10</v>
      </c>
    </row>
    <row r="452" spans="1:15" ht="18" thickBot="1" x14ac:dyDescent="0.5">
      <c r="A452" s="782">
        <f t="shared" si="4"/>
        <v>450</v>
      </c>
      <c r="B452" s="782">
        <v>413</v>
      </c>
      <c r="C452" s="782" t="s">
        <v>3</v>
      </c>
      <c r="D452" s="783" t="s">
        <v>357</v>
      </c>
      <c r="E452" s="783" t="s">
        <v>86</v>
      </c>
      <c r="F452" s="783" t="s">
        <v>673</v>
      </c>
      <c r="G452" s="784">
        <v>44650</v>
      </c>
      <c r="H452" s="783" t="s">
        <v>674</v>
      </c>
      <c r="I452" s="783" t="s">
        <v>70</v>
      </c>
      <c r="J452" s="785" t="s">
        <v>9</v>
      </c>
      <c r="K452" s="786" t="s">
        <v>310</v>
      </c>
      <c r="L452" s="785">
        <v>13</v>
      </c>
      <c r="M452" s="785">
        <v>475</v>
      </c>
      <c r="N452" s="787" t="s">
        <v>10</v>
      </c>
    </row>
    <row r="453" spans="1:15" x14ac:dyDescent="0.45">
      <c r="A453" s="828">
        <f t="shared" si="4"/>
        <v>451</v>
      </c>
      <c r="B453" s="828">
        <v>414</v>
      </c>
      <c r="C453" s="828" t="s">
        <v>3</v>
      </c>
      <c r="D453" s="821" t="s">
        <v>182</v>
      </c>
      <c r="E453" s="821" t="s">
        <v>370</v>
      </c>
      <c r="F453" s="821" t="s">
        <v>1117</v>
      </c>
      <c r="G453" s="829">
        <v>44658</v>
      </c>
      <c r="H453" s="821" t="s">
        <v>675</v>
      </c>
      <c r="I453" s="821" t="s">
        <v>70</v>
      </c>
      <c r="J453" s="830" t="s">
        <v>9</v>
      </c>
      <c r="K453" s="831">
        <v>94</v>
      </c>
      <c r="L453" s="830">
        <v>8</v>
      </c>
      <c r="M453" s="830">
        <v>21</v>
      </c>
      <c r="N453" s="775" t="s">
        <v>10</v>
      </c>
    </row>
    <row r="454" spans="1:15" x14ac:dyDescent="0.45">
      <c r="A454" s="735">
        <f t="shared" si="4"/>
        <v>452</v>
      </c>
      <c r="B454" s="735">
        <v>415</v>
      </c>
      <c r="C454" s="735" t="s">
        <v>3</v>
      </c>
      <c r="D454" s="733" t="s">
        <v>105</v>
      </c>
      <c r="E454" s="733" t="s">
        <v>676</v>
      </c>
      <c r="F454" s="733" t="s">
        <v>677</v>
      </c>
      <c r="G454" s="736">
        <v>44666</v>
      </c>
      <c r="H454" s="733" t="s">
        <v>177</v>
      </c>
      <c r="I454" s="733" t="s">
        <v>51</v>
      </c>
      <c r="J454" s="737" t="s">
        <v>52</v>
      </c>
      <c r="K454" s="738">
        <v>2</v>
      </c>
      <c r="L454" s="737">
        <v>41</v>
      </c>
      <c r="M454" s="737">
        <v>106</v>
      </c>
      <c r="N454" s="739" t="s">
        <v>10</v>
      </c>
    </row>
    <row r="455" spans="1:15" x14ac:dyDescent="0.45">
      <c r="A455" s="735">
        <f t="shared" si="4"/>
        <v>453</v>
      </c>
      <c r="B455" s="735">
        <v>416</v>
      </c>
      <c r="C455" s="735" t="s">
        <v>3</v>
      </c>
      <c r="D455" s="733" t="s">
        <v>182</v>
      </c>
      <c r="E455" s="733" t="s">
        <v>314</v>
      </c>
      <c r="F455" s="733" t="s">
        <v>3519</v>
      </c>
      <c r="G455" s="736">
        <v>44667</v>
      </c>
      <c r="H455" s="733" t="s">
        <v>678</v>
      </c>
      <c r="I455" s="733" t="s">
        <v>70</v>
      </c>
      <c r="J455" s="737" t="s">
        <v>71</v>
      </c>
      <c r="K455" s="738">
        <v>9</v>
      </c>
      <c r="L455" s="737">
        <v>18</v>
      </c>
      <c r="M455" s="737">
        <v>9</v>
      </c>
      <c r="N455" s="739" t="s">
        <v>10</v>
      </c>
    </row>
    <row r="456" spans="1:15" x14ac:dyDescent="0.45">
      <c r="A456" s="735">
        <f t="shared" si="4"/>
        <v>454</v>
      </c>
      <c r="B456" s="735">
        <v>417</v>
      </c>
      <c r="C456" s="735" t="s">
        <v>3</v>
      </c>
      <c r="D456" s="733" t="s">
        <v>41</v>
      </c>
      <c r="E456" s="733" t="s">
        <v>582</v>
      </c>
      <c r="F456" s="733" t="s">
        <v>1556</v>
      </c>
      <c r="G456" s="736">
        <v>44680</v>
      </c>
      <c r="H456" s="733" t="s">
        <v>679</v>
      </c>
      <c r="I456" s="733" t="s">
        <v>70</v>
      </c>
      <c r="J456" s="737" t="s">
        <v>9</v>
      </c>
      <c r="K456" s="738">
        <v>94</v>
      </c>
      <c r="L456" s="737">
        <v>22</v>
      </c>
      <c r="M456" s="737">
        <v>55</v>
      </c>
      <c r="N456" s="739" t="s">
        <v>10</v>
      </c>
    </row>
    <row r="457" spans="1:15" ht="18" thickBot="1" x14ac:dyDescent="0.5">
      <c r="A457" s="782">
        <f t="shared" si="4"/>
        <v>455</v>
      </c>
      <c r="B457" s="782">
        <v>418</v>
      </c>
      <c r="C457" s="782" t="s">
        <v>3</v>
      </c>
      <c r="D457" s="783" t="s">
        <v>501</v>
      </c>
      <c r="E457" s="783" t="s">
        <v>21</v>
      </c>
      <c r="F457" s="783" t="s">
        <v>3580</v>
      </c>
      <c r="G457" s="784">
        <v>44681</v>
      </c>
      <c r="H457" s="783" t="s">
        <v>463</v>
      </c>
      <c r="I457" s="783" t="s">
        <v>70</v>
      </c>
      <c r="J457" s="833" t="s">
        <v>503</v>
      </c>
      <c r="K457" s="819" t="s">
        <v>2318</v>
      </c>
      <c r="L457" s="833">
        <v>592</v>
      </c>
      <c r="M457" s="833">
        <v>592</v>
      </c>
      <c r="N457" s="787" t="s">
        <v>10</v>
      </c>
    </row>
    <row r="458" spans="1:15" x14ac:dyDescent="0.45">
      <c r="A458" s="828">
        <f t="shared" si="4"/>
        <v>456</v>
      </c>
      <c r="B458" s="828">
        <v>419</v>
      </c>
      <c r="C458" s="828" t="s">
        <v>3</v>
      </c>
      <c r="D458" s="821" t="s">
        <v>83</v>
      </c>
      <c r="E458" s="821" t="s">
        <v>647</v>
      </c>
      <c r="F458" s="821" t="s">
        <v>3505</v>
      </c>
      <c r="G458" s="829">
        <v>44686</v>
      </c>
      <c r="H458" s="821" t="s">
        <v>680</v>
      </c>
      <c r="I458" s="821" t="s">
        <v>70</v>
      </c>
      <c r="J458" s="830" t="s">
        <v>71</v>
      </c>
      <c r="K458" s="831">
        <v>9</v>
      </c>
      <c r="L458" s="830">
        <v>19</v>
      </c>
      <c r="M458" s="830">
        <v>108</v>
      </c>
      <c r="N458" s="775" t="s">
        <v>10</v>
      </c>
    </row>
    <row r="459" spans="1:15" x14ac:dyDescent="0.45">
      <c r="A459" s="735">
        <f t="shared" si="4"/>
        <v>457</v>
      </c>
      <c r="B459" s="735">
        <v>420</v>
      </c>
      <c r="C459" s="735" t="s">
        <v>3</v>
      </c>
      <c r="D459" s="733" t="s">
        <v>386</v>
      </c>
      <c r="E459" s="733" t="s">
        <v>30</v>
      </c>
      <c r="F459" s="733" t="s">
        <v>2364</v>
      </c>
      <c r="G459" s="736">
        <v>44691</v>
      </c>
      <c r="H459" s="733" t="s">
        <v>681</v>
      </c>
      <c r="I459" s="733" t="s">
        <v>17</v>
      </c>
      <c r="J459" s="737" t="s">
        <v>388</v>
      </c>
      <c r="K459" s="738">
        <v>201</v>
      </c>
      <c r="L459" s="737">
        <v>72</v>
      </c>
      <c r="M459" s="737">
        <v>232</v>
      </c>
      <c r="N459" s="739" t="s">
        <v>10</v>
      </c>
    </row>
    <row r="460" spans="1:15" x14ac:dyDescent="0.45">
      <c r="A460" s="735">
        <f t="shared" si="4"/>
        <v>458</v>
      </c>
      <c r="B460" s="735" t="s">
        <v>3</v>
      </c>
      <c r="C460" s="735">
        <v>38</v>
      </c>
      <c r="D460" s="733" t="s">
        <v>506</v>
      </c>
      <c r="E460" s="733" t="s">
        <v>5</v>
      </c>
      <c r="F460" s="733" t="s">
        <v>619</v>
      </c>
      <c r="G460" s="736">
        <v>44694</v>
      </c>
      <c r="H460" s="733" t="s">
        <v>669</v>
      </c>
      <c r="I460" s="733" t="s">
        <v>70</v>
      </c>
      <c r="J460" s="737" t="s">
        <v>9</v>
      </c>
      <c r="K460" s="738" t="s">
        <v>310</v>
      </c>
      <c r="L460" s="804">
        <v>14</v>
      </c>
      <c r="M460" s="737">
        <v>283</v>
      </c>
      <c r="N460" s="746" t="s">
        <v>18</v>
      </c>
    </row>
    <row r="461" spans="1:15" x14ac:dyDescent="0.45">
      <c r="A461" s="800">
        <f t="shared" si="4"/>
        <v>459</v>
      </c>
      <c r="B461" s="800">
        <v>421</v>
      </c>
      <c r="C461" s="800" t="s">
        <v>3</v>
      </c>
      <c r="D461" s="801" t="s">
        <v>41</v>
      </c>
      <c r="E461" s="801" t="s">
        <v>480</v>
      </c>
      <c r="F461" s="802" t="s">
        <v>1950</v>
      </c>
      <c r="G461" s="803">
        <v>44701</v>
      </c>
      <c r="H461" s="802" t="s">
        <v>682</v>
      </c>
      <c r="I461" s="802" t="s">
        <v>70</v>
      </c>
      <c r="J461" s="804" t="s">
        <v>9</v>
      </c>
      <c r="K461" s="805">
        <v>94</v>
      </c>
      <c r="L461" s="804">
        <v>7</v>
      </c>
      <c r="M461" s="804">
        <v>21</v>
      </c>
      <c r="N461" s="806" t="s">
        <v>10</v>
      </c>
      <c r="O461" s="718" t="s">
        <v>1775</v>
      </c>
    </row>
    <row r="462" spans="1:15" x14ac:dyDescent="0.45">
      <c r="A462" s="735">
        <f t="shared" si="4"/>
        <v>460</v>
      </c>
      <c r="B462" s="735">
        <v>422</v>
      </c>
      <c r="C462" s="735" t="s">
        <v>3</v>
      </c>
      <c r="D462" s="733" t="s">
        <v>41</v>
      </c>
      <c r="E462" s="733" t="s">
        <v>513</v>
      </c>
      <c r="F462" s="733" t="s">
        <v>2734</v>
      </c>
      <c r="G462" s="736">
        <v>44714</v>
      </c>
      <c r="H462" s="733" t="s">
        <v>683</v>
      </c>
      <c r="I462" s="733" t="s">
        <v>17</v>
      </c>
      <c r="J462" s="737" t="s">
        <v>52</v>
      </c>
      <c r="K462" s="738">
        <v>3</v>
      </c>
      <c r="L462" s="737">
        <v>48</v>
      </c>
      <c r="M462" s="737">
        <v>13</v>
      </c>
      <c r="N462" s="739" t="s">
        <v>10</v>
      </c>
    </row>
    <row r="463" spans="1:15" x14ac:dyDescent="0.45">
      <c r="A463" s="735">
        <f t="shared" si="4"/>
        <v>461</v>
      </c>
      <c r="B463" s="735">
        <v>423</v>
      </c>
      <c r="C463" s="735" t="s">
        <v>3</v>
      </c>
      <c r="D463" s="733" t="s">
        <v>138</v>
      </c>
      <c r="E463" s="733" t="s">
        <v>109</v>
      </c>
      <c r="F463" s="733" t="s">
        <v>3087</v>
      </c>
      <c r="G463" s="736">
        <v>44717</v>
      </c>
      <c r="H463" s="733" t="s">
        <v>684</v>
      </c>
      <c r="I463" s="733" t="s">
        <v>17</v>
      </c>
      <c r="J463" s="737" t="s">
        <v>9</v>
      </c>
      <c r="K463" s="738" t="s">
        <v>1819</v>
      </c>
      <c r="L463" s="737">
        <v>16</v>
      </c>
      <c r="M463" s="737">
        <v>232</v>
      </c>
      <c r="N463" s="739" t="s">
        <v>10</v>
      </c>
    </row>
    <row r="464" spans="1:15" x14ac:dyDescent="0.45">
      <c r="A464" s="735">
        <f t="shared" si="4"/>
        <v>462</v>
      </c>
      <c r="B464" s="735" t="s">
        <v>3</v>
      </c>
      <c r="C464" s="735">
        <v>39</v>
      </c>
      <c r="D464" s="733" t="s">
        <v>409</v>
      </c>
      <c r="E464" s="733" t="s">
        <v>241</v>
      </c>
      <c r="F464" s="733" t="s">
        <v>685</v>
      </c>
      <c r="G464" s="736">
        <v>44734</v>
      </c>
      <c r="H464" s="733" t="s">
        <v>686</v>
      </c>
      <c r="I464" s="733" t="s">
        <v>70</v>
      </c>
      <c r="J464" s="737" t="s">
        <v>9</v>
      </c>
      <c r="K464" s="738" t="s">
        <v>687</v>
      </c>
      <c r="L464" s="737">
        <v>17</v>
      </c>
      <c r="M464" s="737">
        <v>189</v>
      </c>
      <c r="N464" s="739" t="s">
        <v>10</v>
      </c>
      <c r="O464" s="711"/>
    </row>
    <row r="465" spans="1:15" x14ac:dyDescent="0.45">
      <c r="A465" s="735">
        <f t="shared" si="4"/>
        <v>463</v>
      </c>
      <c r="B465" s="735">
        <v>424</v>
      </c>
      <c r="C465" s="735" t="s">
        <v>3</v>
      </c>
      <c r="D465" s="733" t="s">
        <v>83</v>
      </c>
      <c r="E465" s="733" t="s">
        <v>560</v>
      </c>
      <c r="F465" s="733" t="s">
        <v>1557</v>
      </c>
      <c r="G465" s="736">
        <v>44735</v>
      </c>
      <c r="H465" s="733" t="s">
        <v>596</v>
      </c>
      <c r="I465" s="733" t="s">
        <v>17</v>
      </c>
      <c r="J465" s="737" t="s">
        <v>52</v>
      </c>
      <c r="K465" s="738">
        <v>3</v>
      </c>
      <c r="L465" s="737">
        <v>21</v>
      </c>
      <c r="M465" s="737">
        <v>49</v>
      </c>
      <c r="N465" s="739" t="s">
        <v>10</v>
      </c>
      <c r="O465" s="711"/>
    </row>
    <row r="466" spans="1:15" ht="18" thickBot="1" x14ac:dyDescent="0.5">
      <c r="A466" s="782">
        <f t="shared" si="4"/>
        <v>464</v>
      </c>
      <c r="B466" s="782">
        <v>425</v>
      </c>
      <c r="C466" s="782" t="s">
        <v>3</v>
      </c>
      <c r="D466" s="783" t="s">
        <v>182</v>
      </c>
      <c r="E466" s="783" t="s">
        <v>570</v>
      </c>
      <c r="F466" s="783" t="s">
        <v>688</v>
      </c>
      <c r="G466" s="784">
        <v>44739</v>
      </c>
      <c r="H466" s="783" t="s">
        <v>689</v>
      </c>
      <c r="I466" s="783" t="s">
        <v>70</v>
      </c>
      <c r="J466" s="785" t="s">
        <v>9</v>
      </c>
      <c r="K466" s="786">
        <v>94</v>
      </c>
      <c r="L466" s="785">
        <v>5</v>
      </c>
      <c r="M466" s="785">
        <v>72</v>
      </c>
      <c r="N466" s="787" t="s">
        <v>10</v>
      </c>
      <c r="O466" s="711"/>
    </row>
    <row r="467" spans="1:15" x14ac:dyDescent="0.45">
      <c r="A467" s="828">
        <f t="shared" si="4"/>
        <v>465</v>
      </c>
      <c r="B467" s="828">
        <v>426</v>
      </c>
      <c r="C467" s="828" t="s">
        <v>3</v>
      </c>
      <c r="D467" s="821" t="s">
        <v>105</v>
      </c>
      <c r="E467" s="821" t="s">
        <v>690</v>
      </c>
      <c r="F467" s="821" t="s">
        <v>691</v>
      </c>
      <c r="G467" s="829">
        <v>44755</v>
      </c>
      <c r="H467" s="821" t="s">
        <v>692</v>
      </c>
      <c r="I467" s="821" t="s">
        <v>51</v>
      </c>
      <c r="J467" s="830" t="s">
        <v>52</v>
      </c>
      <c r="K467" s="831">
        <v>2</v>
      </c>
      <c r="L467" s="830">
        <v>20</v>
      </c>
      <c r="M467" s="830">
        <v>89</v>
      </c>
      <c r="N467" s="832" t="s">
        <v>10</v>
      </c>
      <c r="O467" s="711"/>
    </row>
    <row r="468" spans="1:15" x14ac:dyDescent="0.45">
      <c r="A468" s="735">
        <f t="shared" si="4"/>
        <v>466</v>
      </c>
      <c r="B468" s="735">
        <v>427</v>
      </c>
      <c r="C468" s="735" t="s">
        <v>3</v>
      </c>
      <c r="D468" s="733" t="s">
        <v>41</v>
      </c>
      <c r="E468" s="733" t="s">
        <v>546</v>
      </c>
      <c r="F468" s="733" t="s">
        <v>1558</v>
      </c>
      <c r="G468" s="736">
        <v>44758</v>
      </c>
      <c r="H468" s="733" t="s">
        <v>474</v>
      </c>
      <c r="I468" s="733" t="s">
        <v>70</v>
      </c>
      <c r="J468" s="737" t="s">
        <v>71</v>
      </c>
      <c r="K468" s="738">
        <v>9</v>
      </c>
      <c r="L468" s="737">
        <v>72</v>
      </c>
      <c r="M468" s="737">
        <v>44</v>
      </c>
      <c r="N468" s="739" t="s">
        <v>10</v>
      </c>
      <c r="O468" s="711"/>
    </row>
    <row r="469" spans="1:15" x14ac:dyDescent="0.45">
      <c r="A469" s="735">
        <f t="shared" si="4"/>
        <v>467</v>
      </c>
      <c r="B469" s="735">
        <v>428</v>
      </c>
      <c r="C469" s="735" t="s">
        <v>3</v>
      </c>
      <c r="D469" s="733" t="s">
        <v>548</v>
      </c>
      <c r="E469" s="733" t="s">
        <v>21</v>
      </c>
      <c r="F469" s="733" t="s">
        <v>693</v>
      </c>
      <c r="G469" s="736">
        <v>44766</v>
      </c>
      <c r="H469" s="733" t="s">
        <v>694</v>
      </c>
      <c r="I469" s="733" t="s">
        <v>17</v>
      </c>
      <c r="J469" s="737" t="s">
        <v>388</v>
      </c>
      <c r="K469" s="738">
        <v>101</v>
      </c>
      <c r="L469" s="737">
        <v>75</v>
      </c>
      <c r="M469" s="737">
        <v>451</v>
      </c>
      <c r="N469" s="739" t="s">
        <v>10</v>
      </c>
      <c r="O469" s="711"/>
    </row>
    <row r="470" spans="1:15" x14ac:dyDescent="0.45">
      <c r="A470" s="735">
        <f t="shared" si="4"/>
        <v>468</v>
      </c>
      <c r="B470" s="735" t="s">
        <v>3</v>
      </c>
      <c r="C470" s="735">
        <v>40</v>
      </c>
      <c r="D470" s="733" t="s">
        <v>1008</v>
      </c>
      <c r="E470" s="733" t="s">
        <v>42</v>
      </c>
      <c r="F470" s="733" t="s">
        <v>2694</v>
      </c>
      <c r="G470" s="736">
        <v>44769</v>
      </c>
      <c r="H470" s="733" t="s">
        <v>444</v>
      </c>
      <c r="I470" s="733" t="s">
        <v>70</v>
      </c>
      <c r="J470" s="737" t="s">
        <v>9</v>
      </c>
      <c r="K470" s="738">
        <v>96</v>
      </c>
      <c r="L470" s="737">
        <v>30</v>
      </c>
      <c r="M470" s="737" t="s">
        <v>1012</v>
      </c>
      <c r="N470" s="739" t="s">
        <v>10</v>
      </c>
      <c r="O470" s="711"/>
    </row>
    <row r="471" spans="1:15" ht="18" thickBot="1" x14ac:dyDescent="0.5">
      <c r="A471" s="782">
        <f t="shared" si="4"/>
        <v>469</v>
      </c>
      <c r="B471" s="782">
        <v>429</v>
      </c>
      <c r="C471" s="782" t="s">
        <v>3</v>
      </c>
      <c r="D471" s="783" t="s">
        <v>83</v>
      </c>
      <c r="E471" s="783" t="s">
        <v>513</v>
      </c>
      <c r="F471" s="783" t="s">
        <v>1559</v>
      </c>
      <c r="G471" s="784">
        <v>44771</v>
      </c>
      <c r="H471" s="783" t="s">
        <v>696</v>
      </c>
      <c r="I471" s="783" t="s">
        <v>17</v>
      </c>
      <c r="J471" s="785" t="s">
        <v>52</v>
      </c>
      <c r="K471" s="786">
        <v>3</v>
      </c>
      <c r="L471" s="785">
        <v>16</v>
      </c>
      <c r="M471" s="785">
        <v>36</v>
      </c>
      <c r="N471" s="787" t="s">
        <v>10</v>
      </c>
      <c r="O471" s="711"/>
    </row>
    <row r="472" spans="1:15" x14ac:dyDescent="0.45">
      <c r="A472" s="828">
        <f t="shared" si="4"/>
        <v>470</v>
      </c>
      <c r="B472" s="828">
        <v>430</v>
      </c>
      <c r="C472" s="828" t="s">
        <v>3</v>
      </c>
      <c r="D472" s="821" t="s">
        <v>132</v>
      </c>
      <c r="E472" s="821" t="s">
        <v>431</v>
      </c>
      <c r="F472" s="821" t="s">
        <v>2365</v>
      </c>
      <c r="G472" s="829">
        <v>44777</v>
      </c>
      <c r="H472" s="821" t="s">
        <v>697</v>
      </c>
      <c r="I472" s="821" t="s">
        <v>70</v>
      </c>
      <c r="J472" s="830" t="s">
        <v>71</v>
      </c>
      <c r="K472" s="831">
        <v>9</v>
      </c>
      <c r="L472" s="830">
        <v>19</v>
      </c>
      <c r="M472" s="830">
        <v>237</v>
      </c>
      <c r="N472" s="775" t="s">
        <v>10</v>
      </c>
      <c r="O472" s="711"/>
    </row>
    <row r="473" spans="1:15" x14ac:dyDescent="0.45">
      <c r="A473" s="735">
        <f t="shared" si="4"/>
        <v>471</v>
      </c>
      <c r="B473" s="735">
        <v>431</v>
      </c>
      <c r="C473" s="735" t="s">
        <v>3</v>
      </c>
      <c r="D473" s="733" t="s">
        <v>138</v>
      </c>
      <c r="E473" s="733" t="s">
        <v>1334</v>
      </c>
      <c r="F473" s="733" t="s">
        <v>1357</v>
      </c>
      <c r="G473" s="736">
        <v>44778</v>
      </c>
      <c r="H473" s="821" t="s">
        <v>1347</v>
      </c>
      <c r="I473" s="733" t="s">
        <v>17</v>
      </c>
      <c r="J473" s="737" t="s">
        <v>9</v>
      </c>
      <c r="K473" s="738" t="s">
        <v>1819</v>
      </c>
      <c r="L473" s="737">
        <v>9</v>
      </c>
      <c r="M473" s="737">
        <v>61</v>
      </c>
      <c r="N473" s="832" t="s">
        <v>10</v>
      </c>
      <c r="O473" s="711"/>
    </row>
    <row r="474" spans="1:15" x14ac:dyDescent="0.45">
      <c r="A474" s="828">
        <f t="shared" si="4"/>
        <v>472</v>
      </c>
      <c r="B474" s="828" t="s">
        <v>3</v>
      </c>
      <c r="C474" s="735">
        <v>41</v>
      </c>
      <c r="D474" s="733" t="s">
        <v>579</v>
      </c>
      <c r="E474" s="821" t="s">
        <v>21</v>
      </c>
      <c r="F474" s="821" t="s">
        <v>2366</v>
      </c>
      <c r="G474" s="829">
        <v>44782</v>
      </c>
      <c r="H474" s="821" t="s">
        <v>430</v>
      </c>
      <c r="I474" s="821" t="s">
        <v>70</v>
      </c>
      <c r="J474" s="737" t="s">
        <v>9</v>
      </c>
      <c r="K474" s="738" t="s">
        <v>310</v>
      </c>
      <c r="L474" s="737">
        <v>4</v>
      </c>
      <c r="M474" s="737">
        <v>245</v>
      </c>
      <c r="N474" s="739" t="s">
        <v>10</v>
      </c>
      <c r="O474" s="711"/>
    </row>
    <row r="475" spans="1:15" x14ac:dyDescent="0.45">
      <c r="A475" s="735">
        <f t="shared" si="4"/>
        <v>473</v>
      </c>
      <c r="B475" s="735">
        <v>432</v>
      </c>
      <c r="C475" s="735" t="s">
        <v>3</v>
      </c>
      <c r="D475" s="733" t="s">
        <v>355</v>
      </c>
      <c r="E475" s="733" t="s">
        <v>86</v>
      </c>
      <c r="F475" s="733" t="s">
        <v>3347</v>
      </c>
      <c r="G475" s="736">
        <v>44783</v>
      </c>
      <c r="H475" s="821" t="s">
        <v>426</v>
      </c>
      <c r="I475" s="733" t="s">
        <v>70</v>
      </c>
      <c r="J475" s="737" t="s">
        <v>71</v>
      </c>
      <c r="K475" s="738">
        <v>16</v>
      </c>
      <c r="L475" s="737">
        <v>6</v>
      </c>
      <c r="M475" s="737">
        <v>278</v>
      </c>
      <c r="N475" s="739" t="s">
        <v>10</v>
      </c>
      <c r="O475" s="711"/>
    </row>
    <row r="476" spans="1:15" x14ac:dyDescent="0.45">
      <c r="A476" s="735">
        <f t="shared" si="4"/>
        <v>474</v>
      </c>
      <c r="B476" s="735">
        <v>433</v>
      </c>
      <c r="C476" s="735" t="s">
        <v>3</v>
      </c>
      <c r="D476" s="821" t="s">
        <v>83</v>
      </c>
      <c r="E476" s="733" t="s">
        <v>528</v>
      </c>
      <c r="F476" s="733" t="s">
        <v>1560</v>
      </c>
      <c r="G476" s="736">
        <v>44793</v>
      </c>
      <c r="H476" s="733" t="s">
        <v>698</v>
      </c>
      <c r="I476" s="733" t="s">
        <v>17</v>
      </c>
      <c r="J476" s="737" t="s">
        <v>52</v>
      </c>
      <c r="K476" s="738">
        <v>3</v>
      </c>
      <c r="L476" s="737">
        <v>22</v>
      </c>
      <c r="M476" s="737">
        <v>22</v>
      </c>
      <c r="N476" s="739" t="s">
        <v>10</v>
      </c>
      <c r="O476" s="711"/>
    </row>
    <row r="477" spans="1:15" x14ac:dyDescent="0.45">
      <c r="A477" s="735">
        <f t="shared" si="4"/>
        <v>475</v>
      </c>
      <c r="B477" s="735" t="s">
        <v>3</v>
      </c>
      <c r="C477" s="735">
        <v>42</v>
      </c>
      <c r="D477" s="733" t="s">
        <v>409</v>
      </c>
      <c r="E477" s="733" t="s">
        <v>174</v>
      </c>
      <c r="F477" s="733" t="s">
        <v>1561</v>
      </c>
      <c r="G477" s="736">
        <v>44796</v>
      </c>
      <c r="H477" s="733" t="s">
        <v>699</v>
      </c>
      <c r="I477" s="733" t="s">
        <v>17</v>
      </c>
      <c r="J477" s="737" t="s">
        <v>52</v>
      </c>
      <c r="K477" s="738" t="s">
        <v>310</v>
      </c>
      <c r="L477" s="737">
        <v>3</v>
      </c>
      <c r="M477" s="737">
        <v>62</v>
      </c>
      <c r="N477" s="739" t="s">
        <v>10</v>
      </c>
      <c r="O477" s="711"/>
    </row>
    <row r="478" spans="1:15" ht="18" thickBot="1" x14ac:dyDescent="0.5">
      <c r="A478" s="782">
        <f t="shared" si="4"/>
        <v>476</v>
      </c>
      <c r="B478" s="782">
        <v>434</v>
      </c>
      <c r="C478" s="782" t="str">
        <f ca="1">IF(OR(A478="-",LEFT(D478,2)="长征"),"-",ROW()-1-COUNTIF(INDIRECT(CONCATENATE("C2:C",ROW()-1)),"=-"))</f>
        <v>-</v>
      </c>
      <c r="D478" s="783" t="s">
        <v>83</v>
      </c>
      <c r="E478" s="783" t="s">
        <v>700</v>
      </c>
      <c r="F478" s="783" t="s">
        <v>2333</v>
      </c>
      <c r="G478" s="784">
        <v>44797</v>
      </c>
      <c r="H478" s="783" t="s">
        <v>701</v>
      </c>
      <c r="I478" s="783" t="s">
        <v>70</v>
      </c>
      <c r="J478" s="785" t="s">
        <v>71</v>
      </c>
      <c r="K478" s="786">
        <v>9</v>
      </c>
      <c r="L478" s="785">
        <v>14</v>
      </c>
      <c r="M478" s="785">
        <v>4</v>
      </c>
      <c r="N478" s="787" t="s">
        <v>10</v>
      </c>
      <c r="O478" s="711"/>
    </row>
    <row r="479" spans="1:15" x14ac:dyDescent="0.45">
      <c r="A479" s="828">
        <f t="shared" si="4"/>
        <v>477</v>
      </c>
      <c r="B479" s="828">
        <v>435</v>
      </c>
      <c r="C479" s="828" t="s">
        <v>3</v>
      </c>
      <c r="D479" s="821" t="s">
        <v>182</v>
      </c>
      <c r="E479" s="821" t="s">
        <v>472</v>
      </c>
      <c r="F479" s="821" t="s">
        <v>702</v>
      </c>
      <c r="G479" s="829">
        <v>44807</v>
      </c>
      <c r="H479" s="821" t="s">
        <v>559</v>
      </c>
      <c r="I479" s="821" t="s">
        <v>70</v>
      </c>
      <c r="J479" s="830" t="s">
        <v>9</v>
      </c>
      <c r="K479" s="831">
        <v>94</v>
      </c>
      <c r="L479" s="830">
        <v>25</v>
      </c>
      <c r="M479" s="830">
        <v>68</v>
      </c>
      <c r="N479" s="775" t="s">
        <v>10</v>
      </c>
      <c r="O479" s="711"/>
    </row>
    <row r="480" spans="1:15" x14ac:dyDescent="0.45">
      <c r="A480" s="735">
        <f t="shared" si="4"/>
        <v>478</v>
      </c>
      <c r="B480" s="735" t="s">
        <v>3</v>
      </c>
      <c r="C480" s="735">
        <v>43</v>
      </c>
      <c r="D480" s="733" t="s">
        <v>409</v>
      </c>
      <c r="E480" s="733" t="s">
        <v>184</v>
      </c>
      <c r="F480" s="733" t="s">
        <v>1562</v>
      </c>
      <c r="G480" s="736">
        <v>44810</v>
      </c>
      <c r="H480" s="733" t="s">
        <v>703</v>
      </c>
      <c r="I480" s="733" t="s">
        <v>17</v>
      </c>
      <c r="J480" s="737" t="s">
        <v>9</v>
      </c>
      <c r="K480" s="738" t="s">
        <v>310</v>
      </c>
      <c r="L480" s="737">
        <v>3</v>
      </c>
      <c r="M480" s="737">
        <v>14</v>
      </c>
      <c r="N480" s="739" t="s">
        <v>10</v>
      </c>
      <c r="O480" s="711"/>
    </row>
    <row r="481" spans="1:15" x14ac:dyDescent="0.45">
      <c r="A481" s="735">
        <f t="shared" si="4"/>
        <v>479</v>
      </c>
      <c r="B481" s="735">
        <v>436</v>
      </c>
      <c r="C481" s="735" t="s">
        <v>3</v>
      </c>
      <c r="D481" s="733" t="s">
        <v>83</v>
      </c>
      <c r="E481" s="733" t="s">
        <v>533</v>
      </c>
      <c r="F481" s="733" t="s">
        <v>1563</v>
      </c>
      <c r="G481" s="736">
        <v>44810</v>
      </c>
      <c r="H481" s="733" t="s">
        <v>704</v>
      </c>
      <c r="I481" s="733" t="s">
        <v>17</v>
      </c>
      <c r="J481" s="737" t="s">
        <v>52</v>
      </c>
      <c r="K481" s="738">
        <v>3</v>
      </c>
      <c r="L481" s="737">
        <v>14</v>
      </c>
      <c r="M481" s="737">
        <v>13</v>
      </c>
      <c r="N481" s="739" t="s">
        <v>10</v>
      </c>
      <c r="O481" s="711"/>
    </row>
    <row r="482" spans="1:15" x14ac:dyDescent="0.45">
      <c r="A482" s="735">
        <f t="shared" si="4"/>
        <v>480</v>
      </c>
      <c r="B482" s="735">
        <v>437</v>
      </c>
      <c r="C482" s="735" t="s">
        <v>3</v>
      </c>
      <c r="D482" s="733" t="s">
        <v>543</v>
      </c>
      <c r="E482" s="733" t="s">
        <v>30</v>
      </c>
      <c r="F482" s="733" t="s">
        <v>705</v>
      </c>
      <c r="G482" s="736">
        <v>44817</v>
      </c>
      <c r="H482" s="733" t="s">
        <v>706</v>
      </c>
      <c r="I482" s="733" t="s">
        <v>51</v>
      </c>
      <c r="J482" s="737" t="s">
        <v>388</v>
      </c>
      <c r="K482" s="738">
        <v>201</v>
      </c>
      <c r="L482" s="737">
        <v>51</v>
      </c>
      <c r="M482" s="737">
        <v>264</v>
      </c>
      <c r="N482" s="739" t="s">
        <v>10</v>
      </c>
      <c r="O482" s="711"/>
    </row>
    <row r="483" spans="1:15" x14ac:dyDescent="0.45">
      <c r="A483" s="735">
        <f t="shared" si="4"/>
        <v>481</v>
      </c>
      <c r="B483" s="735">
        <v>438</v>
      </c>
      <c r="C483" s="735" t="s">
        <v>3</v>
      </c>
      <c r="D483" s="733" t="s">
        <v>83</v>
      </c>
      <c r="E483" s="733" t="s">
        <v>622</v>
      </c>
      <c r="F483" s="733" t="s">
        <v>707</v>
      </c>
      <c r="G483" s="736">
        <v>44825</v>
      </c>
      <c r="H483" s="733" t="s">
        <v>708</v>
      </c>
      <c r="I483" s="733" t="s">
        <v>70</v>
      </c>
      <c r="J483" s="737" t="s">
        <v>9</v>
      </c>
      <c r="K483" s="738">
        <v>94</v>
      </c>
      <c r="L483" s="737">
        <v>15</v>
      </c>
      <c r="M483" s="737">
        <v>15</v>
      </c>
      <c r="N483" s="739" t="s">
        <v>10</v>
      </c>
      <c r="O483" s="711"/>
    </row>
    <row r="484" spans="1:15" x14ac:dyDescent="0.45">
      <c r="A484" s="735">
        <f t="shared" si="4"/>
        <v>482</v>
      </c>
      <c r="B484" s="735" t="s">
        <v>3</v>
      </c>
      <c r="C484" s="735">
        <v>44</v>
      </c>
      <c r="D484" s="733" t="s">
        <v>409</v>
      </c>
      <c r="E484" s="733" t="s">
        <v>109</v>
      </c>
      <c r="F484" s="733" t="s">
        <v>709</v>
      </c>
      <c r="G484" s="736">
        <v>44829</v>
      </c>
      <c r="H484" s="733" t="s">
        <v>710</v>
      </c>
      <c r="I484" s="733" t="s">
        <v>70</v>
      </c>
      <c r="J484" s="737" t="s">
        <v>71</v>
      </c>
      <c r="K484" s="738">
        <v>9</v>
      </c>
      <c r="L484" s="737">
        <v>32</v>
      </c>
      <c r="M484" s="737">
        <v>19</v>
      </c>
      <c r="N484" s="832" t="s">
        <v>10</v>
      </c>
      <c r="O484" s="711"/>
    </row>
    <row r="485" spans="1:15" x14ac:dyDescent="0.45">
      <c r="A485" s="800">
        <f t="shared" si="4"/>
        <v>483</v>
      </c>
      <c r="B485" s="800">
        <v>439</v>
      </c>
      <c r="C485" s="800" t="s">
        <v>3</v>
      </c>
      <c r="D485" s="802" t="s">
        <v>83</v>
      </c>
      <c r="E485" s="802" t="s">
        <v>555</v>
      </c>
      <c r="F485" s="802" t="s">
        <v>1564</v>
      </c>
      <c r="G485" s="803">
        <v>44830</v>
      </c>
      <c r="H485" s="802" t="s">
        <v>711</v>
      </c>
      <c r="I485" s="802" t="s">
        <v>17</v>
      </c>
      <c r="J485" s="804" t="s">
        <v>52</v>
      </c>
      <c r="K485" s="805">
        <v>3</v>
      </c>
      <c r="L485" s="804">
        <v>20</v>
      </c>
      <c r="M485" s="804">
        <v>5</v>
      </c>
      <c r="N485" s="832" t="s">
        <v>10</v>
      </c>
      <c r="O485" s="711"/>
    </row>
    <row r="486" spans="1:15" ht="18" thickBot="1" x14ac:dyDescent="0.5">
      <c r="A486" s="782">
        <f t="shared" si="4"/>
        <v>484</v>
      </c>
      <c r="B486" s="782">
        <v>440</v>
      </c>
      <c r="C486" s="782" t="s">
        <v>3</v>
      </c>
      <c r="D486" s="783" t="s">
        <v>355</v>
      </c>
      <c r="E486" s="783" t="s">
        <v>78</v>
      </c>
      <c r="F486" s="783" t="s">
        <v>2367</v>
      </c>
      <c r="G486" s="784">
        <v>44831</v>
      </c>
      <c r="H486" s="783" t="s">
        <v>712</v>
      </c>
      <c r="I486" s="783" t="s">
        <v>70</v>
      </c>
      <c r="J486" s="785" t="s">
        <v>71</v>
      </c>
      <c r="K486" s="786">
        <v>7</v>
      </c>
      <c r="L486" s="785">
        <v>2</v>
      </c>
      <c r="M486" s="785">
        <v>48</v>
      </c>
      <c r="N486" s="787" t="s">
        <v>10</v>
      </c>
      <c r="O486" s="711"/>
    </row>
    <row r="487" spans="1:15" x14ac:dyDescent="0.45">
      <c r="A487" s="828">
        <f t="shared" si="4"/>
        <v>485</v>
      </c>
      <c r="B487" s="828">
        <v>441</v>
      </c>
      <c r="C487" s="828" t="s">
        <v>3</v>
      </c>
      <c r="D487" s="821" t="s">
        <v>501</v>
      </c>
      <c r="E487" s="821" t="s">
        <v>5</v>
      </c>
      <c r="F487" s="821" t="s">
        <v>1565</v>
      </c>
      <c r="G487" s="829">
        <v>44841</v>
      </c>
      <c r="H487" s="821" t="s">
        <v>713</v>
      </c>
      <c r="I487" s="821" t="s">
        <v>17</v>
      </c>
      <c r="J487" s="822" t="s">
        <v>503</v>
      </c>
      <c r="K487" s="834" t="s">
        <v>2319</v>
      </c>
      <c r="L487" s="822">
        <v>160</v>
      </c>
      <c r="M487" s="822">
        <v>160</v>
      </c>
      <c r="N487" s="775" t="s">
        <v>10</v>
      </c>
      <c r="O487" s="711"/>
    </row>
    <row r="488" spans="1:15" x14ac:dyDescent="0.45">
      <c r="A488" s="735">
        <f t="shared" si="4"/>
        <v>486</v>
      </c>
      <c r="B488" s="735">
        <v>442</v>
      </c>
      <c r="C488" s="735" t="s">
        <v>3</v>
      </c>
      <c r="D488" s="733" t="s">
        <v>83</v>
      </c>
      <c r="E488" s="733" t="s">
        <v>455</v>
      </c>
      <c r="F488" s="733" t="s">
        <v>714</v>
      </c>
      <c r="G488" s="736">
        <v>44843</v>
      </c>
      <c r="H488" s="733" t="s">
        <v>715</v>
      </c>
      <c r="I488" s="733" t="s">
        <v>70</v>
      </c>
      <c r="J488" s="737" t="s">
        <v>9</v>
      </c>
      <c r="K488" s="738">
        <v>94</v>
      </c>
      <c r="L488" s="737">
        <v>18</v>
      </c>
      <c r="M488" s="737">
        <v>13</v>
      </c>
      <c r="N488" s="739" t="s">
        <v>10</v>
      </c>
      <c r="O488" s="711"/>
    </row>
    <row r="489" spans="1:15" x14ac:dyDescent="0.45">
      <c r="A489" s="735">
        <f t="shared" si="4"/>
        <v>487</v>
      </c>
      <c r="B489" s="735">
        <v>443</v>
      </c>
      <c r="C489" s="735" t="s">
        <v>3</v>
      </c>
      <c r="D489" s="733" t="s">
        <v>41</v>
      </c>
      <c r="E489" s="733" t="s">
        <v>528</v>
      </c>
      <c r="F489" s="733" t="s">
        <v>2334</v>
      </c>
      <c r="G489" s="736">
        <v>44847</v>
      </c>
      <c r="H489" s="733" t="s">
        <v>716</v>
      </c>
      <c r="I489" s="733" t="s">
        <v>70</v>
      </c>
      <c r="J489" s="737" t="s">
        <v>71</v>
      </c>
      <c r="K489" s="738">
        <v>9</v>
      </c>
      <c r="L489" s="737">
        <v>16</v>
      </c>
      <c r="M489" s="737">
        <v>89</v>
      </c>
      <c r="N489" s="739" t="s">
        <v>10</v>
      </c>
      <c r="O489" s="711"/>
    </row>
    <row r="490" spans="1:15" x14ac:dyDescent="0.45">
      <c r="A490" s="735">
        <f t="shared" si="4"/>
        <v>488</v>
      </c>
      <c r="B490" s="735">
        <v>444</v>
      </c>
      <c r="C490" s="735" t="s">
        <v>3</v>
      </c>
      <c r="D490" s="733" t="s">
        <v>83</v>
      </c>
      <c r="E490" s="733" t="s">
        <v>541</v>
      </c>
      <c r="F490" s="733" t="s">
        <v>1566</v>
      </c>
      <c r="G490" s="736">
        <v>44849</v>
      </c>
      <c r="H490" s="733" t="s">
        <v>717</v>
      </c>
      <c r="I490" s="733" t="s">
        <v>17</v>
      </c>
      <c r="J490" s="737" t="s">
        <v>52</v>
      </c>
      <c r="K490" s="738">
        <v>3</v>
      </c>
      <c r="L490" s="737">
        <v>19</v>
      </c>
      <c r="M490" s="737">
        <v>6</v>
      </c>
      <c r="N490" s="739" t="s">
        <v>10</v>
      </c>
      <c r="O490" s="711"/>
    </row>
    <row r="491" spans="1:15" x14ac:dyDescent="0.45">
      <c r="A491" s="735">
        <f t="shared" si="4"/>
        <v>489</v>
      </c>
      <c r="B491" s="735">
        <v>445</v>
      </c>
      <c r="C491" s="735" t="s">
        <v>3</v>
      </c>
      <c r="D491" s="733" t="s">
        <v>83</v>
      </c>
      <c r="E491" s="733" t="s">
        <v>609</v>
      </c>
      <c r="F491" s="733" t="s">
        <v>718</v>
      </c>
      <c r="G491" s="736">
        <v>44863</v>
      </c>
      <c r="H491" s="733" t="s">
        <v>719</v>
      </c>
      <c r="I491" s="733" t="s">
        <v>17</v>
      </c>
      <c r="J491" s="737" t="s">
        <v>9</v>
      </c>
      <c r="K491" s="738">
        <v>94</v>
      </c>
      <c r="L491" s="737">
        <v>20</v>
      </c>
      <c r="M491" s="737">
        <v>14</v>
      </c>
      <c r="N491" s="739" t="s">
        <v>10</v>
      </c>
      <c r="O491" s="711"/>
    </row>
    <row r="492" spans="1:15" ht="18" thickBot="1" x14ac:dyDescent="0.5">
      <c r="A492" s="782">
        <f t="shared" si="4"/>
        <v>490</v>
      </c>
      <c r="B492" s="782">
        <v>446</v>
      </c>
      <c r="C492" s="782" t="s">
        <v>3</v>
      </c>
      <c r="D492" s="783" t="s">
        <v>548</v>
      </c>
      <c r="E492" s="783" t="s">
        <v>5</v>
      </c>
      <c r="F492" s="783" t="s">
        <v>720</v>
      </c>
      <c r="G492" s="784">
        <v>44865</v>
      </c>
      <c r="H492" s="783" t="s">
        <v>721</v>
      </c>
      <c r="I492" s="783" t="s">
        <v>17</v>
      </c>
      <c r="J492" s="785" t="s">
        <v>388</v>
      </c>
      <c r="K492" s="786">
        <v>101</v>
      </c>
      <c r="L492" s="785">
        <v>48</v>
      </c>
      <c r="M492" s="785">
        <v>99</v>
      </c>
      <c r="N492" s="762" t="s">
        <v>10</v>
      </c>
      <c r="O492" s="711"/>
    </row>
    <row r="493" spans="1:15" x14ac:dyDescent="0.45">
      <c r="A493" s="828">
        <f t="shared" ref="A493:A556" si="5">A492+1</f>
        <v>491</v>
      </c>
      <c r="B493" s="828">
        <v>447</v>
      </c>
      <c r="C493" s="828" t="s">
        <v>3</v>
      </c>
      <c r="D493" s="821" t="s">
        <v>105</v>
      </c>
      <c r="E493" s="821" t="s">
        <v>722</v>
      </c>
      <c r="F493" s="821" t="s">
        <v>1042</v>
      </c>
      <c r="G493" s="829">
        <v>44870</v>
      </c>
      <c r="H493" s="821" t="s">
        <v>104</v>
      </c>
      <c r="I493" s="821" t="s">
        <v>51</v>
      </c>
      <c r="J493" s="830" t="s">
        <v>52</v>
      </c>
      <c r="K493" s="831">
        <v>2</v>
      </c>
      <c r="L493" s="830">
        <v>21</v>
      </c>
      <c r="M493" s="830">
        <v>115</v>
      </c>
      <c r="N493" s="775" t="s">
        <v>10</v>
      </c>
      <c r="O493" s="711"/>
    </row>
    <row r="494" spans="1:15" x14ac:dyDescent="0.45">
      <c r="A494" s="735">
        <f t="shared" si="5"/>
        <v>492</v>
      </c>
      <c r="B494" s="735">
        <v>448</v>
      </c>
      <c r="C494" s="828" t="s">
        <v>3</v>
      </c>
      <c r="D494" s="733" t="s">
        <v>670</v>
      </c>
      <c r="E494" s="733" t="s">
        <v>45</v>
      </c>
      <c r="F494" s="733" t="s">
        <v>1672</v>
      </c>
      <c r="G494" s="736">
        <v>44877</v>
      </c>
      <c r="H494" s="733" t="s">
        <v>498</v>
      </c>
      <c r="I494" s="733" t="s">
        <v>70</v>
      </c>
      <c r="J494" s="737" t="s">
        <v>71</v>
      </c>
      <c r="K494" s="738" t="s">
        <v>672</v>
      </c>
      <c r="L494" s="737">
        <v>30</v>
      </c>
      <c r="M494" s="737">
        <v>228</v>
      </c>
      <c r="N494" s="739" t="s">
        <v>10</v>
      </c>
      <c r="O494" s="711"/>
    </row>
    <row r="495" spans="1:15" x14ac:dyDescent="0.45">
      <c r="A495" s="735">
        <f t="shared" si="5"/>
        <v>493</v>
      </c>
      <c r="B495" s="735">
        <v>449</v>
      </c>
      <c r="C495" s="735" t="s">
        <v>3</v>
      </c>
      <c r="D495" s="733" t="s">
        <v>386</v>
      </c>
      <c r="E495" s="733" t="s">
        <v>33</v>
      </c>
      <c r="F495" s="733" t="s">
        <v>723</v>
      </c>
      <c r="G495" s="736">
        <v>44877</v>
      </c>
      <c r="H495" s="733" t="s">
        <v>724</v>
      </c>
      <c r="I495" s="733" t="s">
        <v>17</v>
      </c>
      <c r="J495" s="737" t="s">
        <v>388</v>
      </c>
      <c r="K495" s="738">
        <v>201</v>
      </c>
      <c r="L495" s="737">
        <v>12</v>
      </c>
      <c r="M495" s="737">
        <v>186</v>
      </c>
      <c r="N495" s="739" t="s">
        <v>10</v>
      </c>
      <c r="O495" s="711"/>
    </row>
    <row r="496" spans="1:15" x14ac:dyDescent="0.45">
      <c r="A496" s="735">
        <f t="shared" si="5"/>
        <v>494</v>
      </c>
      <c r="B496" s="735">
        <v>450</v>
      </c>
      <c r="C496" s="828" t="s">
        <v>3</v>
      </c>
      <c r="D496" s="821" t="s">
        <v>182</v>
      </c>
      <c r="E496" s="821" t="s">
        <v>434</v>
      </c>
      <c r="F496" s="733" t="s">
        <v>1130</v>
      </c>
      <c r="G496" s="736">
        <v>44880</v>
      </c>
      <c r="H496" s="733" t="s">
        <v>725</v>
      </c>
      <c r="I496" s="733" t="s">
        <v>17</v>
      </c>
      <c r="J496" s="737" t="s">
        <v>9</v>
      </c>
      <c r="K496" s="738">
        <v>94</v>
      </c>
      <c r="L496" s="737">
        <v>17</v>
      </c>
      <c r="M496" s="737">
        <v>73</v>
      </c>
      <c r="N496" s="739" t="s">
        <v>10</v>
      </c>
    </row>
    <row r="497" spans="1:15" x14ac:dyDescent="0.45">
      <c r="A497" s="735">
        <f t="shared" si="5"/>
        <v>495</v>
      </c>
      <c r="B497" s="735" t="s">
        <v>3</v>
      </c>
      <c r="C497" s="735">
        <v>45</v>
      </c>
      <c r="D497" s="821" t="s">
        <v>579</v>
      </c>
      <c r="E497" s="821" t="s">
        <v>5</v>
      </c>
      <c r="F497" s="733" t="s">
        <v>3506</v>
      </c>
      <c r="G497" s="736">
        <v>44881</v>
      </c>
      <c r="H497" s="733" t="s">
        <v>726</v>
      </c>
      <c r="I497" s="733" t="s">
        <v>70</v>
      </c>
      <c r="J497" s="737" t="s">
        <v>9</v>
      </c>
      <c r="K497" s="738">
        <v>95</v>
      </c>
      <c r="L497" s="737">
        <v>1</v>
      </c>
      <c r="M497" s="737">
        <v>99</v>
      </c>
      <c r="N497" s="739" t="s">
        <v>10</v>
      </c>
    </row>
    <row r="498" spans="1:15" ht="18" thickBot="1" x14ac:dyDescent="0.5">
      <c r="A498" s="735">
        <f t="shared" si="5"/>
        <v>496</v>
      </c>
      <c r="B498" s="735">
        <v>451</v>
      </c>
      <c r="C498" s="735" t="s">
        <v>3</v>
      </c>
      <c r="D498" s="733" t="s">
        <v>83</v>
      </c>
      <c r="E498" s="821" t="s">
        <v>676</v>
      </c>
      <c r="F498" s="733" t="s">
        <v>1567</v>
      </c>
      <c r="G498" s="736">
        <v>44892</v>
      </c>
      <c r="H498" s="733" t="s">
        <v>727</v>
      </c>
      <c r="I498" s="733" t="s">
        <v>17</v>
      </c>
      <c r="J498" s="737" t="s">
        <v>52</v>
      </c>
      <c r="K498" s="738">
        <v>3</v>
      </c>
      <c r="L498" s="737">
        <v>22</v>
      </c>
      <c r="M498" s="737">
        <v>29</v>
      </c>
      <c r="N498" s="739" t="s">
        <v>10</v>
      </c>
    </row>
    <row r="499" spans="1:15" ht="18" thickBot="1" x14ac:dyDescent="0.5">
      <c r="A499" s="782">
        <f t="shared" si="5"/>
        <v>497</v>
      </c>
      <c r="B499" s="782">
        <v>452</v>
      </c>
      <c r="C499" s="782" t="s">
        <v>3</v>
      </c>
      <c r="D499" s="783" t="s">
        <v>138</v>
      </c>
      <c r="E499" s="783" t="s">
        <v>174</v>
      </c>
      <c r="F499" s="783" t="s">
        <v>3088</v>
      </c>
      <c r="G499" s="784">
        <v>44894</v>
      </c>
      <c r="H499" s="783" t="s">
        <v>728</v>
      </c>
      <c r="I499" s="771" t="s">
        <v>17</v>
      </c>
      <c r="J499" s="785" t="s">
        <v>9</v>
      </c>
      <c r="K499" s="786" t="s">
        <v>1819</v>
      </c>
      <c r="L499" s="785">
        <v>13</v>
      </c>
      <c r="M499" s="785">
        <v>116</v>
      </c>
      <c r="N499" s="762" t="s">
        <v>10</v>
      </c>
    </row>
    <row r="500" spans="1:15" x14ac:dyDescent="0.45">
      <c r="A500" s="828">
        <f t="shared" si="5"/>
        <v>498</v>
      </c>
      <c r="B500" s="828" t="s">
        <v>3</v>
      </c>
      <c r="C500" s="828">
        <v>46</v>
      </c>
      <c r="D500" s="821" t="s">
        <v>562</v>
      </c>
      <c r="E500" s="821" t="s">
        <v>45</v>
      </c>
      <c r="F500" s="821" t="s">
        <v>729</v>
      </c>
      <c r="G500" s="829">
        <v>44902</v>
      </c>
      <c r="H500" s="821" t="s">
        <v>730</v>
      </c>
      <c r="I500" s="821" t="s">
        <v>70</v>
      </c>
      <c r="J500" s="830" t="s">
        <v>9</v>
      </c>
      <c r="K500" s="831">
        <v>95</v>
      </c>
      <c r="L500" s="830">
        <v>8</v>
      </c>
      <c r="M500" s="830">
        <v>880</v>
      </c>
      <c r="N500" s="775" t="s">
        <v>10</v>
      </c>
    </row>
    <row r="501" spans="1:15" x14ac:dyDescent="0.45">
      <c r="A501" s="735">
        <f t="shared" si="5"/>
        <v>499</v>
      </c>
      <c r="B501" s="735">
        <v>453</v>
      </c>
      <c r="C501" s="735" t="s">
        <v>3</v>
      </c>
      <c r="D501" s="733" t="s">
        <v>83</v>
      </c>
      <c r="E501" s="821" t="s">
        <v>439</v>
      </c>
      <c r="F501" s="733" t="s">
        <v>731</v>
      </c>
      <c r="G501" s="736">
        <v>44904</v>
      </c>
      <c r="H501" s="733" t="s">
        <v>554</v>
      </c>
      <c r="I501" s="733" t="s">
        <v>70</v>
      </c>
      <c r="J501" s="737" t="s">
        <v>71</v>
      </c>
      <c r="K501" s="738">
        <v>9</v>
      </c>
      <c r="L501" s="737">
        <v>27</v>
      </c>
      <c r="M501" s="737">
        <v>12</v>
      </c>
      <c r="N501" s="739" t="s">
        <v>10</v>
      </c>
    </row>
    <row r="502" spans="1:15" x14ac:dyDescent="0.45">
      <c r="A502" s="735">
        <f t="shared" si="5"/>
        <v>500</v>
      </c>
      <c r="B502" s="735" t="s">
        <v>3</v>
      </c>
      <c r="C502" s="828">
        <v>47</v>
      </c>
      <c r="D502" s="821" t="s">
        <v>732</v>
      </c>
      <c r="E502" s="821" t="s">
        <v>42</v>
      </c>
      <c r="F502" s="821" t="s">
        <v>2417</v>
      </c>
      <c r="G502" s="736">
        <v>44904</v>
      </c>
      <c r="H502" s="733" t="s">
        <v>525</v>
      </c>
      <c r="I502" s="733" t="s">
        <v>70</v>
      </c>
      <c r="J502" s="822" t="s">
        <v>503</v>
      </c>
      <c r="K502" s="823" t="s">
        <v>2320</v>
      </c>
      <c r="L502" s="822">
        <v>63</v>
      </c>
      <c r="M502" s="822" t="s">
        <v>1012</v>
      </c>
      <c r="N502" s="739" t="s">
        <v>10</v>
      </c>
    </row>
    <row r="503" spans="1:15" x14ac:dyDescent="0.45">
      <c r="A503" s="735">
        <f t="shared" si="5"/>
        <v>501</v>
      </c>
      <c r="B503" s="735">
        <v>454</v>
      </c>
      <c r="C503" s="735" t="s">
        <v>3</v>
      </c>
      <c r="D503" s="733" t="s">
        <v>182</v>
      </c>
      <c r="E503" s="821" t="s">
        <v>1190</v>
      </c>
      <c r="F503" s="733" t="s">
        <v>1568</v>
      </c>
      <c r="G503" s="736">
        <v>44907</v>
      </c>
      <c r="H503" s="733" t="s">
        <v>733</v>
      </c>
      <c r="I503" s="733" t="s">
        <v>17</v>
      </c>
      <c r="J503" s="830" t="s">
        <v>9</v>
      </c>
      <c r="K503" s="738">
        <v>94</v>
      </c>
      <c r="L503" s="830">
        <v>5</v>
      </c>
      <c r="M503" s="830">
        <v>27</v>
      </c>
      <c r="N503" s="739" t="s">
        <v>10</v>
      </c>
    </row>
    <row r="504" spans="1:15" x14ac:dyDescent="0.45">
      <c r="A504" s="735">
        <f t="shared" si="5"/>
        <v>502</v>
      </c>
      <c r="B504" s="735" t="s">
        <v>3</v>
      </c>
      <c r="C504" s="828">
        <v>48</v>
      </c>
      <c r="D504" s="821" t="s">
        <v>734</v>
      </c>
      <c r="E504" s="821" t="s">
        <v>42</v>
      </c>
      <c r="F504" s="821" t="s">
        <v>735</v>
      </c>
      <c r="G504" s="736">
        <v>44909</v>
      </c>
      <c r="H504" s="733" t="s">
        <v>736</v>
      </c>
      <c r="I504" s="733" t="s">
        <v>70</v>
      </c>
      <c r="J504" s="830" t="s">
        <v>9</v>
      </c>
      <c r="K504" s="738">
        <v>96</v>
      </c>
      <c r="L504" s="830">
        <v>2</v>
      </c>
      <c r="M504" s="830" t="s">
        <v>1012</v>
      </c>
      <c r="N504" s="746" t="s">
        <v>18</v>
      </c>
    </row>
    <row r="505" spans="1:15" x14ac:dyDescent="0.45">
      <c r="A505" s="735">
        <f t="shared" si="5"/>
        <v>503</v>
      </c>
      <c r="B505" s="735">
        <v>455</v>
      </c>
      <c r="C505" s="735" t="s">
        <v>3</v>
      </c>
      <c r="D505" s="733" t="s">
        <v>83</v>
      </c>
      <c r="E505" s="821" t="s">
        <v>737</v>
      </c>
      <c r="F505" s="733" t="s">
        <v>1569</v>
      </c>
      <c r="G505" s="736">
        <v>44910</v>
      </c>
      <c r="H505" s="733" t="s">
        <v>738</v>
      </c>
      <c r="I505" s="733" t="s">
        <v>17</v>
      </c>
      <c r="J505" s="737" t="s">
        <v>52</v>
      </c>
      <c r="K505" s="738">
        <v>3</v>
      </c>
      <c r="L505" s="737">
        <v>18</v>
      </c>
      <c r="M505" s="737">
        <v>6</v>
      </c>
      <c r="N505" s="739" t="s">
        <v>10</v>
      </c>
    </row>
    <row r="506" spans="1:15" x14ac:dyDescent="0.45">
      <c r="A506" s="735">
        <f t="shared" si="5"/>
        <v>504</v>
      </c>
      <c r="B506" s="735">
        <v>456</v>
      </c>
      <c r="C506" s="735" t="s">
        <v>3</v>
      </c>
      <c r="D506" s="733" t="s">
        <v>357</v>
      </c>
      <c r="E506" s="733" t="s">
        <v>142</v>
      </c>
      <c r="F506" s="733" t="s">
        <v>739</v>
      </c>
      <c r="G506" s="736">
        <v>44911</v>
      </c>
      <c r="H506" s="733" t="s">
        <v>740</v>
      </c>
      <c r="I506" s="733" t="s">
        <v>17</v>
      </c>
      <c r="J506" s="737" t="s">
        <v>52</v>
      </c>
      <c r="K506" s="738" t="s">
        <v>310</v>
      </c>
      <c r="L506" s="737">
        <v>1</v>
      </c>
      <c r="M506" s="737">
        <v>261</v>
      </c>
      <c r="N506" s="739" t="s">
        <v>10</v>
      </c>
    </row>
    <row r="507" spans="1:15" x14ac:dyDescent="0.45">
      <c r="A507" s="735">
        <f t="shared" si="5"/>
        <v>505</v>
      </c>
      <c r="B507" s="735">
        <v>457</v>
      </c>
      <c r="C507" s="735" t="s">
        <v>3</v>
      </c>
      <c r="D507" s="733" t="s">
        <v>132</v>
      </c>
      <c r="E507" s="733" t="s">
        <v>455</v>
      </c>
      <c r="F507" s="733" t="s">
        <v>1229</v>
      </c>
      <c r="G507" s="736">
        <v>44922</v>
      </c>
      <c r="H507" s="733" t="s">
        <v>741</v>
      </c>
      <c r="I507" s="733" t="s">
        <v>70</v>
      </c>
      <c r="J507" s="737" t="s">
        <v>71</v>
      </c>
      <c r="K507" s="738">
        <v>9</v>
      </c>
      <c r="L507" s="737">
        <v>18</v>
      </c>
      <c r="M507" s="737">
        <v>145</v>
      </c>
      <c r="N507" s="739" t="s">
        <v>10</v>
      </c>
    </row>
    <row r="508" spans="1:15" ht="18" thickBot="1" x14ac:dyDescent="0.5">
      <c r="A508" s="740">
        <f t="shared" si="5"/>
        <v>506</v>
      </c>
      <c r="B508" s="740">
        <v>458</v>
      </c>
      <c r="C508" s="740" t="s">
        <v>3</v>
      </c>
      <c r="D508" s="741" t="s">
        <v>105</v>
      </c>
      <c r="E508" s="741" t="s">
        <v>742</v>
      </c>
      <c r="F508" s="741" t="s">
        <v>743</v>
      </c>
      <c r="G508" s="742">
        <v>44924</v>
      </c>
      <c r="H508" s="741" t="s">
        <v>744</v>
      </c>
      <c r="I508" s="741" t="s">
        <v>1785</v>
      </c>
      <c r="J508" s="743" t="s">
        <v>52</v>
      </c>
      <c r="K508" s="744">
        <v>2</v>
      </c>
      <c r="L508" s="743">
        <v>13</v>
      </c>
      <c r="M508" s="743">
        <v>54</v>
      </c>
      <c r="N508" s="745" t="s">
        <v>10</v>
      </c>
      <c r="O508" s="835"/>
    </row>
    <row r="509" spans="1:15" ht="18" thickTop="1" x14ac:dyDescent="0.45">
      <c r="A509" s="828">
        <f t="shared" si="5"/>
        <v>507</v>
      </c>
      <c r="B509" s="828">
        <v>459</v>
      </c>
      <c r="C509" s="828" t="s">
        <v>3</v>
      </c>
      <c r="D509" s="821" t="s">
        <v>543</v>
      </c>
      <c r="E509" s="821" t="s">
        <v>5</v>
      </c>
      <c r="F509" s="821" t="s">
        <v>745</v>
      </c>
      <c r="G509" s="829">
        <v>44935</v>
      </c>
      <c r="H509" s="821" t="s">
        <v>746</v>
      </c>
      <c r="I509" s="821" t="s">
        <v>51</v>
      </c>
      <c r="J509" s="830" t="s">
        <v>388</v>
      </c>
      <c r="K509" s="831">
        <v>201</v>
      </c>
      <c r="L509" s="830">
        <v>58</v>
      </c>
      <c r="M509" s="830">
        <v>118</v>
      </c>
      <c r="N509" s="832" t="s">
        <v>10</v>
      </c>
    </row>
    <row r="510" spans="1:15" x14ac:dyDescent="0.45">
      <c r="A510" s="735">
        <f t="shared" si="5"/>
        <v>508</v>
      </c>
      <c r="B510" s="735" t="s">
        <v>3</v>
      </c>
      <c r="C510" s="735">
        <v>49</v>
      </c>
      <c r="D510" s="821" t="s">
        <v>579</v>
      </c>
      <c r="E510" s="821" t="s">
        <v>30</v>
      </c>
      <c r="F510" s="733" t="s">
        <v>2368</v>
      </c>
      <c r="G510" s="736">
        <v>44935</v>
      </c>
      <c r="H510" s="733" t="s">
        <v>57</v>
      </c>
      <c r="I510" s="733" t="s">
        <v>70</v>
      </c>
      <c r="J510" s="830" t="s">
        <v>9</v>
      </c>
      <c r="K510" s="738">
        <v>95</v>
      </c>
      <c r="L510" s="830">
        <v>26</v>
      </c>
      <c r="M510" s="830">
        <v>54</v>
      </c>
      <c r="N510" s="739" t="s">
        <v>10</v>
      </c>
    </row>
    <row r="511" spans="1:15" x14ac:dyDescent="0.45">
      <c r="A511" s="735">
        <f t="shared" si="5"/>
        <v>509</v>
      </c>
      <c r="B511" s="735">
        <v>460</v>
      </c>
      <c r="C511" s="735" t="s">
        <v>3</v>
      </c>
      <c r="D511" s="821" t="s">
        <v>41</v>
      </c>
      <c r="E511" s="821" t="s">
        <v>521</v>
      </c>
      <c r="F511" s="733" t="s">
        <v>747</v>
      </c>
      <c r="G511" s="736">
        <v>44939</v>
      </c>
      <c r="H511" s="733" t="s">
        <v>427</v>
      </c>
      <c r="I511" s="733" t="s">
        <v>51</v>
      </c>
      <c r="J511" s="737" t="s">
        <v>52</v>
      </c>
      <c r="K511" s="738">
        <v>3</v>
      </c>
      <c r="L511" s="737">
        <v>15</v>
      </c>
      <c r="M511" s="737">
        <v>92</v>
      </c>
      <c r="N511" s="739" t="s">
        <v>10</v>
      </c>
    </row>
    <row r="512" spans="1:15" x14ac:dyDescent="0.45">
      <c r="A512" s="735">
        <f t="shared" si="5"/>
        <v>510</v>
      </c>
      <c r="B512" s="735">
        <v>461</v>
      </c>
      <c r="C512" s="735" t="s">
        <v>3</v>
      </c>
      <c r="D512" s="821" t="s">
        <v>83</v>
      </c>
      <c r="E512" s="821" t="s">
        <v>580</v>
      </c>
      <c r="F512" s="733" t="s">
        <v>2369</v>
      </c>
      <c r="G512" s="736">
        <v>44939</v>
      </c>
      <c r="H512" s="733" t="s">
        <v>748</v>
      </c>
      <c r="I512" s="733" t="s">
        <v>17</v>
      </c>
      <c r="J512" s="830" t="s">
        <v>9</v>
      </c>
      <c r="K512" s="738">
        <v>94</v>
      </c>
      <c r="L512" s="830">
        <v>4</v>
      </c>
      <c r="M512" s="830">
        <v>29</v>
      </c>
      <c r="N512" s="739" t="s">
        <v>10</v>
      </c>
    </row>
    <row r="513" spans="1:15" ht="18" thickBot="1" x14ac:dyDescent="0.5">
      <c r="A513" s="782">
        <f t="shared" si="5"/>
        <v>511</v>
      </c>
      <c r="B513" s="782">
        <v>462</v>
      </c>
      <c r="C513" s="782" t="s">
        <v>3</v>
      </c>
      <c r="D513" s="783" t="s">
        <v>83</v>
      </c>
      <c r="E513" s="783" t="s">
        <v>546</v>
      </c>
      <c r="F513" s="783" t="s">
        <v>2370</v>
      </c>
      <c r="G513" s="784">
        <v>44941</v>
      </c>
      <c r="H513" s="783" t="s">
        <v>749</v>
      </c>
      <c r="I513" s="783" t="s">
        <v>70</v>
      </c>
      <c r="J513" s="785" t="s">
        <v>71</v>
      </c>
      <c r="K513" s="786">
        <v>9</v>
      </c>
      <c r="L513" s="785">
        <v>19</v>
      </c>
      <c r="M513" s="785">
        <v>2</v>
      </c>
      <c r="N513" s="762" t="s">
        <v>10</v>
      </c>
      <c r="O513" s="836"/>
    </row>
    <row r="514" spans="1:15" x14ac:dyDescent="0.45">
      <c r="A514" s="770">
        <f t="shared" si="5"/>
        <v>512</v>
      </c>
      <c r="B514" s="770">
        <v>463</v>
      </c>
      <c r="C514" s="770" t="s">
        <v>3</v>
      </c>
      <c r="D514" s="771" t="s">
        <v>105</v>
      </c>
      <c r="E514" s="771" t="s">
        <v>750</v>
      </c>
      <c r="F514" s="771" t="s">
        <v>751</v>
      </c>
      <c r="G514" s="772">
        <v>44980</v>
      </c>
      <c r="H514" s="771" t="s">
        <v>752</v>
      </c>
      <c r="I514" s="771" t="s">
        <v>51</v>
      </c>
      <c r="J514" s="773" t="s">
        <v>52</v>
      </c>
      <c r="K514" s="774">
        <v>2</v>
      </c>
      <c r="L514" s="773">
        <v>41</v>
      </c>
      <c r="M514" s="773">
        <v>56</v>
      </c>
      <c r="N514" s="775" t="s">
        <v>10</v>
      </c>
    </row>
    <row r="515" spans="1:15" ht="18" thickBot="1" x14ac:dyDescent="0.5">
      <c r="A515" s="782">
        <f t="shared" si="5"/>
        <v>513</v>
      </c>
      <c r="B515" s="782">
        <v>464</v>
      </c>
      <c r="C515" s="782" t="s">
        <v>3</v>
      </c>
      <c r="D515" s="783" t="s">
        <v>41</v>
      </c>
      <c r="E515" s="783" t="s">
        <v>575</v>
      </c>
      <c r="F515" s="783" t="s">
        <v>753</v>
      </c>
      <c r="G515" s="784">
        <v>44981</v>
      </c>
      <c r="H515" s="783" t="s">
        <v>568</v>
      </c>
      <c r="I515" s="783" t="s">
        <v>70</v>
      </c>
      <c r="J515" s="760" t="s">
        <v>9</v>
      </c>
      <c r="K515" s="786">
        <v>94</v>
      </c>
      <c r="L515" s="760">
        <v>42</v>
      </c>
      <c r="M515" s="760">
        <v>42</v>
      </c>
      <c r="N515" s="787" t="s">
        <v>10</v>
      </c>
      <c r="O515" s="836"/>
    </row>
    <row r="516" spans="1:15" x14ac:dyDescent="0.45">
      <c r="A516" s="828">
        <f t="shared" si="5"/>
        <v>514</v>
      </c>
      <c r="B516" s="828">
        <v>465</v>
      </c>
      <c r="C516" s="828" t="s">
        <v>3</v>
      </c>
      <c r="D516" s="821" t="s">
        <v>182</v>
      </c>
      <c r="E516" s="821" t="s">
        <v>470</v>
      </c>
      <c r="F516" s="821" t="s">
        <v>2418</v>
      </c>
      <c r="G516" s="829">
        <v>44995</v>
      </c>
      <c r="H516" s="837" t="s">
        <v>754</v>
      </c>
      <c r="I516" s="821" t="s">
        <v>70</v>
      </c>
      <c r="J516" s="830" t="s">
        <v>71</v>
      </c>
      <c r="K516" s="831">
        <v>9</v>
      </c>
      <c r="L516" s="830">
        <v>54</v>
      </c>
      <c r="M516" s="830">
        <v>88</v>
      </c>
      <c r="N516" s="832" t="s">
        <v>10</v>
      </c>
    </row>
    <row r="517" spans="1:15" x14ac:dyDescent="0.45">
      <c r="A517" s="735">
        <f t="shared" si="5"/>
        <v>515</v>
      </c>
      <c r="B517" s="828">
        <v>466</v>
      </c>
      <c r="C517" s="735" t="s">
        <v>3</v>
      </c>
      <c r="D517" s="733" t="s">
        <v>41</v>
      </c>
      <c r="E517" s="733" t="s">
        <v>560</v>
      </c>
      <c r="F517" s="733" t="s">
        <v>755</v>
      </c>
      <c r="G517" s="736">
        <v>44998</v>
      </c>
      <c r="H517" s="733" t="s">
        <v>756</v>
      </c>
      <c r="I517" s="733" t="s">
        <v>70</v>
      </c>
      <c r="J517" s="830" t="s">
        <v>9</v>
      </c>
      <c r="K517" s="738">
        <v>94</v>
      </c>
      <c r="L517" s="830">
        <v>17</v>
      </c>
      <c r="M517" s="830">
        <v>17</v>
      </c>
      <c r="N517" s="739" t="s">
        <v>10</v>
      </c>
    </row>
    <row r="518" spans="1:15" x14ac:dyDescent="0.45">
      <c r="A518" s="735">
        <f t="shared" si="5"/>
        <v>516</v>
      </c>
      <c r="B518" s="735">
        <v>467</v>
      </c>
      <c r="C518" s="735" t="s">
        <v>3</v>
      </c>
      <c r="D518" s="733" t="s">
        <v>357</v>
      </c>
      <c r="E518" s="733" t="s">
        <v>90</v>
      </c>
      <c r="F518" s="733" t="s">
        <v>757</v>
      </c>
      <c r="G518" s="736">
        <v>45000</v>
      </c>
      <c r="H518" s="733" t="s">
        <v>758</v>
      </c>
      <c r="I518" s="733" t="s">
        <v>70</v>
      </c>
      <c r="J518" s="830" t="s">
        <v>9</v>
      </c>
      <c r="K518" s="738">
        <v>95</v>
      </c>
      <c r="L518" s="830">
        <v>2</v>
      </c>
      <c r="M518" s="830">
        <v>89</v>
      </c>
      <c r="N518" s="739" t="s">
        <v>10</v>
      </c>
    </row>
    <row r="519" spans="1:15" x14ac:dyDescent="0.45">
      <c r="A519" s="735">
        <f t="shared" si="5"/>
        <v>517</v>
      </c>
      <c r="B519" s="735">
        <v>468</v>
      </c>
      <c r="C519" s="735" t="s">
        <v>3</v>
      </c>
      <c r="D519" s="733" t="s">
        <v>105</v>
      </c>
      <c r="E519" s="733" t="s">
        <v>759</v>
      </c>
      <c r="F519" s="733" t="s">
        <v>760</v>
      </c>
      <c r="G519" s="736">
        <v>45002</v>
      </c>
      <c r="H519" s="733" t="s">
        <v>761</v>
      </c>
      <c r="I519" s="733" t="s">
        <v>51</v>
      </c>
      <c r="J519" s="737" t="s">
        <v>52</v>
      </c>
      <c r="K519" s="738">
        <v>2</v>
      </c>
      <c r="L519" s="737">
        <v>22</v>
      </c>
      <c r="M519" s="737">
        <v>22</v>
      </c>
      <c r="N519" s="739" t="s">
        <v>10</v>
      </c>
    </row>
    <row r="520" spans="1:15" x14ac:dyDescent="0.45">
      <c r="A520" s="735">
        <f t="shared" si="5"/>
        <v>518</v>
      </c>
      <c r="B520" s="828" t="s">
        <v>3</v>
      </c>
      <c r="C520" s="828">
        <v>50</v>
      </c>
      <c r="D520" s="821" t="s">
        <v>409</v>
      </c>
      <c r="E520" s="821" t="s">
        <v>221</v>
      </c>
      <c r="F520" s="821" t="s">
        <v>762</v>
      </c>
      <c r="G520" s="736">
        <v>45007</v>
      </c>
      <c r="H520" s="733" t="s">
        <v>763</v>
      </c>
      <c r="I520" s="733" t="s">
        <v>70</v>
      </c>
      <c r="J520" s="830" t="s">
        <v>9</v>
      </c>
      <c r="K520" s="738" t="s">
        <v>687</v>
      </c>
      <c r="L520" s="830">
        <v>7</v>
      </c>
      <c r="M520" s="830">
        <v>178</v>
      </c>
      <c r="N520" s="739" t="s">
        <v>10</v>
      </c>
    </row>
    <row r="521" spans="1:15" x14ac:dyDescent="0.45">
      <c r="A521" s="735">
        <f t="shared" si="5"/>
        <v>519</v>
      </c>
      <c r="B521" s="828">
        <v>469</v>
      </c>
      <c r="C521" s="735" t="s">
        <v>3</v>
      </c>
      <c r="D521" s="733" t="s">
        <v>83</v>
      </c>
      <c r="E521" s="733" t="s">
        <v>759</v>
      </c>
      <c r="F521" s="733" t="s">
        <v>2371</v>
      </c>
      <c r="G521" s="736">
        <v>45015</v>
      </c>
      <c r="H521" s="733" t="s">
        <v>764</v>
      </c>
      <c r="I521" s="733" t="s">
        <v>70</v>
      </c>
      <c r="J521" s="737" t="s">
        <v>71</v>
      </c>
      <c r="K521" s="738">
        <v>9</v>
      </c>
      <c r="L521" s="737">
        <v>20</v>
      </c>
      <c r="M521" s="737">
        <v>74</v>
      </c>
      <c r="N521" s="739" t="s">
        <v>10</v>
      </c>
    </row>
    <row r="522" spans="1:15" ht="18" thickBot="1" x14ac:dyDescent="0.5">
      <c r="A522" s="782">
        <f t="shared" si="5"/>
        <v>520</v>
      </c>
      <c r="B522" s="782">
        <v>470</v>
      </c>
      <c r="C522" s="782" t="s">
        <v>3</v>
      </c>
      <c r="D522" s="783" t="s">
        <v>182</v>
      </c>
      <c r="E522" s="783" t="s">
        <v>441</v>
      </c>
      <c r="F522" s="783" t="s">
        <v>1131</v>
      </c>
      <c r="G522" s="784">
        <v>45016</v>
      </c>
      <c r="H522" s="783" t="s">
        <v>765</v>
      </c>
      <c r="I522" s="783" t="s">
        <v>17</v>
      </c>
      <c r="J522" s="785" t="s">
        <v>9</v>
      </c>
      <c r="K522" s="786">
        <v>94</v>
      </c>
      <c r="L522" s="785">
        <v>9</v>
      </c>
      <c r="M522" s="785">
        <v>21</v>
      </c>
      <c r="N522" s="787" t="s">
        <v>10</v>
      </c>
      <c r="O522" s="836"/>
    </row>
    <row r="523" spans="1:15" x14ac:dyDescent="0.45">
      <c r="A523" s="838">
        <f t="shared" si="5"/>
        <v>521</v>
      </c>
      <c r="B523" s="838" t="s">
        <v>3</v>
      </c>
      <c r="C523" s="838">
        <v>51</v>
      </c>
      <c r="D523" s="839" t="s">
        <v>766</v>
      </c>
      <c r="E523" s="839" t="s">
        <v>42</v>
      </c>
      <c r="F523" s="839" t="s">
        <v>767</v>
      </c>
      <c r="G523" s="840">
        <v>45018</v>
      </c>
      <c r="H523" s="839" t="s">
        <v>768</v>
      </c>
      <c r="I523" s="839" t="s">
        <v>70</v>
      </c>
      <c r="J523" s="841" t="s">
        <v>9</v>
      </c>
      <c r="K523" s="842">
        <v>120</v>
      </c>
      <c r="L523" s="841">
        <v>2</v>
      </c>
      <c r="M523" s="841" t="s">
        <v>1012</v>
      </c>
      <c r="N523" s="843" t="s">
        <v>10</v>
      </c>
    </row>
    <row r="524" spans="1:15" x14ac:dyDescent="0.45">
      <c r="A524" s="735">
        <f t="shared" si="5"/>
        <v>522</v>
      </c>
      <c r="B524" s="828" t="s">
        <v>3</v>
      </c>
      <c r="C524" s="828">
        <v>52</v>
      </c>
      <c r="D524" s="821" t="s">
        <v>506</v>
      </c>
      <c r="E524" s="821" t="s">
        <v>33</v>
      </c>
      <c r="F524" s="821" t="s">
        <v>769</v>
      </c>
      <c r="G524" s="736">
        <v>45023</v>
      </c>
      <c r="H524" s="733" t="s">
        <v>683</v>
      </c>
      <c r="I524" s="733" t="s">
        <v>70</v>
      </c>
      <c r="J524" s="830" t="s">
        <v>9</v>
      </c>
      <c r="K524" s="738" t="s">
        <v>687</v>
      </c>
      <c r="L524" s="830">
        <v>5</v>
      </c>
      <c r="M524" s="830">
        <v>329</v>
      </c>
      <c r="N524" s="832" t="s">
        <v>10</v>
      </c>
    </row>
    <row r="525" spans="1:15" ht="18" thickBot="1" x14ac:dyDescent="0.5">
      <c r="A525" s="782">
        <f t="shared" si="5"/>
        <v>523</v>
      </c>
      <c r="B525" s="782">
        <v>471</v>
      </c>
      <c r="C525" s="782" t="s">
        <v>3</v>
      </c>
      <c r="D525" s="783" t="s">
        <v>132</v>
      </c>
      <c r="E525" s="783" t="s">
        <v>470</v>
      </c>
      <c r="F525" s="783" t="s">
        <v>2308</v>
      </c>
      <c r="G525" s="784">
        <v>45032</v>
      </c>
      <c r="H525" s="783" t="s">
        <v>770</v>
      </c>
      <c r="I525" s="783" t="s">
        <v>17</v>
      </c>
      <c r="J525" s="785" t="s">
        <v>9</v>
      </c>
      <c r="K525" s="786">
        <v>94</v>
      </c>
      <c r="L525" s="785">
        <v>9</v>
      </c>
      <c r="M525" s="785">
        <v>110</v>
      </c>
      <c r="N525" s="787" t="s">
        <v>10</v>
      </c>
      <c r="O525" s="836"/>
    </row>
    <row r="526" spans="1:15" x14ac:dyDescent="0.45">
      <c r="A526" s="828">
        <f t="shared" si="5"/>
        <v>524</v>
      </c>
      <c r="B526" s="828">
        <v>472</v>
      </c>
      <c r="C526" s="828" t="s">
        <v>3</v>
      </c>
      <c r="D526" s="821" t="s">
        <v>386</v>
      </c>
      <c r="E526" s="821" t="s">
        <v>63</v>
      </c>
      <c r="F526" s="821" t="s">
        <v>2372</v>
      </c>
      <c r="G526" s="829">
        <v>45056</v>
      </c>
      <c r="H526" s="821" t="s">
        <v>1149</v>
      </c>
      <c r="I526" s="821" t="s">
        <v>17</v>
      </c>
      <c r="J526" s="830" t="s">
        <v>388</v>
      </c>
      <c r="K526" s="831">
        <v>201</v>
      </c>
      <c r="L526" s="830">
        <v>121</v>
      </c>
      <c r="M526" s="830">
        <v>179</v>
      </c>
      <c r="N526" s="832" t="s">
        <v>10</v>
      </c>
    </row>
    <row r="527" spans="1:15" x14ac:dyDescent="0.45">
      <c r="A527" s="737">
        <f t="shared" si="5"/>
        <v>525</v>
      </c>
      <c r="B527" s="737">
        <v>473</v>
      </c>
      <c r="C527" s="737" t="s">
        <v>3</v>
      </c>
      <c r="D527" s="844" t="s">
        <v>105</v>
      </c>
      <c r="E527" s="845" t="s">
        <v>771</v>
      </c>
      <c r="F527" s="845" t="s">
        <v>1170</v>
      </c>
      <c r="G527" s="846">
        <v>45063</v>
      </c>
      <c r="H527" s="845" t="s">
        <v>1150</v>
      </c>
      <c r="I527" s="845" t="s">
        <v>51</v>
      </c>
      <c r="J527" s="737" t="s">
        <v>52</v>
      </c>
      <c r="K527" s="738">
        <v>2</v>
      </c>
      <c r="L527" s="737">
        <v>61</v>
      </c>
      <c r="M527" s="737">
        <v>61</v>
      </c>
      <c r="N527" s="832" t="s">
        <v>10</v>
      </c>
    </row>
    <row r="528" spans="1:15" x14ac:dyDescent="0.45">
      <c r="A528" s="737">
        <f t="shared" si="5"/>
        <v>526</v>
      </c>
      <c r="B528" s="737">
        <v>474</v>
      </c>
      <c r="C528" s="737" t="s">
        <v>3</v>
      </c>
      <c r="D528" s="845" t="s">
        <v>971</v>
      </c>
      <c r="E528" s="845" t="s">
        <v>972</v>
      </c>
      <c r="F528" s="845" t="s">
        <v>2373</v>
      </c>
      <c r="G528" s="846">
        <v>45067</v>
      </c>
      <c r="H528" s="845" t="s">
        <v>1151</v>
      </c>
      <c r="I528" s="845" t="s">
        <v>17</v>
      </c>
      <c r="J528" s="830" t="s">
        <v>9</v>
      </c>
      <c r="K528" s="738">
        <v>94</v>
      </c>
      <c r="L528" s="830">
        <v>35</v>
      </c>
      <c r="M528" s="830">
        <v>69</v>
      </c>
      <c r="N528" s="832" t="s">
        <v>10</v>
      </c>
    </row>
    <row r="529" spans="1:15" ht="18" thickBot="1" x14ac:dyDescent="0.5">
      <c r="A529" s="785">
        <f t="shared" si="5"/>
        <v>527</v>
      </c>
      <c r="B529" s="785">
        <v>475</v>
      </c>
      <c r="C529" s="785" t="s">
        <v>3</v>
      </c>
      <c r="D529" s="847" t="s">
        <v>138</v>
      </c>
      <c r="E529" s="847" t="s">
        <v>184</v>
      </c>
      <c r="F529" s="847" t="s">
        <v>3089</v>
      </c>
      <c r="G529" s="848">
        <v>45076</v>
      </c>
      <c r="H529" s="847" t="s">
        <v>1152</v>
      </c>
      <c r="I529" s="847" t="s">
        <v>17</v>
      </c>
      <c r="J529" s="785" t="s">
        <v>9</v>
      </c>
      <c r="K529" s="786" t="s">
        <v>1819</v>
      </c>
      <c r="L529" s="785">
        <v>9</v>
      </c>
      <c r="M529" s="785">
        <v>182</v>
      </c>
      <c r="N529" s="787" t="s">
        <v>10</v>
      </c>
      <c r="O529" s="836"/>
    </row>
    <row r="530" spans="1:15" x14ac:dyDescent="0.45">
      <c r="A530" s="737">
        <f t="shared" si="5"/>
        <v>528</v>
      </c>
      <c r="B530" s="737" t="s">
        <v>3</v>
      </c>
      <c r="C530" s="737">
        <v>53</v>
      </c>
      <c r="D530" s="844" t="s">
        <v>695</v>
      </c>
      <c r="E530" s="845" t="s">
        <v>45</v>
      </c>
      <c r="F530" s="845" t="s">
        <v>2374</v>
      </c>
      <c r="G530" s="846">
        <v>45084</v>
      </c>
      <c r="H530" s="845" t="s">
        <v>1153</v>
      </c>
      <c r="I530" s="845" t="s">
        <v>70</v>
      </c>
      <c r="J530" s="830" t="s">
        <v>9</v>
      </c>
      <c r="K530" s="738">
        <v>130</v>
      </c>
      <c r="L530" s="830">
        <v>8</v>
      </c>
      <c r="M530" s="830">
        <v>315</v>
      </c>
      <c r="N530" s="832" t="s">
        <v>10</v>
      </c>
    </row>
    <row r="531" spans="1:15" x14ac:dyDescent="0.45">
      <c r="A531" s="841">
        <f t="shared" si="5"/>
        <v>529</v>
      </c>
      <c r="B531" s="841" t="s">
        <v>3</v>
      </c>
      <c r="C531" s="737">
        <v>54</v>
      </c>
      <c r="D531" s="849" t="s">
        <v>409</v>
      </c>
      <c r="E531" s="849" t="s">
        <v>982</v>
      </c>
      <c r="F531" s="849" t="s">
        <v>1154</v>
      </c>
      <c r="G531" s="850">
        <v>45086</v>
      </c>
      <c r="H531" s="851" t="s">
        <v>1155</v>
      </c>
      <c r="I531" s="849" t="s">
        <v>17</v>
      </c>
      <c r="J531" s="830" t="s">
        <v>9</v>
      </c>
      <c r="K531" s="842">
        <v>95</v>
      </c>
      <c r="L531" s="830">
        <v>2</v>
      </c>
      <c r="M531" s="830">
        <v>79</v>
      </c>
      <c r="N531" s="832" t="s">
        <v>10</v>
      </c>
    </row>
    <row r="532" spans="1:15" x14ac:dyDescent="0.45">
      <c r="A532" s="737">
        <f t="shared" si="5"/>
        <v>530</v>
      </c>
      <c r="B532" s="737">
        <v>476</v>
      </c>
      <c r="C532" s="737" t="s">
        <v>3</v>
      </c>
      <c r="D532" s="845" t="s">
        <v>83</v>
      </c>
      <c r="E532" s="845" t="s">
        <v>984</v>
      </c>
      <c r="F532" s="845" t="s">
        <v>2446</v>
      </c>
      <c r="G532" s="846">
        <v>45092</v>
      </c>
      <c r="H532" s="845" t="s">
        <v>1156</v>
      </c>
      <c r="I532" s="845" t="s">
        <v>70</v>
      </c>
      <c r="J532" s="737" t="s">
        <v>71</v>
      </c>
      <c r="K532" s="738">
        <v>9</v>
      </c>
      <c r="L532" s="737">
        <v>77</v>
      </c>
      <c r="M532" s="737">
        <v>77</v>
      </c>
      <c r="N532" s="832" t="s">
        <v>10</v>
      </c>
    </row>
    <row r="533" spans="1:15" ht="18" thickBot="1" x14ac:dyDescent="0.5">
      <c r="A533" s="785">
        <f t="shared" si="5"/>
        <v>531</v>
      </c>
      <c r="B533" s="785">
        <v>477</v>
      </c>
      <c r="C533" s="785" t="s">
        <v>3</v>
      </c>
      <c r="D533" s="847" t="s">
        <v>1157</v>
      </c>
      <c r="E533" s="847" t="s">
        <v>986</v>
      </c>
      <c r="F533" s="852" t="s">
        <v>1158</v>
      </c>
      <c r="G533" s="848">
        <v>45097</v>
      </c>
      <c r="H533" s="847" t="s">
        <v>1159</v>
      </c>
      <c r="I533" s="847" t="s">
        <v>70</v>
      </c>
      <c r="J533" s="785" t="s">
        <v>71</v>
      </c>
      <c r="K533" s="786">
        <v>16</v>
      </c>
      <c r="L533" s="785">
        <v>5</v>
      </c>
      <c r="M533" s="785">
        <v>266</v>
      </c>
      <c r="N533" s="787" t="s">
        <v>10</v>
      </c>
      <c r="O533" s="836"/>
    </row>
    <row r="534" spans="1:15" x14ac:dyDescent="0.45">
      <c r="A534" s="773">
        <f t="shared" si="5"/>
        <v>532</v>
      </c>
      <c r="B534" s="773">
        <v>478</v>
      </c>
      <c r="C534" s="773" t="s">
        <v>3</v>
      </c>
      <c r="D534" s="853" t="s">
        <v>971</v>
      </c>
      <c r="E534" s="853" t="s">
        <v>985</v>
      </c>
      <c r="F534" s="853" t="s">
        <v>2526</v>
      </c>
      <c r="G534" s="854">
        <v>45116</v>
      </c>
      <c r="H534" s="853" t="s">
        <v>1160</v>
      </c>
      <c r="I534" s="853" t="s">
        <v>70</v>
      </c>
      <c r="J534" s="773" t="s">
        <v>9</v>
      </c>
      <c r="K534" s="774">
        <v>94</v>
      </c>
      <c r="L534" s="773">
        <v>30</v>
      </c>
      <c r="M534" s="773">
        <v>49</v>
      </c>
      <c r="N534" s="855" t="s">
        <v>10</v>
      </c>
      <c r="O534" s="718" t="s">
        <v>1776</v>
      </c>
    </row>
    <row r="535" spans="1:15" x14ac:dyDescent="0.45">
      <c r="A535" s="841">
        <f t="shared" si="5"/>
        <v>533</v>
      </c>
      <c r="B535" s="841" t="s">
        <v>3</v>
      </c>
      <c r="C535" s="841">
        <v>55</v>
      </c>
      <c r="D535" s="849" t="s">
        <v>976</v>
      </c>
      <c r="E535" s="849" t="s">
        <v>993</v>
      </c>
      <c r="F535" s="849" t="s">
        <v>3286</v>
      </c>
      <c r="G535" s="850">
        <v>45119</v>
      </c>
      <c r="H535" s="849" t="s">
        <v>1161</v>
      </c>
      <c r="I535" s="849" t="s">
        <v>70</v>
      </c>
      <c r="J535" s="841" t="s">
        <v>9</v>
      </c>
      <c r="K535" s="842">
        <v>96</v>
      </c>
      <c r="L535" s="830">
        <v>3</v>
      </c>
      <c r="M535" s="830">
        <v>210</v>
      </c>
      <c r="N535" s="832" t="s">
        <v>10</v>
      </c>
    </row>
    <row r="536" spans="1:15" x14ac:dyDescent="0.45">
      <c r="A536" s="841">
        <f t="shared" si="5"/>
        <v>534</v>
      </c>
      <c r="B536" s="841" t="s">
        <v>3</v>
      </c>
      <c r="C536" s="841">
        <v>56</v>
      </c>
      <c r="D536" s="849" t="s">
        <v>409</v>
      </c>
      <c r="E536" s="849" t="s">
        <v>1000</v>
      </c>
      <c r="F536" s="849" t="s">
        <v>2375</v>
      </c>
      <c r="G536" s="846">
        <v>45127</v>
      </c>
      <c r="H536" s="849" t="s">
        <v>1162</v>
      </c>
      <c r="I536" s="849" t="s">
        <v>70</v>
      </c>
      <c r="J536" s="841" t="s">
        <v>9</v>
      </c>
      <c r="K536" s="842">
        <v>95</v>
      </c>
      <c r="L536" s="830">
        <v>8</v>
      </c>
      <c r="M536" s="830">
        <v>41</v>
      </c>
      <c r="N536" s="832" t="s">
        <v>10</v>
      </c>
    </row>
    <row r="537" spans="1:15" x14ac:dyDescent="0.45">
      <c r="A537" s="737">
        <f t="shared" si="5"/>
        <v>535</v>
      </c>
      <c r="B537" s="737" t="s">
        <v>3</v>
      </c>
      <c r="C537" s="737">
        <v>57</v>
      </c>
      <c r="D537" s="845" t="s">
        <v>991</v>
      </c>
      <c r="E537" s="845" t="s">
        <v>992</v>
      </c>
      <c r="F537" s="845" t="s">
        <v>2828</v>
      </c>
      <c r="G537" s="846">
        <v>45129</v>
      </c>
      <c r="H537" s="845" t="s">
        <v>1163</v>
      </c>
      <c r="I537" s="845" t="s">
        <v>70</v>
      </c>
      <c r="J537" s="830" t="s">
        <v>9</v>
      </c>
      <c r="K537" s="738">
        <v>95</v>
      </c>
      <c r="L537" s="830">
        <v>2</v>
      </c>
      <c r="M537" s="830">
        <v>194</v>
      </c>
      <c r="N537" s="832" t="s">
        <v>10</v>
      </c>
    </row>
    <row r="538" spans="1:15" x14ac:dyDescent="0.45">
      <c r="A538" s="737">
        <f t="shared" si="5"/>
        <v>536</v>
      </c>
      <c r="B538" s="737">
        <v>479</v>
      </c>
      <c r="C538" s="737" t="s">
        <v>3</v>
      </c>
      <c r="D538" s="845" t="s">
        <v>979</v>
      </c>
      <c r="E538" s="845" t="s">
        <v>1014</v>
      </c>
      <c r="F538" s="845" t="s">
        <v>2376</v>
      </c>
      <c r="G538" s="846">
        <v>45130</v>
      </c>
      <c r="H538" s="845" t="s">
        <v>1164</v>
      </c>
      <c r="I538" s="845" t="s">
        <v>70</v>
      </c>
      <c r="J538" s="737" t="s">
        <v>71</v>
      </c>
      <c r="K538" s="738">
        <v>9</v>
      </c>
      <c r="L538" s="737">
        <v>33</v>
      </c>
      <c r="M538" s="737">
        <v>38</v>
      </c>
      <c r="N538" s="832" t="s">
        <v>10</v>
      </c>
    </row>
    <row r="539" spans="1:15" ht="18" thickBot="1" x14ac:dyDescent="0.5">
      <c r="A539" s="785">
        <f t="shared" si="5"/>
        <v>537</v>
      </c>
      <c r="B539" s="785">
        <v>480</v>
      </c>
      <c r="C539" s="785" t="s">
        <v>3</v>
      </c>
      <c r="D539" s="847" t="s">
        <v>979</v>
      </c>
      <c r="E539" s="847" t="s">
        <v>1016</v>
      </c>
      <c r="F539" s="847" t="s">
        <v>1570</v>
      </c>
      <c r="G539" s="848">
        <v>45134</v>
      </c>
      <c r="H539" s="847" t="s">
        <v>1165</v>
      </c>
      <c r="I539" s="847" t="s">
        <v>17</v>
      </c>
      <c r="J539" s="785" t="s">
        <v>52</v>
      </c>
      <c r="K539" s="786">
        <v>3</v>
      </c>
      <c r="L539" s="785">
        <v>71</v>
      </c>
      <c r="M539" s="785">
        <v>4</v>
      </c>
      <c r="N539" s="787" t="s">
        <v>1066</v>
      </c>
      <c r="O539" s="836"/>
    </row>
    <row r="540" spans="1:15" x14ac:dyDescent="0.45">
      <c r="A540" s="841">
        <f t="shared" si="5"/>
        <v>538</v>
      </c>
      <c r="B540" s="841">
        <v>481</v>
      </c>
      <c r="C540" s="841" t="s">
        <v>3</v>
      </c>
      <c r="D540" s="849" t="s">
        <v>995</v>
      </c>
      <c r="E540" s="849" t="s">
        <v>994</v>
      </c>
      <c r="F540" s="849" t="s">
        <v>2309</v>
      </c>
      <c r="G540" s="850">
        <v>45141</v>
      </c>
      <c r="H540" s="849" t="s">
        <v>1166</v>
      </c>
      <c r="I540" s="849" t="s">
        <v>70</v>
      </c>
      <c r="J540" s="841" t="s">
        <v>9</v>
      </c>
      <c r="K540" s="842">
        <v>94</v>
      </c>
      <c r="L540" s="841">
        <v>12</v>
      </c>
      <c r="M540" s="841">
        <v>125</v>
      </c>
      <c r="N540" s="855" t="s">
        <v>10</v>
      </c>
    </row>
    <row r="541" spans="1:15" x14ac:dyDescent="0.45">
      <c r="A541" s="737">
        <f t="shared" si="5"/>
        <v>539</v>
      </c>
      <c r="B541" s="737">
        <v>482</v>
      </c>
      <c r="C541" s="737" t="s">
        <v>3</v>
      </c>
      <c r="D541" s="845" t="s">
        <v>971</v>
      </c>
      <c r="E541" s="845" t="s">
        <v>1172</v>
      </c>
      <c r="F541" s="845" t="s">
        <v>1173</v>
      </c>
      <c r="G541" s="846">
        <v>45147</v>
      </c>
      <c r="H541" s="845" t="s">
        <v>1126</v>
      </c>
      <c r="I541" s="845" t="s">
        <v>70</v>
      </c>
      <c r="J541" s="737" t="s">
        <v>71</v>
      </c>
      <c r="K541" s="738">
        <v>9</v>
      </c>
      <c r="L541" s="737">
        <v>17</v>
      </c>
      <c r="M541" s="737">
        <v>31</v>
      </c>
      <c r="N541" s="832" t="s">
        <v>10</v>
      </c>
    </row>
    <row r="542" spans="1:15" x14ac:dyDescent="0.45">
      <c r="A542" s="737">
        <f t="shared" si="5"/>
        <v>540</v>
      </c>
      <c r="B542" s="737" t="s">
        <v>3</v>
      </c>
      <c r="C542" s="737">
        <v>58</v>
      </c>
      <c r="D542" s="845" t="s">
        <v>579</v>
      </c>
      <c r="E542" s="845" t="s">
        <v>997</v>
      </c>
      <c r="F542" s="845" t="s">
        <v>2377</v>
      </c>
      <c r="G542" s="846">
        <v>45148</v>
      </c>
      <c r="H542" s="845" t="s">
        <v>1182</v>
      </c>
      <c r="I542" s="845" t="s">
        <v>70</v>
      </c>
      <c r="J542" s="830" t="s">
        <v>9</v>
      </c>
      <c r="K542" s="738">
        <v>95</v>
      </c>
      <c r="L542" s="830">
        <v>7</v>
      </c>
      <c r="M542" s="830">
        <v>19</v>
      </c>
      <c r="N542" s="832" t="s">
        <v>10</v>
      </c>
    </row>
    <row r="543" spans="1:15" x14ac:dyDescent="0.45">
      <c r="A543" s="737">
        <f t="shared" si="5"/>
        <v>541</v>
      </c>
      <c r="B543" s="737">
        <v>483</v>
      </c>
      <c r="C543" s="737" t="s">
        <v>3</v>
      </c>
      <c r="D543" s="845" t="s">
        <v>990</v>
      </c>
      <c r="E543" s="845" t="s">
        <v>1129</v>
      </c>
      <c r="F543" s="845" t="s">
        <v>1167</v>
      </c>
      <c r="G543" s="846">
        <v>45151</v>
      </c>
      <c r="H543" s="845" t="s">
        <v>1183</v>
      </c>
      <c r="I543" s="845" t="s">
        <v>1189</v>
      </c>
      <c r="J543" s="737" t="s">
        <v>52</v>
      </c>
      <c r="K543" s="738">
        <v>2</v>
      </c>
      <c r="L543" s="841">
        <v>17</v>
      </c>
      <c r="M543" s="841">
        <v>88</v>
      </c>
      <c r="N543" s="752" t="s">
        <v>10</v>
      </c>
    </row>
    <row r="544" spans="1:15" x14ac:dyDescent="0.45">
      <c r="A544" s="737">
        <f t="shared" si="5"/>
        <v>542</v>
      </c>
      <c r="B544" s="737" t="s">
        <v>3</v>
      </c>
      <c r="C544" s="737">
        <v>59</v>
      </c>
      <c r="D544" s="845" t="s">
        <v>409</v>
      </c>
      <c r="E544" s="845" t="s">
        <v>1181</v>
      </c>
      <c r="F544" s="845" t="s">
        <v>2419</v>
      </c>
      <c r="G544" s="846">
        <v>45152</v>
      </c>
      <c r="H544" s="845" t="s">
        <v>1358</v>
      </c>
      <c r="I544" s="845" t="s">
        <v>17</v>
      </c>
      <c r="J544" s="737" t="s">
        <v>52</v>
      </c>
      <c r="K544" s="738">
        <v>3</v>
      </c>
      <c r="L544" s="737">
        <v>1</v>
      </c>
      <c r="M544" s="737">
        <v>25</v>
      </c>
      <c r="N544" s="752" t="s">
        <v>10</v>
      </c>
    </row>
    <row r="545" spans="1:15" x14ac:dyDescent="0.45">
      <c r="A545" s="737">
        <f t="shared" si="5"/>
        <v>543</v>
      </c>
      <c r="B545" s="737">
        <v>484</v>
      </c>
      <c r="C545" s="737" t="s">
        <v>3</v>
      </c>
      <c r="D545" s="845" t="s">
        <v>182</v>
      </c>
      <c r="E545" s="845" t="s">
        <v>1186</v>
      </c>
      <c r="F545" s="845" t="s">
        <v>1127</v>
      </c>
      <c r="G545" s="846">
        <v>45159</v>
      </c>
      <c r="H545" s="845" t="s">
        <v>1187</v>
      </c>
      <c r="I545" s="845" t="s">
        <v>70</v>
      </c>
      <c r="J545" s="830" t="s">
        <v>9</v>
      </c>
      <c r="K545" s="738">
        <v>94</v>
      </c>
      <c r="L545" s="830">
        <v>11</v>
      </c>
      <c r="M545" s="830">
        <v>18</v>
      </c>
      <c r="N545" s="752" t="s">
        <v>10</v>
      </c>
    </row>
    <row r="546" spans="1:15" x14ac:dyDescent="0.45">
      <c r="A546" s="737">
        <f t="shared" si="5"/>
        <v>544</v>
      </c>
      <c r="B546" s="737" t="s">
        <v>3</v>
      </c>
      <c r="C546" s="737">
        <v>60</v>
      </c>
      <c r="D546" s="845" t="s">
        <v>991</v>
      </c>
      <c r="E546" s="845" t="s">
        <v>996</v>
      </c>
      <c r="F546" s="845" t="s">
        <v>2335</v>
      </c>
      <c r="G546" s="846">
        <v>45163</v>
      </c>
      <c r="H546" s="845" t="s">
        <v>1196</v>
      </c>
      <c r="I546" s="845" t="s">
        <v>70</v>
      </c>
      <c r="J546" s="830" t="s">
        <v>9</v>
      </c>
      <c r="K546" s="738">
        <v>95</v>
      </c>
      <c r="L546" s="830">
        <v>4</v>
      </c>
      <c r="M546" s="830">
        <v>15</v>
      </c>
      <c r="N546" s="752" t="s">
        <v>10</v>
      </c>
    </row>
    <row r="547" spans="1:15" ht="18" thickBot="1" x14ac:dyDescent="0.5">
      <c r="A547" s="785">
        <f t="shared" si="5"/>
        <v>545</v>
      </c>
      <c r="B547" s="785">
        <v>485</v>
      </c>
      <c r="C547" s="785" t="s">
        <v>3</v>
      </c>
      <c r="D547" s="847" t="s">
        <v>83</v>
      </c>
      <c r="E547" s="847" t="s">
        <v>1195</v>
      </c>
      <c r="F547" s="847" t="s">
        <v>1571</v>
      </c>
      <c r="G547" s="848">
        <v>45169</v>
      </c>
      <c r="H547" s="847" t="s">
        <v>1359</v>
      </c>
      <c r="I547" s="847" t="s">
        <v>17</v>
      </c>
      <c r="J547" s="785" t="s">
        <v>52</v>
      </c>
      <c r="K547" s="786">
        <v>3</v>
      </c>
      <c r="L547" s="785">
        <v>17</v>
      </c>
      <c r="M547" s="785">
        <v>35</v>
      </c>
      <c r="N547" s="787" t="s">
        <v>10</v>
      </c>
      <c r="O547" s="836"/>
    </row>
    <row r="548" spans="1:15" x14ac:dyDescent="0.45">
      <c r="A548" s="856">
        <f t="shared" si="5"/>
        <v>546</v>
      </c>
      <c r="B548" s="856" t="s">
        <v>3</v>
      </c>
      <c r="C548" s="856">
        <v>61</v>
      </c>
      <c r="D548" s="857" t="s">
        <v>1197</v>
      </c>
      <c r="E548" s="857" t="s">
        <v>1198</v>
      </c>
      <c r="F548" s="857" t="s">
        <v>2378</v>
      </c>
      <c r="G548" s="858">
        <v>45174</v>
      </c>
      <c r="H548" s="857" t="s">
        <v>1360</v>
      </c>
      <c r="I548" s="857" t="s">
        <v>17</v>
      </c>
      <c r="J548" s="859" t="s">
        <v>503</v>
      </c>
      <c r="K548" s="860" t="s">
        <v>2321</v>
      </c>
      <c r="L548" s="859">
        <v>270</v>
      </c>
      <c r="M548" s="859" t="s">
        <v>1012</v>
      </c>
      <c r="N548" s="775" t="s">
        <v>10</v>
      </c>
    </row>
    <row r="549" spans="1:15" x14ac:dyDescent="0.45">
      <c r="A549" s="737">
        <f t="shared" si="5"/>
        <v>547</v>
      </c>
      <c r="B549" s="737">
        <v>486</v>
      </c>
      <c r="C549" s="737" t="s">
        <v>3</v>
      </c>
      <c r="D549" s="845" t="s">
        <v>995</v>
      </c>
      <c r="E549" s="845" t="s">
        <v>1192</v>
      </c>
      <c r="F549" s="845" t="s">
        <v>1191</v>
      </c>
      <c r="G549" s="846">
        <v>45176</v>
      </c>
      <c r="H549" s="845" t="s">
        <v>1361</v>
      </c>
      <c r="I549" s="845" t="s">
        <v>70</v>
      </c>
      <c r="J549" s="830" t="s">
        <v>9</v>
      </c>
      <c r="K549" s="738">
        <v>94</v>
      </c>
      <c r="L549" s="830">
        <v>13</v>
      </c>
      <c r="M549" s="830">
        <v>17</v>
      </c>
      <c r="N549" s="843" t="s">
        <v>10</v>
      </c>
    </row>
    <row r="550" spans="1:15" x14ac:dyDescent="0.45">
      <c r="A550" s="737">
        <f t="shared" si="5"/>
        <v>548</v>
      </c>
      <c r="B550" s="737">
        <v>487</v>
      </c>
      <c r="C550" s="737" t="s">
        <v>3</v>
      </c>
      <c r="D550" s="845" t="s">
        <v>1220</v>
      </c>
      <c r="E550" s="845" t="s">
        <v>1351</v>
      </c>
      <c r="F550" s="845" t="s">
        <v>3013</v>
      </c>
      <c r="G550" s="846">
        <v>45179</v>
      </c>
      <c r="H550" s="845" t="s">
        <v>1204</v>
      </c>
      <c r="I550" s="845" t="s">
        <v>2195</v>
      </c>
      <c r="J550" s="737" t="s">
        <v>71</v>
      </c>
      <c r="K550" s="738" t="s">
        <v>1222</v>
      </c>
      <c r="L550" s="737">
        <v>32</v>
      </c>
      <c r="M550" s="737">
        <v>302</v>
      </c>
      <c r="N550" s="752" t="s">
        <v>10</v>
      </c>
    </row>
    <row r="551" spans="1:15" x14ac:dyDescent="0.45">
      <c r="A551" s="737">
        <f t="shared" si="5"/>
        <v>549</v>
      </c>
      <c r="B551" s="737">
        <v>488</v>
      </c>
      <c r="C551" s="737" t="s">
        <v>3</v>
      </c>
      <c r="D551" s="845" t="s">
        <v>83</v>
      </c>
      <c r="E551" s="845" t="s">
        <v>1362</v>
      </c>
      <c r="F551" s="845" t="s">
        <v>1572</v>
      </c>
      <c r="G551" s="846">
        <v>45186</v>
      </c>
      <c r="H551" s="845" t="s">
        <v>1228</v>
      </c>
      <c r="I551" s="845" t="s">
        <v>17</v>
      </c>
      <c r="J551" s="737" t="s">
        <v>52</v>
      </c>
      <c r="K551" s="738">
        <v>3</v>
      </c>
      <c r="L551" s="737">
        <v>17</v>
      </c>
      <c r="M551" s="737">
        <v>17</v>
      </c>
      <c r="N551" s="752" t="s">
        <v>10</v>
      </c>
    </row>
    <row r="552" spans="1:15" x14ac:dyDescent="0.45">
      <c r="A552" s="737">
        <f t="shared" si="5"/>
        <v>550</v>
      </c>
      <c r="B552" s="737" t="s">
        <v>3</v>
      </c>
      <c r="C552" s="737">
        <v>62</v>
      </c>
      <c r="D552" s="845" t="s">
        <v>991</v>
      </c>
      <c r="E552" s="845" t="s">
        <v>1363</v>
      </c>
      <c r="F552" s="845" t="s">
        <v>2336</v>
      </c>
      <c r="G552" s="846">
        <v>45190</v>
      </c>
      <c r="H552" s="845" t="s">
        <v>1230</v>
      </c>
      <c r="I552" s="845" t="s">
        <v>70</v>
      </c>
      <c r="J552" s="830" t="s">
        <v>9</v>
      </c>
      <c r="K552" s="738">
        <v>95</v>
      </c>
      <c r="L552" s="830">
        <v>14</v>
      </c>
      <c r="M552" s="830">
        <v>27</v>
      </c>
      <c r="N552" s="746" t="s">
        <v>18</v>
      </c>
    </row>
    <row r="553" spans="1:15" ht="18" thickBot="1" x14ac:dyDescent="0.5">
      <c r="A553" s="785">
        <f t="shared" si="5"/>
        <v>551</v>
      </c>
      <c r="B553" s="785">
        <v>489</v>
      </c>
      <c r="C553" s="785" t="s">
        <v>3</v>
      </c>
      <c r="D553" s="847" t="s">
        <v>182</v>
      </c>
      <c r="E553" s="847" t="s">
        <v>1214</v>
      </c>
      <c r="F553" s="847" t="s">
        <v>1232</v>
      </c>
      <c r="G553" s="848">
        <v>45196</v>
      </c>
      <c r="H553" s="847" t="s">
        <v>1364</v>
      </c>
      <c r="I553" s="847" t="s">
        <v>70</v>
      </c>
      <c r="J553" s="785" t="s">
        <v>9</v>
      </c>
      <c r="K553" s="786">
        <v>94</v>
      </c>
      <c r="L553" s="785">
        <v>6</v>
      </c>
      <c r="M553" s="785">
        <v>20</v>
      </c>
      <c r="N553" s="787" t="s">
        <v>10</v>
      </c>
      <c r="O553" s="836"/>
    </row>
    <row r="554" spans="1:15" x14ac:dyDescent="0.45">
      <c r="A554" s="841">
        <f t="shared" si="5"/>
        <v>552</v>
      </c>
      <c r="B554" s="841">
        <v>490</v>
      </c>
      <c r="C554" s="841" t="s">
        <v>3</v>
      </c>
      <c r="D554" s="849" t="s">
        <v>979</v>
      </c>
      <c r="E554" s="849" t="s">
        <v>1235</v>
      </c>
      <c r="F554" s="849" t="s">
        <v>1573</v>
      </c>
      <c r="G554" s="850">
        <v>45204</v>
      </c>
      <c r="H554" s="849" t="s">
        <v>1236</v>
      </c>
      <c r="I554" s="849" t="s">
        <v>1237</v>
      </c>
      <c r="J554" s="841" t="s">
        <v>52</v>
      </c>
      <c r="K554" s="842">
        <v>3</v>
      </c>
      <c r="L554" s="841">
        <v>18</v>
      </c>
      <c r="M554" s="841">
        <v>18</v>
      </c>
      <c r="N554" s="775" t="s">
        <v>10</v>
      </c>
    </row>
    <row r="555" spans="1:15" x14ac:dyDescent="0.45">
      <c r="A555" s="737">
        <f t="shared" si="5"/>
        <v>553</v>
      </c>
      <c r="B555" s="737">
        <v>491</v>
      </c>
      <c r="C555" s="737" t="s">
        <v>3</v>
      </c>
      <c r="D555" s="845" t="s">
        <v>83</v>
      </c>
      <c r="E555" s="845" t="s">
        <v>1365</v>
      </c>
      <c r="F555" s="845" t="s">
        <v>1240</v>
      </c>
      <c r="G555" s="846">
        <v>45214</v>
      </c>
      <c r="H555" s="845" t="s">
        <v>1366</v>
      </c>
      <c r="I555" s="845" t="s">
        <v>70</v>
      </c>
      <c r="J555" s="830" t="s">
        <v>9</v>
      </c>
      <c r="K555" s="738">
        <v>94</v>
      </c>
      <c r="L555" s="830">
        <v>18</v>
      </c>
      <c r="M555" s="830">
        <v>10</v>
      </c>
      <c r="N555" s="752" t="s">
        <v>10</v>
      </c>
    </row>
    <row r="556" spans="1:15" x14ac:dyDescent="0.45">
      <c r="A556" s="737">
        <f t="shared" si="5"/>
        <v>554</v>
      </c>
      <c r="B556" s="737">
        <v>492</v>
      </c>
      <c r="C556" s="737" t="s">
        <v>3</v>
      </c>
      <c r="D556" s="845" t="s">
        <v>83</v>
      </c>
      <c r="E556" s="845" t="s">
        <v>1367</v>
      </c>
      <c r="F556" s="845" t="s">
        <v>1574</v>
      </c>
      <c r="G556" s="846">
        <v>45223</v>
      </c>
      <c r="H556" s="845" t="s">
        <v>1368</v>
      </c>
      <c r="I556" s="845" t="s">
        <v>1237</v>
      </c>
      <c r="J556" s="737" t="s">
        <v>52</v>
      </c>
      <c r="K556" s="738">
        <v>3</v>
      </c>
      <c r="L556" s="737">
        <v>19</v>
      </c>
      <c r="M556" s="737">
        <v>9</v>
      </c>
      <c r="N556" s="752" t="s">
        <v>10</v>
      </c>
    </row>
    <row r="557" spans="1:15" ht="18" thickBot="1" x14ac:dyDescent="0.5">
      <c r="A557" s="785">
        <f t="shared" ref="A557:A620" si="6">A556+1</f>
        <v>555</v>
      </c>
      <c r="B557" s="785">
        <v>493</v>
      </c>
      <c r="C557" s="785" t="s">
        <v>3</v>
      </c>
      <c r="D557" s="847" t="s">
        <v>138</v>
      </c>
      <c r="E557" s="847" t="s">
        <v>1013</v>
      </c>
      <c r="F557" s="847" t="s">
        <v>3090</v>
      </c>
      <c r="G557" s="848">
        <v>45225</v>
      </c>
      <c r="H557" s="847" t="s">
        <v>1369</v>
      </c>
      <c r="I557" s="847" t="s">
        <v>1237</v>
      </c>
      <c r="J557" s="785" t="s">
        <v>9</v>
      </c>
      <c r="K557" s="786" t="s">
        <v>1819</v>
      </c>
      <c r="L557" s="785">
        <v>11</v>
      </c>
      <c r="M557" s="785">
        <v>149</v>
      </c>
      <c r="N557" s="787" t="s">
        <v>10</v>
      </c>
      <c r="O557" s="836"/>
    </row>
    <row r="558" spans="1:15" x14ac:dyDescent="0.45">
      <c r="A558" s="841">
        <f t="shared" si="6"/>
        <v>556</v>
      </c>
      <c r="B558" s="841">
        <v>494</v>
      </c>
      <c r="C558" s="841" t="s">
        <v>3</v>
      </c>
      <c r="D558" s="849" t="s">
        <v>1220</v>
      </c>
      <c r="E558" s="849" t="s">
        <v>1245</v>
      </c>
      <c r="F558" s="849" t="s">
        <v>2503</v>
      </c>
      <c r="G558" s="850">
        <v>45231</v>
      </c>
      <c r="H558" s="849" t="s">
        <v>1246</v>
      </c>
      <c r="I558" s="849" t="s">
        <v>70</v>
      </c>
      <c r="J558" s="841" t="s">
        <v>71</v>
      </c>
      <c r="K558" s="842" t="s">
        <v>1222</v>
      </c>
      <c r="L558" s="841">
        <v>52</v>
      </c>
      <c r="M558" s="841">
        <v>52</v>
      </c>
      <c r="N558" s="843" t="s">
        <v>10</v>
      </c>
    </row>
    <row r="559" spans="1:15" x14ac:dyDescent="0.45">
      <c r="A559" s="737">
        <f t="shared" si="6"/>
        <v>557</v>
      </c>
      <c r="B559" s="737">
        <v>495</v>
      </c>
      <c r="C559" s="737" t="s">
        <v>3</v>
      </c>
      <c r="D559" s="845" t="s">
        <v>1238</v>
      </c>
      <c r="E559" s="845" t="s">
        <v>992</v>
      </c>
      <c r="F559" s="845" t="s">
        <v>1616</v>
      </c>
      <c r="G559" s="846">
        <v>45233</v>
      </c>
      <c r="H559" s="845" t="s">
        <v>1247</v>
      </c>
      <c r="I559" s="845" t="s">
        <v>1188</v>
      </c>
      <c r="J559" s="737" t="s">
        <v>388</v>
      </c>
      <c r="K559" s="738">
        <v>201</v>
      </c>
      <c r="L559" s="737">
        <v>177</v>
      </c>
      <c r="M559" s="737">
        <v>298</v>
      </c>
      <c r="N559" s="752" t="s">
        <v>10</v>
      </c>
    </row>
    <row r="560" spans="1:15" x14ac:dyDescent="0.45">
      <c r="A560" s="737">
        <f t="shared" si="6"/>
        <v>558</v>
      </c>
      <c r="B560" s="737">
        <v>496</v>
      </c>
      <c r="C560" s="737" t="s">
        <v>3</v>
      </c>
      <c r="D560" s="845" t="s">
        <v>1223</v>
      </c>
      <c r="E560" s="845" t="s">
        <v>1242</v>
      </c>
      <c r="F560" s="845" t="s">
        <v>1241</v>
      </c>
      <c r="G560" s="846">
        <v>45239</v>
      </c>
      <c r="H560" s="845" t="s">
        <v>1370</v>
      </c>
      <c r="I560" s="845" t="s">
        <v>1188</v>
      </c>
      <c r="J560" s="737" t="s">
        <v>52</v>
      </c>
      <c r="K560" s="738">
        <v>2</v>
      </c>
      <c r="L560" s="737">
        <v>16</v>
      </c>
      <c r="M560" s="737">
        <v>88</v>
      </c>
      <c r="N560" s="752" t="s">
        <v>10</v>
      </c>
    </row>
    <row r="561" spans="1:15" x14ac:dyDescent="0.45">
      <c r="A561" s="804">
        <f t="shared" si="6"/>
        <v>559</v>
      </c>
      <c r="B561" s="804">
        <v>497</v>
      </c>
      <c r="C561" s="804" t="s">
        <v>3</v>
      </c>
      <c r="D561" s="861" t="s">
        <v>971</v>
      </c>
      <c r="E561" s="861" t="s">
        <v>1186</v>
      </c>
      <c r="F561" s="861" t="s">
        <v>1371</v>
      </c>
      <c r="G561" s="862">
        <v>45246</v>
      </c>
      <c r="H561" s="861" t="s">
        <v>1267</v>
      </c>
      <c r="I561" s="861" t="s">
        <v>70</v>
      </c>
      <c r="J561" s="804" t="s">
        <v>9</v>
      </c>
      <c r="K561" s="805">
        <v>94</v>
      </c>
      <c r="L561" s="804">
        <v>21</v>
      </c>
      <c r="M561" s="804">
        <v>99</v>
      </c>
      <c r="N561" s="806" t="s">
        <v>10</v>
      </c>
      <c r="O561" s="718" t="s">
        <v>1608</v>
      </c>
    </row>
    <row r="562" spans="1:15" x14ac:dyDescent="0.45">
      <c r="A562" s="863">
        <f t="shared" si="6"/>
        <v>560</v>
      </c>
      <c r="B562" s="863">
        <v>498</v>
      </c>
      <c r="C562" s="863" t="s">
        <v>3</v>
      </c>
      <c r="D562" s="864" t="s">
        <v>979</v>
      </c>
      <c r="E562" s="864" t="s">
        <v>1372</v>
      </c>
      <c r="F562" s="864" t="s">
        <v>2528</v>
      </c>
      <c r="G562" s="865">
        <v>45253</v>
      </c>
      <c r="H562" s="864" t="s">
        <v>1373</v>
      </c>
      <c r="I562" s="864" t="s">
        <v>17</v>
      </c>
      <c r="J562" s="863" t="s">
        <v>52</v>
      </c>
      <c r="K562" s="791">
        <v>3</v>
      </c>
      <c r="L562" s="863">
        <v>14</v>
      </c>
      <c r="M562" s="863">
        <v>30</v>
      </c>
      <c r="N562" s="752" t="s">
        <v>10</v>
      </c>
      <c r="O562" s="718" t="s">
        <v>1607</v>
      </c>
    </row>
    <row r="563" spans="1:15" x14ac:dyDescent="0.45">
      <c r="A563" s="841">
        <f t="shared" si="6"/>
        <v>561</v>
      </c>
      <c r="B563" s="841">
        <v>499</v>
      </c>
      <c r="C563" s="841" t="s">
        <v>3</v>
      </c>
      <c r="D563" s="849" t="s">
        <v>971</v>
      </c>
      <c r="E563" s="849" t="s">
        <v>1214</v>
      </c>
      <c r="F563" s="849" t="s">
        <v>2379</v>
      </c>
      <c r="G563" s="850">
        <v>45264</v>
      </c>
      <c r="H563" s="849" t="s">
        <v>1153</v>
      </c>
      <c r="I563" s="849" t="s">
        <v>70</v>
      </c>
      <c r="J563" s="841" t="s">
        <v>9</v>
      </c>
      <c r="K563" s="842">
        <v>94</v>
      </c>
      <c r="L563" s="841">
        <v>18</v>
      </c>
      <c r="M563" s="841">
        <v>18</v>
      </c>
      <c r="N563" s="843" t="s">
        <v>10</v>
      </c>
    </row>
    <row r="564" spans="1:15" x14ac:dyDescent="0.45">
      <c r="A564" s="737">
        <f t="shared" si="6"/>
        <v>562</v>
      </c>
      <c r="B564" s="737" t="s">
        <v>3</v>
      </c>
      <c r="C564" s="737">
        <v>63</v>
      </c>
      <c r="D564" s="845" t="s">
        <v>991</v>
      </c>
      <c r="E564" s="845" t="s">
        <v>1261</v>
      </c>
      <c r="F564" s="845" t="s">
        <v>2380</v>
      </c>
      <c r="G564" s="846">
        <v>45265</v>
      </c>
      <c r="H564" s="845" t="s">
        <v>1374</v>
      </c>
      <c r="I564" s="845" t="s">
        <v>70</v>
      </c>
      <c r="J564" s="830" t="s">
        <v>9</v>
      </c>
      <c r="K564" s="738">
        <v>95</v>
      </c>
      <c r="L564" s="830">
        <v>1</v>
      </c>
      <c r="M564" s="830">
        <v>75</v>
      </c>
      <c r="N564" s="752" t="s">
        <v>10</v>
      </c>
    </row>
    <row r="565" spans="1:15" x14ac:dyDescent="0.45">
      <c r="A565" s="866">
        <f t="shared" si="6"/>
        <v>563</v>
      </c>
      <c r="B565" s="866" t="s">
        <v>3</v>
      </c>
      <c r="C565" s="866">
        <v>64</v>
      </c>
      <c r="D565" s="867" t="s">
        <v>732</v>
      </c>
      <c r="E565" s="867" t="s">
        <v>45</v>
      </c>
      <c r="F565" s="867" t="s">
        <v>2591</v>
      </c>
      <c r="G565" s="868">
        <v>45266</v>
      </c>
      <c r="H565" s="867" t="s">
        <v>1375</v>
      </c>
      <c r="I565" s="867" t="s">
        <v>70</v>
      </c>
      <c r="J565" s="822" t="s">
        <v>503</v>
      </c>
      <c r="K565" s="823" t="s">
        <v>2322</v>
      </c>
      <c r="L565" s="822">
        <v>92</v>
      </c>
      <c r="M565" s="822">
        <v>362</v>
      </c>
      <c r="N565" s="752" t="s">
        <v>10</v>
      </c>
    </row>
    <row r="566" spans="1:15" x14ac:dyDescent="0.45">
      <c r="A566" s="737">
        <f t="shared" si="6"/>
        <v>564</v>
      </c>
      <c r="B566" s="737" t="s">
        <v>3</v>
      </c>
      <c r="C566" s="737">
        <v>65</v>
      </c>
      <c r="D566" s="845" t="s">
        <v>976</v>
      </c>
      <c r="E566" s="845" t="s">
        <v>998</v>
      </c>
      <c r="F566" s="845" t="s">
        <v>2825</v>
      </c>
      <c r="G566" s="846">
        <v>45269</v>
      </c>
      <c r="H566" s="845" t="s">
        <v>1376</v>
      </c>
      <c r="I566" s="845" t="s">
        <v>70</v>
      </c>
      <c r="J566" s="830" t="s">
        <v>9</v>
      </c>
      <c r="K566" s="738">
        <v>96</v>
      </c>
      <c r="L566" s="830">
        <v>4</v>
      </c>
      <c r="M566" s="830">
        <v>150</v>
      </c>
      <c r="N566" s="752" t="s">
        <v>10</v>
      </c>
    </row>
    <row r="567" spans="1:15" x14ac:dyDescent="0.45">
      <c r="A567" s="737">
        <f t="shared" si="6"/>
        <v>565</v>
      </c>
      <c r="B567" s="737">
        <v>500</v>
      </c>
      <c r="C567" s="737" t="s">
        <v>3</v>
      </c>
      <c r="D567" s="845" t="s">
        <v>83</v>
      </c>
      <c r="E567" s="845" t="s">
        <v>1302</v>
      </c>
      <c r="F567" s="845" t="s">
        <v>2184</v>
      </c>
      <c r="G567" s="846">
        <v>45270</v>
      </c>
      <c r="H567" s="845" t="s">
        <v>1377</v>
      </c>
      <c r="I567" s="845" t="s">
        <v>17</v>
      </c>
      <c r="J567" s="737" t="s">
        <v>52</v>
      </c>
      <c r="K567" s="738">
        <v>3</v>
      </c>
      <c r="L567" s="737">
        <v>17</v>
      </c>
      <c r="M567" s="737">
        <v>17</v>
      </c>
      <c r="N567" s="752" t="s">
        <v>10</v>
      </c>
    </row>
    <row r="568" spans="1:15" x14ac:dyDescent="0.45">
      <c r="A568" s="737">
        <f t="shared" si="6"/>
        <v>566</v>
      </c>
      <c r="B568" s="737">
        <v>501</v>
      </c>
      <c r="C568" s="737" t="s">
        <v>3</v>
      </c>
      <c r="D568" s="845" t="s">
        <v>138</v>
      </c>
      <c r="E568" s="845" t="s">
        <v>1333</v>
      </c>
      <c r="F568" s="845" t="s">
        <v>1354</v>
      </c>
      <c r="G568" s="846">
        <v>45274</v>
      </c>
      <c r="H568" s="844" t="s">
        <v>1378</v>
      </c>
      <c r="I568" s="845" t="s">
        <v>17</v>
      </c>
      <c r="J568" s="737" t="s">
        <v>9</v>
      </c>
      <c r="K568" s="738" t="s">
        <v>1819</v>
      </c>
      <c r="L568" s="737">
        <v>5</v>
      </c>
      <c r="M568" s="737">
        <v>49</v>
      </c>
      <c r="N568" s="752" t="s">
        <v>10</v>
      </c>
    </row>
    <row r="569" spans="1:15" x14ac:dyDescent="0.45">
      <c r="A569" s="804">
        <f t="shared" si="6"/>
        <v>567</v>
      </c>
      <c r="B569" s="804">
        <v>502</v>
      </c>
      <c r="C569" s="804" t="s">
        <v>3</v>
      </c>
      <c r="D569" s="861" t="s">
        <v>1231</v>
      </c>
      <c r="E569" s="861" t="s">
        <v>992</v>
      </c>
      <c r="F569" s="861" t="s">
        <v>1383</v>
      </c>
      <c r="G569" s="862">
        <v>45275</v>
      </c>
      <c r="H569" s="861" t="s">
        <v>1387</v>
      </c>
      <c r="I569" s="861" t="s">
        <v>1188</v>
      </c>
      <c r="J569" s="804" t="s">
        <v>388</v>
      </c>
      <c r="K569" s="805">
        <v>101</v>
      </c>
      <c r="L569" s="804">
        <v>42</v>
      </c>
      <c r="M569" s="804">
        <v>1116</v>
      </c>
      <c r="N569" s="806" t="s">
        <v>10</v>
      </c>
    </row>
    <row r="570" spans="1:15" x14ac:dyDescent="0.45">
      <c r="A570" s="737">
        <f t="shared" si="6"/>
        <v>568</v>
      </c>
      <c r="B570" s="737" t="s">
        <v>3</v>
      </c>
      <c r="C570" s="737">
        <v>66</v>
      </c>
      <c r="D570" s="845" t="s">
        <v>1030</v>
      </c>
      <c r="E570" s="845" t="s">
        <v>997</v>
      </c>
      <c r="F570" s="864" t="s">
        <v>1382</v>
      </c>
      <c r="G570" s="846">
        <v>45277</v>
      </c>
      <c r="H570" s="867" t="s">
        <v>1353</v>
      </c>
      <c r="I570" s="864" t="s">
        <v>70</v>
      </c>
      <c r="J570" s="841" t="s">
        <v>9</v>
      </c>
      <c r="K570" s="738">
        <v>95</v>
      </c>
      <c r="L570" s="841">
        <v>3</v>
      </c>
      <c r="M570" s="841">
        <v>254</v>
      </c>
      <c r="N570" s="806" t="s">
        <v>10</v>
      </c>
    </row>
    <row r="571" spans="1:15" x14ac:dyDescent="0.45">
      <c r="A571" s="737">
        <f t="shared" si="6"/>
        <v>569</v>
      </c>
      <c r="B571" s="737" t="s">
        <v>3</v>
      </c>
      <c r="C571" s="737">
        <v>67</v>
      </c>
      <c r="D571" s="845" t="s">
        <v>988</v>
      </c>
      <c r="E571" s="845" t="s">
        <v>1388</v>
      </c>
      <c r="F571" s="864" t="s">
        <v>2381</v>
      </c>
      <c r="G571" s="846">
        <v>45285</v>
      </c>
      <c r="H571" s="845" t="s">
        <v>1161</v>
      </c>
      <c r="I571" s="864" t="s">
        <v>70</v>
      </c>
      <c r="J571" s="841" t="s">
        <v>9</v>
      </c>
      <c r="K571" s="738">
        <v>95</v>
      </c>
      <c r="L571" s="841" cm="1">
        <f t="array" aca="1" ref="L571" ca="1">IFERROR($G571-_xlfn.SINGLE(INDIRECT(ADDRESS(LOOKUP(2,1/($J$1:$J570=$J571),ROW($J$1:J570)),7))),"")</f>
        <v>8</v>
      </c>
      <c r="M571" s="841" cm="1">
        <f t="array" aca="1" ref="M571" ca="1">IFERROR($G571-_xlfn.SINGLE(INDIRECT(ADDRESS(LOOKUP(2,1/($D$1:$D570=$D571),ROW($D$1:$D570)),7))),"")</f>
        <v>133</v>
      </c>
      <c r="N571" s="806" t="s">
        <v>10</v>
      </c>
    </row>
    <row r="572" spans="1:15" x14ac:dyDescent="0.45">
      <c r="A572" s="866">
        <f t="shared" si="6"/>
        <v>570</v>
      </c>
      <c r="B572" s="866">
        <v>503</v>
      </c>
      <c r="C572" s="866" t="s">
        <v>3</v>
      </c>
      <c r="D572" s="867" t="s">
        <v>1350</v>
      </c>
      <c r="E572" s="867" t="s">
        <v>1351</v>
      </c>
      <c r="F572" s="867" t="s">
        <v>3102</v>
      </c>
      <c r="G572" s="868">
        <v>45286</v>
      </c>
      <c r="H572" s="867" t="s">
        <v>1430</v>
      </c>
      <c r="I572" s="867" t="s">
        <v>70</v>
      </c>
      <c r="J572" s="822" t="s">
        <v>503</v>
      </c>
      <c r="K572" s="823" t="s">
        <v>3304</v>
      </c>
      <c r="L572" s="822" cm="1">
        <f t="array" aca="1" ref="L572" ca="1">IFERROR($G572-_xlfn.SINGLE(INDIRECT(ADDRESS(LOOKUP(2,1/($J$1:$J571=$J572),ROW($J$1:J571)),7))),"")</f>
        <v>20</v>
      </c>
      <c r="M572" s="822" cm="1">
        <f t="array" aca="1" ref="M572" ca="1">IFERROR($G572-_xlfn.SINGLE(INDIRECT(ADDRESS(LOOKUP(2,1/($D$1:$D571=$D572),ROW($D$1:$D571)),7))),"")</f>
        <v>445</v>
      </c>
      <c r="N572" s="806" t="s">
        <v>10</v>
      </c>
    </row>
    <row r="573" spans="1:15" x14ac:dyDescent="0.45">
      <c r="A573" s="804">
        <f t="shared" si="6"/>
        <v>571</v>
      </c>
      <c r="B573" s="804">
        <v>504</v>
      </c>
      <c r="C573" s="804" t="s">
        <v>3</v>
      </c>
      <c r="D573" s="861" t="s">
        <v>1223</v>
      </c>
      <c r="E573" s="861" t="s">
        <v>1379</v>
      </c>
      <c r="F573" s="861" t="s">
        <v>2106</v>
      </c>
      <c r="G573" s="862">
        <v>45286</v>
      </c>
      <c r="H573" s="869" t="s">
        <v>1431</v>
      </c>
      <c r="I573" s="861" t="s">
        <v>1785</v>
      </c>
      <c r="J573" s="804" t="s">
        <v>52</v>
      </c>
      <c r="K573" s="805">
        <v>2</v>
      </c>
      <c r="L573" s="804" cm="1">
        <f t="array" aca="1" ref="L573" ca="1">IFERROR($G573-_xlfn.SINGLE(INDIRECT(ADDRESS(LOOKUP(2,1/($J$1:$J572=$J573),ROW($J$1:J572)),7))),"")</f>
        <v>16</v>
      </c>
      <c r="M573" s="804" cm="1">
        <f t="array" aca="1" ref="M573" ca="1">IFERROR($G573-_xlfn.SINGLE(INDIRECT(ADDRESS(LOOKUP(2,1/($D$1:$D572=$D573),ROW($D$1:$D572)),7))),"")</f>
        <v>47</v>
      </c>
      <c r="N573" s="806" t="s">
        <v>10</v>
      </c>
      <c r="O573" s="718" t="s">
        <v>1606</v>
      </c>
    </row>
    <row r="574" spans="1:15" x14ac:dyDescent="0.45">
      <c r="A574" s="737">
        <f t="shared" si="6"/>
        <v>572</v>
      </c>
      <c r="B574" s="737" t="s">
        <v>3</v>
      </c>
      <c r="C574" s="737">
        <v>68</v>
      </c>
      <c r="D574" s="845" t="s">
        <v>988</v>
      </c>
      <c r="E574" s="845" t="s">
        <v>1389</v>
      </c>
      <c r="F574" s="845" t="s">
        <v>2382</v>
      </c>
      <c r="G574" s="846">
        <v>45287</v>
      </c>
      <c r="H574" s="845" t="s">
        <v>1432</v>
      </c>
      <c r="I574" s="864" t="s">
        <v>70</v>
      </c>
      <c r="J574" s="830" t="s">
        <v>9</v>
      </c>
      <c r="K574" s="738">
        <v>95</v>
      </c>
      <c r="L574" s="830">
        <v>2</v>
      </c>
      <c r="M574" s="830">
        <v>2</v>
      </c>
      <c r="N574" s="806" t="s">
        <v>10</v>
      </c>
    </row>
    <row r="575" spans="1:15" ht="18" thickBot="1" x14ac:dyDescent="0.5">
      <c r="A575" s="743">
        <f t="shared" si="6"/>
        <v>573</v>
      </c>
      <c r="B575" s="743">
        <v>505</v>
      </c>
      <c r="C575" s="743" t="s">
        <v>3</v>
      </c>
      <c r="D575" s="870" t="s">
        <v>971</v>
      </c>
      <c r="E575" s="870" t="s">
        <v>1575</v>
      </c>
      <c r="F575" s="870" t="s">
        <v>2525</v>
      </c>
      <c r="G575" s="871">
        <v>45290</v>
      </c>
      <c r="H575" s="870" t="s">
        <v>1433</v>
      </c>
      <c r="I575" s="870" t="s">
        <v>17</v>
      </c>
      <c r="J575" s="743" t="s">
        <v>9</v>
      </c>
      <c r="K575" s="744">
        <v>94</v>
      </c>
      <c r="L575" s="743">
        <v>3</v>
      </c>
      <c r="M575" s="743">
        <v>26</v>
      </c>
      <c r="N575" s="745" t="s">
        <v>10</v>
      </c>
      <c r="O575" s="872" t="s">
        <v>2105</v>
      </c>
    </row>
    <row r="576" spans="1:15" ht="18" thickTop="1" x14ac:dyDescent="0.45">
      <c r="A576" s="841">
        <f t="shared" si="6"/>
        <v>574</v>
      </c>
      <c r="B576" s="841" t="s">
        <v>3</v>
      </c>
      <c r="C576" s="841">
        <v>69</v>
      </c>
      <c r="D576" s="849" t="s">
        <v>988</v>
      </c>
      <c r="E576" s="849" t="s">
        <v>1448</v>
      </c>
      <c r="F576" s="849" t="s">
        <v>1411</v>
      </c>
      <c r="G576" s="850">
        <v>45296</v>
      </c>
      <c r="H576" s="849" t="s">
        <v>1449</v>
      </c>
      <c r="I576" s="849" t="s">
        <v>70</v>
      </c>
      <c r="J576" s="841" t="s">
        <v>9</v>
      </c>
      <c r="K576" s="842">
        <v>95</v>
      </c>
      <c r="L576" s="841">
        <v>6</v>
      </c>
      <c r="M576" s="841">
        <v>9</v>
      </c>
      <c r="N576" s="873" t="s">
        <v>10</v>
      </c>
    </row>
    <row r="577" spans="1:17" x14ac:dyDescent="0.45">
      <c r="A577" s="737">
        <f t="shared" si="6"/>
        <v>575</v>
      </c>
      <c r="B577" s="737">
        <v>506</v>
      </c>
      <c r="C577" s="737" t="s">
        <v>3</v>
      </c>
      <c r="D577" s="845" t="s">
        <v>971</v>
      </c>
      <c r="E577" s="845" t="s">
        <v>1454</v>
      </c>
      <c r="F577" s="845" t="s">
        <v>2337</v>
      </c>
      <c r="G577" s="846">
        <v>45300</v>
      </c>
      <c r="H577" s="845" t="s">
        <v>1450</v>
      </c>
      <c r="I577" s="845" t="s">
        <v>17</v>
      </c>
      <c r="J577" s="737" t="s">
        <v>52</v>
      </c>
      <c r="K577" s="738">
        <v>3</v>
      </c>
      <c r="L577" s="737">
        <v>14</v>
      </c>
      <c r="M577" s="737">
        <v>10</v>
      </c>
      <c r="N577" s="806" t="s">
        <v>10</v>
      </c>
    </row>
    <row r="578" spans="1:17" x14ac:dyDescent="0.45">
      <c r="A578" s="737">
        <f t="shared" si="6"/>
        <v>576</v>
      </c>
      <c r="B578" s="737" t="s">
        <v>3</v>
      </c>
      <c r="C578" s="737">
        <v>70</v>
      </c>
      <c r="D578" s="845" t="s">
        <v>1451</v>
      </c>
      <c r="E578" s="845" t="s">
        <v>1385</v>
      </c>
      <c r="F578" s="864" t="s">
        <v>1452</v>
      </c>
      <c r="G578" s="846">
        <v>45302</v>
      </c>
      <c r="H578" s="845" t="s">
        <v>1453</v>
      </c>
      <c r="I578" s="864" t="s">
        <v>70</v>
      </c>
      <c r="J578" s="841" t="s">
        <v>9</v>
      </c>
      <c r="K578" s="738">
        <v>95</v>
      </c>
      <c r="L578" s="841">
        <v>6</v>
      </c>
      <c r="M578" s="841">
        <v>6</v>
      </c>
      <c r="N578" s="806" t="s">
        <v>10</v>
      </c>
    </row>
    <row r="579" spans="1:17" x14ac:dyDescent="0.45">
      <c r="A579" s="866">
        <f t="shared" si="6"/>
        <v>577</v>
      </c>
      <c r="B579" s="866" t="s">
        <v>3</v>
      </c>
      <c r="C579" s="866">
        <v>71</v>
      </c>
      <c r="D579" s="867" t="s">
        <v>772</v>
      </c>
      <c r="E579" s="867" t="s">
        <v>42</v>
      </c>
      <c r="F579" s="867" t="s">
        <v>2383</v>
      </c>
      <c r="G579" s="868">
        <v>45302</v>
      </c>
      <c r="H579" s="867" t="s">
        <v>1156</v>
      </c>
      <c r="I579" s="867" t="s">
        <v>17</v>
      </c>
      <c r="J579" s="822" t="s">
        <v>503</v>
      </c>
      <c r="K579" s="823" t="s">
        <v>2323</v>
      </c>
      <c r="L579" s="822">
        <v>16</v>
      </c>
      <c r="M579" s="822" t="s">
        <v>1012</v>
      </c>
      <c r="N579" s="806" t="s">
        <v>10</v>
      </c>
    </row>
    <row r="580" spans="1:17" x14ac:dyDescent="0.45">
      <c r="A580" s="737">
        <f t="shared" si="6"/>
        <v>578</v>
      </c>
      <c r="B580" s="737">
        <v>507</v>
      </c>
      <c r="C580" s="737" t="s">
        <v>3</v>
      </c>
      <c r="D580" s="845" t="s">
        <v>1301</v>
      </c>
      <c r="E580" s="845" t="s">
        <v>996</v>
      </c>
      <c r="F580" s="845" t="s">
        <v>2440</v>
      </c>
      <c r="G580" s="846">
        <v>45308</v>
      </c>
      <c r="H580" s="845" t="s">
        <v>1599</v>
      </c>
      <c r="I580" s="845" t="s">
        <v>17</v>
      </c>
      <c r="J580" s="737" t="s">
        <v>388</v>
      </c>
      <c r="K580" s="738">
        <v>201</v>
      </c>
      <c r="L580" s="737">
        <v>33</v>
      </c>
      <c r="M580" s="737">
        <v>252</v>
      </c>
      <c r="N580" s="806" t="s">
        <v>10</v>
      </c>
    </row>
    <row r="581" spans="1:17" ht="18" thickBot="1" x14ac:dyDescent="0.5">
      <c r="A581" s="785">
        <f t="shared" si="6"/>
        <v>579</v>
      </c>
      <c r="B581" s="785" t="s">
        <v>3</v>
      </c>
      <c r="C581" s="785">
        <v>72</v>
      </c>
      <c r="D581" s="847" t="s">
        <v>1008</v>
      </c>
      <c r="E581" s="847" t="s">
        <v>998</v>
      </c>
      <c r="F581" s="847" t="s">
        <v>2738</v>
      </c>
      <c r="G581" s="848">
        <v>45314</v>
      </c>
      <c r="H581" s="847" t="s">
        <v>1604</v>
      </c>
      <c r="I581" s="847" t="s">
        <v>70</v>
      </c>
      <c r="J581" s="760" t="s">
        <v>9</v>
      </c>
      <c r="K581" s="786">
        <v>130</v>
      </c>
      <c r="L581" s="760">
        <v>12</v>
      </c>
      <c r="M581" s="760">
        <v>230</v>
      </c>
      <c r="N581" s="787" t="s">
        <v>10</v>
      </c>
      <c r="O581" s="874"/>
    </row>
    <row r="582" spans="1:17" x14ac:dyDescent="0.45">
      <c r="A582" s="841">
        <f t="shared" si="6"/>
        <v>580</v>
      </c>
      <c r="B582" s="841">
        <v>508</v>
      </c>
      <c r="C582" s="841" t="s">
        <v>3</v>
      </c>
      <c r="D582" s="849" t="s">
        <v>971</v>
      </c>
      <c r="E582" s="849" t="s">
        <v>1367</v>
      </c>
      <c r="F582" s="849" t="s">
        <v>2735</v>
      </c>
      <c r="G582" s="850">
        <v>45325</v>
      </c>
      <c r="H582" s="849" t="s">
        <v>1603</v>
      </c>
      <c r="I582" s="849" t="s">
        <v>17</v>
      </c>
      <c r="J582" s="841" t="s">
        <v>52</v>
      </c>
      <c r="K582" s="842">
        <v>94</v>
      </c>
      <c r="L582" s="841">
        <v>25</v>
      </c>
      <c r="M582" s="841">
        <v>25</v>
      </c>
      <c r="N582" s="752" t="s">
        <v>10</v>
      </c>
    </row>
    <row r="583" spans="1:17" x14ac:dyDescent="0.45">
      <c r="A583" s="875">
        <f t="shared" si="6"/>
        <v>581</v>
      </c>
      <c r="B583" s="875" t="s">
        <v>3</v>
      </c>
      <c r="C583" s="875">
        <v>73</v>
      </c>
      <c r="D583" s="876" t="s">
        <v>732</v>
      </c>
      <c r="E583" s="876" t="s">
        <v>998</v>
      </c>
      <c r="F583" s="876" t="s">
        <v>3772</v>
      </c>
      <c r="G583" s="877">
        <v>45325</v>
      </c>
      <c r="H583" s="876" t="s">
        <v>1605</v>
      </c>
      <c r="I583" s="876" t="s">
        <v>70</v>
      </c>
      <c r="J583" s="878" t="s">
        <v>503</v>
      </c>
      <c r="K583" s="879" t="s">
        <v>2324</v>
      </c>
      <c r="L583" s="878">
        <v>23</v>
      </c>
      <c r="M583" s="878">
        <v>59</v>
      </c>
      <c r="N583" s="752" t="s">
        <v>10</v>
      </c>
    </row>
    <row r="584" spans="1:17" x14ac:dyDescent="0.45">
      <c r="A584" s="863">
        <f t="shared" si="6"/>
        <v>582</v>
      </c>
      <c r="B584" s="863">
        <v>509</v>
      </c>
      <c r="C584" s="863" t="s">
        <v>3</v>
      </c>
      <c r="D584" s="864" t="s">
        <v>1231</v>
      </c>
      <c r="E584" s="864" t="s">
        <v>997</v>
      </c>
      <c r="F584" s="864" t="s">
        <v>1609</v>
      </c>
      <c r="G584" s="865">
        <v>45345</v>
      </c>
      <c r="H584" s="864" t="s">
        <v>1627</v>
      </c>
      <c r="I584" s="864" t="s">
        <v>1188</v>
      </c>
      <c r="J584" s="863" t="s">
        <v>388</v>
      </c>
      <c r="K584" s="791">
        <v>101</v>
      </c>
      <c r="L584" s="863">
        <v>37</v>
      </c>
      <c r="M584" s="863">
        <v>70</v>
      </c>
      <c r="N584" s="752" t="s">
        <v>10</v>
      </c>
      <c r="O584" s="880"/>
    </row>
    <row r="585" spans="1:17" ht="18" thickBot="1" x14ac:dyDescent="0.5">
      <c r="A585" s="760">
        <f t="shared" si="6"/>
        <v>583</v>
      </c>
      <c r="B585" s="760">
        <v>510</v>
      </c>
      <c r="C585" s="760" t="s">
        <v>3</v>
      </c>
      <c r="D585" s="881" t="s">
        <v>990</v>
      </c>
      <c r="E585" s="881" t="s">
        <v>1580</v>
      </c>
      <c r="F585" s="881" t="s">
        <v>2587</v>
      </c>
      <c r="G585" s="882">
        <v>45351</v>
      </c>
      <c r="H585" s="881" t="s">
        <v>1626</v>
      </c>
      <c r="I585" s="881" t="s">
        <v>1188</v>
      </c>
      <c r="J585" s="760" t="s">
        <v>52</v>
      </c>
      <c r="K585" s="761">
        <v>2</v>
      </c>
      <c r="L585" s="760">
        <v>26</v>
      </c>
      <c r="M585" s="760">
        <v>65</v>
      </c>
      <c r="N585" s="787" t="s">
        <v>10</v>
      </c>
      <c r="O585" s="874"/>
    </row>
    <row r="586" spans="1:17" x14ac:dyDescent="0.45">
      <c r="A586" s="814">
        <f t="shared" si="6"/>
        <v>584</v>
      </c>
      <c r="B586" s="814">
        <v>511</v>
      </c>
      <c r="C586" s="814" t="s">
        <v>3</v>
      </c>
      <c r="D586" s="883" t="s">
        <v>971</v>
      </c>
      <c r="E586" s="883" t="s">
        <v>1302</v>
      </c>
      <c r="F586" s="883" t="s">
        <v>1632</v>
      </c>
      <c r="G586" s="884">
        <v>45364</v>
      </c>
      <c r="H586" s="883" t="s">
        <v>1633</v>
      </c>
      <c r="I586" s="883" t="s">
        <v>1634</v>
      </c>
      <c r="J586" s="814" t="s">
        <v>52</v>
      </c>
      <c r="K586" s="815">
        <v>3</v>
      </c>
      <c r="L586" s="814">
        <v>13</v>
      </c>
      <c r="M586" s="814">
        <v>39</v>
      </c>
      <c r="N586" s="885" t="s">
        <v>2206</v>
      </c>
      <c r="O586" s="880" t="s">
        <v>1777</v>
      </c>
    </row>
    <row r="587" spans="1:17" x14ac:dyDescent="0.45">
      <c r="A587" s="737">
        <f t="shared" si="6"/>
        <v>585</v>
      </c>
      <c r="B587" s="737">
        <v>512</v>
      </c>
      <c r="C587" s="737" t="s">
        <v>3</v>
      </c>
      <c r="D587" s="845" t="s">
        <v>1416</v>
      </c>
      <c r="E587" s="845" t="s">
        <v>998</v>
      </c>
      <c r="F587" s="845" t="s">
        <v>2384</v>
      </c>
      <c r="G587" s="846">
        <v>45371</v>
      </c>
      <c r="H587" s="845" t="s">
        <v>1665</v>
      </c>
      <c r="I587" s="845" t="s">
        <v>1415</v>
      </c>
      <c r="J587" s="737" t="s">
        <v>388</v>
      </c>
      <c r="K587" s="738">
        <v>201</v>
      </c>
      <c r="L587" s="737">
        <v>26</v>
      </c>
      <c r="M587" s="737">
        <v>752</v>
      </c>
      <c r="N587" s="752" t="s">
        <v>1066</v>
      </c>
      <c r="O587" s="886"/>
      <c r="P587" s="887"/>
      <c r="Q587" s="886"/>
    </row>
    <row r="588" spans="1:17" x14ac:dyDescent="0.45">
      <c r="A588" s="863">
        <f t="shared" si="6"/>
        <v>586</v>
      </c>
      <c r="B588" s="863">
        <v>513</v>
      </c>
      <c r="C588" s="863" t="s">
        <v>3</v>
      </c>
      <c r="D588" s="864" t="s">
        <v>1436</v>
      </c>
      <c r="E588" s="864" t="s">
        <v>1667</v>
      </c>
      <c r="F588" s="864" t="s">
        <v>3345</v>
      </c>
      <c r="G588" s="865">
        <v>45372</v>
      </c>
      <c r="H588" s="864" t="s">
        <v>1666</v>
      </c>
      <c r="I588" s="864" t="s">
        <v>17</v>
      </c>
      <c r="J588" s="863" t="s">
        <v>9</v>
      </c>
      <c r="K588" s="791">
        <v>94</v>
      </c>
      <c r="L588" s="863">
        <v>58</v>
      </c>
      <c r="M588" s="863">
        <v>102</v>
      </c>
      <c r="N588" s="752" t="s">
        <v>10</v>
      </c>
      <c r="O588" s="880" t="s">
        <v>1778</v>
      </c>
      <c r="P588" s="887"/>
      <c r="Q588" s="887"/>
    </row>
    <row r="589" spans="1:17" ht="18" thickBot="1" x14ac:dyDescent="0.5">
      <c r="A589" s="760">
        <f t="shared" si="6"/>
        <v>587</v>
      </c>
      <c r="B589" s="760">
        <v>514</v>
      </c>
      <c r="C589" s="760" t="s">
        <v>3</v>
      </c>
      <c r="D589" s="881" t="s">
        <v>1220</v>
      </c>
      <c r="E589" s="881" t="s">
        <v>998</v>
      </c>
      <c r="F589" s="881" t="s">
        <v>1671</v>
      </c>
      <c r="G589" s="882">
        <v>45378</v>
      </c>
      <c r="H589" s="881" t="s">
        <v>1670</v>
      </c>
      <c r="I589" s="881" t="s">
        <v>70</v>
      </c>
      <c r="J589" s="760" t="s">
        <v>71</v>
      </c>
      <c r="K589" s="761" t="s">
        <v>1222</v>
      </c>
      <c r="L589" s="760">
        <v>147</v>
      </c>
      <c r="M589" s="760">
        <v>147</v>
      </c>
      <c r="N589" s="762" t="s">
        <v>10</v>
      </c>
      <c r="O589" s="874"/>
    </row>
    <row r="590" spans="1:17" x14ac:dyDescent="0.45">
      <c r="A590" s="863">
        <f t="shared" si="6"/>
        <v>588</v>
      </c>
      <c r="B590" s="863">
        <v>515</v>
      </c>
      <c r="C590" s="863" t="s">
        <v>3</v>
      </c>
      <c r="D590" s="864" t="s">
        <v>979</v>
      </c>
      <c r="E590" s="864" t="s">
        <v>1781</v>
      </c>
      <c r="F590" s="864" t="s">
        <v>1780</v>
      </c>
      <c r="G590" s="865">
        <v>45385</v>
      </c>
      <c r="H590" s="864" t="s">
        <v>1779</v>
      </c>
      <c r="I590" s="864" t="s">
        <v>17</v>
      </c>
      <c r="J590" s="863" t="s">
        <v>52</v>
      </c>
      <c r="K590" s="791">
        <v>3</v>
      </c>
      <c r="L590" s="863">
        <v>21</v>
      </c>
      <c r="M590" s="863">
        <v>13</v>
      </c>
      <c r="N590" s="775" t="s">
        <v>10</v>
      </c>
      <c r="O590" s="887"/>
    </row>
    <row r="591" spans="1:17" x14ac:dyDescent="0.45">
      <c r="A591" s="737">
        <f t="shared" si="6"/>
        <v>589</v>
      </c>
      <c r="B591" s="737">
        <v>516</v>
      </c>
      <c r="C591" s="841" t="s">
        <v>3</v>
      </c>
      <c r="D591" s="845" t="s">
        <v>979</v>
      </c>
      <c r="E591" s="845" t="s">
        <v>1786</v>
      </c>
      <c r="F591" s="845" t="s">
        <v>1815</v>
      </c>
      <c r="G591" s="846">
        <v>45397</v>
      </c>
      <c r="H591" s="845" t="s">
        <v>1814</v>
      </c>
      <c r="I591" s="845" t="s">
        <v>70</v>
      </c>
      <c r="J591" s="830" t="s">
        <v>9</v>
      </c>
      <c r="K591" s="738">
        <v>94</v>
      </c>
      <c r="L591" s="830">
        <v>25</v>
      </c>
      <c r="M591" s="830">
        <v>12</v>
      </c>
      <c r="N591" s="752" t="s">
        <v>10</v>
      </c>
      <c r="O591" s="888"/>
    </row>
    <row r="592" spans="1:17" x14ac:dyDescent="0.45">
      <c r="A592" s="841">
        <f t="shared" si="6"/>
        <v>590</v>
      </c>
      <c r="B592" s="841">
        <v>517</v>
      </c>
      <c r="C592" s="841" t="s">
        <v>3</v>
      </c>
      <c r="D592" s="849" t="s">
        <v>979</v>
      </c>
      <c r="E592" s="849" t="s">
        <v>1812</v>
      </c>
      <c r="F592" s="849" t="s">
        <v>1813</v>
      </c>
      <c r="G592" s="850">
        <v>45403</v>
      </c>
      <c r="H592" s="849" t="s">
        <v>1822</v>
      </c>
      <c r="I592" s="849" t="s">
        <v>17</v>
      </c>
      <c r="J592" s="841" t="s">
        <v>52</v>
      </c>
      <c r="K592" s="842">
        <v>3</v>
      </c>
      <c r="L592" s="841">
        <v>18</v>
      </c>
      <c r="M592" s="841">
        <v>6</v>
      </c>
      <c r="N592" s="752" t="s">
        <v>10</v>
      </c>
      <c r="O592" s="887"/>
    </row>
    <row r="593" spans="1:17" ht="18" thickBot="1" x14ac:dyDescent="0.5">
      <c r="A593" s="760">
        <f t="shared" si="6"/>
        <v>591</v>
      </c>
      <c r="B593" s="760">
        <v>518</v>
      </c>
      <c r="C593" s="760" t="s">
        <v>3</v>
      </c>
      <c r="D593" s="881" t="s">
        <v>1425</v>
      </c>
      <c r="E593" s="881" t="s">
        <v>1426</v>
      </c>
      <c r="F593" s="881" t="s">
        <v>3091</v>
      </c>
      <c r="G593" s="882">
        <v>45407</v>
      </c>
      <c r="H593" s="881" t="s">
        <v>1821</v>
      </c>
      <c r="I593" s="881" t="s">
        <v>17</v>
      </c>
      <c r="J593" s="760" t="s">
        <v>9</v>
      </c>
      <c r="K593" s="761" t="s">
        <v>1819</v>
      </c>
      <c r="L593" s="760">
        <v>10</v>
      </c>
      <c r="M593" s="760">
        <v>133</v>
      </c>
      <c r="N593" s="787" t="s">
        <v>10</v>
      </c>
      <c r="O593" s="889"/>
      <c r="P593" s="887"/>
      <c r="Q593" s="887"/>
    </row>
    <row r="594" spans="1:17" x14ac:dyDescent="0.45">
      <c r="A594" s="841">
        <f t="shared" si="6"/>
        <v>592</v>
      </c>
      <c r="B594" s="841">
        <v>519</v>
      </c>
      <c r="C594" s="841" t="s">
        <v>3</v>
      </c>
      <c r="D594" s="849" t="s">
        <v>1523</v>
      </c>
      <c r="E594" s="849" t="s">
        <v>996</v>
      </c>
      <c r="F594" s="849" t="s">
        <v>3341</v>
      </c>
      <c r="G594" s="850">
        <v>45415</v>
      </c>
      <c r="H594" s="849" t="s">
        <v>1921</v>
      </c>
      <c r="I594" s="849" t="s">
        <v>1415</v>
      </c>
      <c r="J594" s="841" t="s">
        <v>388</v>
      </c>
      <c r="K594" s="842">
        <v>101</v>
      </c>
      <c r="L594" s="841">
        <v>44</v>
      </c>
      <c r="M594" s="841">
        <v>70</v>
      </c>
      <c r="N594" s="775" t="s">
        <v>10</v>
      </c>
      <c r="O594" s="887"/>
      <c r="P594" s="887"/>
      <c r="Q594" s="887"/>
    </row>
    <row r="595" spans="1:17" x14ac:dyDescent="0.45">
      <c r="A595" s="737">
        <f t="shared" si="6"/>
        <v>593</v>
      </c>
      <c r="B595" s="737">
        <v>520</v>
      </c>
      <c r="C595" s="737" t="s">
        <v>3</v>
      </c>
      <c r="D595" s="845" t="s">
        <v>1201</v>
      </c>
      <c r="E595" s="845" t="s">
        <v>1198</v>
      </c>
      <c r="F595" s="864" t="s">
        <v>2385</v>
      </c>
      <c r="G595" s="846">
        <v>45419</v>
      </c>
      <c r="H595" s="845" t="s">
        <v>1923</v>
      </c>
      <c r="I595" s="845" t="s">
        <v>70</v>
      </c>
      <c r="J595" s="737" t="s">
        <v>71</v>
      </c>
      <c r="K595" s="738" t="s">
        <v>1222</v>
      </c>
      <c r="L595" s="737">
        <v>41</v>
      </c>
      <c r="M595" s="737" t="s">
        <v>1012</v>
      </c>
      <c r="N595" s="843" t="s">
        <v>10</v>
      </c>
      <c r="O595" s="888"/>
    </row>
    <row r="596" spans="1:17" x14ac:dyDescent="0.45">
      <c r="A596" s="841">
        <f t="shared" si="6"/>
        <v>594</v>
      </c>
      <c r="B596" s="841">
        <v>521</v>
      </c>
      <c r="C596" s="841" t="s">
        <v>3</v>
      </c>
      <c r="D596" s="849" t="s">
        <v>990</v>
      </c>
      <c r="E596" s="849" t="s">
        <v>1915</v>
      </c>
      <c r="F596" s="849" t="s">
        <v>2496</v>
      </c>
      <c r="G596" s="850">
        <v>45421</v>
      </c>
      <c r="H596" s="849" t="s">
        <v>1909</v>
      </c>
      <c r="I596" s="849" t="s">
        <v>1785</v>
      </c>
      <c r="J596" s="841" t="s">
        <v>52</v>
      </c>
      <c r="K596" s="842">
        <v>2</v>
      </c>
      <c r="L596" s="841">
        <v>18</v>
      </c>
      <c r="M596" s="841">
        <v>70</v>
      </c>
      <c r="N596" s="843" t="s">
        <v>10</v>
      </c>
      <c r="O596" s="880"/>
    </row>
    <row r="597" spans="1:17" x14ac:dyDescent="0.45">
      <c r="A597" s="737">
        <f t="shared" si="6"/>
        <v>595</v>
      </c>
      <c r="B597" s="737">
        <v>522</v>
      </c>
      <c r="C597" s="737" t="s">
        <v>3</v>
      </c>
      <c r="D597" s="845" t="s">
        <v>995</v>
      </c>
      <c r="E597" s="845" t="s">
        <v>1927</v>
      </c>
      <c r="F597" s="845" t="s">
        <v>1928</v>
      </c>
      <c r="G597" s="846">
        <v>45424</v>
      </c>
      <c r="H597" s="845" t="s">
        <v>1926</v>
      </c>
      <c r="I597" s="845" t="s">
        <v>70</v>
      </c>
      <c r="J597" s="830" t="s">
        <v>9</v>
      </c>
      <c r="K597" s="738">
        <v>94</v>
      </c>
      <c r="L597" s="830">
        <v>17</v>
      </c>
      <c r="M597" s="830">
        <v>228</v>
      </c>
      <c r="N597" s="843" t="s">
        <v>10</v>
      </c>
      <c r="O597" s="890"/>
    </row>
    <row r="598" spans="1:17" x14ac:dyDescent="0.45">
      <c r="A598" s="737">
        <f t="shared" si="6"/>
        <v>596</v>
      </c>
      <c r="B598" s="737">
        <v>523</v>
      </c>
      <c r="C598" s="737" t="s">
        <v>3</v>
      </c>
      <c r="D598" s="845" t="s">
        <v>1436</v>
      </c>
      <c r="E598" s="845" t="s">
        <v>1941</v>
      </c>
      <c r="F598" s="845" t="s">
        <v>2386</v>
      </c>
      <c r="G598" s="846">
        <v>45432</v>
      </c>
      <c r="H598" s="845" t="s">
        <v>1605</v>
      </c>
      <c r="I598" s="845" t="s">
        <v>70</v>
      </c>
      <c r="J598" s="737" t="s">
        <v>71</v>
      </c>
      <c r="K598" s="738" t="s">
        <v>2030</v>
      </c>
      <c r="L598" s="737">
        <v>13</v>
      </c>
      <c r="M598" s="737">
        <v>29</v>
      </c>
      <c r="N598" s="843" t="s">
        <v>10</v>
      </c>
      <c r="O598" s="891"/>
      <c r="P598" s="887"/>
      <c r="Q598" s="892"/>
    </row>
    <row r="599" spans="1:17" x14ac:dyDescent="0.45">
      <c r="A599" s="841">
        <f t="shared" si="6"/>
        <v>597</v>
      </c>
      <c r="B599" s="841" t="s">
        <v>3</v>
      </c>
      <c r="C599" s="841">
        <v>74</v>
      </c>
      <c r="D599" s="849" t="s">
        <v>1935</v>
      </c>
      <c r="E599" s="849" t="s">
        <v>1245</v>
      </c>
      <c r="F599" s="849" t="s">
        <v>3529</v>
      </c>
      <c r="G599" s="850">
        <v>45433</v>
      </c>
      <c r="H599" s="849" t="s">
        <v>1942</v>
      </c>
      <c r="I599" s="849" t="s">
        <v>70</v>
      </c>
      <c r="J599" s="841" t="s">
        <v>9</v>
      </c>
      <c r="K599" s="842">
        <v>95</v>
      </c>
      <c r="L599" s="841">
        <v>9</v>
      </c>
      <c r="M599" s="841">
        <v>531</v>
      </c>
      <c r="N599" s="843" t="s">
        <v>10</v>
      </c>
      <c r="O599" s="887"/>
      <c r="P599" s="887"/>
      <c r="Q599" s="886"/>
    </row>
    <row r="600" spans="1:17" x14ac:dyDescent="0.45">
      <c r="A600" s="866">
        <f t="shared" si="6"/>
        <v>598</v>
      </c>
      <c r="B600" s="866" t="s">
        <v>3</v>
      </c>
      <c r="C600" s="866">
        <v>75</v>
      </c>
      <c r="D600" s="867" t="s">
        <v>1206</v>
      </c>
      <c r="E600" s="867" t="s">
        <v>993</v>
      </c>
      <c r="F600" s="867" t="s">
        <v>2387</v>
      </c>
      <c r="G600" s="868">
        <v>45441</v>
      </c>
      <c r="H600" s="867" t="s">
        <v>1971</v>
      </c>
      <c r="I600" s="867" t="s">
        <v>1237</v>
      </c>
      <c r="J600" s="822" t="s">
        <v>503</v>
      </c>
      <c r="K600" s="823" t="s">
        <v>2394</v>
      </c>
      <c r="L600" s="822">
        <v>116</v>
      </c>
      <c r="M600" s="822">
        <v>267</v>
      </c>
      <c r="N600" s="843" t="s">
        <v>10</v>
      </c>
    </row>
    <row r="601" spans="1:17" x14ac:dyDescent="0.45">
      <c r="A601" s="841">
        <f t="shared" si="6"/>
        <v>599</v>
      </c>
      <c r="B601" s="841">
        <v>524</v>
      </c>
      <c r="C601" s="841" t="s">
        <v>3</v>
      </c>
      <c r="D601" s="849" t="s">
        <v>990</v>
      </c>
      <c r="E601" s="849" t="s">
        <v>1941</v>
      </c>
      <c r="F601" s="849" t="s">
        <v>1973</v>
      </c>
      <c r="G601" s="850">
        <v>45442</v>
      </c>
      <c r="H601" s="849" t="s">
        <v>1972</v>
      </c>
      <c r="I601" s="849" t="s">
        <v>1188</v>
      </c>
      <c r="J601" s="841" t="s">
        <v>52</v>
      </c>
      <c r="K601" s="842">
        <v>2</v>
      </c>
      <c r="L601" s="841">
        <v>21</v>
      </c>
      <c r="M601" s="841">
        <v>21</v>
      </c>
      <c r="N601" s="843" t="s">
        <v>10</v>
      </c>
      <c r="O601" s="880"/>
    </row>
    <row r="602" spans="1:17" ht="18" thickBot="1" x14ac:dyDescent="0.5">
      <c r="A602" s="760">
        <f t="shared" si="6"/>
        <v>600</v>
      </c>
      <c r="B602" s="760" t="s">
        <v>3</v>
      </c>
      <c r="C602" s="760">
        <v>76</v>
      </c>
      <c r="D602" s="881" t="s">
        <v>991</v>
      </c>
      <c r="E602" s="881" t="s">
        <v>986</v>
      </c>
      <c r="F602" s="881" t="s">
        <v>2388</v>
      </c>
      <c r="G602" s="882">
        <v>45443</v>
      </c>
      <c r="H602" s="881" t="s">
        <v>1376</v>
      </c>
      <c r="I602" s="881" t="s">
        <v>70</v>
      </c>
      <c r="J602" s="760" t="s">
        <v>9</v>
      </c>
      <c r="K602" s="761">
        <v>95</v>
      </c>
      <c r="L602" s="760">
        <v>10</v>
      </c>
      <c r="M602" s="760">
        <v>178</v>
      </c>
      <c r="N602" s="787" t="s">
        <v>10</v>
      </c>
      <c r="O602" s="893"/>
      <c r="P602" s="887"/>
      <c r="Q602" s="886"/>
    </row>
    <row r="603" spans="1:17" x14ac:dyDescent="0.45">
      <c r="A603" s="841">
        <f t="shared" si="6"/>
        <v>601</v>
      </c>
      <c r="B603" s="841" t="s">
        <v>3</v>
      </c>
      <c r="C603" s="841">
        <v>77</v>
      </c>
      <c r="D603" s="849" t="s">
        <v>991</v>
      </c>
      <c r="E603" s="849" t="s">
        <v>1940</v>
      </c>
      <c r="F603" s="849" t="s">
        <v>2389</v>
      </c>
      <c r="G603" s="850">
        <v>45449</v>
      </c>
      <c r="H603" s="849" t="s">
        <v>1975</v>
      </c>
      <c r="I603" s="849" t="s">
        <v>70</v>
      </c>
      <c r="J603" s="841" t="s">
        <v>9</v>
      </c>
      <c r="K603" s="842">
        <v>95</v>
      </c>
      <c r="L603" s="841">
        <v>6</v>
      </c>
      <c r="M603" s="841">
        <v>6</v>
      </c>
      <c r="N603" s="775" t="s">
        <v>10</v>
      </c>
      <c r="O603" s="887" t="s">
        <v>3561</v>
      </c>
      <c r="P603" s="887"/>
      <c r="Q603" s="886"/>
    </row>
    <row r="604" spans="1:17" x14ac:dyDescent="0.45">
      <c r="A604" s="737">
        <f t="shared" si="6"/>
        <v>602</v>
      </c>
      <c r="B604" s="737">
        <v>525</v>
      </c>
      <c r="C604" s="737" t="s">
        <v>3</v>
      </c>
      <c r="D604" s="845" t="s">
        <v>971</v>
      </c>
      <c r="E604" s="845" t="s">
        <v>1927</v>
      </c>
      <c r="F604" s="845" t="s">
        <v>2390</v>
      </c>
      <c r="G604" s="846">
        <v>45465</v>
      </c>
      <c r="H604" s="845" t="s">
        <v>1353</v>
      </c>
      <c r="I604" s="845" t="s">
        <v>17</v>
      </c>
      <c r="J604" s="737" t="s">
        <v>52</v>
      </c>
      <c r="K604" s="738">
        <v>3</v>
      </c>
      <c r="L604" s="737">
        <v>23</v>
      </c>
      <c r="M604" s="737">
        <v>101</v>
      </c>
      <c r="N604" s="843" t="s">
        <v>10</v>
      </c>
      <c r="O604" s="892"/>
      <c r="P604" s="887"/>
      <c r="Q604" s="892"/>
    </row>
    <row r="605" spans="1:17" ht="18" thickBot="1" x14ac:dyDescent="0.5">
      <c r="A605" s="785">
        <f t="shared" si="6"/>
        <v>603</v>
      </c>
      <c r="B605" s="785">
        <v>526</v>
      </c>
      <c r="C605" s="785" t="s">
        <v>3</v>
      </c>
      <c r="D605" s="847" t="s">
        <v>1976</v>
      </c>
      <c r="E605" s="847" t="s">
        <v>996</v>
      </c>
      <c r="F605" s="847" t="s">
        <v>2024</v>
      </c>
      <c r="G605" s="848">
        <v>45472</v>
      </c>
      <c r="H605" s="847" t="s">
        <v>2018</v>
      </c>
      <c r="I605" s="847" t="s">
        <v>1188</v>
      </c>
      <c r="J605" s="785" t="s">
        <v>388</v>
      </c>
      <c r="K605" s="786">
        <v>201</v>
      </c>
      <c r="L605" s="785">
        <v>57</v>
      </c>
      <c r="M605" s="785">
        <v>239</v>
      </c>
      <c r="N605" s="762" t="s">
        <v>10</v>
      </c>
      <c r="O605" s="894"/>
    </row>
    <row r="606" spans="1:17" x14ac:dyDescent="0.45">
      <c r="A606" s="773">
        <f t="shared" si="6"/>
        <v>604</v>
      </c>
      <c r="B606" s="773">
        <v>527</v>
      </c>
      <c r="C606" s="773" t="s">
        <v>3</v>
      </c>
      <c r="D606" s="853" t="s">
        <v>1220</v>
      </c>
      <c r="E606" s="853" t="s">
        <v>997</v>
      </c>
      <c r="F606" s="853" t="s">
        <v>2420</v>
      </c>
      <c r="G606" s="854">
        <v>45478</v>
      </c>
      <c r="H606" s="853" t="s">
        <v>2029</v>
      </c>
      <c r="I606" s="853" t="s">
        <v>70</v>
      </c>
      <c r="J606" s="773" t="s">
        <v>71</v>
      </c>
      <c r="K606" s="774" t="s">
        <v>2030</v>
      </c>
      <c r="L606" s="773">
        <v>46</v>
      </c>
      <c r="M606" s="773">
        <v>100</v>
      </c>
      <c r="N606" s="775" t="s">
        <v>10</v>
      </c>
      <c r="O606" s="895"/>
      <c r="P606" s="887"/>
      <c r="Q606" s="892"/>
    </row>
    <row r="607" spans="1:17" x14ac:dyDescent="0.45">
      <c r="A607" s="841">
        <f t="shared" si="6"/>
        <v>605</v>
      </c>
      <c r="B607" s="841" t="s">
        <v>3</v>
      </c>
      <c r="C607" s="841">
        <v>78</v>
      </c>
      <c r="D607" s="849" t="s">
        <v>1030</v>
      </c>
      <c r="E607" s="849" t="s">
        <v>996</v>
      </c>
      <c r="F607" s="849" t="s">
        <v>2391</v>
      </c>
      <c r="G607" s="850">
        <v>45484</v>
      </c>
      <c r="H607" s="849" t="s">
        <v>2036</v>
      </c>
      <c r="I607" s="849" t="s">
        <v>1977</v>
      </c>
      <c r="J607" s="841" t="s">
        <v>9</v>
      </c>
      <c r="K607" s="842">
        <v>95</v>
      </c>
      <c r="L607" s="841">
        <v>35</v>
      </c>
      <c r="M607" s="841">
        <v>207</v>
      </c>
      <c r="N607" s="896" t="s">
        <v>18</v>
      </c>
      <c r="O607" s="887"/>
      <c r="P607" s="887"/>
      <c r="Q607" s="886"/>
    </row>
    <row r="608" spans="1:17" ht="18" thickBot="1" x14ac:dyDescent="0.5">
      <c r="A608" s="785">
        <f t="shared" si="6"/>
        <v>606</v>
      </c>
      <c r="B608" s="785">
        <v>528</v>
      </c>
      <c r="C608" s="785" t="s">
        <v>3</v>
      </c>
      <c r="D608" s="847" t="s">
        <v>2032</v>
      </c>
      <c r="E608" s="847" t="s">
        <v>2052</v>
      </c>
      <c r="F608" s="847" t="s">
        <v>2031</v>
      </c>
      <c r="G608" s="848">
        <v>45492</v>
      </c>
      <c r="H608" s="847" t="s">
        <v>2045</v>
      </c>
      <c r="I608" s="847" t="s">
        <v>70</v>
      </c>
      <c r="J608" s="785" t="s">
        <v>71</v>
      </c>
      <c r="K608" s="786" t="s">
        <v>2030</v>
      </c>
      <c r="L608" s="785">
        <v>14</v>
      </c>
      <c r="M608" s="785">
        <v>460</v>
      </c>
      <c r="N608" s="762" t="s">
        <v>10</v>
      </c>
      <c r="O608" s="897"/>
      <c r="P608" s="887"/>
      <c r="Q608" s="892"/>
    </row>
    <row r="609" spans="1:17" x14ac:dyDescent="0.45">
      <c r="A609" s="841">
        <f t="shared" si="6"/>
        <v>607</v>
      </c>
      <c r="B609" s="841">
        <v>529</v>
      </c>
      <c r="C609" s="841" t="s">
        <v>3</v>
      </c>
      <c r="D609" s="849" t="s">
        <v>990</v>
      </c>
      <c r="E609" s="849" t="s">
        <v>1786</v>
      </c>
      <c r="F609" s="849" t="s">
        <v>2588</v>
      </c>
      <c r="G609" s="850">
        <v>45505</v>
      </c>
      <c r="H609" s="849" t="s">
        <v>2051</v>
      </c>
      <c r="I609" s="849" t="s">
        <v>51</v>
      </c>
      <c r="J609" s="841" t="s">
        <v>52</v>
      </c>
      <c r="K609" s="842" t="s">
        <v>1641</v>
      </c>
      <c r="L609" s="841">
        <v>40</v>
      </c>
      <c r="M609" s="841">
        <v>63</v>
      </c>
      <c r="N609" s="775" t="s">
        <v>10</v>
      </c>
      <c r="O609" s="888"/>
    </row>
    <row r="610" spans="1:17" x14ac:dyDescent="0.45">
      <c r="A610" s="737">
        <f t="shared" si="6"/>
        <v>608</v>
      </c>
      <c r="B610" s="737">
        <v>530</v>
      </c>
      <c r="C610" s="737" t="s">
        <v>3</v>
      </c>
      <c r="D610" s="845" t="s">
        <v>1220</v>
      </c>
      <c r="E610" s="845" t="s">
        <v>1181</v>
      </c>
      <c r="F610" s="845" t="s">
        <v>2421</v>
      </c>
      <c r="G610" s="846">
        <v>45510</v>
      </c>
      <c r="H610" s="845" t="s">
        <v>2058</v>
      </c>
      <c r="I610" s="845" t="s">
        <v>2195</v>
      </c>
      <c r="J610" s="737" t="s">
        <v>71</v>
      </c>
      <c r="K610" s="738" t="s">
        <v>1222</v>
      </c>
      <c r="L610" s="737">
        <v>18</v>
      </c>
      <c r="M610" s="737">
        <v>32</v>
      </c>
      <c r="N610" s="843" t="s">
        <v>10</v>
      </c>
      <c r="O610" s="895"/>
      <c r="P610" s="887"/>
      <c r="Q610" s="892"/>
    </row>
    <row r="611" spans="1:17" x14ac:dyDescent="0.45">
      <c r="A611" s="737">
        <f t="shared" si="6"/>
        <v>609</v>
      </c>
      <c r="B611" s="737">
        <v>531</v>
      </c>
      <c r="C611" s="737" t="s">
        <v>3</v>
      </c>
      <c r="D611" s="849" t="s">
        <v>2032</v>
      </c>
      <c r="E611" s="845" t="s">
        <v>2068</v>
      </c>
      <c r="F611" s="845" t="s">
        <v>2422</v>
      </c>
      <c r="G611" s="846">
        <v>45520</v>
      </c>
      <c r="H611" s="845" t="s">
        <v>2064</v>
      </c>
      <c r="I611" s="849" t="s">
        <v>1237</v>
      </c>
      <c r="J611" s="737" t="s">
        <v>52</v>
      </c>
      <c r="K611" s="738" t="s">
        <v>1659</v>
      </c>
      <c r="L611" s="737">
        <v>15</v>
      </c>
      <c r="M611" s="737">
        <v>28</v>
      </c>
      <c r="N611" s="843" t="s">
        <v>10</v>
      </c>
      <c r="O611" s="880"/>
    </row>
    <row r="612" spans="1:17" x14ac:dyDescent="0.45">
      <c r="A612" s="737">
        <f t="shared" si="6"/>
        <v>610</v>
      </c>
      <c r="B612" s="737">
        <v>532</v>
      </c>
      <c r="C612" s="737" t="s">
        <v>3</v>
      </c>
      <c r="D612" s="845" t="s">
        <v>1976</v>
      </c>
      <c r="E612" s="845" t="s">
        <v>1261</v>
      </c>
      <c r="F612" s="845" t="s">
        <v>2079</v>
      </c>
      <c r="G612" s="846">
        <v>45526</v>
      </c>
      <c r="H612" s="845" t="s">
        <v>2073</v>
      </c>
      <c r="I612" s="845" t="s">
        <v>1188</v>
      </c>
      <c r="J612" s="737" t="s">
        <v>388</v>
      </c>
      <c r="K612" s="738">
        <v>201</v>
      </c>
      <c r="L612" s="737">
        <v>54</v>
      </c>
      <c r="M612" s="737">
        <v>54</v>
      </c>
      <c r="N612" s="843" t="s">
        <v>10</v>
      </c>
      <c r="O612" s="898"/>
    </row>
    <row r="613" spans="1:17" ht="18" thickBot="1" x14ac:dyDescent="0.5">
      <c r="A613" s="899">
        <f t="shared" si="6"/>
        <v>611</v>
      </c>
      <c r="B613" s="899" t="s">
        <v>3</v>
      </c>
      <c r="C613" s="899">
        <v>79</v>
      </c>
      <c r="D613" s="900" t="s">
        <v>1206</v>
      </c>
      <c r="E613" s="900" t="s">
        <v>998</v>
      </c>
      <c r="F613" s="900" t="s">
        <v>3339</v>
      </c>
      <c r="G613" s="901">
        <v>45533</v>
      </c>
      <c r="H613" s="902" t="s">
        <v>2078</v>
      </c>
      <c r="I613" s="900" t="s">
        <v>1977</v>
      </c>
      <c r="J613" s="903" t="s">
        <v>503</v>
      </c>
      <c r="K613" s="904" t="s">
        <v>2395</v>
      </c>
      <c r="L613" s="903">
        <v>92</v>
      </c>
      <c r="M613" s="903">
        <v>92</v>
      </c>
      <c r="N613" s="843" t="s">
        <v>10</v>
      </c>
      <c r="O613" s="905"/>
    </row>
    <row r="614" spans="1:17" x14ac:dyDescent="0.45">
      <c r="A614" s="737">
        <f t="shared" si="6"/>
        <v>612</v>
      </c>
      <c r="B614" s="737">
        <v>533</v>
      </c>
      <c r="C614" s="737" t="s">
        <v>3</v>
      </c>
      <c r="D614" s="849" t="s">
        <v>2032</v>
      </c>
      <c r="E614" s="845" t="s">
        <v>1575</v>
      </c>
      <c r="F614" s="845" t="s">
        <v>2423</v>
      </c>
      <c r="G614" s="846">
        <v>45538</v>
      </c>
      <c r="H614" s="845" t="s">
        <v>2091</v>
      </c>
      <c r="I614" s="849" t="s">
        <v>1237</v>
      </c>
      <c r="J614" s="737" t="s">
        <v>52</v>
      </c>
      <c r="K614" s="738" t="s">
        <v>1659</v>
      </c>
      <c r="L614" s="737">
        <v>18</v>
      </c>
      <c r="M614" s="737">
        <v>18</v>
      </c>
      <c r="N614" s="752" t="s">
        <v>10</v>
      </c>
      <c r="O614" s="880"/>
    </row>
    <row r="615" spans="1:17" x14ac:dyDescent="0.45">
      <c r="A615" s="841">
        <f t="shared" si="6"/>
        <v>613</v>
      </c>
      <c r="B615" s="841">
        <v>534</v>
      </c>
      <c r="C615" s="841" t="s">
        <v>3</v>
      </c>
      <c r="D615" s="849" t="s">
        <v>2090</v>
      </c>
      <c r="E615" s="849" t="s">
        <v>1363</v>
      </c>
      <c r="F615" s="849" t="s">
        <v>2847</v>
      </c>
      <c r="G615" s="850">
        <v>45541</v>
      </c>
      <c r="H615" s="849" t="s">
        <v>2108</v>
      </c>
      <c r="I615" s="849" t="s">
        <v>1237</v>
      </c>
      <c r="J615" s="841" t="s">
        <v>71</v>
      </c>
      <c r="K615" s="842" t="s">
        <v>2182</v>
      </c>
      <c r="L615" s="841">
        <v>31</v>
      </c>
      <c r="M615" s="841">
        <v>444</v>
      </c>
      <c r="N615" s="752" t="s">
        <v>10</v>
      </c>
    </row>
    <row r="616" spans="1:17" x14ac:dyDescent="0.45">
      <c r="A616" s="737">
        <f t="shared" si="6"/>
        <v>614</v>
      </c>
      <c r="B616" s="737">
        <v>535</v>
      </c>
      <c r="C616" s="737" t="s">
        <v>3</v>
      </c>
      <c r="D616" s="845" t="s">
        <v>990</v>
      </c>
      <c r="E616" s="845" t="s">
        <v>2165</v>
      </c>
      <c r="F616" s="845" t="s">
        <v>2107</v>
      </c>
      <c r="G616" s="846">
        <v>45554</v>
      </c>
      <c r="H616" s="845" t="s">
        <v>2128</v>
      </c>
      <c r="I616" s="845" t="s">
        <v>1785</v>
      </c>
      <c r="J616" s="737" t="s">
        <v>52</v>
      </c>
      <c r="K616" s="738" t="s">
        <v>1641</v>
      </c>
      <c r="L616" s="737">
        <v>16</v>
      </c>
      <c r="M616" s="737">
        <v>49</v>
      </c>
      <c r="N616" s="752" t="s">
        <v>10</v>
      </c>
      <c r="O616" s="718" t="s">
        <v>2103</v>
      </c>
    </row>
    <row r="617" spans="1:17" x14ac:dyDescent="0.45">
      <c r="A617" s="737">
        <f t="shared" si="6"/>
        <v>615</v>
      </c>
      <c r="B617" s="737">
        <v>536</v>
      </c>
      <c r="C617" s="737" t="s">
        <v>3</v>
      </c>
      <c r="D617" s="845" t="s">
        <v>979</v>
      </c>
      <c r="E617" s="845" t="s">
        <v>2529</v>
      </c>
      <c r="F617" s="845" t="s">
        <v>2424</v>
      </c>
      <c r="G617" s="846">
        <v>45555</v>
      </c>
      <c r="H617" s="845" t="s">
        <v>2130</v>
      </c>
      <c r="I617" s="845" t="s">
        <v>1977</v>
      </c>
      <c r="J617" s="737" t="s">
        <v>71</v>
      </c>
      <c r="K617" s="738" t="s">
        <v>2030</v>
      </c>
      <c r="L617" s="737">
        <v>14</v>
      </c>
      <c r="M617" s="737">
        <v>123</v>
      </c>
      <c r="N617" s="752" t="s">
        <v>10</v>
      </c>
      <c r="O617" s="906"/>
    </row>
    <row r="618" spans="1:17" x14ac:dyDescent="0.45">
      <c r="A618" s="737">
        <f t="shared" si="6"/>
        <v>616</v>
      </c>
      <c r="B618" s="737" t="s">
        <v>3</v>
      </c>
      <c r="C618" s="737">
        <v>80</v>
      </c>
      <c r="D618" s="849" t="s">
        <v>988</v>
      </c>
      <c r="E618" s="845" t="s">
        <v>2192</v>
      </c>
      <c r="F618" s="845" t="s">
        <v>2392</v>
      </c>
      <c r="G618" s="846">
        <v>45555</v>
      </c>
      <c r="H618" s="845" t="s">
        <v>2124</v>
      </c>
      <c r="I618" s="849" t="s">
        <v>1237</v>
      </c>
      <c r="J618" s="737" t="s">
        <v>52</v>
      </c>
      <c r="K618" s="738" t="s">
        <v>2066</v>
      </c>
      <c r="L618" s="737">
        <v>1</v>
      </c>
      <c r="M618" s="737">
        <v>253</v>
      </c>
      <c r="N618" s="752" t="s">
        <v>10</v>
      </c>
      <c r="O618" s="906"/>
    </row>
    <row r="619" spans="1:17" x14ac:dyDescent="0.45">
      <c r="A619" s="866">
        <f t="shared" si="6"/>
        <v>617</v>
      </c>
      <c r="B619" s="866" t="s">
        <v>3</v>
      </c>
      <c r="C619" s="866">
        <v>81</v>
      </c>
      <c r="D619" s="867" t="s">
        <v>1009</v>
      </c>
      <c r="E619" s="867" t="s">
        <v>1245</v>
      </c>
      <c r="F619" s="867" t="s">
        <v>3449</v>
      </c>
      <c r="G619" s="868">
        <v>45559</v>
      </c>
      <c r="H619" s="867" t="s">
        <v>2152</v>
      </c>
      <c r="I619" s="867" t="s">
        <v>1977</v>
      </c>
      <c r="J619" s="822" t="s">
        <v>503</v>
      </c>
      <c r="K619" s="823" t="s">
        <v>2325</v>
      </c>
      <c r="L619" s="822">
        <v>26</v>
      </c>
      <c r="M619" s="822">
        <v>234</v>
      </c>
      <c r="N619" s="752" t="s">
        <v>10</v>
      </c>
      <c r="O619" s="907"/>
    </row>
    <row r="620" spans="1:17" x14ac:dyDescent="0.45">
      <c r="A620" s="737">
        <f t="shared" si="6"/>
        <v>618</v>
      </c>
      <c r="B620" s="737" t="s">
        <v>3</v>
      </c>
      <c r="C620" s="737">
        <v>82</v>
      </c>
      <c r="D620" s="845" t="s">
        <v>1008</v>
      </c>
      <c r="E620" s="845" t="s">
        <v>1245</v>
      </c>
      <c r="F620" s="845" t="s">
        <v>2486</v>
      </c>
      <c r="G620" s="846">
        <v>45560</v>
      </c>
      <c r="H620" s="845" t="s">
        <v>2151</v>
      </c>
      <c r="I620" s="845" t="s">
        <v>70</v>
      </c>
      <c r="J620" s="830" t="s">
        <v>9</v>
      </c>
      <c r="K620" s="738" t="s">
        <v>2115</v>
      </c>
      <c r="L620" s="830">
        <v>76</v>
      </c>
      <c r="M620" s="830">
        <v>246</v>
      </c>
      <c r="N620" s="752" t="s">
        <v>10</v>
      </c>
    </row>
    <row r="621" spans="1:17" ht="18" thickBot="1" x14ac:dyDescent="0.5">
      <c r="A621" s="785">
        <f t="shared" ref="A621:A651" si="7">A620+1</f>
        <v>619</v>
      </c>
      <c r="B621" s="785">
        <v>537</v>
      </c>
      <c r="C621" s="785" t="s">
        <v>3</v>
      </c>
      <c r="D621" s="847" t="s">
        <v>1436</v>
      </c>
      <c r="E621" s="847" t="s">
        <v>994</v>
      </c>
      <c r="F621" s="847" t="s">
        <v>2338</v>
      </c>
      <c r="G621" s="848">
        <v>45562</v>
      </c>
      <c r="H621" s="847" t="s">
        <v>2135</v>
      </c>
      <c r="I621" s="847" t="s">
        <v>1237</v>
      </c>
      <c r="J621" s="760" t="s">
        <v>9</v>
      </c>
      <c r="K621" s="786" t="s">
        <v>2113</v>
      </c>
      <c r="L621" s="760">
        <v>2</v>
      </c>
      <c r="M621" s="760">
        <v>7</v>
      </c>
      <c r="N621" s="787" t="s">
        <v>10</v>
      </c>
      <c r="O621" s="897"/>
      <c r="P621" s="887"/>
      <c r="Q621" s="892"/>
    </row>
    <row r="622" spans="1:17" ht="18" thickBot="1" x14ac:dyDescent="0.5">
      <c r="A622" s="737">
        <f t="shared" si="7"/>
        <v>620</v>
      </c>
      <c r="B622" s="737">
        <v>538</v>
      </c>
      <c r="C622" s="737" t="s">
        <v>3</v>
      </c>
      <c r="D622" s="849" t="s">
        <v>990</v>
      </c>
      <c r="E622" s="845" t="s">
        <v>2533</v>
      </c>
      <c r="F622" s="845" t="s">
        <v>2589</v>
      </c>
      <c r="G622" s="846">
        <v>45575</v>
      </c>
      <c r="H622" s="845" t="s">
        <v>2179</v>
      </c>
      <c r="I622" s="849" t="s">
        <v>1188</v>
      </c>
      <c r="J622" s="737" t="s">
        <v>1257</v>
      </c>
      <c r="K622" s="738" t="s">
        <v>1641</v>
      </c>
      <c r="L622" s="737">
        <v>20</v>
      </c>
      <c r="M622" s="737">
        <v>21</v>
      </c>
      <c r="N622" s="787" t="s">
        <v>10</v>
      </c>
      <c r="O622" s="890"/>
    </row>
    <row r="623" spans="1:17" x14ac:dyDescent="0.45">
      <c r="A623" s="737">
        <f t="shared" si="7"/>
        <v>621</v>
      </c>
      <c r="B623" s="737">
        <v>539</v>
      </c>
      <c r="C623" s="737" t="s">
        <v>3</v>
      </c>
      <c r="D623" s="845" t="s">
        <v>1220</v>
      </c>
      <c r="E623" s="845" t="s">
        <v>982</v>
      </c>
      <c r="F623" s="845" t="s">
        <v>2425</v>
      </c>
      <c r="G623" s="846">
        <v>45580</v>
      </c>
      <c r="H623" s="845" t="s">
        <v>2193</v>
      </c>
      <c r="I623" s="845" t="s">
        <v>2195</v>
      </c>
      <c r="J623" s="737" t="s">
        <v>2170</v>
      </c>
      <c r="K623" s="738" t="s">
        <v>1222</v>
      </c>
      <c r="L623" s="737">
        <v>25</v>
      </c>
      <c r="M623" s="737">
        <v>70</v>
      </c>
      <c r="N623" s="752" t="s">
        <v>10</v>
      </c>
      <c r="O623" s="898"/>
    </row>
    <row r="624" spans="1:17" x14ac:dyDescent="0.45">
      <c r="A624" s="737">
        <f t="shared" si="7"/>
        <v>622</v>
      </c>
      <c r="B624" s="737">
        <v>540</v>
      </c>
      <c r="C624" s="737" t="s">
        <v>3</v>
      </c>
      <c r="D624" s="845" t="s">
        <v>995</v>
      </c>
      <c r="E624" s="845" t="s">
        <v>1372</v>
      </c>
      <c r="F624" s="845" t="s">
        <v>2181</v>
      </c>
      <c r="G624" s="846">
        <v>45581</v>
      </c>
      <c r="H624" s="845" t="s">
        <v>1822</v>
      </c>
      <c r="I624" s="845" t="s">
        <v>1977</v>
      </c>
      <c r="J624" s="841" t="s">
        <v>1184</v>
      </c>
      <c r="K624" s="738" t="s">
        <v>2113</v>
      </c>
      <c r="L624" s="737">
        <v>19</v>
      </c>
      <c r="M624" s="737">
        <v>157</v>
      </c>
      <c r="N624" s="752" t="s">
        <v>10</v>
      </c>
      <c r="O624" s="711"/>
    </row>
    <row r="625" spans="1:17" x14ac:dyDescent="0.45">
      <c r="A625" s="737">
        <f t="shared" si="7"/>
        <v>623</v>
      </c>
      <c r="B625" s="737">
        <v>541</v>
      </c>
      <c r="C625" s="737" t="s">
        <v>3</v>
      </c>
      <c r="D625" s="845" t="s">
        <v>2090</v>
      </c>
      <c r="E625" s="845" t="s">
        <v>1940</v>
      </c>
      <c r="F625" s="845" t="s">
        <v>3497</v>
      </c>
      <c r="G625" s="846">
        <v>45587</v>
      </c>
      <c r="H625" s="845" t="s">
        <v>2197</v>
      </c>
      <c r="I625" s="845" t="s">
        <v>1977</v>
      </c>
      <c r="J625" s="841" t="s">
        <v>2170</v>
      </c>
      <c r="K625" s="738" t="s">
        <v>2182</v>
      </c>
      <c r="L625" s="737">
        <v>7</v>
      </c>
      <c r="M625" s="737">
        <v>46</v>
      </c>
      <c r="N625" s="752" t="s">
        <v>10</v>
      </c>
      <c r="O625" s="890"/>
    </row>
    <row r="626" spans="1:17" x14ac:dyDescent="0.45">
      <c r="A626" s="737">
        <f t="shared" si="7"/>
        <v>624</v>
      </c>
      <c r="B626" s="737">
        <v>542</v>
      </c>
      <c r="C626" s="737" t="s">
        <v>3</v>
      </c>
      <c r="D626" s="845" t="s">
        <v>971</v>
      </c>
      <c r="E626" s="845" t="s">
        <v>1195</v>
      </c>
      <c r="F626" s="845" t="s">
        <v>2426</v>
      </c>
      <c r="G626" s="846">
        <v>45588</v>
      </c>
      <c r="H626" s="845" t="s">
        <v>2202</v>
      </c>
      <c r="I626" s="845" t="s">
        <v>1237</v>
      </c>
      <c r="J626" s="830" t="s">
        <v>1257</v>
      </c>
      <c r="K626" s="738" t="s">
        <v>1659</v>
      </c>
      <c r="L626" s="830">
        <v>13</v>
      </c>
      <c r="M626" s="830">
        <v>123</v>
      </c>
      <c r="N626" s="752" t="s">
        <v>10</v>
      </c>
      <c r="O626" s="711"/>
    </row>
    <row r="627" spans="1:17" ht="18" thickBot="1" x14ac:dyDescent="0.5">
      <c r="A627" s="785">
        <f t="shared" si="7"/>
        <v>625</v>
      </c>
      <c r="B627" s="785">
        <v>543</v>
      </c>
      <c r="C627" s="785" t="s">
        <v>3</v>
      </c>
      <c r="D627" s="881" t="s">
        <v>1425</v>
      </c>
      <c r="E627" s="847" t="s">
        <v>1427</v>
      </c>
      <c r="F627" s="847" t="s">
        <v>3085</v>
      </c>
      <c r="G627" s="848">
        <v>45595</v>
      </c>
      <c r="H627" s="847" t="s">
        <v>2215</v>
      </c>
      <c r="I627" s="881" t="s">
        <v>1237</v>
      </c>
      <c r="J627" s="785" t="s">
        <v>1184</v>
      </c>
      <c r="K627" s="786" t="s">
        <v>1820</v>
      </c>
      <c r="L627" s="785">
        <v>14</v>
      </c>
      <c r="M627" s="785">
        <v>188</v>
      </c>
      <c r="N627" s="787" t="s">
        <v>10</v>
      </c>
      <c r="O627" s="905"/>
    </row>
    <row r="628" spans="1:17" x14ac:dyDescent="0.45">
      <c r="A628" s="841">
        <f t="shared" si="7"/>
        <v>626</v>
      </c>
      <c r="B628" s="841">
        <v>544</v>
      </c>
      <c r="C628" s="841" t="s">
        <v>3</v>
      </c>
      <c r="D628" s="849" t="s">
        <v>971</v>
      </c>
      <c r="E628" s="849" t="s">
        <v>2217</v>
      </c>
      <c r="F628" s="849" t="s">
        <v>2393</v>
      </c>
      <c r="G628" s="850">
        <v>45605</v>
      </c>
      <c r="H628" s="849" t="s">
        <v>2287</v>
      </c>
      <c r="I628" s="849" t="s">
        <v>1977</v>
      </c>
      <c r="J628" s="841" t="s">
        <v>9</v>
      </c>
      <c r="K628" s="908" t="s">
        <v>2113</v>
      </c>
      <c r="L628" s="841">
        <v>10</v>
      </c>
      <c r="M628" s="841">
        <v>17</v>
      </c>
      <c r="N628" s="775" t="s">
        <v>10</v>
      </c>
      <c r="O628" s="895"/>
      <c r="P628" s="887"/>
      <c r="Q628" s="892"/>
    </row>
    <row r="629" spans="1:17" x14ac:dyDescent="0.45">
      <c r="A629" s="737">
        <f t="shared" si="7"/>
        <v>627</v>
      </c>
      <c r="B629" s="737" t="s">
        <v>3</v>
      </c>
      <c r="C629" s="737">
        <v>83</v>
      </c>
      <c r="D629" s="845" t="s">
        <v>1008</v>
      </c>
      <c r="E629" s="845" t="s">
        <v>1351</v>
      </c>
      <c r="F629" s="845" t="s">
        <v>2692</v>
      </c>
      <c r="G629" s="846">
        <v>45607</v>
      </c>
      <c r="H629" s="845" t="s">
        <v>2427</v>
      </c>
      <c r="I629" s="845" t="s">
        <v>1977</v>
      </c>
      <c r="J629" s="830" t="s">
        <v>9</v>
      </c>
      <c r="K629" s="738" t="s">
        <v>2430</v>
      </c>
      <c r="L629" s="830">
        <v>2</v>
      </c>
      <c r="M629" s="830">
        <v>47</v>
      </c>
      <c r="N629" s="843" t="s">
        <v>10</v>
      </c>
      <c r="O629" s="895"/>
      <c r="Q629" s="895"/>
    </row>
    <row r="630" spans="1:17" x14ac:dyDescent="0.45">
      <c r="A630" s="737">
        <f t="shared" si="7"/>
        <v>628</v>
      </c>
      <c r="B630" s="737">
        <v>545</v>
      </c>
      <c r="C630" s="737" t="s">
        <v>3</v>
      </c>
      <c r="D630" s="845" t="s">
        <v>2032</v>
      </c>
      <c r="E630" s="845" t="s">
        <v>1192</v>
      </c>
      <c r="F630" s="845" t="s">
        <v>2435</v>
      </c>
      <c r="G630" s="846">
        <v>45610</v>
      </c>
      <c r="H630" s="845" t="s">
        <v>2434</v>
      </c>
      <c r="I630" s="845" t="s">
        <v>2195</v>
      </c>
      <c r="J630" s="737" t="s">
        <v>71</v>
      </c>
      <c r="K630" s="738">
        <v>9</v>
      </c>
      <c r="L630" s="737">
        <v>23</v>
      </c>
      <c r="M630" s="737">
        <v>29</v>
      </c>
      <c r="N630" s="843" t="s">
        <v>10</v>
      </c>
      <c r="O630" s="886"/>
      <c r="P630" s="887"/>
      <c r="Q630" s="887"/>
    </row>
    <row r="631" spans="1:17" x14ac:dyDescent="0.45">
      <c r="A631" s="737">
        <f t="shared" si="7"/>
        <v>629</v>
      </c>
      <c r="B631" s="737">
        <v>546</v>
      </c>
      <c r="C631" s="737" t="s">
        <v>3</v>
      </c>
      <c r="D631" s="845" t="s">
        <v>1269</v>
      </c>
      <c r="E631" s="845" t="s">
        <v>1261</v>
      </c>
      <c r="F631" s="845" t="s">
        <v>2441</v>
      </c>
      <c r="G631" s="846">
        <v>45611</v>
      </c>
      <c r="H631" s="845" t="s">
        <v>2429</v>
      </c>
      <c r="I631" s="845" t="s">
        <v>1237</v>
      </c>
      <c r="J631" s="737" t="s">
        <v>388</v>
      </c>
      <c r="K631" s="738">
        <v>201</v>
      </c>
      <c r="L631" s="737">
        <v>85</v>
      </c>
      <c r="M631" s="737">
        <v>303</v>
      </c>
      <c r="N631" s="843" t="s">
        <v>10</v>
      </c>
      <c r="O631" s="898"/>
    </row>
    <row r="632" spans="1:17" x14ac:dyDescent="0.45">
      <c r="A632" s="841">
        <f t="shared" si="7"/>
        <v>630</v>
      </c>
      <c r="B632" s="841">
        <v>547</v>
      </c>
      <c r="C632" s="841" t="s">
        <v>3</v>
      </c>
      <c r="D632" s="849" t="s">
        <v>971</v>
      </c>
      <c r="E632" s="849" t="s">
        <v>1362</v>
      </c>
      <c r="F632" s="849" t="s">
        <v>2464</v>
      </c>
      <c r="G632" s="850">
        <v>45621</v>
      </c>
      <c r="H632" s="849" t="s">
        <v>1376</v>
      </c>
      <c r="I632" s="849" t="s">
        <v>1977</v>
      </c>
      <c r="J632" s="841" t="s">
        <v>1184</v>
      </c>
      <c r="K632" s="738" t="s">
        <v>2113</v>
      </c>
      <c r="L632" s="841">
        <v>14</v>
      </c>
      <c r="M632" s="841">
        <v>16</v>
      </c>
      <c r="N632" s="843" t="s">
        <v>10</v>
      </c>
      <c r="O632" s="898"/>
    </row>
    <row r="633" spans="1:17" x14ac:dyDescent="0.45">
      <c r="A633" s="737">
        <f t="shared" si="7"/>
        <v>631</v>
      </c>
      <c r="B633" s="737" t="s">
        <v>3</v>
      </c>
      <c r="C633" s="737">
        <v>84</v>
      </c>
      <c r="D633" s="845" t="s">
        <v>2443</v>
      </c>
      <c r="E633" s="845" t="s">
        <v>1198</v>
      </c>
      <c r="F633" s="845" t="s">
        <v>2471</v>
      </c>
      <c r="G633" s="846">
        <v>45623</v>
      </c>
      <c r="H633" s="845" t="s">
        <v>1356</v>
      </c>
      <c r="I633" s="845" t="s">
        <v>1237</v>
      </c>
      <c r="J633" s="737" t="s">
        <v>1184</v>
      </c>
      <c r="K633" s="738" t="s">
        <v>2957</v>
      </c>
      <c r="L633" s="737">
        <v>2</v>
      </c>
      <c r="M633" s="737" t="s">
        <v>1012</v>
      </c>
      <c r="N633" s="843" t="s">
        <v>10</v>
      </c>
    </row>
    <row r="634" spans="1:17" ht="18" thickBot="1" x14ac:dyDescent="0.5">
      <c r="A634" s="909">
        <f t="shared" si="7"/>
        <v>632</v>
      </c>
      <c r="B634" s="909">
        <v>548</v>
      </c>
      <c r="C634" s="909" t="s">
        <v>3</v>
      </c>
      <c r="D634" s="910" t="s">
        <v>1754</v>
      </c>
      <c r="E634" s="910" t="s">
        <v>1198</v>
      </c>
      <c r="F634" s="910" t="s">
        <v>2527</v>
      </c>
      <c r="G634" s="911">
        <v>45626</v>
      </c>
      <c r="H634" s="910" t="s">
        <v>2478</v>
      </c>
      <c r="I634" s="910" t="s">
        <v>1237</v>
      </c>
      <c r="J634" s="912" t="s">
        <v>1524</v>
      </c>
      <c r="K634" s="786" t="s">
        <v>1641</v>
      </c>
      <c r="L634" s="913" t="s">
        <v>1012</v>
      </c>
      <c r="M634" s="913" t="s">
        <v>1012</v>
      </c>
      <c r="N634" s="843" t="s">
        <v>10</v>
      </c>
      <c r="O634" s="874"/>
      <c r="P634" s="887"/>
      <c r="Q634" s="887"/>
    </row>
    <row r="635" spans="1:17" x14ac:dyDescent="0.45">
      <c r="A635" s="841">
        <f t="shared" si="7"/>
        <v>633</v>
      </c>
      <c r="B635" s="841">
        <v>549</v>
      </c>
      <c r="C635" s="841" t="s">
        <v>3</v>
      </c>
      <c r="D635" s="849" t="s">
        <v>105</v>
      </c>
      <c r="E635" s="849" t="s">
        <v>2484</v>
      </c>
      <c r="F635" s="849" t="s">
        <v>2590</v>
      </c>
      <c r="G635" s="850">
        <v>45629</v>
      </c>
      <c r="H635" s="849" t="s">
        <v>2475</v>
      </c>
      <c r="I635" s="849" t="s">
        <v>1188</v>
      </c>
      <c r="J635" s="841" t="s">
        <v>52</v>
      </c>
      <c r="K635" s="842" t="s">
        <v>1641</v>
      </c>
      <c r="L635" s="841">
        <v>41</v>
      </c>
      <c r="M635" s="841">
        <v>54</v>
      </c>
      <c r="N635" s="843" t="s">
        <v>10</v>
      </c>
      <c r="O635" s="888"/>
    </row>
    <row r="636" spans="1:17" x14ac:dyDescent="0.45">
      <c r="A636" s="863">
        <f t="shared" si="7"/>
        <v>634</v>
      </c>
      <c r="B636" s="863" t="str" cm="1">
        <f t="array" ref="B636">IF(LEFT(D636,2)="长征",IFERROR(LOOKUP(2,1/(B$1:B635&lt;&gt;"-"),B$1:B635)+1,1),"-")</f>
        <v>-</v>
      </c>
      <c r="C636" s="863">
        <v>85</v>
      </c>
      <c r="D636" s="914" t="s">
        <v>988</v>
      </c>
      <c r="E636" s="914" t="s">
        <v>2497</v>
      </c>
      <c r="F636" s="914" t="s">
        <v>2488</v>
      </c>
      <c r="G636" s="790">
        <v>45630</v>
      </c>
      <c r="H636" s="914" t="s">
        <v>2487</v>
      </c>
      <c r="I636" s="914" t="s">
        <v>17</v>
      </c>
      <c r="J636" s="863" t="s">
        <v>52</v>
      </c>
      <c r="K636" s="738" t="s">
        <v>310</v>
      </c>
      <c r="L636" s="863">
        <f>IF(COUNTIF(J$1:J635,J636)=0,"",IFERROR(G636-_xlfn.MAXIFS(G$1:G635,J$1:J635,J636),""))</f>
        <v>1</v>
      </c>
      <c r="M636" s="737">
        <f>IF(COUNTIF(D$1:D635,D636)=0,"",IFERROR(G636-_xlfn.MAXIFS(G$1:G635,D$1:D635,D636),""))</f>
        <v>75</v>
      </c>
      <c r="N636" s="843" t="s">
        <v>10</v>
      </c>
      <c r="O636" s="907"/>
    </row>
    <row r="637" spans="1:17" x14ac:dyDescent="0.45">
      <c r="A637" s="841">
        <f t="shared" si="7"/>
        <v>635</v>
      </c>
      <c r="B637" s="841">
        <v>550</v>
      </c>
      <c r="C637" s="841" t="s">
        <v>3</v>
      </c>
      <c r="D637" s="849" t="s">
        <v>2493</v>
      </c>
      <c r="E637" s="849" t="s">
        <v>1000</v>
      </c>
      <c r="F637" s="849" t="s">
        <v>2500</v>
      </c>
      <c r="G637" s="850">
        <v>45631</v>
      </c>
      <c r="H637" s="849" t="s">
        <v>2495</v>
      </c>
      <c r="I637" s="849" t="s">
        <v>2195</v>
      </c>
      <c r="J637" s="841" t="s">
        <v>71</v>
      </c>
      <c r="K637" s="738" t="s">
        <v>1222</v>
      </c>
      <c r="L637" s="841">
        <v>21</v>
      </c>
      <c r="M637" s="830">
        <v>51</v>
      </c>
      <c r="N637" s="843" t="s">
        <v>10</v>
      </c>
      <c r="O637" s="890"/>
    </row>
    <row r="638" spans="1:17" x14ac:dyDescent="0.45">
      <c r="A638" s="737">
        <f t="shared" si="7"/>
        <v>636</v>
      </c>
      <c r="B638" s="737">
        <v>551</v>
      </c>
      <c r="C638" s="737" t="s">
        <v>3</v>
      </c>
      <c r="D638" s="845" t="s">
        <v>979</v>
      </c>
      <c r="E638" s="845" t="s">
        <v>972</v>
      </c>
      <c r="F638" s="845" t="s">
        <v>2504</v>
      </c>
      <c r="G638" s="846">
        <v>45638</v>
      </c>
      <c r="H638" s="845" t="s">
        <v>2505</v>
      </c>
      <c r="I638" s="845" t="s">
        <v>17</v>
      </c>
      <c r="J638" s="830" t="s">
        <v>9</v>
      </c>
      <c r="K638" s="738" t="s">
        <v>2113</v>
      </c>
      <c r="L638" s="737">
        <v>15</v>
      </c>
      <c r="M638" s="737">
        <v>76</v>
      </c>
      <c r="N638" s="843" t="s">
        <v>10</v>
      </c>
      <c r="O638" s="915" t="s">
        <v>2506</v>
      </c>
    </row>
    <row r="639" spans="1:17" x14ac:dyDescent="0.45">
      <c r="A639" s="737">
        <f t="shared" si="7"/>
        <v>637</v>
      </c>
      <c r="B639" s="737">
        <v>552</v>
      </c>
      <c r="C639" s="737" t="s">
        <v>3</v>
      </c>
      <c r="D639" s="845" t="s">
        <v>548</v>
      </c>
      <c r="E639" s="845" t="s">
        <v>33</v>
      </c>
      <c r="F639" s="845" t="s">
        <v>2924</v>
      </c>
      <c r="G639" s="846">
        <v>45642</v>
      </c>
      <c r="H639" s="845" t="s">
        <v>2516</v>
      </c>
      <c r="I639" s="845" t="s">
        <v>448</v>
      </c>
      <c r="J639" s="737" t="s">
        <v>388</v>
      </c>
      <c r="K639" s="738" t="s">
        <v>2513</v>
      </c>
      <c r="L639" s="737">
        <v>31</v>
      </c>
      <c r="M639" s="737">
        <v>777</v>
      </c>
      <c r="N639" s="843" t="s">
        <v>10</v>
      </c>
      <c r="O639" s="718" t="s">
        <v>2514</v>
      </c>
    </row>
    <row r="640" spans="1:17" x14ac:dyDescent="0.45">
      <c r="A640" s="737">
        <f t="shared" si="7"/>
        <v>638</v>
      </c>
      <c r="B640" s="737">
        <v>553</v>
      </c>
      <c r="C640" s="737" t="s">
        <v>3</v>
      </c>
      <c r="D640" s="845" t="s">
        <v>83</v>
      </c>
      <c r="E640" s="845" t="s">
        <v>2104</v>
      </c>
      <c r="F640" s="916" t="s">
        <v>2520</v>
      </c>
      <c r="G640" s="846">
        <v>45643</v>
      </c>
      <c r="H640" s="845" t="s">
        <v>2519</v>
      </c>
      <c r="I640" s="845" t="s">
        <v>70</v>
      </c>
      <c r="J640" s="737" t="s">
        <v>71</v>
      </c>
      <c r="K640" s="738" t="s">
        <v>2030</v>
      </c>
      <c r="L640" s="737">
        <v>12</v>
      </c>
      <c r="M640" s="737">
        <v>5</v>
      </c>
      <c r="N640" s="843" t="s">
        <v>10</v>
      </c>
    </row>
    <row r="641" spans="1:17" x14ac:dyDescent="0.45">
      <c r="A641" s="866">
        <f t="shared" si="7"/>
        <v>639</v>
      </c>
      <c r="B641" s="866" t="s">
        <v>3</v>
      </c>
      <c r="C641" s="866">
        <v>86</v>
      </c>
      <c r="D641" s="849" t="s">
        <v>2467</v>
      </c>
      <c r="E641" s="845" t="s">
        <v>5</v>
      </c>
      <c r="F641" s="845" t="s">
        <v>2534</v>
      </c>
      <c r="G641" s="846">
        <v>45645</v>
      </c>
      <c r="H641" s="845" t="s">
        <v>2530</v>
      </c>
      <c r="I641" s="849" t="s">
        <v>1237</v>
      </c>
      <c r="J641" s="737" t="s">
        <v>503</v>
      </c>
      <c r="K641" s="823" t="s">
        <v>2518</v>
      </c>
      <c r="L641" s="822">
        <v>86</v>
      </c>
      <c r="M641" s="822">
        <v>112</v>
      </c>
      <c r="N641" s="843" t="s">
        <v>10</v>
      </c>
      <c r="O641" s="888"/>
    </row>
    <row r="642" spans="1:17" x14ac:dyDescent="0.45">
      <c r="A642" s="737">
        <f t="shared" si="7"/>
        <v>640</v>
      </c>
      <c r="B642" s="737">
        <v>554</v>
      </c>
      <c r="C642" s="737" t="s">
        <v>3</v>
      </c>
      <c r="D642" s="867" t="s">
        <v>990</v>
      </c>
      <c r="E642" s="867" t="s">
        <v>2104</v>
      </c>
      <c r="F642" s="917" t="s">
        <v>2532</v>
      </c>
      <c r="G642" s="868">
        <v>45646</v>
      </c>
      <c r="H642" s="867" t="s">
        <v>2523</v>
      </c>
      <c r="I642" s="867" t="s">
        <v>51</v>
      </c>
      <c r="J642" s="822" t="s">
        <v>1257</v>
      </c>
      <c r="K642" s="738" t="s">
        <v>1659</v>
      </c>
      <c r="L642" s="737">
        <v>16</v>
      </c>
      <c r="M642" s="737">
        <v>17</v>
      </c>
      <c r="N642" s="752" t="s">
        <v>10</v>
      </c>
    </row>
    <row r="643" spans="1:17" ht="18" thickBot="1" x14ac:dyDescent="0.5">
      <c r="A643" s="743">
        <f t="shared" si="7"/>
        <v>641</v>
      </c>
      <c r="B643" s="743" t="s">
        <v>3</v>
      </c>
      <c r="C643" s="743">
        <v>87</v>
      </c>
      <c r="D643" s="918" t="s">
        <v>695</v>
      </c>
      <c r="E643" s="870" t="s">
        <v>33</v>
      </c>
      <c r="F643" s="870" t="s">
        <v>2636</v>
      </c>
      <c r="G643" s="871">
        <v>45653</v>
      </c>
      <c r="H643" s="870" t="s">
        <v>2538</v>
      </c>
      <c r="I643" s="918" t="s">
        <v>70</v>
      </c>
      <c r="J643" s="743" t="s">
        <v>9</v>
      </c>
      <c r="K643" s="744" t="s">
        <v>2531</v>
      </c>
      <c r="L643" s="715">
        <v>15</v>
      </c>
      <c r="M643" s="715">
        <v>46</v>
      </c>
      <c r="N643" s="919" t="s">
        <v>18</v>
      </c>
      <c r="O643" s="872"/>
    </row>
    <row r="644" spans="1:17" ht="18" thickTop="1" x14ac:dyDescent="0.45">
      <c r="A644" s="841">
        <f t="shared" si="7"/>
        <v>642</v>
      </c>
      <c r="B644" s="841">
        <v>555</v>
      </c>
      <c r="C644" s="841" t="s">
        <v>3</v>
      </c>
      <c r="D644" s="849" t="s">
        <v>105</v>
      </c>
      <c r="E644" s="849" t="s">
        <v>2542</v>
      </c>
      <c r="F644" s="849" t="s">
        <v>2546</v>
      </c>
      <c r="G644" s="850">
        <v>45664</v>
      </c>
      <c r="H644" s="849" t="s">
        <v>2541</v>
      </c>
      <c r="I644" s="849" t="s">
        <v>51</v>
      </c>
      <c r="J644" s="841" t="s">
        <v>52</v>
      </c>
      <c r="K644" s="842" t="s">
        <v>1641</v>
      </c>
      <c r="L644" s="841">
        <v>18</v>
      </c>
      <c r="M644" s="841">
        <v>18</v>
      </c>
      <c r="N644" s="843" t="s">
        <v>10</v>
      </c>
      <c r="O644" s="915"/>
    </row>
    <row r="645" spans="1:17" x14ac:dyDescent="0.45">
      <c r="A645" s="737">
        <f t="shared" si="7"/>
        <v>643</v>
      </c>
      <c r="B645" s="737" t="s">
        <v>3</v>
      </c>
      <c r="C645" s="737">
        <v>88</v>
      </c>
      <c r="D645" s="845" t="s">
        <v>732</v>
      </c>
      <c r="E645" s="845" t="s">
        <v>30</v>
      </c>
      <c r="F645" s="845" t="s">
        <v>2561</v>
      </c>
      <c r="G645" s="846">
        <v>45670</v>
      </c>
      <c r="H645" s="845" t="s">
        <v>418</v>
      </c>
      <c r="I645" s="845" t="s">
        <v>17</v>
      </c>
      <c r="J645" s="737" t="s">
        <v>503</v>
      </c>
      <c r="K645" s="823" t="s">
        <v>2554</v>
      </c>
      <c r="L645" s="737">
        <v>25</v>
      </c>
      <c r="M645" s="737">
        <v>111</v>
      </c>
      <c r="N645" s="843" t="s">
        <v>10</v>
      </c>
      <c r="O645" s="915"/>
    </row>
    <row r="646" spans="1:17" x14ac:dyDescent="0.45">
      <c r="A646" s="737">
        <f t="shared" si="7"/>
        <v>644</v>
      </c>
      <c r="B646" s="737">
        <v>556</v>
      </c>
      <c r="C646" s="737" t="s">
        <v>3</v>
      </c>
      <c r="D646" s="845" t="s">
        <v>83</v>
      </c>
      <c r="E646" s="845" t="s">
        <v>2564</v>
      </c>
      <c r="F646" s="845" t="s">
        <v>2565</v>
      </c>
      <c r="G646" s="846">
        <v>45674</v>
      </c>
      <c r="H646" s="845" t="s">
        <v>2563</v>
      </c>
      <c r="I646" s="845" t="s">
        <v>70</v>
      </c>
      <c r="J646" s="737" t="s">
        <v>9</v>
      </c>
      <c r="K646" s="738" t="s">
        <v>2113</v>
      </c>
      <c r="L646" s="737">
        <v>21</v>
      </c>
      <c r="M646" s="737">
        <v>31</v>
      </c>
      <c r="N646" s="843" t="s">
        <v>10</v>
      </c>
      <c r="O646" s="915"/>
    </row>
    <row r="647" spans="1:17" x14ac:dyDescent="0.45">
      <c r="A647" s="737">
        <f t="shared" si="7"/>
        <v>645</v>
      </c>
      <c r="B647" s="737" t="s">
        <v>3</v>
      </c>
      <c r="C647" s="737">
        <v>89</v>
      </c>
      <c r="D647" s="845" t="s">
        <v>579</v>
      </c>
      <c r="E647" s="845" t="s">
        <v>2569</v>
      </c>
      <c r="F647" s="845" t="s">
        <v>2883</v>
      </c>
      <c r="G647" s="846">
        <v>45677</v>
      </c>
      <c r="H647" s="845" t="s">
        <v>2570</v>
      </c>
      <c r="I647" s="845" t="s">
        <v>1977</v>
      </c>
      <c r="J647" s="737" t="s">
        <v>1184</v>
      </c>
      <c r="K647" s="738" t="s">
        <v>2469</v>
      </c>
      <c r="L647" s="737">
        <v>3</v>
      </c>
      <c r="M647" s="737">
        <v>228</v>
      </c>
      <c r="N647" s="843" t="s">
        <v>10</v>
      </c>
    </row>
    <row r="648" spans="1:17" x14ac:dyDescent="0.45">
      <c r="A648" s="737">
        <f t="shared" si="7"/>
        <v>646</v>
      </c>
      <c r="B648" s="737">
        <v>557</v>
      </c>
      <c r="C648" s="737" t="s">
        <v>3</v>
      </c>
      <c r="D648" s="845" t="s">
        <v>670</v>
      </c>
      <c r="E648" s="845" t="s">
        <v>33</v>
      </c>
      <c r="F648" s="916" t="s">
        <v>2578</v>
      </c>
      <c r="G648" s="846">
        <v>45680</v>
      </c>
      <c r="H648" s="845" t="s">
        <v>2577</v>
      </c>
      <c r="I648" s="845" t="s">
        <v>448</v>
      </c>
      <c r="J648" s="737" t="s">
        <v>71</v>
      </c>
      <c r="K648" s="738" t="s">
        <v>672</v>
      </c>
      <c r="L648" s="737">
        <v>37</v>
      </c>
      <c r="M648" s="737">
        <v>49</v>
      </c>
      <c r="N648" s="843" t="s">
        <v>10</v>
      </c>
    </row>
    <row r="649" spans="1:17" ht="18" thickBot="1" x14ac:dyDescent="0.5">
      <c r="A649" s="785">
        <f t="shared" si="7"/>
        <v>647</v>
      </c>
      <c r="B649" s="785">
        <v>558</v>
      </c>
      <c r="C649" s="785" t="s">
        <v>3</v>
      </c>
      <c r="D649" s="847" t="s">
        <v>105</v>
      </c>
      <c r="E649" s="847" t="s">
        <v>2575</v>
      </c>
      <c r="F649" s="847" t="s">
        <v>2611</v>
      </c>
      <c r="G649" s="848">
        <v>45680</v>
      </c>
      <c r="H649" s="847" t="s">
        <v>2574</v>
      </c>
      <c r="I649" s="847" t="s">
        <v>51</v>
      </c>
      <c r="J649" s="760" t="s">
        <v>52</v>
      </c>
      <c r="K649" s="786" t="s">
        <v>1659</v>
      </c>
      <c r="L649" s="760">
        <v>16</v>
      </c>
      <c r="M649" s="760">
        <v>16</v>
      </c>
      <c r="N649" s="762" t="s">
        <v>10</v>
      </c>
      <c r="O649" s="874"/>
    </row>
    <row r="650" spans="1:17" x14ac:dyDescent="0.45">
      <c r="A650" s="841">
        <f t="shared" si="7"/>
        <v>648</v>
      </c>
      <c r="B650" s="841">
        <v>559</v>
      </c>
      <c r="C650" s="841" t="s">
        <v>3</v>
      </c>
      <c r="D650" s="849" t="s">
        <v>2551</v>
      </c>
      <c r="E650" s="849" t="s">
        <v>42</v>
      </c>
      <c r="F650" s="849" t="s">
        <v>2586</v>
      </c>
      <c r="G650" s="850">
        <v>45699</v>
      </c>
      <c r="H650" s="849" t="s">
        <v>2585</v>
      </c>
      <c r="I650" s="849" t="s">
        <v>17</v>
      </c>
      <c r="J650" s="841" t="s">
        <v>388</v>
      </c>
      <c r="K650" s="842" t="s">
        <v>2552</v>
      </c>
      <c r="L650" s="841">
        <v>57</v>
      </c>
      <c r="M650" s="841" t="s">
        <v>1012</v>
      </c>
      <c r="N650" s="775" t="s">
        <v>10</v>
      </c>
      <c r="O650" s="888"/>
      <c r="Q650" s="895"/>
    </row>
    <row r="651" spans="1:17" x14ac:dyDescent="0.45">
      <c r="A651" s="737">
        <f t="shared" si="7"/>
        <v>649</v>
      </c>
      <c r="B651" s="737">
        <v>560</v>
      </c>
      <c r="C651" s="737" t="s">
        <v>3</v>
      </c>
      <c r="D651" s="845" t="s">
        <v>105</v>
      </c>
      <c r="E651" s="845" t="s">
        <v>2564</v>
      </c>
      <c r="F651" s="845" t="s">
        <v>2579</v>
      </c>
      <c r="G651" s="846">
        <v>45710</v>
      </c>
      <c r="H651" s="845" t="s">
        <v>2610</v>
      </c>
      <c r="I651" s="845" t="s">
        <v>51</v>
      </c>
      <c r="J651" s="830" t="s">
        <v>52</v>
      </c>
      <c r="K651" s="738" t="s">
        <v>1641</v>
      </c>
      <c r="L651" s="737">
        <v>31</v>
      </c>
      <c r="M651" s="737">
        <v>31</v>
      </c>
      <c r="N651" s="843" t="s">
        <v>10</v>
      </c>
    </row>
    <row r="652" spans="1:17" ht="18" thickBot="1" x14ac:dyDescent="0.5">
      <c r="A652" s="782">
        <f>A651+1</f>
        <v>650</v>
      </c>
      <c r="B652" s="785">
        <v>561</v>
      </c>
      <c r="C652" s="785" t="s">
        <v>3</v>
      </c>
      <c r="D652" s="847" t="s">
        <v>41</v>
      </c>
      <c r="E652" s="847" t="s">
        <v>2736</v>
      </c>
      <c r="F652" s="847" t="s">
        <v>2631</v>
      </c>
      <c r="G652" s="848">
        <v>45715</v>
      </c>
      <c r="H652" s="847" t="s">
        <v>2637</v>
      </c>
      <c r="I652" s="847" t="s">
        <v>70</v>
      </c>
      <c r="J652" s="785" t="s">
        <v>9</v>
      </c>
      <c r="K652" s="786" t="s">
        <v>2113</v>
      </c>
      <c r="L652" s="833">
        <v>38</v>
      </c>
      <c r="M652" s="833">
        <v>94</v>
      </c>
      <c r="N652" s="787" t="s">
        <v>10</v>
      </c>
      <c r="O652" s="920"/>
    </row>
    <row r="653" spans="1:17" x14ac:dyDescent="0.45">
      <c r="A653" s="841" t="s">
        <v>1003</v>
      </c>
      <c r="B653" s="841" t="s">
        <v>3</v>
      </c>
      <c r="C653" s="841" t="s">
        <v>1003</v>
      </c>
      <c r="D653" s="849" t="s">
        <v>988</v>
      </c>
      <c r="E653" s="849" t="s">
        <v>2639</v>
      </c>
      <c r="F653" s="849" t="s">
        <v>2640</v>
      </c>
      <c r="G653" s="850">
        <v>45717</v>
      </c>
      <c r="H653" s="849" t="s">
        <v>2634</v>
      </c>
      <c r="I653" s="849" t="s">
        <v>17</v>
      </c>
      <c r="J653" s="859" t="s">
        <v>9</v>
      </c>
      <c r="K653" s="842" t="s">
        <v>2115</v>
      </c>
      <c r="L653" s="859">
        <v>2</v>
      </c>
      <c r="M653" s="859">
        <v>87</v>
      </c>
      <c r="N653" s="921" t="s">
        <v>2641</v>
      </c>
      <c r="O653" s="922"/>
    </row>
    <row r="654" spans="1:17" x14ac:dyDescent="0.45">
      <c r="A654" s="841">
        <v>651</v>
      </c>
      <c r="B654" s="841">
        <v>562</v>
      </c>
      <c r="C654" s="841" t="s">
        <v>3</v>
      </c>
      <c r="D654" s="849" t="s">
        <v>105</v>
      </c>
      <c r="E654" s="849" t="s">
        <v>1781</v>
      </c>
      <c r="F654" s="849" t="s">
        <v>2743</v>
      </c>
      <c r="G654" s="850">
        <v>45726</v>
      </c>
      <c r="H654" s="849" t="s">
        <v>2652</v>
      </c>
      <c r="I654" s="849" t="s">
        <v>51</v>
      </c>
      <c r="J654" s="859" t="s">
        <v>52</v>
      </c>
      <c r="K654" s="842" t="s">
        <v>1659</v>
      </c>
      <c r="L654" s="841">
        <v>16</v>
      </c>
      <c r="M654" s="841">
        <v>16</v>
      </c>
      <c r="N654" s="843" t="s">
        <v>10</v>
      </c>
      <c r="O654" s="898"/>
    </row>
    <row r="655" spans="1:17" x14ac:dyDescent="0.45">
      <c r="A655" s="737">
        <f t="shared" ref="A655:A718" si="8">A654+1</f>
        <v>652</v>
      </c>
      <c r="B655" s="737">
        <v>563</v>
      </c>
      <c r="C655" s="737" t="s">
        <v>3</v>
      </c>
      <c r="D655" s="845" t="s">
        <v>585</v>
      </c>
      <c r="E655" s="845" t="s">
        <v>33</v>
      </c>
      <c r="F655" s="845" t="s">
        <v>2727</v>
      </c>
      <c r="G655" s="846">
        <v>45728</v>
      </c>
      <c r="H655" s="845" t="s">
        <v>2670</v>
      </c>
      <c r="I655" s="845" t="s">
        <v>1977</v>
      </c>
      <c r="J655" s="737" t="s">
        <v>2468</v>
      </c>
      <c r="K655" s="738" t="s">
        <v>2644</v>
      </c>
      <c r="L655" s="737">
        <v>102</v>
      </c>
      <c r="M655" s="737">
        <v>357</v>
      </c>
      <c r="N655" s="752" t="s">
        <v>10</v>
      </c>
      <c r="O655" s="923"/>
    </row>
    <row r="656" spans="1:17" x14ac:dyDescent="0.45">
      <c r="A656" s="737">
        <f t="shared" si="8"/>
        <v>653</v>
      </c>
      <c r="B656" s="737">
        <v>564</v>
      </c>
      <c r="C656" s="737" t="s">
        <v>3</v>
      </c>
      <c r="D656" s="845" t="s">
        <v>979</v>
      </c>
      <c r="E656" s="845" t="s">
        <v>2533</v>
      </c>
      <c r="F656" s="845" t="s">
        <v>2686</v>
      </c>
      <c r="G656" s="846">
        <v>45731</v>
      </c>
      <c r="H656" s="845" t="s">
        <v>2130</v>
      </c>
      <c r="I656" s="845" t="s">
        <v>70</v>
      </c>
      <c r="J656" s="737" t="s">
        <v>9</v>
      </c>
      <c r="K656" s="738" t="s">
        <v>2645</v>
      </c>
      <c r="L656" s="737">
        <v>14</v>
      </c>
      <c r="M656" s="737">
        <v>57</v>
      </c>
      <c r="N656" s="752" t="s">
        <v>10</v>
      </c>
      <c r="O656" s="898"/>
    </row>
    <row r="657" spans="1:15" x14ac:dyDescent="0.45">
      <c r="A657" s="841">
        <f t="shared" si="8"/>
        <v>654</v>
      </c>
      <c r="B657" s="841" t="s">
        <v>3</v>
      </c>
      <c r="C657" s="841">
        <v>90</v>
      </c>
      <c r="D657" s="845" t="s">
        <v>579</v>
      </c>
      <c r="E657" s="845" t="s">
        <v>86</v>
      </c>
      <c r="F657" s="845" t="s">
        <v>2689</v>
      </c>
      <c r="G657" s="846">
        <v>45733</v>
      </c>
      <c r="H657" s="845" t="s">
        <v>2688</v>
      </c>
      <c r="I657" s="845" t="s">
        <v>70</v>
      </c>
      <c r="J657" s="737" t="s">
        <v>9</v>
      </c>
      <c r="K657" s="908" t="s">
        <v>2469</v>
      </c>
      <c r="L657" s="841">
        <v>2</v>
      </c>
      <c r="M657" s="841">
        <v>56</v>
      </c>
      <c r="N657" s="752" t="s">
        <v>10</v>
      </c>
    </row>
    <row r="658" spans="1:15" x14ac:dyDescent="0.45">
      <c r="A658" s="841">
        <f t="shared" si="8"/>
        <v>655</v>
      </c>
      <c r="B658" s="841" t="s">
        <v>3</v>
      </c>
      <c r="C658" s="841">
        <v>91</v>
      </c>
      <c r="D658" s="849" t="s">
        <v>579</v>
      </c>
      <c r="E658" s="849" t="s">
        <v>200</v>
      </c>
      <c r="F658" s="849" t="s">
        <v>2854</v>
      </c>
      <c r="G658" s="846">
        <v>45737</v>
      </c>
      <c r="H658" s="849" t="s">
        <v>2695</v>
      </c>
      <c r="I658" s="849" t="s">
        <v>70</v>
      </c>
      <c r="J658" s="841" t="s">
        <v>9</v>
      </c>
      <c r="K658" s="908" t="s">
        <v>2469</v>
      </c>
      <c r="L658" s="841">
        <v>4</v>
      </c>
      <c r="M658" s="841">
        <v>4</v>
      </c>
      <c r="N658" s="752" t="s">
        <v>10</v>
      </c>
      <c r="O658" s="898"/>
    </row>
    <row r="659" spans="1:15" x14ac:dyDescent="0.45">
      <c r="A659" s="737">
        <f t="shared" si="8"/>
        <v>656</v>
      </c>
      <c r="B659" s="737">
        <v>565</v>
      </c>
      <c r="C659" s="737" t="s">
        <v>3</v>
      </c>
      <c r="D659" s="845" t="s">
        <v>105</v>
      </c>
      <c r="E659" s="845" t="s">
        <v>2778</v>
      </c>
      <c r="F659" s="845" t="s">
        <v>2725</v>
      </c>
      <c r="G659" s="846">
        <v>45742</v>
      </c>
      <c r="H659" s="845" t="s">
        <v>2700</v>
      </c>
      <c r="I659" s="845" t="s">
        <v>51</v>
      </c>
      <c r="J659" s="737" t="s">
        <v>52</v>
      </c>
      <c r="K659" s="738" t="s">
        <v>1725</v>
      </c>
      <c r="L659" s="737">
        <v>16</v>
      </c>
      <c r="M659" s="737">
        <v>16</v>
      </c>
      <c r="N659" s="752" t="s">
        <v>10</v>
      </c>
    </row>
    <row r="660" spans="1:15" ht="18" thickBot="1" x14ac:dyDescent="0.5">
      <c r="A660" s="785">
        <f t="shared" si="8"/>
        <v>657</v>
      </c>
      <c r="B660" s="785">
        <v>566</v>
      </c>
      <c r="C660" s="785" t="s">
        <v>3</v>
      </c>
      <c r="D660" s="847" t="s">
        <v>543</v>
      </c>
      <c r="E660" s="847" t="s">
        <v>1363</v>
      </c>
      <c r="F660" s="847" t="s">
        <v>2669</v>
      </c>
      <c r="G660" s="848">
        <v>45746</v>
      </c>
      <c r="H660" s="847" t="s">
        <v>2715</v>
      </c>
      <c r="I660" s="847" t="s">
        <v>51</v>
      </c>
      <c r="J660" s="785" t="s">
        <v>388</v>
      </c>
      <c r="K660" s="786" t="s">
        <v>2678</v>
      </c>
      <c r="L660" s="785">
        <v>47</v>
      </c>
      <c r="M660" s="785">
        <v>220</v>
      </c>
      <c r="N660" s="787" t="s">
        <v>1066</v>
      </c>
      <c r="O660" s="874"/>
    </row>
    <row r="661" spans="1:15" x14ac:dyDescent="0.45">
      <c r="A661" s="841">
        <f t="shared" si="8"/>
        <v>658</v>
      </c>
      <c r="B661" s="841">
        <v>567</v>
      </c>
      <c r="C661" s="841" t="s">
        <v>3</v>
      </c>
      <c r="D661" s="849" t="s">
        <v>979</v>
      </c>
      <c r="E661" s="849" t="s">
        <v>2736</v>
      </c>
      <c r="F661" s="924" t="s">
        <v>2739</v>
      </c>
      <c r="G661" s="850">
        <v>45748</v>
      </c>
      <c r="H661" s="849" t="s">
        <v>2723</v>
      </c>
      <c r="I661" s="849" t="s">
        <v>1237</v>
      </c>
      <c r="J661" s="841" t="s">
        <v>1184</v>
      </c>
      <c r="K661" s="842" t="s">
        <v>2113</v>
      </c>
      <c r="L661" s="841">
        <v>11</v>
      </c>
      <c r="M661" s="841">
        <v>17</v>
      </c>
      <c r="N661" s="843" t="s">
        <v>1066</v>
      </c>
    </row>
    <row r="662" spans="1:15" x14ac:dyDescent="0.45">
      <c r="A662" s="737">
        <f t="shared" si="8"/>
        <v>659</v>
      </c>
      <c r="B662" s="737">
        <v>568</v>
      </c>
      <c r="C662" s="737" t="s">
        <v>3</v>
      </c>
      <c r="D662" s="845" t="s">
        <v>2090</v>
      </c>
      <c r="E662" s="845" t="s">
        <v>2730</v>
      </c>
      <c r="F662" s="845" t="s">
        <v>3496</v>
      </c>
      <c r="G662" s="846">
        <v>45750</v>
      </c>
      <c r="H662" s="845" t="s">
        <v>2742</v>
      </c>
      <c r="I662" s="845" t="s">
        <v>17</v>
      </c>
      <c r="J662" s="737" t="s">
        <v>71</v>
      </c>
      <c r="K662" s="738" t="s">
        <v>2182</v>
      </c>
      <c r="L662" s="737">
        <v>70</v>
      </c>
      <c r="M662" s="737">
        <v>163</v>
      </c>
      <c r="N662" s="752" t="s">
        <v>1066</v>
      </c>
    </row>
    <row r="663" spans="1:15" x14ac:dyDescent="0.45">
      <c r="A663" s="841">
        <f t="shared" si="8"/>
        <v>660</v>
      </c>
      <c r="B663" s="841">
        <v>569</v>
      </c>
      <c r="C663" s="841" t="s">
        <v>3</v>
      </c>
      <c r="D663" s="849" t="s">
        <v>105</v>
      </c>
      <c r="E663" s="849" t="s">
        <v>2668</v>
      </c>
      <c r="F663" s="849" t="s">
        <v>2763</v>
      </c>
      <c r="G663" s="850">
        <v>45758</v>
      </c>
      <c r="H663" s="849" t="s">
        <v>2754</v>
      </c>
      <c r="I663" s="849" t="s">
        <v>51</v>
      </c>
      <c r="J663" s="841" t="s">
        <v>52</v>
      </c>
      <c r="K663" s="908" t="s">
        <v>1723</v>
      </c>
      <c r="L663" s="841">
        <v>16</v>
      </c>
      <c r="M663" s="841">
        <v>16</v>
      </c>
      <c r="N663" s="752" t="s">
        <v>1066</v>
      </c>
    </row>
    <row r="664" spans="1:15" x14ac:dyDescent="0.45">
      <c r="A664" s="841">
        <f t="shared" si="8"/>
        <v>661</v>
      </c>
      <c r="B664" s="841">
        <v>570</v>
      </c>
      <c r="C664" s="841" t="s">
        <v>3</v>
      </c>
      <c r="D664" s="849" t="s">
        <v>670</v>
      </c>
      <c r="E664" s="849" t="s">
        <v>90</v>
      </c>
      <c r="F664" s="849" t="s">
        <v>2764</v>
      </c>
      <c r="G664" s="850">
        <v>45766</v>
      </c>
      <c r="H664" s="849" t="s">
        <v>2755</v>
      </c>
      <c r="I664" s="849" t="s">
        <v>70</v>
      </c>
      <c r="J664" s="822" t="s">
        <v>71</v>
      </c>
      <c r="K664" s="738" t="s">
        <v>672</v>
      </c>
      <c r="L664" s="841">
        <v>16</v>
      </c>
      <c r="M664" s="841">
        <v>86</v>
      </c>
      <c r="N664" s="752" t="s">
        <v>1066</v>
      </c>
    </row>
    <row r="665" spans="1:15" x14ac:dyDescent="0.45">
      <c r="A665" s="737">
        <f t="shared" si="8"/>
        <v>662</v>
      </c>
      <c r="B665" s="737">
        <v>571</v>
      </c>
      <c r="C665" s="737" t="s">
        <v>3</v>
      </c>
      <c r="D665" s="845" t="s">
        <v>138</v>
      </c>
      <c r="E665" s="845" t="s">
        <v>216</v>
      </c>
      <c r="F665" s="845" t="s">
        <v>3386</v>
      </c>
      <c r="G665" s="846">
        <v>45771</v>
      </c>
      <c r="H665" s="845" t="s">
        <v>2771</v>
      </c>
      <c r="I665" s="845" t="s">
        <v>17</v>
      </c>
      <c r="J665" s="830" t="s">
        <v>9</v>
      </c>
      <c r="K665" s="738" t="s">
        <v>1819</v>
      </c>
      <c r="L665" s="737">
        <v>23</v>
      </c>
      <c r="M665" s="737">
        <v>176</v>
      </c>
      <c r="N665" s="752" t="s">
        <v>1066</v>
      </c>
      <c r="O665" s="890"/>
    </row>
    <row r="666" spans="1:15" x14ac:dyDescent="0.45">
      <c r="A666" s="863">
        <f t="shared" si="8"/>
        <v>663</v>
      </c>
      <c r="B666" s="863">
        <v>572</v>
      </c>
      <c r="C666" s="863" t="s">
        <v>3</v>
      </c>
      <c r="D666" s="914" t="s">
        <v>105</v>
      </c>
      <c r="E666" s="914" t="s">
        <v>2777</v>
      </c>
      <c r="F666" s="914" t="s">
        <v>2741</v>
      </c>
      <c r="G666" s="790">
        <v>45774</v>
      </c>
      <c r="H666" s="914" t="s">
        <v>2767</v>
      </c>
      <c r="I666" s="914" t="s">
        <v>51</v>
      </c>
      <c r="J666" s="863" t="s">
        <v>52</v>
      </c>
      <c r="K666" s="791" t="s">
        <v>1725</v>
      </c>
      <c r="L666" s="863">
        <v>16</v>
      </c>
      <c r="M666" s="863">
        <v>16</v>
      </c>
      <c r="N666" s="752" t="s">
        <v>1066</v>
      </c>
    </row>
    <row r="667" spans="1:15" ht="18" thickBot="1" x14ac:dyDescent="0.5">
      <c r="A667" s="782">
        <f t="shared" si="8"/>
        <v>664</v>
      </c>
      <c r="B667" s="782">
        <v>573</v>
      </c>
      <c r="C667" s="782" t="s">
        <v>3</v>
      </c>
      <c r="D667" s="847" t="s">
        <v>548</v>
      </c>
      <c r="E667" s="847" t="s">
        <v>63</v>
      </c>
      <c r="F667" s="847" t="s">
        <v>2769</v>
      </c>
      <c r="G667" s="848">
        <v>45776</v>
      </c>
      <c r="H667" s="847" t="s">
        <v>2779</v>
      </c>
      <c r="I667" s="847" t="s">
        <v>2195</v>
      </c>
      <c r="J667" s="833" t="s">
        <v>388</v>
      </c>
      <c r="K667" s="786" t="s">
        <v>2513</v>
      </c>
      <c r="L667" s="785">
        <v>30</v>
      </c>
      <c r="M667" s="785">
        <v>134</v>
      </c>
      <c r="N667" s="787" t="s">
        <v>10</v>
      </c>
      <c r="O667" s="874" t="s">
        <v>2749</v>
      </c>
    </row>
    <row r="668" spans="1:15" x14ac:dyDescent="0.45">
      <c r="A668" s="838">
        <f t="shared" si="8"/>
        <v>665</v>
      </c>
      <c r="B668" s="838" cm="1">
        <f t="array" ref="B668">IF(LEFT(D668,2)="长征",IFERROR(LOOKUP(2,1/(B$1:B667&lt;&gt;"-"),B$1:B667)+1,1),"-")</f>
        <v>574</v>
      </c>
      <c r="C668" s="838" t="str" cm="1">
        <f t="array" ref="C668">IF(LEFT(D668,2)&lt;&gt;"长征",IF(D668="","-",IFERROR(LOOKUP(2,1/(C$1:C667&lt;&gt;"-"),C$1:C667)+1,1)),"-")</f>
        <v>-</v>
      </c>
      <c r="D668" s="839" t="s">
        <v>670</v>
      </c>
      <c r="E668" s="839" t="s">
        <v>1261</v>
      </c>
      <c r="F668" s="839" t="s">
        <v>2804</v>
      </c>
      <c r="G668" s="840">
        <v>45788</v>
      </c>
      <c r="H668" s="839" t="s">
        <v>2805</v>
      </c>
      <c r="I668" s="839" t="s">
        <v>2195</v>
      </c>
      <c r="J668" s="841" t="s">
        <v>71</v>
      </c>
      <c r="K668" s="842" t="s">
        <v>672</v>
      </c>
      <c r="L668" s="841">
        <f>IF(COUNTIF(J$1:J667,J668)=0,"",IFERROR(G668-_xlfn.MAXIFS(G$1:G667,J$1:J667,J668),""))</f>
        <v>22</v>
      </c>
      <c r="M668" s="841">
        <f>IF(COUNTIF(D$1:D667,D668)=0,"",IFERROR(G668-_xlfn.MAXIFS(G$1:G667,D$1:D667,D668),""))</f>
        <v>22</v>
      </c>
      <c r="N668" s="843" t="s">
        <v>1066</v>
      </c>
    </row>
    <row r="669" spans="1:15" x14ac:dyDescent="0.45">
      <c r="A669" s="838">
        <f t="shared" si="8"/>
        <v>666</v>
      </c>
      <c r="B669" s="838" cm="1">
        <f t="array" ref="B669">IF(LEFT(D669,2)="长征",IFERROR(LOOKUP(2,1/(B$1:B668&lt;&gt;"-"),B$1:B668)+1,1),"-")</f>
        <v>575</v>
      </c>
      <c r="C669" s="838" t="str" cm="1">
        <f t="array" ref="C669">IF(LEFT(D669,2)&lt;&gt;"长征",IF(D669="","-",IFERROR(LOOKUP(2,1/(C$1:C668&lt;&gt;"-"),C$1:C668)+1,1)),"-")</f>
        <v>-</v>
      </c>
      <c r="D669" s="839" t="s">
        <v>203</v>
      </c>
      <c r="E669" s="839" t="s">
        <v>221</v>
      </c>
      <c r="F669" s="839" t="s">
        <v>2808</v>
      </c>
      <c r="G669" s="840">
        <v>45790</v>
      </c>
      <c r="H669" s="839" t="s">
        <v>505</v>
      </c>
      <c r="I669" s="839" t="s">
        <v>51</v>
      </c>
      <c r="J669" s="841" t="s">
        <v>52</v>
      </c>
      <c r="K669" s="842" t="s">
        <v>1659</v>
      </c>
      <c r="L669" s="841">
        <f>IF(COUNTIF(J$1:J668,J669)=0,"",IFERROR(G669-_xlfn.MAXIFS(G$1:G668,J$1:J668,J669),""))</f>
        <v>16</v>
      </c>
      <c r="M669" s="841">
        <f>IF(COUNTIF(D$1:D668,D669)=0,"",IFERROR(G669-_xlfn.MAXIFS(G$1:G668,D$1:D668,D669),""))</f>
        <v>1407</v>
      </c>
      <c r="N669" s="843" t="s">
        <v>1066</v>
      </c>
    </row>
    <row r="670" spans="1:15" x14ac:dyDescent="0.45">
      <c r="A670" s="789">
        <f t="shared" si="8"/>
        <v>667</v>
      </c>
      <c r="B670" s="789" cm="1">
        <f t="array" ref="B670">IF(LEFT(D670,2)="长征",IFERROR(LOOKUP(2,1/(B$1:B669&lt;&gt;"-"),B$1:B669)+1,1),"-")</f>
        <v>576</v>
      </c>
      <c r="C670" s="789" t="str" cm="1">
        <f t="array" ref="C670">IF(LEFT(D670,2)&lt;&gt;"长征",IF(D670="","-",IFERROR(LOOKUP(2,1/(C$1:C669&lt;&gt;"-"),C$1:C669)+1,1)),"-")</f>
        <v>-</v>
      </c>
      <c r="D670" s="914" t="s">
        <v>83</v>
      </c>
      <c r="E670" s="914" t="s">
        <v>2668</v>
      </c>
      <c r="F670" s="914" t="s">
        <v>2809</v>
      </c>
      <c r="G670" s="790">
        <v>45791</v>
      </c>
      <c r="H670" s="914" t="s">
        <v>1814</v>
      </c>
      <c r="I670" s="914" t="s">
        <v>70</v>
      </c>
      <c r="J670" s="863" t="s">
        <v>9</v>
      </c>
      <c r="K670" s="791" t="s">
        <v>2645</v>
      </c>
      <c r="L670" s="863">
        <f>IF(COUNTIF(J$1:J669,J670)=0,"",IFERROR(G670-_xlfn.MAXIFS(G$1:G669,J$1:J669,J670),""))</f>
        <v>20</v>
      </c>
      <c r="M670" s="863">
        <f>IF(COUNTIF(D$1:D669,D670)=0,"",IFERROR(G670-_xlfn.MAXIFS(G$1:G669,D$1:D669,D670),""))</f>
        <v>43</v>
      </c>
      <c r="N670" s="752" t="s">
        <v>1066</v>
      </c>
    </row>
    <row r="671" spans="1:15" x14ac:dyDescent="0.45">
      <c r="A671" s="789">
        <f t="shared" si="8"/>
        <v>668</v>
      </c>
      <c r="B671" s="789" t="str" cm="1">
        <f t="array" ref="B671">IF(LEFT(D671,2)="长征",IFERROR(LOOKUP(2,1/(B$1:B670&lt;&gt;"-"),B$1:B670)+1,1),"-")</f>
        <v>-</v>
      </c>
      <c r="C671" s="789" cm="1">
        <f t="array" ref="C671">IF(LEFT(D671,2)&lt;&gt;"长征",IF(D671="","-",IFERROR(LOOKUP(2,1/(C$1:C670&lt;&gt;"-"),C$1:C670)+1,1)),"-")</f>
        <v>92</v>
      </c>
      <c r="D671" s="914" t="s">
        <v>2443</v>
      </c>
      <c r="E671" s="914" t="s">
        <v>45</v>
      </c>
      <c r="F671" s="914" t="s">
        <v>2829</v>
      </c>
      <c r="G671" s="790">
        <v>45794</v>
      </c>
      <c r="H671" s="914" t="s">
        <v>1814</v>
      </c>
      <c r="I671" s="914" t="s">
        <v>70</v>
      </c>
      <c r="J671" s="863" t="s">
        <v>9</v>
      </c>
      <c r="K671" s="791" t="s">
        <v>2957</v>
      </c>
      <c r="L671" s="863">
        <f>IF(COUNTIF(J$1:J670,J671)=0,"",IFERROR(G671-_xlfn.MAXIFS(G$1:G670,J$1:J670,J671),""))</f>
        <v>3</v>
      </c>
      <c r="M671" s="863">
        <f>IF(COUNTIF(D$1:D670,D671)=0,"",IFERROR(G671-_xlfn.MAXIFS(G$1:G670,D$1:D670,D671),""))</f>
        <v>171</v>
      </c>
      <c r="N671" s="752" t="s">
        <v>10</v>
      </c>
    </row>
    <row r="672" spans="1:15" x14ac:dyDescent="0.45">
      <c r="A672" s="789">
        <f t="shared" si="8"/>
        <v>669</v>
      </c>
      <c r="B672" s="789" t="str" cm="1">
        <f t="array" ref="B672">IF(LEFT(D672,2)="长征",IFERROR(LOOKUP(2,1/(B$1:B671&lt;&gt;"-"),B$1:B671)+1,1),"-")</f>
        <v>-</v>
      </c>
      <c r="C672" s="789" cm="1">
        <f t="array" ref="C672">IF(LEFT(D672,2)&lt;&gt;"长征",IF(D672="","-",IFERROR(LOOKUP(2,1/(C$1:C671&lt;&gt;"-"),C$1:C671)+1,1)),"-")</f>
        <v>93</v>
      </c>
      <c r="D672" s="914" t="s">
        <v>2467</v>
      </c>
      <c r="E672" s="914" t="s">
        <v>30</v>
      </c>
      <c r="F672" s="914" t="s">
        <v>2796</v>
      </c>
      <c r="G672" s="790">
        <v>45796</v>
      </c>
      <c r="H672" s="914" t="s">
        <v>2819</v>
      </c>
      <c r="I672" s="914" t="s">
        <v>17</v>
      </c>
      <c r="J672" s="863" t="s">
        <v>503</v>
      </c>
      <c r="K672" s="879" t="s">
        <v>2823</v>
      </c>
      <c r="L672" s="863">
        <f>IF(COUNTIF(J$1:J671,J672)=0,"",IFERROR(G672-_xlfn.MAXIFS(G$1:G671,J$1:J671,J672),""))</f>
        <v>126</v>
      </c>
      <c r="M672" s="863">
        <f>IF(COUNTIF(D$1:D671,D672)=0,"",IFERROR(G672-_xlfn.MAXIFS(G$1:G671,D$1:D671,D672),""))</f>
        <v>151</v>
      </c>
      <c r="N672" s="752" t="s">
        <v>10</v>
      </c>
    </row>
    <row r="673" spans="1:15" x14ac:dyDescent="0.45">
      <c r="A673" s="789">
        <f t="shared" si="8"/>
        <v>670</v>
      </c>
      <c r="B673" s="789" cm="1">
        <f t="array" ref="B673">IF(LEFT(D673,2)="长征",IFERROR(LOOKUP(2,1/(B$1:B672&lt;&gt;"-"),B$1:B672)+1,1),"-")</f>
        <v>577</v>
      </c>
      <c r="C673" s="789" t="str" cm="1">
        <f t="array" ref="C673">IF(LEFT(D673,2)&lt;&gt;"长征",IF(D673="","-",IFERROR(LOOKUP(2,1/(C$1:C672&lt;&gt;"-"),C$1:C672)+1,1)),"-")</f>
        <v>-</v>
      </c>
      <c r="D673" s="914" t="s">
        <v>543</v>
      </c>
      <c r="E673" s="914" t="s">
        <v>174</v>
      </c>
      <c r="F673" s="914" t="s">
        <v>2834</v>
      </c>
      <c r="G673" s="790">
        <v>45797</v>
      </c>
      <c r="H673" s="914" t="s">
        <v>104</v>
      </c>
      <c r="I673" s="914" t="s">
        <v>51</v>
      </c>
      <c r="J673" s="863" t="s">
        <v>388</v>
      </c>
      <c r="K673" s="791" t="s">
        <v>2552</v>
      </c>
      <c r="L673" s="863">
        <f>IF(COUNTIF(J$1:J672,J673)=0,"",IFERROR(G673-_xlfn.MAXIFS(G$1:G672,J$1:J672,J673),""))</f>
        <v>21</v>
      </c>
      <c r="M673" s="863">
        <f>IF(COUNTIF(D$1:D672,D673)=0,"",IFERROR(G673-_xlfn.MAXIFS(G$1:G672,D$1:D672,D673),""))</f>
        <v>51</v>
      </c>
      <c r="N673" s="752" t="s">
        <v>10</v>
      </c>
    </row>
    <row r="674" spans="1:15" x14ac:dyDescent="0.45">
      <c r="A674" s="789">
        <f t="shared" si="8"/>
        <v>671</v>
      </c>
      <c r="B674" s="789" t="str" cm="1">
        <f t="array" ref="B674">IF(LEFT(D674,2)="长征",IFERROR(LOOKUP(2,1/(B$1:B673&lt;&gt;"-"),B$1:B673)+1,1),"-")</f>
        <v>-</v>
      </c>
      <c r="C674" s="789" cm="1">
        <f t="array" ref="C674">IF(LEFT(D674,2)&lt;&gt;"长征",IF(D674="","-",IFERROR(LOOKUP(2,1/(C$1:C673&lt;&gt;"-"),C$1:C673)+1,1)),"-")</f>
        <v>94</v>
      </c>
      <c r="D674" s="914" t="s">
        <v>695</v>
      </c>
      <c r="E674" s="914" t="s">
        <v>63</v>
      </c>
      <c r="F674" s="914" t="s">
        <v>2846</v>
      </c>
      <c r="G674" s="790">
        <v>45798</v>
      </c>
      <c r="H674" s="914" t="s">
        <v>2836</v>
      </c>
      <c r="I674" s="914" t="s">
        <v>70</v>
      </c>
      <c r="J674" s="863" t="s">
        <v>9</v>
      </c>
      <c r="K674" s="791" t="s">
        <v>2531</v>
      </c>
      <c r="L674" s="863">
        <f>IF(COUNTIF(J$1:J673,J674)=0,"",IFERROR(G674-_xlfn.MAXIFS(G$1:G673,J$1:J673,J674),""))</f>
        <v>4</v>
      </c>
      <c r="M674" s="863">
        <f>IF(COUNTIF(D$1:D673,D674)=0,"",IFERROR(G674-_xlfn.MAXIFS(G$1:G673,D$1:D673,D674),""))</f>
        <v>145</v>
      </c>
      <c r="N674" s="752" t="s">
        <v>10</v>
      </c>
    </row>
    <row r="675" spans="1:15" x14ac:dyDescent="0.45">
      <c r="A675" s="789">
        <f t="shared" si="8"/>
        <v>672</v>
      </c>
      <c r="B675" s="789" cm="1">
        <f t="array" ref="B675">IF(LEFT(D675,2)="长征",IFERROR(LOOKUP(2,1/(B$1:B674&lt;&gt;"-"),B$1:B674)+1,1),"-")</f>
        <v>578</v>
      </c>
      <c r="C675" s="789" t="str" cm="1">
        <f t="array" ref="C675">IF(LEFT(D675,2)&lt;&gt;"长征",IF(D675="","-",IFERROR(LOOKUP(2,1/(C$1:C674&lt;&gt;"-"),C$1:C674)+1,1)),"-")</f>
        <v>-</v>
      </c>
      <c r="D675" s="914" t="s">
        <v>105</v>
      </c>
      <c r="E675" s="914" t="s">
        <v>2792</v>
      </c>
      <c r="F675" s="914" t="s">
        <v>2813</v>
      </c>
      <c r="G675" s="790">
        <v>45806</v>
      </c>
      <c r="H675" s="914" t="s">
        <v>2857</v>
      </c>
      <c r="I675" s="914" t="s">
        <v>2780</v>
      </c>
      <c r="J675" s="863" t="s">
        <v>52</v>
      </c>
      <c r="K675" s="791" t="s">
        <v>1641</v>
      </c>
      <c r="L675" s="863">
        <f>IF(COUNTIF(J$1:J674,J675)=0,"",IFERROR(G675-_xlfn.MAXIFS(G$1:G674,J$1:J674,J675),""))</f>
        <v>16</v>
      </c>
      <c r="M675" s="863">
        <f>IF(COUNTIF(D$1:D674,D675)=0,"",IFERROR(G675-_xlfn.MAXIFS(G$1:G674,D$1:D674,D675),""))</f>
        <v>32</v>
      </c>
      <c r="N675" s="752" t="s">
        <v>10</v>
      </c>
    </row>
    <row r="676" spans="1:15" ht="18" thickBot="1" x14ac:dyDescent="0.5">
      <c r="A676" s="782">
        <f t="shared" si="8"/>
        <v>673</v>
      </c>
      <c r="B676" s="782" cm="1">
        <f t="array" ref="B676">IF(LEFT(D676,2)="长征",IFERROR(LOOKUP(2,1/(B$1:B675&lt;&gt;"-"),B$1:B675)+1,1),"-")</f>
        <v>579</v>
      </c>
      <c r="C676" s="782" t="str" cm="1">
        <f t="array" ref="C676">IF(LEFT(D676,2)&lt;&gt;"长征",IF(D676="","-",IFERROR(LOOKUP(2,1/(C$1:C675&lt;&gt;"-"),C$1:C675)+1,1)),"-")</f>
        <v>-</v>
      </c>
      <c r="D676" s="783" t="s">
        <v>2032</v>
      </c>
      <c r="E676" s="783" t="s">
        <v>2849</v>
      </c>
      <c r="F676" s="783" t="s">
        <v>2848</v>
      </c>
      <c r="G676" s="784">
        <v>45806</v>
      </c>
      <c r="H676" s="783" t="s">
        <v>1814</v>
      </c>
      <c r="I676" s="783" t="s">
        <v>70</v>
      </c>
      <c r="J676" s="785" t="s">
        <v>9</v>
      </c>
      <c r="K676" s="786" t="s">
        <v>2645</v>
      </c>
      <c r="L676" s="785">
        <f>IF(COUNTIF(J$1:J675,J676)=0,"",IFERROR(G676-_xlfn.MAXIFS(G$1:G675,J$1:J675,J676),""))</f>
        <v>8</v>
      </c>
      <c r="M676" s="785">
        <f>IF(COUNTIF(D$1:D675,D676)=0,"",IFERROR(G676-_xlfn.MAXIFS(G$1:G675,D$1:D675,D676),""))</f>
        <v>196</v>
      </c>
      <c r="N676" s="787" t="s">
        <v>10</v>
      </c>
      <c r="O676" s="874"/>
    </row>
    <row r="677" spans="1:15" x14ac:dyDescent="0.45">
      <c r="A677" s="838">
        <f t="shared" si="8"/>
        <v>674</v>
      </c>
      <c r="B677" s="838" cm="1">
        <f t="array" ref="B677">IF(LEFT(D677,2)="长征",IFERROR(LOOKUP(2,1/(B$1:B676&lt;&gt;"-"),B$1:B676)+1,1),"-")</f>
        <v>580</v>
      </c>
      <c r="C677" s="838" t="str" cm="1">
        <f t="array" ref="C677">IF(LEFT(D677,2)&lt;&gt;"长征",IF(D677="","-",IFERROR(LOOKUP(2,1/(C$1:C676&lt;&gt;"-"),C$1:C676)+1,1)),"-")</f>
        <v>-</v>
      </c>
      <c r="D677" s="839" t="s">
        <v>670</v>
      </c>
      <c r="E677" s="839" t="s">
        <v>996</v>
      </c>
      <c r="F677" s="839" t="s">
        <v>2925</v>
      </c>
      <c r="G677" s="840">
        <v>45814</v>
      </c>
      <c r="H677" s="839" t="s">
        <v>2853</v>
      </c>
      <c r="I677" s="839" t="s">
        <v>2195</v>
      </c>
      <c r="J677" s="841" t="s">
        <v>71</v>
      </c>
      <c r="K677" s="842" t="s">
        <v>672</v>
      </c>
      <c r="L677" s="841">
        <f>IF(COUNTIF(J$1:J676,J677)=0,"",IFERROR(G677-_xlfn.MAXIFS(G$1:G676,J$1:J676,J677),""))</f>
        <v>26</v>
      </c>
      <c r="M677" s="841">
        <f>IF(COUNTIF(D$1:D676,D677)=0,"",IFERROR(G677-_xlfn.MAXIFS(G$1:G676,D$1:D676,D677),""))</f>
        <v>26</v>
      </c>
      <c r="N677" s="843" t="s">
        <v>10</v>
      </c>
    </row>
    <row r="678" spans="1:15" x14ac:dyDescent="0.45">
      <c r="A678" s="789">
        <f t="shared" si="8"/>
        <v>675</v>
      </c>
      <c r="B678" s="789" cm="1">
        <f t="array" ref="B678">IF(LEFT(D678,2)="长征",IFERROR(LOOKUP(2,1/(B$1:B677&lt;&gt;"-"),B$1:B677)+1,1),"-")</f>
        <v>581</v>
      </c>
      <c r="C678" s="789" t="str" cm="1">
        <f t="array" ref="C678">IF(LEFT(D678,2)&lt;&gt;"长征",IF(D678="","-",IFERROR(LOOKUP(2,1/(C$1:C677&lt;&gt;"-"),C$1:C677)+1,1)),"-")</f>
        <v>-</v>
      </c>
      <c r="D678" s="914" t="s">
        <v>83</v>
      </c>
      <c r="E678" s="914" t="s">
        <v>2866</v>
      </c>
      <c r="F678" s="914" t="s">
        <v>2864</v>
      </c>
      <c r="G678" s="790">
        <v>45822</v>
      </c>
      <c r="H678" s="914" t="s">
        <v>2865</v>
      </c>
      <c r="I678" s="914" t="s">
        <v>70</v>
      </c>
      <c r="J678" s="863" t="s">
        <v>9</v>
      </c>
      <c r="K678" s="791" t="s">
        <v>2645</v>
      </c>
      <c r="L678" s="863">
        <f>IF(COUNTIF(J$1:J677,J678)=0,"",IFERROR(G678-_xlfn.MAXIFS(G$1:G677,J$1:J677,J678),""))</f>
        <v>16</v>
      </c>
      <c r="M678" s="863">
        <f>IF(COUNTIF(D$1:D677,D678)=0,"",IFERROR(G678-_xlfn.MAXIFS(G$1:G677,D$1:D677,D678),""))</f>
        <v>31</v>
      </c>
      <c r="N678" s="752" t="s">
        <v>10</v>
      </c>
    </row>
    <row r="679" spans="1:15" ht="18" thickBot="1" x14ac:dyDescent="0.5">
      <c r="A679" s="782">
        <f t="shared" si="8"/>
        <v>676</v>
      </c>
      <c r="B679" s="782" cm="1">
        <f t="array" ref="B679">IF(LEFT(D679,2)="长征",IFERROR(LOOKUP(2,1/(B$1:B678&lt;&gt;"-"),B$1:B678)+1,1),"-")</f>
        <v>582</v>
      </c>
      <c r="C679" s="782" t="str" cm="1">
        <f t="array" ref="C679">IF(LEFT(D679,2)&lt;&gt;"长征",IF(D679="","-",IFERROR(LOOKUP(2,1/(C$1:C678&lt;&gt;"-"),C$1:C678)+1,1)),"-")</f>
        <v>-</v>
      </c>
      <c r="D679" s="783" t="s">
        <v>105</v>
      </c>
      <c r="E679" s="783" t="s">
        <v>2974</v>
      </c>
      <c r="F679" s="783" t="s">
        <v>2772</v>
      </c>
      <c r="G679" s="784">
        <v>45828</v>
      </c>
      <c r="H679" s="783" t="s">
        <v>2860</v>
      </c>
      <c r="I679" s="783" t="s">
        <v>51</v>
      </c>
      <c r="J679" s="785" t="s">
        <v>52</v>
      </c>
      <c r="K679" s="786" t="s">
        <v>1641</v>
      </c>
      <c r="L679" s="785">
        <f>IF(COUNTIF(J$1:J678,J679)=0,"",IFERROR(G679-_xlfn.MAXIFS(G$1:G678,J$1:J678,J679),""))</f>
        <v>22</v>
      </c>
      <c r="M679" s="785">
        <f>IF(COUNTIF(D$1:D678,D679)=0,"",IFERROR(G679-_xlfn.MAXIFS(G$1:G678,D$1:D678,D679),""))</f>
        <v>22</v>
      </c>
      <c r="N679" s="787" t="s">
        <v>10</v>
      </c>
      <c r="O679" s="905"/>
    </row>
    <row r="680" spans="1:15" x14ac:dyDescent="0.45">
      <c r="A680" s="838">
        <f t="shared" si="8"/>
        <v>677</v>
      </c>
      <c r="B680" s="838" cm="1">
        <f t="array" ref="B680">IF(LEFT(D680,2)="长征",IFERROR(LOOKUP(2,1/(B$1:B679&lt;&gt;"-"),B$1:B679)+1,1),"-")</f>
        <v>583</v>
      </c>
      <c r="C680" s="838" t="str" cm="1">
        <f t="array" ref="C680">IF(LEFT(D680,2)&lt;&gt;"长征",IF(D680="","-",IFERROR(LOOKUP(2,1/(C$1:C679&lt;&gt;"-"),C$1:C679)+1,1)),"-")</f>
        <v>-</v>
      </c>
      <c r="D680" s="839" t="s">
        <v>995</v>
      </c>
      <c r="E680" s="839" t="s">
        <v>2878</v>
      </c>
      <c r="F680" s="839" t="s">
        <v>2877</v>
      </c>
      <c r="G680" s="840">
        <v>45841</v>
      </c>
      <c r="H680" s="839" t="s">
        <v>2875</v>
      </c>
      <c r="I680" s="839" t="s">
        <v>17</v>
      </c>
      <c r="J680" s="841" t="s">
        <v>52</v>
      </c>
      <c r="K680" s="842" t="s">
        <v>1659</v>
      </c>
      <c r="L680" s="841">
        <f>IF(COUNTIF(J$1:J679,J680)=0,"",IFERROR(G680-_xlfn.MAXIFS(G$1:G679,J$1:J679,J680),""))</f>
        <v>13</v>
      </c>
      <c r="M680" s="841">
        <f>IF(COUNTIF(D$1:D679,D680)=0,"",IFERROR(G680-_xlfn.MAXIFS(G$1:G679,D$1:D679,D680),""))</f>
        <v>260</v>
      </c>
      <c r="N680" s="843" t="s">
        <v>10</v>
      </c>
    </row>
    <row r="681" spans="1:15" x14ac:dyDescent="0.45">
      <c r="A681" s="789">
        <f t="shared" si="8"/>
        <v>678</v>
      </c>
      <c r="B681" s="789" cm="1">
        <f t="array" ref="B681">IF(LEFT(D681,2)="长征",IFERROR(LOOKUP(2,1/(B$1:B680&lt;&gt;"-"),B$1:B680)+1,1),"-")</f>
        <v>584</v>
      </c>
      <c r="C681" s="789" t="str" cm="1">
        <f t="array" ref="C681">IF(LEFT(D681,2)&lt;&gt;"长征",IF(D681="","-",IFERROR(LOOKUP(2,1/(C$1:C680&lt;&gt;"-"),C$1:C680)+1,1)),"-")</f>
        <v>-</v>
      </c>
      <c r="D681" s="914" t="s">
        <v>386</v>
      </c>
      <c r="E681" s="914" t="s">
        <v>86</v>
      </c>
      <c r="F681" s="914" t="s">
        <v>2733</v>
      </c>
      <c r="G681" s="790">
        <v>45853</v>
      </c>
      <c r="H681" s="914" t="s">
        <v>2884</v>
      </c>
      <c r="I681" s="914" t="s">
        <v>17</v>
      </c>
      <c r="J681" s="863" t="s">
        <v>388</v>
      </c>
      <c r="K681" s="791" t="s">
        <v>2678</v>
      </c>
      <c r="L681" s="863">
        <f>IF(COUNTIF(J$1:J680,J681)=0,"",IFERROR(G681-_xlfn.MAXIFS(G$1:G680,J$1:J680,J681),""))</f>
        <v>56</v>
      </c>
      <c r="M681" s="863">
        <f>IF(COUNTIF(D$1:D680,D681)=0,"",IFERROR(G681-_xlfn.MAXIFS(G$1:G680,D$1:D680,D681),""))</f>
        <v>242</v>
      </c>
      <c r="N681" s="752" t="s">
        <v>10</v>
      </c>
    </row>
    <row r="682" spans="1:15" x14ac:dyDescent="0.45">
      <c r="A682" s="789">
        <f t="shared" si="8"/>
        <v>679</v>
      </c>
      <c r="B682" s="789" cm="1">
        <f t="array" ref="B682">IF(LEFT(D682,2)="长征",IFERROR(LOOKUP(2,1/(B$1:B681&lt;&gt;"-"),B$1:B681)+1,1),"-")</f>
        <v>585</v>
      </c>
      <c r="C682" s="789" t="str" cm="1">
        <f t="array" ref="C682">IF(LEFT(D682,2)&lt;&gt;"长征",IF(D682="","-",IFERROR(LOOKUP(2,1/(C$1:C681&lt;&gt;"-"),C$1:C681)+1,1)),"-")</f>
        <v>-</v>
      </c>
      <c r="D682" s="914" t="s">
        <v>670</v>
      </c>
      <c r="E682" s="914" t="s">
        <v>2730</v>
      </c>
      <c r="F682" s="914" t="s">
        <v>2907</v>
      </c>
      <c r="G682" s="790">
        <v>45865</v>
      </c>
      <c r="H682" s="914" t="s">
        <v>2906</v>
      </c>
      <c r="I682" s="914" t="s">
        <v>448</v>
      </c>
      <c r="J682" s="863" t="s">
        <v>71</v>
      </c>
      <c r="K682" s="791" t="s">
        <v>672</v>
      </c>
      <c r="L682" s="863">
        <f>IF(COUNTIF(J$1:J681,J682)=0,"",IFERROR(G682-_xlfn.MAXIFS(G$1:G681,J$1:J681,J682),""))</f>
        <v>51</v>
      </c>
      <c r="M682" s="863">
        <f>IF(COUNTIF(D$1:D681,D682)=0,"",IFERROR(G682-_xlfn.MAXIFS(G$1:G681,D$1:D681,D682),""))</f>
        <v>51</v>
      </c>
      <c r="N682" s="752" t="s">
        <v>10</v>
      </c>
    </row>
    <row r="683" spans="1:15" x14ac:dyDescent="0.45">
      <c r="A683" s="789">
        <f t="shared" si="8"/>
        <v>680</v>
      </c>
      <c r="B683" s="789" t="str" cm="1">
        <f t="array" ref="B683">IF(LEFT(D683,2)="长征",IFERROR(LOOKUP(2,1/(B$1:B682&lt;&gt;"-"),B$1:B682)+1,1),"-")</f>
        <v>-</v>
      </c>
      <c r="C683" s="789" cm="1">
        <f t="array" ref="C683">IF(LEFT(D683,2)&lt;&gt;"长征",IF(D683="","-",IFERROR(LOOKUP(2,1/(C$1:C682&lt;&gt;"-"),C$1:C682)+1,1)),"-")</f>
        <v>95</v>
      </c>
      <c r="D683" s="914" t="s">
        <v>506</v>
      </c>
      <c r="E683" s="914" t="s">
        <v>2909</v>
      </c>
      <c r="F683" s="914" t="s">
        <v>2917</v>
      </c>
      <c r="G683" s="790">
        <v>45867</v>
      </c>
      <c r="H683" s="914" t="s">
        <v>2130</v>
      </c>
      <c r="I683" s="914" t="s">
        <v>70</v>
      </c>
      <c r="J683" s="863" t="s">
        <v>9</v>
      </c>
      <c r="K683" s="791" t="s">
        <v>2469</v>
      </c>
      <c r="L683" s="863">
        <f>IF(COUNTIF(J$1:J682,J683)=0,"",IFERROR(G683-_xlfn.MAXIFS(G$1:G682,J$1:J682,J683),""))</f>
        <v>45</v>
      </c>
      <c r="M683" s="863">
        <f>IF(COUNTIF(D$1:D682,D683)=0,"",IFERROR(G683-_xlfn.MAXIFS(G$1:G682,D$1:D682,D683),""))</f>
        <v>383</v>
      </c>
      <c r="N683" s="752" t="s">
        <v>10</v>
      </c>
    </row>
    <row r="684" spans="1:15" x14ac:dyDescent="0.45">
      <c r="A684" s="789">
        <f t="shared" si="8"/>
        <v>681</v>
      </c>
      <c r="B684" s="789" cm="1">
        <f t="array" ref="B684">IF(LEFT(D684,2)="长征",IFERROR(LOOKUP(2,1/(B$1:B683&lt;&gt;"-"),B$1:B683)+1,1),"-")</f>
        <v>586</v>
      </c>
      <c r="C684" s="789" t="str" cm="1">
        <f t="array" ref="C684">IF(LEFT(D684,2)&lt;&gt;"长征",IF(D684="","-",IFERROR(LOOKUP(2,1/(C$1:C683&lt;&gt;"-"),C$1:C683)+1,1)),"-")</f>
        <v>-</v>
      </c>
      <c r="D684" s="914" t="s">
        <v>2551</v>
      </c>
      <c r="E684" s="914" t="s">
        <v>998</v>
      </c>
      <c r="F684" s="914" t="s">
        <v>2891</v>
      </c>
      <c r="G684" s="790">
        <v>45868</v>
      </c>
      <c r="H684" s="914" t="s">
        <v>2915</v>
      </c>
      <c r="I684" s="914" t="s">
        <v>17</v>
      </c>
      <c r="J684" s="863" t="s">
        <v>2468</v>
      </c>
      <c r="K684" s="791" t="s">
        <v>1713</v>
      </c>
      <c r="L684" s="863">
        <f>IF(COUNTIF(J$1:J683,J684)=0,"",IFERROR(G684-_xlfn.MAXIFS(G$1:G683,J$1:J683,J684),""))</f>
        <v>140</v>
      </c>
      <c r="M684" s="863">
        <f>IF(COUNTIF(D$1:D683,D684)=0,"",IFERROR(G684-_xlfn.MAXIFS(G$1:G683,D$1:D683,D684),""))</f>
        <v>169</v>
      </c>
      <c r="N684" s="752" t="s">
        <v>10</v>
      </c>
    </row>
    <row r="685" spans="1:15" ht="18" thickBot="1" x14ac:dyDescent="0.5">
      <c r="A685" s="782">
        <f t="shared" si="8"/>
        <v>682</v>
      </c>
      <c r="B685" s="782" t="str" cm="1">
        <f t="array" ref="B685">IF(LEFT(D685,2)="长征",IFERROR(LOOKUP(2,1/(B$1:B684&lt;&gt;"-"),B$1:B684)+1,1),"-")</f>
        <v>-</v>
      </c>
      <c r="C685" s="782" cm="1">
        <f t="array" ref="C685">IF(LEFT(D685,2)&lt;&gt;"长征",IF(D685="","-",IFERROR(LOOKUP(2,1/(C$1:C684&lt;&gt;"-"),C$1:C684)+1,1)),"-")</f>
        <v>96</v>
      </c>
      <c r="D685" s="783" t="s">
        <v>988</v>
      </c>
      <c r="E685" s="783" t="s">
        <v>2919</v>
      </c>
      <c r="F685" s="783" t="s">
        <v>2920</v>
      </c>
      <c r="G685" s="784">
        <v>45869</v>
      </c>
      <c r="H685" s="783" t="s">
        <v>1356</v>
      </c>
      <c r="I685" s="783" t="s">
        <v>17</v>
      </c>
      <c r="J685" s="785" t="s">
        <v>52</v>
      </c>
      <c r="K685" s="786" t="s">
        <v>310</v>
      </c>
      <c r="L685" s="785">
        <f>IF(COUNTIF(J$1:J684,J685)=0,"",IFERROR(G685-_xlfn.MAXIFS(G$1:G684,J$1:J684,J685),""))</f>
        <v>28</v>
      </c>
      <c r="M685" s="785">
        <f>IF(COUNTIF(D$1:D684,D685)=0,"",IFERROR(G685-_xlfn.MAXIFS(G$1:G684,D$1:D684,D685),""))</f>
        <v>152</v>
      </c>
      <c r="N685" s="787" t="s">
        <v>10</v>
      </c>
      <c r="O685" s="874"/>
    </row>
    <row r="686" spans="1:15" x14ac:dyDescent="0.45">
      <c r="A686" s="838">
        <f t="shared" si="8"/>
        <v>683</v>
      </c>
      <c r="B686" s="838" cm="1">
        <f t="array" ref="B686">IF(LEFT(D686,2)="长征",IFERROR(LOOKUP(2,1/(B$1:B685&lt;&gt;"-"),B$1:B685)+1,1),"-")</f>
        <v>587</v>
      </c>
      <c r="C686" s="838" t="str" cm="1">
        <f t="array" ref="C686">IF(LEFT(D686,2)&lt;&gt;"长征",IF(D686="","-",IFERROR(LOOKUP(2,1/(C$1:C685&lt;&gt;"-"),C$1:C685)+1,1)),"-")</f>
        <v>-</v>
      </c>
      <c r="D686" s="839" t="s">
        <v>2757</v>
      </c>
      <c r="E686" s="839" t="s">
        <v>45</v>
      </c>
      <c r="F686" s="839" t="s">
        <v>2888</v>
      </c>
      <c r="G686" s="840">
        <v>45873</v>
      </c>
      <c r="H686" s="839" t="s">
        <v>2927</v>
      </c>
      <c r="I686" s="839" t="s">
        <v>1237</v>
      </c>
      <c r="J686" s="841" t="s">
        <v>2468</v>
      </c>
      <c r="K686" s="842" t="s">
        <v>1725</v>
      </c>
      <c r="L686" s="841">
        <f>IF(COUNTIF(J$1:J685,J686)=0,"",IFERROR(G686-_xlfn.MAXIFS(G$1:G685,J$1:J685,J686),""))</f>
        <v>5</v>
      </c>
      <c r="M686" s="841">
        <f>IF(COUNTIF(D$1:D685,D686)=0,"",IFERROR(G686-_xlfn.MAXIFS(G$1:G685,D$1:D685,D686),""))</f>
        <v>247</v>
      </c>
      <c r="N686" s="843" t="s">
        <v>10</v>
      </c>
      <c r="O686" s="925"/>
    </row>
    <row r="687" spans="1:15" x14ac:dyDescent="0.45">
      <c r="A687" s="789">
        <f t="shared" si="8"/>
        <v>684</v>
      </c>
      <c r="B687" s="789" t="str" cm="1">
        <f t="array" ref="B687">IF(LEFT(D687,2)="长征",IFERROR(LOOKUP(2,1/(B$1:B686&lt;&gt;"-"),B$1:B686)+1,1),"-")</f>
        <v>-</v>
      </c>
      <c r="C687" s="789" cm="1">
        <f t="array" ref="C687">IF(LEFT(D687,2)&lt;&gt;"长征",IF(D687="","-",IFERROR(LOOKUP(2,1/(C$1:C686&lt;&gt;"-"),C$1:C686)+1,1)),"-")</f>
        <v>97</v>
      </c>
      <c r="D687" s="914" t="s">
        <v>732</v>
      </c>
      <c r="E687" s="914" t="s">
        <v>33</v>
      </c>
      <c r="F687" s="914" t="s">
        <v>2946</v>
      </c>
      <c r="G687" s="790">
        <v>45878</v>
      </c>
      <c r="H687" s="914" t="s">
        <v>2934</v>
      </c>
      <c r="I687" s="914" t="s">
        <v>1237</v>
      </c>
      <c r="J687" s="863" t="s">
        <v>503</v>
      </c>
      <c r="K687" s="879" t="s">
        <v>2931</v>
      </c>
      <c r="L687" s="863">
        <f>IF(COUNTIF(J$1:J686,J687)=0,"",IFERROR(G687-_xlfn.MAXIFS(G$1:G686,J$1:J686,J687),""))</f>
        <v>82</v>
      </c>
      <c r="M687" s="863">
        <f>IF(COUNTIF(D$1:D686,D687)=0,"",IFERROR(G687-_xlfn.MAXIFS(G$1:G686,D$1:D686,D687),""))</f>
        <v>208</v>
      </c>
      <c r="N687" s="752" t="s">
        <v>10</v>
      </c>
    </row>
    <row r="688" spans="1:15" x14ac:dyDescent="0.45">
      <c r="A688" s="789">
        <f t="shared" si="8"/>
        <v>685</v>
      </c>
      <c r="B688" s="789" cm="1">
        <f t="array" ref="B688">IF(LEFT(D688,2)="长征",IFERROR(LOOKUP(2,1/(B$1:B687&lt;&gt;"-"),B$1:B687)+1,1),"-")</f>
        <v>588</v>
      </c>
      <c r="C688" s="789" t="str" cm="1">
        <f t="array" ref="C688">IF(LEFT(D688,2)&lt;&gt;"长征",IF(D688="","-",IFERROR(LOOKUP(2,1/(C$1:C687&lt;&gt;"-"),C$1:C687)+1,1)),"-")</f>
        <v>-</v>
      </c>
      <c r="D688" s="914" t="s">
        <v>548</v>
      </c>
      <c r="E688" s="914" t="s">
        <v>67</v>
      </c>
      <c r="F688" s="914" t="s">
        <v>2893</v>
      </c>
      <c r="G688" s="790">
        <v>45882</v>
      </c>
      <c r="H688" s="914" t="s">
        <v>2951</v>
      </c>
      <c r="I688" s="914" t="s">
        <v>2195</v>
      </c>
      <c r="J688" s="863" t="s">
        <v>388</v>
      </c>
      <c r="K688" s="791" t="s">
        <v>2911</v>
      </c>
      <c r="L688" s="863">
        <f>IF(COUNTIF(J$1:J687,J688)=0,"",IFERROR(G688-_xlfn.MAXIFS(G$1:G687,J$1:J687,J688),""))</f>
        <v>29</v>
      </c>
      <c r="M688" s="863">
        <f>IF(COUNTIF(D$1:D687,D688)=0,"",IFERROR(G688-_xlfn.MAXIFS(G$1:G687,D$1:D687,D688),""))</f>
        <v>106</v>
      </c>
      <c r="N688" s="752" t="s">
        <v>10</v>
      </c>
      <c r="O688" s="718" t="s">
        <v>2902</v>
      </c>
    </row>
    <row r="689" spans="1:15" x14ac:dyDescent="0.45">
      <c r="A689" s="789">
        <f t="shared" si="8"/>
        <v>686</v>
      </c>
      <c r="B689" s="789" t="str" cm="1">
        <f t="array" ref="B689">IF(LEFT(D689,2)="长征",IFERROR(LOOKUP(2,1/(B$1:B688&lt;&gt;"-"),B$1:B688)+1,1),"-")</f>
        <v>-</v>
      </c>
      <c r="C689" s="789" cm="1">
        <f t="array" ref="C689">IF(LEFT(D689,2)&lt;&gt;"长征",IF(D689="","-",IFERROR(LOOKUP(2,1/(C$1:C688&lt;&gt;"-"),C$1:C688)+1,1)),"-")</f>
        <v>98</v>
      </c>
      <c r="D689" s="914" t="s">
        <v>2443</v>
      </c>
      <c r="E689" s="914" t="s">
        <v>998</v>
      </c>
      <c r="F689" s="914" t="s">
        <v>3005</v>
      </c>
      <c r="G689" s="790">
        <v>45884</v>
      </c>
      <c r="H689" s="914" t="s">
        <v>2940</v>
      </c>
      <c r="I689" s="914" t="s">
        <v>1237</v>
      </c>
      <c r="J689" s="863" t="s">
        <v>1184</v>
      </c>
      <c r="K689" s="791" t="s">
        <v>2957</v>
      </c>
      <c r="L689" s="863">
        <f>IF(COUNTIF(J$1:J688,J689)=0,"",IFERROR(G689-_xlfn.MAXIFS(G$1:G688,J$1:J688,J689),""))</f>
        <v>17</v>
      </c>
      <c r="M689" s="863">
        <f>IF(COUNTIF(D$1:D688,D689)=0,"",IFERROR(G689-_xlfn.MAXIFS(G$1:G688,D$1:D688,D689),""))</f>
        <v>90</v>
      </c>
      <c r="N689" s="896" t="s">
        <v>18</v>
      </c>
    </row>
    <row r="690" spans="1:15" x14ac:dyDescent="0.45">
      <c r="A690" s="789">
        <f t="shared" si="8"/>
        <v>687</v>
      </c>
      <c r="B690" s="789" cm="1">
        <f t="array" ref="B690">IF(LEFT(D690,2)="长征",IFERROR(LOOKUP(2,1/(B$1:B689&lt;&gt;"-"),B$1:B689)+1,1),"-")</f>
        <v>589</v>
      </c>
      <c r="C690" s="789" t="str" cm="1">
        <f t="array" ref="C690">IF(LEFT(D690,2)&lt;&gt;"长征",IF(D690="","-",IFERROR(LOOKUP(2,1/(C$1:C689&lt;&gt;"-"),C$1:C689)+1,1)),"-")</f>
        <v>-</v>
      </c>
      <c r="D690" s="914" t="s">
        <v>182</v>
      </c>
      <c r="E690" s="914" t="s">
        <v>560</v>
      </c>
      <c r="F690" s="914" t="s">
        <v>2949</v>
      </c>
      <c r="G690" s="790">
        <v>45886</v>
      </c>
      <c r="H690" s="914" t="s">
        <v>2959</v>
      </c>
      <c r="I690" s="914" t="s">
        <v>17</v>
      </c>
      <c r="J690" s="863" t="s">
        <v>52</v>
      </c>
      <c r="K690" s="791" t="s">
        <v>1723</v>
      </c>
      <c r="L690" s="863">
        <f>IF(COUNTIF(J$1:J689,J690)=0,"",IFERROR(G690-_xlfn.MAXIFS(G$1:G689,J$1:J689,J690),""))</f>
        <v>17</v>
      </c>
      <c r="M690" s="863">
        <f>IF(COUNTIF(D$1:D689,D690)=0,"",IFERROR(G690-_xlfn.MAXIFS(G$1:G689,D$1:D689,D690),""))</f>
        <v>45</v>
      </c>
      <c r="N690" s="843" t="s">
        <v>10</v>
      </c>
    </row>
    <row r="691" spans="1:15" x14ac:dyDescent="0.45">
      <c r="A691" s="789">
        <f t="shared" si="8"/>
        <v>688</v>
      </c>
      <c r="B691" s="789" cm="1">
        <f t="array" ref="B691">IF(LEFT(D691,2)="长征",IFERROR(LOOKUP(2,1/(B$1:B690&lt;&gt;"-"),B$1:B690)+1,1),"-")</f>
        <v>590</v>
      </c>
      <c r="C691" s="789" t="str" cm="1">
        <f t="array" ref="C691">IF(LEFT(D691,2)&lt;&gt;"长征",IF(D691="","-",IFERROR(LOOKUP(2,1/(C$1:C690&lt;&gt;"-"),C$1:C690)+1,1)),"-")</f>
        <v>-</v>
      </c>
      <c r="D691" s="914" t="s">
        <v>670</v>
      </c>
      <c r="E691" s="914" t="s">
        <v>2909</v>
      </c>
      <c r="F691" s="914" t="s">
        <v>2926</v>
      </c>
      <c r="G691" s="790">
        <v>45886</v>
      </c>
      <c r="H691" s="914" t="s">
        <v>2950</v>
      </c>
      <c r="I691" s="914" t="s">
        <v>448</v>
      </c>
      <c r="J691" s="863" t="s">
        <v>71</v>
      </c>
      <c r="K691" s="791" t="s">
        <v>672</v>
      </c>
      <c r="L691" s="863">
        <f>IF(COUNTIF(J$1:J690,J691)=0,"",IFERROR(G691-_xlfn.MAXIFS(G$1:G690,J$1:J690,J691),""))</f>
        <v>21</v>
      </c>
      <c r="M691" s="863">
        <f>IF(COUNTIF(D$1:D690,D691)=0,"",IFERROR(G691-_xlfn.MAXIFS(G$1:G690,D$1:D690,D691),""))</f>
        <v>21</v>
      </c>
      <c r="N691" s="752" t="s">
        <v>10</v>
      </c>
    </row>
    <row r="692" spans="1:15" x14ac:dyDescent="0.45">
      <c r="A692" s="789">
        <f t="shared" si="8"/>
        <v>689</v>
      </c>
      <c r="B692" s="789" t="str" cm="1">
        <f t="array" ref="B692">IF(LEFT(D692,2)="长征",IFERROR(LOOKUP(2,1/(B$1:B691&lt;&gt;"-"),B$1:B691)+1,1),"-")</f>
        <v>-</v>
      </c>
      <c r="C692" s="789" cm="1">
        <f t="array" ref="C692">IF(LEFT(D692,2)&lt;&gt;"长征",IF(D692="","-",IFERROR(LOOKUP(2,1/(C$1:C691&lt;&gt;"-"),C$1:C691)+1,1)),"-")</f>
        <v>99</v>
      </c>
      <c r="D692" s="914" t="s">
        <v>695</v>
      </c>
      <c r="E692" s="914" t="s">
        <v>86</v>
      </c>
      <c r="F692" s="914" t="s">
        <v>2966</v>
      </c>
      <c r="G692" s="790">
        <v>45888</v>
      </c>
      <c r="H692" s="914" t="s">
        <v>2963</v>
      </c>
      <c r="I692" s="914" t="s">
        <v>1977</v>
      </c>
      <c r="J692" s="863" t="s">
        <v>9</v>
      </c>
      <c r="K692" s="791" t="s">
        <v>2531</v>
      </c>
      <c r="L692" s="863">
        <f>IF(COUNTIF(J$1:J691,J692)=0,"",IFERROR(G692-_xlfn.MAXIFS(G$1:G691,J$1:J691,J692),""))</f>
        <v>4</v>
      </c>
      <c r="M692" s="863">
        <f>IF(COUNTIF(D$1:D691,D692)=0,"",IFERROR(G692-_xlfn.MAXIFS(G$1:G691,D$1:D691,D692),""))</f>
        <v>90</v>
      </c>
      <c r="N692" s="752" t="s">
        <v>10</v>
      </c>
    </row>
    <row r="693" spans="1:15" ht="18" thickBot="1" x14ac:dyDescent="0.5">
      <c r="A693" s="782">
        <f t="shared" si="8"/>
        <v>690</v>
      </c>
      <c r="B693" s="782" cm="1">
        <f t="array" ref="B693">IF(LEFT(D693,2)="长征",IFERROR(LOOKUP(2,1/(B$1:B692&lt;&gt;"-"),B$1:B692)+1,1),"-")</f>
        <v>591</v>
      </c>
      <c r="C693" s="782" t="str" cm="1">
        <f t="array" ref="C693">IF(LEFT(D693,2)&lt;&gt;"长征",IF(D693="","-",IFERROR(LOOKUP(2,1/(C$1:C692&lt;&gt;"-"),C$1:C692)+1,1)),"-")</f>
        <v>-</v>
      </c>
      <c r="D693" s="783" t="s">
        <v>2551</v>
      </c>
      <c r="E693" s="783" t="s">
        <v>45</v>
      </c>
      <c r="F693" s="783" t="s">
        <v>2958</v>
      </c>
      <c r="G693" s="784">
        <v>45895</v>
      </c>
      <c r="H693" s="783" t="s">
        <v>2967</v>
      </c>
      <c r="I693" s="783" t="s">
        <v>1237</v>
      </c>
      <c r="J693" s="785" t="s">
        <v>2468</v>
      </c>
      <c r="K693" s="786" t="s">
        <v>1713</v>
      </c>
      <c r="L693" s="785">
        <f>IF(COUNTIF(J$1:J692,J693)=0,"",IFERROR(G693-_xlfn.MAXIFS(G$1:G692,J$1:J692,J693),""))</f>
        <v>22</v>
      </c>
      <c r="M693" s="785">
        <f>IF(COUNTIF(D$1:D692,D693)=0,"",IFERROR(G693-_xlfn.MAXIFS(G$1:G692,D$1:D692,D693),""))</f>
        <v>27</v>
      </c>
      <c r="N693" s="787" t="s">
        <v>10</v>
      </c>
      <c r="O693" s="874"/>
    </row>
    <row r="694" spans="1:15" x14ac:dyDescent="0.45">
      <c r="A694" s="838">
        <f t="shared" si="8"/>
        <v>691</v>
      </c>
      <c r="B694" s="838" cm="1">
        <f t="array" ref="B694">IF(LEFT(D694,2)="长征",IFERROR(LOOKUP(2,1/(B$1:B693&lt;&gt;"-"),B$1:B693)+1,1),"-")</f>
        <v>592</v>
      </c>
      <c r="C694" s="838" t="str" cm="1">
        <f t="array" ref="C694">IF(LEFT(D694,2)&lt;&gt;"长征",IF(D694="","-",IFERROR(LOOKUP(2,1/(C$1:C693&lt;&gt;"-"),C$1:C693)+1,1)),"-")</f>
        <v>-</v>
      </c>
      <c r="D694" s="839" t="s">
        <v>2788</v>
      </c>
      <c r="E694" s="839" t="s">
        <v>982</v>
      </c>
      <c r="F694" s="839" t="s">
        <v>2986</v>
      </c>
      <c r="G694" s="840">
        <v>45905</v>
      </c>
      <c r="H694" s="839" t="s">
        <v>2978</v>
      </c>
      <c r="I694" s="839" t="s">
        <v>1188</v>
      </c>
      <c r="J694" s="841" t="s">
        <v>52</v>
      </c>
      <c r="K694" s="842" t="s">
        <v>1659</v>
      </c>
      <c r="L694" s="841">
        <f>IF(COUNTIF(J$1:J693,J694)=0,"",IFERROR(G694-_xlfn.MAXIFS(G$1:G693,J$1:J693,J694),""))</f>
        <v>19</v>
      </c>
      <c r="M694" s="841">
        <f>IF(COUNTIF(D$1:D693,D694)=0,"",IFERROR(G694-_xlfn.MAXIFS(G$1:G693,D$1:D693,D694),""))</f>
        <v>115</v>
      </c>
      <c r="N694" s="843" t="s">
        <v>10</v>
      </c>
      <c r="O694" s="718" t="s">
        <v>2972</v>
      </c>
    </row>
    <row r="695" spans="1:15" x14ac:dyDescent="0.45">
      <c r="A695" s="789">
        <f t="shared" si="8"/>
        <v>692</v>
      </c>
      <c r="B695" s="789" t="str" cm="1">
        <f t="array" ref="B695">IF(LEFT(D695,2)="长征",IFERROR(LOOKUP(2,1/(B$1:B694&lt;&gt;"-"),B$1:B694)+1,1),"-")</f>
        <v>-</v>
      </c>
      <c r="C695" s="789" cm="1">
        <f t="array" ref="C695">IF(LEFT(D695,2)&lt;&gt;"长征",IF(D695="","-",IFERROR(LOOKUP(2,1/(C$1:C694&lt;&gt;"-"),C$1:C694)+1,1)),"-")</f>
        <v>100</v>
      </c>
      <c r="D695" s="914" t="s">
        <v>579</v>
      </c>
      <c r="E695" s="914" t="s">
        <v>174</v>
      </c>
      <c r="F695" s="914" t="s">
        <v>2997</v>
      </c>
      <c r="G695" s="790">
        <v>45905</v>
      </c>
      <c r="H695" s="914" t="s">
        <v>2994</v>
      </c>
      <c r="I695" s="914" t="s">
        <v>1977</v>
      </c>
      <c r="J695" s="863" t="s">
        <v>9</v>
      </c>
      <c r="K695" s="791" t="s">
        <v>2469</v>
      </c>
      <c r="L695" s="863">
        <f>IF(COUNTIF(J$1:J694,J695)=0,"",IFERROR(G695-_xlfn.MAXIFS(G$1:G694,J$1:J694,J695),""))</f>
        <v>17</v>
      </c>
      <c r="M695" s="863">
        <f>IF(COUNTIF(D$1:D694,D695)=0,"",IFERROR(G695-_xlfn.MAXIFS(G$1:G694,D$1:D694,D695),""))</f>
        <v>168</v>
      </c>
      <c r="N695" s="752" t="s">
        <v>10</v>
      </c>
      <c r="O695" s="887" t="s">
        <v>3562</v>
      </c>
    </row>
    <row r="696" spans="1:15" x14ac:dyDescent="0.45">
      <c r="A696" s="789">
        <f t="shared" si="8"/>
        <v>693</v>
      </c>
      <c r="B696" s="789" cm="1">
        <f t="array" ref="B696">IF(LEFT(D696,2)="长征",IFERROR(LOOKUP(2,1/(B$1:B695&lt;&gt;"-"),B$1:B695)+1,1),"-")</f>
        <v>593</v>
      </c>
      <c r="C696" s="789" t="str" cm="1">
        <f t="array" ref="C696">IF(LEFT(D696,2)&lt;&gt;"长征",IF(D696="","-",IFERROR(LOOKUP(2,1/(C$1:C695&lt;&gt;"-"),C$1:C695)+1,1)),"-")</f>
        <v>-</v>
      </c>
      <c r="D696" s="914" t="s">
        <v>670</v>
      </c>
      <c r="E696" s="914" t="s">
        <v>142</v>
      </c>
      <c r="F696" s="914" t="s">
        <v>2982</v>
      </c>
      <c r="G696" s="790">
        <v>45907</v>
      </c>
      <c r="H696" s="914" t="s">
        <v>2981</v>
      </c>
      <c r="I696" s="914" t="s">
        <v>448</v>
      </c>
      <c r="J696" s="863" t="s">
        <v>71</v>
      </c>
      <c r="K696" s="791" t="s">
        <v>672</v>
      </c>
      <c r="L696" s="863">
        <f>IF(COUNTIF(J$1:J695,J696)=0,"",IFERROR(G696-_xlfn.MAXIFS(G$1:G695,J$1:J695,J696),""))</f>
        <v>21</v>
      </c>
      <c r="M696" s="863">
        <f>IF(COUNTIF(D$1:D695,D696)=0,"",IFERROR(G696-_xlfn.MAXIFS(G$1:G695,D$1:D695,D696),""))</f>
        <v>21</v>
      </c>
      <c r="N696" s="752" t="s">
        <v>10</v>
      </c>
    </row>
    <row r="697" spans="1:15" x14ac:dyDescent="0.45">
      <c r="A697" s="789">
        <f t="shared" si="8"/>
        <v>694</v>
      </c>
      <c r="B697" s="789" t="str" cm="1">
        <f t="array" ref="B697">IF(LEFT(D697,2)="长征",IFERROR(LOOKUP(2,1/(B$1:B696&lt;&gt;"-"),B$1:B696)+1,1),"-")</f>
        <v>-</v>
      </c>
      <c r="C697" s="789" cm="1">
        <f t="array" ref="C697">IF(LEFT(D697,2)&lt;&gt;"长征",IF(D697="","-",IFERROR(LOOKUP(2,1/(C$1:C696&lt;&gt;"-"),C$1:C696)+1,1)),"-")</f>
        <v>101</v>
      </c>
      <c r="D697" s="914" t="s">
        <v>732</v>
      </c>
      <c r="E697" s="914" t="s">
        <v>63</v>
      </c>
      <c r="F697" s="914" t="s">
        <v>2983</v>
      </c>
      <c r="G697" s="790">
        <v>45909</v>
      </c>
      <c r="H697" s="914" t="s">
        <v>2998</v>
      </c>
      <c r="I697" s="914" t="s">
        <v>17</v>
      </c>
      <c r="J697" s="863" t="s">
        <v>503</v>
      </c>
      <c r="K697" s="879" t="s">
        <v>2931</v>
      </c>
      <c r="L697" s="863">
        <f>IF(COUNTIF(J$1:J696,J697)=0,"",IFERROR(G697-_xlfn.MAXIFS(G$1:G696,J$1:J696,J697),""))</f>
        <v>31</v>
      </c>
      <c r="M697" s="863">
        <f>IF(COUNTIF(D$1:D696,D697)=0,"",IFERROR(G697-_xlfn.MAXIFS(G$1:G696,D$1:D696,D697),""))</f>
        <v>31</v>
      </c>
      <c r="N697" s="752" t="s">
        <v>10</v>
      </c>
    </row>
    <row r="698" spans="1:15" x14ac:dyDescent="0.45">
      <c r="A698" s="789">
        <f t="shared" si="8"/>
        <v>695</v>
      </c>
      <c r="B698" s="789" cm="1">
        <f t="array" ref="B698">IF(LEFT(D698,2)="长征",IFERROR(LOOKUP(2,1/(B$1:B697&lt;&gt;"-"),B$1:B697)+1,1),"-")</f>
        <v>594</v>
      </c>
      <c r="C698" s="789" t="str" cm="1">
        <f t="array" ref="C698">IF(LEFT(D698,2)&lt;&gt;"长征",IF(D698="","-",IFERROR(LOOKUP(2,1/(C$1:C697&lt;&gt;"-"),C$1:C697)+1,1)),"-")</f>
        <v>-</v>
      </c>
      <c r="D698" s="914" t="s">
        <v>543</v>
      </c>
      <c r="E698" s="914" t="s">
        <v>2730</v>
      </c>
      <c r="F698" s="914" t="s">
        <v>2999</v>
      </c>
      <c r="G698" s="790">
        <v>45909</v>
      </c>
      <c r="H698" s="914" t="s">
        <v>1356</v>
      </c>
      <c r="I698" s="914" t="s">
        <v>1785</v>
      </c>
      <c r="J698" s="863" t="s">
        <v>388</v>
      </c>
      <c r="K698" s="791" t="s">
        <v>2552</v>
      </c>
      <c r="L698" s="863">
        <f>IF(COUNTIF(J$1:J697,J698)=0,"",IFERROR(G698-_xlfn.MAXIFS(G$1:G697,J$1:J697,J698),""))</f>
        <v>27</v>
      </c>
      <c r="M698" s="863">
        <f>IF(COUNTIF(D$1:D697,D698)=0,"",IFERROR(G698-_xlfn.MAXIFS(G$1:G697,D$1:D697,D698),""))</f>
        <v>112</v>
      </c>
      <c r="N698" s="752" t="s">
        <v>10</v>
      </c>
    </row>
    <row r="699" spans="1:15" x14ac:dyDescent="0.45">
      <c r="A699" s="789">
        <f t="shared" si="8"/>
        <v>696</v>
      </c>
      <c r="B699" s="789" cm="1">
        <f t="array" ref="B699">IF(LEFT(D699,2)="长征",IFERROR(LOOKUP(2,1/(B$1:B698&lt;&gt;"-"),B$1:B698)+1,1),"-")</f>
        <v>595</v>
      </c>
      <c r="C699" s="789" t="str" cm="1">
        <f t="array" ref="C699">IF(LEFT(D699,2)&lt;&gt;"长征",IF(D699="","-",IFERROR(LOOKUP(2,1/(C$1:C698&lt;&gt;"-"),C$1:C698)+1,1)),"-")</f>
        <v>-</v>
      </c>
      <c r="D699" s="914" t="s">
        <v>41</v>
      </c>
      <c r="E699" s="914" t="s">
        <v>771</v>
      </c>
      <c r="F699" s="914" t="s">
        <v>3005</v>
      </c>
      <c r="G699" s="790">
        <v>45916</v>
      </c>
      <c r="H699" s="914" t="s">
        <v>3004</v>
      </c>
      <c r="I699" s="914" t="s">
        <v>70</v>
      </c>
      <c r="J699" s="863" t="s">
        <v>9</v>
      </c>
      <c r="K699" s="791" t="s">
        <v>2645</v>
      </c>
      <c r="L699" s="863">
        <f>IF(COUNTIF(J$1:J698,J699)=0,"",IFERROR(G699-_xlfn.MAXIFS(G$1:G698,J$1:J698,J699),""))</f>
        <v>11</v>
      </c>
      <c r="M699" s="863">
        <f>IF(COUNTIF(D$1:D698,D699)=0,"",IFERROR(G699-_xlfn.MAXIFS(G$1:G698,D$1:D698,D699),""))</f>
        <v>201</v>
      </c>
      <c r="N699" s="752" t="s">
        <v>10</v>
      </c>
      <c r="O699" s="718" t="s">
        <v>2970</v>
      </c>
    </row>
    <row r="700" spans="1:15" x14ac:dyDescent="0.45">
      <c r="A700" s="789">
        <f t="shared" si="8"/>
        <v>697</v>
      </c>
      <c r="B700" s="789" t="str" cm="1">
        <f t="array" ref="B700">IF(LEFT(D700,2)="长征",IFERROR(LOOKUP(2,1/(B$1:B699&lt;&gt;"-"),B$1:B699)+1,1),"-")</f>
        <v>-</v>
      </c>
      <c r="C700" s="789" cm="1">
        <f t="array" ref="C700">IF(LEFT(D700,2)&lt;&gt;"长征",IF(D700="","-",IFERROR(LOOKUP(2,1/(C$1:C699&lt;&gt;"-"),C$1:C699)+1,1)),"-")</f>
        <v>102</v>
      </c>
      <c r="D700" s="914" t="s">
        <v>732</v>
      </c>
      <c r="E700" s="914" t="s">
        <v>67</v>
      </c>
      <c r="F700" s="914" t="s">
        <v>3016</v>
      </c>
      <c r="G700" s="790">
        <v>45924</v>
      </c>
      <c r="H700" s="914" t="s">
        <v>2865</v>
      </c>
      <c r="I700" s="914" t="s">
        <v>17</v>
      </c>
      <c r="J700" s="863" t="s">
        <v>503</v>
      </c>
      <c r="K700" s="879" t="s">
        <v>2931</v>
      </c>
      <c r="L700" s="863">
        <f>IF(COUNTIF(J$1:J699,J700)=0,"",IFERROR(G700-_xlfn.MAXIFS(G$1:G699,J$1:J699,J700),""))</f>
        <v>15</v>
      </c>
      <c r="M700" s="863">
        <f>IF(COUNTIF(D$1:D699,D700)=0,"",IFERROR(G700-_xlfn.MAXIFS(G$1:G699,D$1:D699,D700),""))</f>
        <v>15</v>
      </c>
      <c r="N700" s="752" t="s">
        <v>10</v>
      </c>
    </row>
    <row r="701" spans="1:15" x14ac:dyDescent="0.45">
      <c r="A701" s="789">
        <f t="shared" si="8"/>
        <v>698</v>
      </c>
      <c r="B701" s="789" cm="1">
        <f t="array" ref="B701">IF(LEFT(D701,2)="长征",IFERROR(LOOKUP(2,1/(B$1:B700&lt;&gt;"-"),B$1:B700)+1,1),"-")</f>
        <v>596</v>
      </c>
      <c r="C701" s="789" t="str" cm="1">
        <f t="array" ref="C701">IF(LEFT(D701,2)&lt;&gt;"长征",IF(D701="","-",IFERROR(LOOKUP(2,1/(C$1:C700&lt;&gt;"-"),C$1:C700)+1,1)),"-")</f>
        <v>-</v>
      </c>
      <c r="D701" s="914" t="s">
        <v>995</v>
      </c>
      <c r="E701" s="914" t="s">
        <v>3014</v>
      </c>
      <c r="F701" s="926" t="s">
        <v>2932</v>
      </c>
      <c r="G701" s="790">
        <v>45927</v>
      </c>
      <c r="H701" s="914" t="s">
        <v>3021</v>
      </c>
      <c r="I701" s="914" t="s">
        <v>1977</v>
      </c>
      <c r="J701" s="863" t="s">
        <v>9</v>
      </c>
      <c r="K701" s="791" t="s">
        <v>2645</v>
      </c>
      <c r="L701" s="863">
        <f>IF(COUNTIF(J$1:J700,J701)=0,"",IFERROR(G701-_xlfn.MAXIFS(G$1:G700,J$1:J700,J701),""))</f>
        <v>11</v>
      </c>
      <c r="M701" s="863">
        <f>IF(COUNTIF(D$1:D700,D701)=0,"",IFERROR(G701-_xlfn.MAXIFS(G$1:G700,D$1:D700,D701),""))</f>
        <v>41</v>
      </c>
      <c r="N701" s="752" t="s">
        <v>10</v>
      </c>
    </row>
    <row r="702" spans="1:15" x14ac:dyDescent="0.45">
      <c r="A702" s="789">
        <f t="shared" si="8"/>
        <v>699</v>
      </c>
      <c r="B702" s="789" cm="1">
        <f t="array" ref="B702">IF(LEFT(D702,2)="长征",IFERROR(LOOKUP(2,1/(B$1:B701&lt;&gt;"-"),B$1:B701)+1,1),"-")</f>
        <v>597</v>
      </c>
      <c r="C702" s="789" t="str" cm="1">
        <f t="array" ref="C702">IF(LEFT(D702,2)&lt;&gt;"长征",IF(D702="","-",IFERROR(LOOKUP(2,1/(C$1:C701&lt;&gt;"-"),C$1:C701)+1,1)),"-")</f>
        <v>-</v>
      </c>
      <c r="D702" s="914" t="s">
        <v>670</v>
      </c>
      <c r="E702" s="914" t="s">
        <v>2569</v>
      </c>
      <c r="F702" s="926" t="s">
        <v>3010</v>
      </c>
      <c r="G702" s="790">
        <v>45927</v>
      </c>
      <c r="H702" s="914" t="s">
        <v>3023</v>
      </c>
      <c r="I702" s="914" t="s">
        <v>2195</v>
      </c>
      <c r="J702" s="863" t="s">
        <v>71</v>
      </c>
      <c r="K702" s="791" t="s">
        <v>672</v>
      </c>
      <c r="L702" s="863">
        <f>IF(COUNTIF(J$1:J701,J702)=0,"",IFERROR(G702-_xlfn.MAXIFS(G$1:G701,J$1:J701,J702),""))</f>
        <v>20</v>
      </c>
      <c r="M702" s="863">
        <f>IF(COUNTIF(D$1:D701,D702)=0,"",IFERROR(G702-_xlfn.MAXIFS(G$1:G701,D$1:D701,D702),""))</f>
        <v>20</v>
      </c>
      <c r="N702" s="752" t="s">
        <v>10</v>
      </c>
    </row>
    <row r="703" spans="1:15" ht="18" thickBot="1" x14ac:dyDescent="0.5">
      <c r="A703" s="782">
        <f t="shared" si="8"/>
        <v>700</v>
      </c>
      <c r="B703" s="782" cm="1">
        <f t="array" ref="B703">IF(LEFT(D703,2)="长征",IFERROR(LOOKUP(2,1/(B$1:B702&lt;&gt;"-"),B$1:B702)+1,1),"-")</f>
        <v>598</v>
      </c>
      <c r="C703" s="782" t="str" cm="1">
        <f t="array" ref="C703">IF(LEFT(D703,2)&lt;&gt;"长征",IF(D703="","-",IFERROR(LOOKUP(2,1/(C$1:C702&lt;&gt;"-"),C$1:C702)+1,1)),"-")</f>
        <v>-</v>
      </c>
      <c r="D703" s="783" t="s">
        <v>83</v>
      </c>
      <c r="E703" s="783" t="s">
        <v>1242</v>
      </c>
      <c r="F703" s="927" t="s">
        <v>3024</v>
      </c>
      <c r="G703" s="784">
        <v>45929</v>
      </c>
      <c r="H703" s="783" t="s">
        <v>3080</v>
      </c>
      <c r="I703" s="783" t="s">
        <v>1237</v>
      </c>
      <c r="J703" s="785" t="s">
        <v>52</v>
      </c>
      <c r="K703" s="786" t="s">
        <v>1641</v>
      </c>
      <c r="L703" s="785">
        <f>IF(COUNTIF(J$1:J702,J703)=0,"",IFERROR(G703-_xlfn.MAXIFS(G$1:G702,J$1:J702,J703),""))</f>
        <v>24</v>
      </c>
      <c r="M703" s="785">
        <f>IF(COUNTIF(D$1:D702,D703)=0,"",IFERROR(G703-_xlfn.MAXIFS(G$1:G702,D$1:D702,D703),""))</f>
        <v>107</v>
      </c>
      <c r="N703" s="787" t="s">
        <v>10</v>
      </c>
      <c r="O703" s="874"/>
    </row>
    <row r="704" spans="1:15" x14ac:dyDescent="0.45">
      <c r="A704" s="838">
        <f t="shared" si="8"/>
        <v>701</v>
      </c>
      <c r="B704" s="838" t="str" cm="1">
        <f t="array" ref="B704">IF(LEFT(D704,2)="长征",IFERROR(LOOKUP(2,1/(B$1:B703&lt;&gt;"-"),B$1:B703)+1,1),"-")</f>
        <v>-</v>
      </c>
      <c r="C704" s="838" cm="1">
        <f t="array" ref="C704">IF(LEFT(D704,2)&lt;&gt;"长征",IF(D704="","-",IFERROR(LOOKUP(2,1/(C$1:C703&lt;&gt;"-"),C$1:C703)+1,1)),"-")</f>
        <v>103</v>
      </c>
      <c r="D704" s="839" t="s">
        <v>772</v>
      </c>
      <c r="E704" s="839" t="s">
        <v>45</v>
      </c>
      <c r="F704" s="839" t="s">
        <v>3408</v>
      </c>
      <c r="G704" s="840">
        <v>45941</v>
      </c>
      <c r="H704" s="839" t="s">
        <v>3040</v>
      </c>
      <c r="I704" s="839" t="s">
        <v>1977</v>
      </c>
      <c r="J704" s="841" t="s">
        <v>503</v>
      </c>
      <c r="K704" s="860" t="s">
        <v>3039</v>
      </c>
      <c r="L704" s="841">
        <f>IF(COUNTIF(J$1:J703,J704)=0,"",IFERROR(G704-_xlfn.MAXIFS(G$1:G703,J$1:J703,J704),""))</f>
        <v>17</v>
      </c>
      <c r="M704" s="841">
        <f>IF(COUNTIF(D$1:D703,D704)=0,"",IFERROR(G704-_xlfn.MAXIFS(G$1:G703,D$1:D703,D704),""))</f>
        <v>639</v>
      </c>
      <c r="N704" s="843" t="s">
        <v>10</v>
      </c>
    </row>
    <row r="705" spans="1:15" x14ac:dyDescent="0.45">
      <c r="A705" s="838">
        <f t="shared" si="8"/>
        <v>702</v>
      </c>
      <c r="B705" s="838" cm="1">
        <f t="array" ref="B705">IF(LEFT(D705,2)="长征",IFERROR(LOOKUP(2,1/(B$1:B704&lt;&gt;"-"),B$1:B704)+1,1),"-")</f>
        <v>599</v>
      </c>
      <c r="C705" s="838" t="str" cm="1">
        <f t="array" ref="C705">IF(LEFT(D705,2)&lt;&gt;"长征",IF(D705="","-",IFERROR(LOOKUP(2,1/(C$1:C704&lt;&gt;"-"),C$1:C704)+1,1)),"-")</f>
        <v>-</v>
      </c>
      <c r="D705" s="839" t="s">
        <v>979</v>
      </c>
      <c r="E705" s="839" t="s">
        <v>1129</v>
      </c>
      <c r="F705" s="928" t="s">
        <v>3042</v>
      </c>
      <c r="G705" s="840">
        <v>45943</v>
      </c>
      <c r="H705" s="839" t="s">
        <v>2516</v>
      </c>
      <c r="I705" s="839" t="s">
        <v>1237</v>
      </c>
      <c r="J705" s="841" t="s">
        <v>1184</v>
      </c>
      <c r="K705" s="842" t="s">
        <v>1725</v>
      </c>
      <c r="L705" s="841">
        <f>IF(COUNTIF(J$1:J704,J705)=0,"",IFERROR(G705-_xlfn.MAXIFS(G$1:G704,J$1:J704,J705),""))</f>
        <v>16</v>
      </c>
      <c r="M705" s="841">
        <f>IF(COUNTIF(D$1:D704,D705)=0,"",IFERROR(G705-_xlfn.MAXIFS(G$1:G704,D$1:D704,D705),""))</f>
        <v>14</v>
      </c>
      <c r="N705" s="843" t="s">
        <v>10</v>
      </c>
    </row>
    <row r="706" spans="1:15" x14ac:dyDescent="0.45">
      <c r="A706" s="789">
        <f t="shared" si="8"/>
        <v>703</v>
      </c>
      <c r="B706" s="789" cm="1">
        <f t="array" ref="B706">IF(LEFT(D706,2)="长征",IFERROR(LOOKUP(2,1/(B$1:B705&lt;&gt;"-"),B$1:B705)+1,1),"-")</f>
        <v>600</v>
      </c>
      <c r="C706" s="789" t="str" cm="1">
        <f t="array" ref="C706">IF(LEFT(D706,2)&lt;&gt;"长征",IF(D706="","-",IFERROR(LOOKUP(2,1/(C$1:C705&lt;&gt;"-"),C$1:C705)+1,1)),"-")</f>
        <v>-</v>
      </c>
      <c r="D706" s="914" t="s">
        <v>2551</v>
      </c>
      <c r="E706" s="914" t="s">
        <v>5</v>
      </c>
      <c r="F706" s="914" t="s">
        <v>3026</v>
      </c>
      <c r="G706" s="790">
        <v>45946</v>
      </c>
      <c r="H706" s="914" t="s">
        <v>3041</v>
      </c>
      <c r="I706" s="914" t="s">
        <v>1237</v>
      </c>
      <c r="J706" s="863" t="s">
        <v>2468</v>
      </c>
      <c r="K706" s="791" t="s">
        <v>1758</v>
      </c>
      <c r="L706" s="863">
        <f>IF(COUNTIF(J$1:J705,J706)=0,"",IFERROR(G706-_xlfn.MAXIFS(G$1:G705,J$1:J705,J706),""))</f>
        <v>51</v>
      </c>
      <c r="M706" s="863">
        <f>IF(COUNTIF(D$1:D705,D706)=0,"",IFERROR(G706-_xlfn.MAXIFS(G$1:G705,D$1:D705,D706),""))</f>
        <v>51</v>
      </c>
      <c r="N706" s="752" t="s">
        <v>10</v>
      </c>
    </row>
    <row r="707" spans="1:15" x14ac:dyDescent="0.45">
      <c r="A707" s="789">
        <f t="shared" si="8"/>
        <v>704</v>
      </c>
      <c r="B707" s="789" cm="1">
        <f t="array" ref="B707">IF(LEFT(D707,2)="长征",IFERROR(LOOKUP(2,1/(B$1:B706&lt;&gt;"-"),B$1:B706)+1,1),"-")</f>
        <v>601</v>
      </c>
      <c r="C707" s="789" t="str" cm="1">
        <f t="array" ref="C707">IF(LEFT(D707,2)&lt;&gt;"长征",IF(D707="","-",IFERROR(LOOKUP(2,1/(C$1:C706&lt;&gt;"-"),C$1:C706)+1,1)),"-")</f>
        <v>-</v>
      </c>
      <c r="D707" s="914" t="s">
        <v>670</v>
      </c>
      <c r="E707" s="914" t="s">
        <v>1385</v>
      </c>
      <c r="F707" s="926" t="s">
        <v>3049</v>
      </c>
      <c r="G707" s="790">
        <v>45947</v>
      </c>
      <c r="H707" s="914" t="s">
        <v>2637</v>
      </c>
      <c r="I707" s="914" t="s">
        <v>448</v>
      </c>
      <c r="J707" s="863" t="s">
        <v>71</v>
      </c>
      <c r="K707" s="791" t="s">
        <v>672</v>
      </c>
      <c r="L707" s="863">
        <f>IF(COUNTIF(J$1:J706,J707)=0,"",IFERROR(G707-_xlfn.MAXIFS(G$1:G706,J$1:J706,J707),""))</f>
        <v>20</v>
      </c>
      <c r="M707" s="863">
        <f>IF(COUNTIF(D$1:D706,D707)=0,"",IFERROR(G707-_xlfn.MAXIFS(G$1:G706,D$1:D706,D707),""))</f>
        <v>20</v>
      </c>
      <c r="N707" s="752" t="s">
        <v>10</v>
      </c>
    </row>
    <row r="708" spans="1:15" x14ac:dyDescent="0.45">
      <c r="A708" s="789">
        <f t="shared" si="8"/>
        <v>705</v>
      </c>
      <c r="B708" s="789" t="str" cm="1">
        <f t="array" ref="B708">IF(LEFT(D708,2)="长征",IFERROR(LOOKUP(2,1/(B$1:B707&lt;&gt;"-"),B$1:B707)+1,1),"-")</f>
        <v>-</v>
      </c>
      <c r="C708" s="789" cm="1">
        <f t="array" ref="C708">IF(LEFT(D708,2)&lt;&gt;"长征",IF(D708="","-",IFERROR(LOOKUP(2,1/(C$1:C707&lt;&gt;"-"),C$1:C707)+1,1)),"-")</f>
        <v>104</v>
      </c>
      <c r="D708" s="914" t="s">
        <v>1008</v>
      </c>
      <c r="E708" s="914" t="s">
        <v>996</v>
      </c>
      <c r="F708" s="914" t="s">
        <v>3062</v>
      </c>
      <c r="G708" s="790">
        <v>45949</v>
      </c>
      <c r="H708" s="914" t="s">
        <v>3061</v>
      </c>
      <c r="I708" s="914" t="s">
        <v>1977</v>
      </c>
      <c r="J708" s="863" t="s">
        <v>9</v>
      </c>
      <c r="K708" s="791" t="s">
        <v>2531</v>
      </c>
      <c r="L708" s="863">
        <f>IF(COUNTIF(J$1:J707,J708)=0,"",IFERROR(G708-_xlfn.MAXIFS(G$1:G707,J$1:J707,J708),""))</f>
        <v>6</v>
      </c>
      <c r="M708" s="863">
        <f>IF(COUNTIF(D$1:D707,D708)=0,"",IFERROR(G708-_xlfn.MAXIFS(G$1:G707,D$1:D707,D708),""))</f>
        <v>61</v>
      </c>
      <c r="N708" s="752" t="s">
        <v>10</v>
      </c>
    </row>
    <row r="709" spans="1:15" x14ac:dyDescent="0.45">
      <c r="A709" s="789">
        <f t="shared" si="8"/>
        <v>706</v>
      </c>
      <c r="B709" s="789" cm="1">
        <f t="array" ref="B709">IF(LEFT(D709,2)="长征",IFERROR(LOOKUP(2,1/(B$1:B708&lt;&gt;"-"),B$1:B708)+1,1),"-")</f>
        <v>602</v>
      </c>
      <c r="C709" s="789" t="str" cm="1">
        <f t="array" ref="C709">IF(LEFT(D709,2)&lt;&gt;"长征",IF(D709="","-",IFERROR(LOOKUP(2,1/(C$1:C708&lt;&gt;"-"),C$1:C708)+1,1)),"-")</f>
        <v>-</v>
      </c>
      <c r="D709" s="914" t="s">
        <v>399</v>
      </c>
      <c r="E709" s="914" t="s">
        <v>78</v>
      </c>
      <c r="F709" s="926" t="s">
        <v>3079</v>
      </c>
      <c r="G709" s="790">
        <v>45953</v>
      </c>
      <c r="H709" s="914" t="s">
        <v>3067</v>
      </c>
      <c r="I709" s="914" t="s">
        <v>1188</v>
      </c>
      <c r="J709" s="863" t="s">
        <v>388</v>
      </c>
      <c r="K709" s="791" t="s">
        <v>2513</v>
      </c>
      <c r="L709" s="863">
        <f>IF(COUNTIF(J$1:J708,J709)=0,"",IFERROR(G709-_xlfn.MAXIFS(G$1:G708,J$1:J708,J709),""))</f>
        <v>44</v>
      </c>
      <c r="M709" s="863">
        <f>IF(COUNTIF(D$1:D708,D709)=0,"",IFERROR(G709-_xlfn.MAXIFS(G$1:G708,D$1:D708,D709),""))</f>
        <v>538</v>
      </c>
      <c r="N709" s="752" t="s">
        <v>10</v>
      </c>
    </row>
    <row r="710" spans="1:15" x14ac:dyDescent="0.45">
      <c r="A710" s="789">
        <f t="shared" si="8"/>
        <v>707</v>
      </c>
      <c r="B710" s="789" cm="1">
        <f t="array" ref="B710">IF(LEFT(D710,2)="长征",IFERROR(LOOKUP(2,1/(B$1:B709&lt;&gt;"-"),B$1:B709)+1,1),"-")</f>
        <v>603</v>
      </c>
      <c r="C710" s="789" t="str" cm="1">
        <f t="array" ref="C710">IF(LEFT(D710,2)&lt;&gt;"长征",IF(D710="","-",IFERROR(LOOKUP(2,1/(C$1:C709&lt;&gt;"-"),C$1:C709)+1,1)),"-")</f>
        <v>-</v>
      </c>
      <c r="D710" s="914" t="s">
        <v>990</v>
      </c>
      <c r="E710" s="914" t="s">
        <v>3119</v>
      </c>
      <c r="F710" s="926" t="s">
        <v>3083</v>
      </c>
      <c r="G710" s="790">
        <v>45956</v>
      </c>
      <c r="H710" s="914" t="s">
        <v>1267</v>
      </c>
      <c r="I710" s="914" t="s">
        <v>1977</v>
      </c>
      <c r="J710" s="863" t="s">
        <v>52</v>
      </c>
      <c r="K710" s="791" t="s">
        <v>1659</v>
      </c>
      <c r="L710" s="863">
        <f>IF(COUNTIF(J$1:J709,J710)=0,"",IFERROR(G710-_xlfn.MAXIFS(G$1:G709,J$1:J709,J710),""))</f>
        <v>27</v>
      </c>
      <c r="M710" s="863">
        <f>IF(COUNTIF(D$1:D709,D710)=0,"",IFERROR(G710-_xlfn.MAXIFS(G$1:G709,D$1:D709,D710),""))</f>
        <v>128</v>
      </c>
      <c r="N710" s="752" t="s">
        <v>10</v>
      </c>
    </row>
    <row r="711" spans="1:15" ht="18" thickBot="1" x14ac:dyDescent="0.5">
      <c r="A711" s="782">
        <f t="shared" si="8"/>
        <v>708</v>
      </c>
      <c r="B711" s="782" cm="1">
        <f t="array" ref="B711">IF(LEFT(D711,2)="长征",IFERROR(LOOKUP(2,1/(B$1:B710&lt;&gt;"-"),B$1:B710)+1,1),"-")</f>
        <v>604</v>
      </c>
      <c r="C711" s="782" t="str" cm="1">
        <f t="array" ref="C711">IF(LEFT(D711,2)&lt;&gt;"长征",IF(D711="","-",IFERROR(LOOKUP(2,1/(C$1:C710&lt;&gt;"-"),C$1:C710)+1,1)),"-")</f>
        <v>-</v>
      </c>
      <c r="D711" s="783" t="s">
        <v>1425</v>
      </c>
      <c r="E711" s="783" t="s">
        <v>225</v>
      </c>
      <c r="F711" s="927" t="s">
        <v>3683</v>
      </c>
      <c r="G711" s="784">
        <v>45961</v>
      </c>
      <c r="H711" s="783" t="s">
        <v>588</v>
      </c>
      <c r="I711" s="783" t="s">
        <v>1237</v>
      </c>
      <c r="J711" s="785" t="s">
        <v>9</v>
      </c>
      <c r="K711" s="786" t="s">
        <v>1819</v>
      </c>
      <c r="L711" s="785">
        <f>IF(COUNTIF(J$1:J710,J711)=0,"",IFERROR(G711-_xlfn.MAXIFS(G$1:G710,J$1:J710,J711),""))</f>
        <v>12</v>
      </c>
      <c r="M711" s="785">
        <f>IF(COUNTIF(D$1:D710,D711)=0,"",IFERROR(G711-_xlfn.MAXIFS(G$1:G710,D$1:D710,D711),""))</f>
        <v>190</v>
      </c>
      <c r="N711" s="787" t="s">
        <v>10</v>
      </c>
      <c r="O711" s="874"/>
    </row>
    <row r="712" spans="1:15" x14ac:dyDescent="0.45">
      <c r="A712" s="838">
        <f t="shared" si="8"/>
        <v>709</v>
      </c>
      <c r="B712" s="838" cm="1">
        <f t="array" ref="B712">IF(LEFT(D712,2)="长征",IFERROR(LOOKUP(2,1/(B$1:B711&lt;&gt;"-"),B$1:B711)+1,1),"-")</f>
        <v>605</v>
      </c>
      <c r="C712" s="838" t="str" cm="1">
        <f t="array" ref="C712">IF(LEFT(D712,2)&lt;&gt;"长征",IF(D712="","-",IFERROR(LOOKUP(2,1/(C$1:C711&lt;&gt;"-"),C$1:C711)+1,1)),"-")</f>
        <v>-</v>
      </c>
      <c r="D712" s="839" t="s">
        <v>543</v>
      </c>
      <c r="E712" s="839" t="s">
        <v>1940</v>
      </c>
      <c r="F712" s="839" t="s">
        <v>3121</v>
      </c>
      <c r="G712" s="840">
        <v>45964</v>
      </c>
      <c r="H712" s="839" t="s">
        <v>1166</v>
      </c>
      <c r="I712" s="839" t="s">
        <v>51</v>
      </c>
      <c r="J712" s="841" t="s">
        <v>388</v>
      </c>
      <c r="K712" s="842" t="s">
        <v>2552</v>
      </c>
      <c r="L712" s="841">
        <f>IF(COUNTIF(J$1:J711,J712)=0,"",IFERROR(G712-_xlfn.MAXIFS(G$1:G711,J$1:J711,J712),""))</f>
        <v>11</v>
      </c>
      <c r="M712" s="841">
        <f>IF(COUNTIF(D$1:D711,D712)=0,"",IFERROR(G712-_xlfn.MAXIFS(G$1:G711,D$1:D711,D712),""))</f>
        <v>55</v>
      </c>
      <c r="N712" s="843" t="s">
        <v>10</v>
      </c>
    </row>
    <row r="713" spans="1:15" x14ac:dyDescent="0.45">
      <c r="A713" s="789">
        <f t="shared" si="8"/>
        <v>710</v>
      </c>
      <c r="B713" s="789" cm="1">
        <f t="array" ref="B713">IF(LEFT(D713,2)="长征",IFERROR(LOOKUP(2,1/(B$1:B712&lt;&gt;"-"),B$1:B712)+1,1),"-")</f>
        <v>606</v>
      </c>
      <c r="C713" s="789" t="str" cm="1">
        <f t="array" ref="C713">IF(LEFT(D713,2)&lt;&gt;"长征",IF(D713="","-",IFERROR(LOOKUP(2,1/(C$1:C712&lt;&gt;"-"),C$1:C712)+1,1)),"-")</f>
        <v>-</v>
      </c>
      <c r="D713" s="914" t="s">
        <v>501</v>
      </c>
      <c r="E713" s="914" t="s">
        <v>33</v>
      </c>
      <c r="F713" s="914" t="s">
        <v>3157</v>
      </c>
      <c r="G713" s="790">
        <v>45970</v>
      </c>
      <c r="H713" s="914" t="s">
        <v>3156</v>
      </c>
      <c r="I713" s="914" t="s">
        <v>17</v>
      </c>
      <c r="J713" s="863" t="s">
        <v>503</v>
      </c>
      <c r="K713" s="879" t="s">
        <v>3153</v>
      </c>
      <c r="L713" s="863">
        <f>IF(COUNTIF(J$1:J712,J713)=0,"",IFERROR(G713-_xlfn.MAXIFS(G$1:G712,J$1:J712,J713),""))</f>
        <v>29</v>
      </c>
      <c r="M713" s="863">
        <f>IF(COUNTIF(D$1:D712,D713)=0,"",IFERROR(G713-_xlfn.MAXIFS(G$1:G712,D$1:D712,D713),""))</f>
        <v>684</v>
      </c>
      <c r="N713" s="752" t="s">
        <v>10</v>
      </c>
    </row>
    <row r="714" spans="1:15" x14ac:dyDescent="0.45">
      <c r="A714" s="789">
        <f t="shared" si="8"/>
        <v>711</v>
      </c>
      <c r="B714" s="789" t="str" cm="1">
        <f t="array" ref="B714">IF(LEFT(D714,2)="长征",IFERROR(LOOKUP(2,1/(B$1:B713&lt;&gt;"-"),B$1:B713)+1,1),"-")</f>
        <v>-</v>
      </c>
      <c r="C714" s="789" cm="1">
        <f t="array" ref="C714">IF(LEFT(D714,2)&lt;&gt;"长征",IF(D714="","-",IFERROR(LOOKUP(2,1/(C$1:C713&lt;&gt;"-"),C$1:C713)+1,1)),"-")</f>
        <v>105</v>
      </c>
      <c r="D714" s="914" t="s">
        <v>695</v>
      </c>
      <c r="E714" s="914" t="s">
        <v>78</v>
      </c>
      <c r="F714" s="914" t="s">
        <v>3122</v>
      </c>
      <c r="G714" s="790">
        <v>45970</v>
      </c>
      <c r="H714" s="914" t="s">
        <v>3150</v>
      </c>
      <c r="I714" s="914" t="s">
        <v>70</v>
      </c>
      <c r="J714" s="863" t="s">
        <v>9</v>
      </c>
      <c r="K714" s="791" t="s">
        <v>2430</v>
      </c>
      <c r="L714" s="863">
        <f>IF(COUNTIF(J$1:J713,J714)=0,"",IFERROR(G714-_xlfn.MAXIFS(G$1:G713,J$1:J713,J714),""))</f>
        <v>9</v>
      </c>
      <c r="M714" s="863">
        <f>IF(COUNTIF(D$1:D713,D714)=0,"",IFERROR(G714-_xlfn.MAXIFS(G$1:G713,D$1:D713,D714),""))</f>
        <v>21</v>
      </c>
      <c r="N714" s="752" t="s">
        <v>10</v>
      </c>
    </row>
    <row r="715" spans="1:15" x14ac:dyDescent="0.45">
      <c r="A715" s="789">
        <f t="shared" si="8"/>
        <v>712</v>
      </c>
      <c r="B715" s="789" cm="1">
        <f t="array" ref="B715">IF(LEFT(D715,2)="长征",IFERROR(LOOKUP(2,1/(B$1:B714&lt;&gt;"-"),B$1:B714)+1,1),"-")</f>
        <v>607</v>
      </c>
      <c r="C715" s="789" t="str" cm="1">
        <f t="array" ref="C715">IF(LEFT(D715,2)&lt;&gt;"长征",IF(D715="","-",IFERROR(LOOKUP(2,1/(C$1:C714&lt;&gt;"-"),C$1:C714)+1,1)),"-")</f>
        <v>-</v>
      </c>
      <c r="D715" s="914" t="s">
        <v>2757</v>
      </c>
      <c r="E715" s="914" t="s">
        <v>21</v>
      </c>
      <c r="F715" s="914" t="s">
        <v>3146</v>
      </c>
      <c r="G715" s="790">
        <v>45971</v>
      </c>
      <c r="H715" s="914" t="s">
        <v>3159</v>
      </c>
      <c r="I715" s="914" t="s">
        <v>17</v>
      </c>
      <c r="J715" s="863" t="s">
        <v>2468</v>
      </c>
      <c r="K715" s="791" t="s">
        <v>1641</v>
      </c>
      <c r="L715" s="863">
        <f>IF(COUNTIF(J$1:J714,J715)=0,"",IFERROR(G715-_xlfn.MAXIFS(G$1:G714,J$1:J714,J715),""))</f>
        <v>25</v>
      </c>
      <c r="M715" s="863">
        <f>IF(COUNTIF(D$1:D714,D715)=0,"",IFERROR(G715-_xlfn.MAXIFS(G$1:G714,D$1:D714,D715),""))</f>
        <v>98</v>
      </c>
      <c r="N715" s="752" t="s">
        <v>10</v>
      </c>
    </row>
    <row r="716" spans="1:15" x14ac:dyDescent="0.45">
      <c r="A716" s="789">
        <f t="shared" si="8"/>
        <v>713</v>
      </c>
      <c r="B716" s="789" t="str" cm="1">
        <f t="array" ref="B716">IF(LEFT(D716,2)="长征",IFERROR(LOOKUP(2,1/(B$1:B715&lt;&gt;"-"),B$1:B715)+1,1),"-")</f>
        <v>-</v>
      </c>
      <c r="C716" s="789" cm="1">
        <f t="array" ref="C716">IF(LEFT(D716,2)&lt;&gt;"长征",IF(D716="","-",IFERROR(LOOKUP(2,1/(C$1:C715&lt;&gt;"-"),C$1:C715)+1,1)),"-")</f>
        <v>106</v>
      </c>
      <c r="D716" s="914" t="s">
        <v>579</v>
      </c>
      <c r="E716" s="914" t="s">
        <v>221</v>
      </c>
      <c r="F716" s="914" t="s">
        <v>3162</v>
      </c>
      <c r="G716" s="790">
        <v>45971</v>
      </c>
      <c r="H716" s="914" t="s">
        <v>3160</v>
      </c>
      <c r="I716" s="914" t="s">
        <v>70</v>
      </c>
      <c r="J716" s="863" t="s">
        <v>9</v>
      </c>
      <c r="K716" s="791" t="s">
        <v>2469</v>
      </c>
      <c r="L716" s="863">
        <f>IF(COUNTIF(J$1:J715,J716)=0,"",IFERROR(G716-_xlfn.MAXIFS(G$1:G715,J$1:J715,J716),""))</f>
        <v>1</v>
      </c>
      <c r="M716" s="863">
        <f>IF(COUNTIF(D$1:D715,D716)=0,"",IFERROR(G716-_xlfn.MAXIFS(G$1:G715,D$1:D715,D716),""))</f>
        <v>66</v>
      </c>
      <c r="N716" s="896" t="s">
        <v>18</v>
      </c>
    </row>
    <row r="717" spans="1:15" x14ac:dyDescent="0.45">
      <c r="A717" s="789">
        <f t="shared" si="8"/>
        <v>714</v>
      </c>
      <c r="B717" s="789" cm="1">
        <f t="array" ref="B717">IF(LEFT(D717,2)="长征",IFERROR(LOOKUP(2,1/(B$1:B716&lt;&gt;"-"),B$1:B716)+1,1),"-")</f>
        <v>608</v>
      </c>
      <c r="C717" s="789" t="str" cm="1">
        <f t="array" ref="C717">IF(LEFT(D717,2)&lt;&gt;"长征",IF(D717="","-",IFERROR(LOOKUP(2,1/(C$1:C716&lt;&gt;"-"),C$1:C716)+1,1)),"-")</f>
        <v>-</v>
      </c>
      <c r="D717" s="914" t="s">
        <v>41</v>
      </c>
      <c r="E717" s="914" t="s">
        <v>984</v>
      </c>
      <c r="F717" s="914" t="s">
        <v>3186</v>
      </c>
      <c r="G717" s="790">
        <v>45980</v>
      </c>
      <c r="H717" s="914" t="s">
        <v>3187</v>
      </c>
      <c r="I717" s="914" t="s">
        <v>17</v>
      </c>
      <c r="J717" s="863" t="s">
        <v>9</v>
      </c>
      <c r="K717" s="791" t="s">
        <v>2645</v>
      </c>
      <c r="L717" s="863">
        <f>IF(COUNTIF(J$1:J716,J717)=0,"",IFERROR(G717-_xlfn.MAXIFS(G$1:G716,J$1:J716,J717),""))</f>
        <v>9</v>
      </c>
      <c r="M717" s="863">
        <f>IF(COUNTIF(D$1:D716,D717)=0,"",IFERROR(G717-_xlfn.MAXIFS(G$1:G716,D$1:D716,D717),""))</f>
        <v>64</v>
      </c>
      <c r="N717" s="752" t="s">
        <v>10</v>
      </c>
    </row>
    <row r="718" spans="1:15" x14ac:dyDescent="0.45">
      <c r="A718" s="789">
        <f t="shared" si="8"/>
        <v>715</v>
      </c>
      <c r="B718" s="789" cm="1">
        <f t="array" ref="B718">IF(LEFT(D718,2)="长征",IFERROR(LOOKUP(2,1/(B$1:B717&lt;&gt;"-"),B$1:B717)+1,1),"-")</f>
        <v>609</v>
      </c>
      <c r="C718" s="789" t="str" cm="1">
        <f t="array" ref="C718">IF(LEFT(D718,2)&lt;&gt;"长征",IF(D718="","-",IFERROR(LOOKUP(2,1/(C$1:C717&lt;&gt;"-"),C$1:C717)+1,1)),"-")</f>
        <v>-</v>
      </c>
      <c r="D718" s="914" t="s">
        <v>105</v>
      </c>
      <c r="E718" s="914" t="s">
        <v>3507</v>
      </c>
      <c r="F718" s="914" t="s">
        <v>3191</v>
      </c>
      <c r="G718" s="790">
        <v>45982</v>
      </c>
      <c r="H718" s="914" t="s">
        <v>3190</v>
      </c>
      <c r="I718" s="914" t="s">
        <v>51</v>
      </c>
      <c r="J718" s="863" t="s">
        <v>52</v>
      </c>
      <c r="K718" s="791" t="s">
        <v>1641</v>
      </c>
      <c r="L718" s="863">
        <f>IF(COUNTIF(J$1:J717,J718)=0,"",IFERROR(G718-_xlfn.MAXIFS(G$1:G717,J$1:J717,J718),""))</f>
        <v>26</v>
      </c>
      <c r="M718" s="863">
        <f>IF(COUNTIF(D$1:D717,D718)=0,"",IFERROR(G718-_xlfn.MAXIFS(G$1:G717,D$1:D717,D718),""))</f>
        <v>26</v>
      </c>
      <c r="N718" s="752" t="s">
        <v>10</v>
      </c>
    </row>
    <row r="719" spans="1:15" x14ac:dyDescent="0.45">
      <c r="A719" s="789">
        <f t="shared" ref="A719:A782" si="9">A718+1</f>
        <v>716</v>
      </c>
      <c r="B719" s="789" cm="1">
        <f t="array" ref="B719">IF(LEFT(D719,2)="长征",IFERROR(LOOKUP(2,1/(B$1:B718&lt;&gt;"-"),B$1:B718)+1,1),"-")</f>
        <v>610</v>
      </c>
      <c r="C719" s="789" t="str" cm="1">
        <f t="array" ref="C719">IF(LEFT(D719,2)&lt;&gt;"长征",IF(D719="","-",IFERROR(LOOKUP(2,1/(C$1:C718&lt;&gt;"-"),C$1:C718)+1,1)),"-")</f>
        <v>-</v>
      </c>
      <c r="D719" s="914" t="s">
        <v>138</v>
      </c>
      <c r="E719" s="914" t="s">
        <v>209</v>
      </c>
      <c r="F719" s="914" t="s">
        <v>3684</v>
      </c>
      <c r="G719" s="790">
        <v>45986</v>
      </c>
      <c r="H719" s="914" t="s">
        <v>430</v>
      </c>
      <c r="I719" s="914" t="s">
        <v>17</v>
      </c>
      <c r="J719" s="863" t="s">
        <v>9</v>
      </c>
      <c r="K719" s="791" t="s">
        <v>1819</v>
      </c>
      <c r="L719" s="863">
        <f>IF(COUNTIF(J$1:J718,J719)=0,"",IFERROR(G719-_xlfn.MAXIFS(G$1:G718,J$1:J718,J719),""))</f>
        <v>6</v>
      </c>
      <c r="M719" s="863">
        <f>IF(COUNTIF(D$1:D718,D719)=0,"",IFERROR(G719-_xlfn.MAXIFS(G$1:G718,D$1:D718,D719),""))</f>
        <v>25</v>
      </c>
      <c r="N719" s="752" t="s">
        <v>10</v>
      </c>
    </row>
    <row r="720" spans="1:15" ht="18" thickBot="1" x14ac:dyDescent="0.5">
      <c r="A720" s="782">
        <f t="shared" si="9"/>
        <v>717</v>
      </c>
      <c r="B720" s="782" cm="1">
        <f t="array" ref="B720">IF(LEFT(D720,2)="长征",IFERROR(LOOKUP(2,1/(B$1:B719&lt;&gt;"-"),B$1:B719)+1,1),"-")</f>
        <v>611</v>
      </c>
      <c r="C720" s="782" t="str" cm="1">
        <f t="array" ref="C720">IF(LEFT(D720,2)&lt;&gt;"长征",IF(D720="","-",IFERROR(LOOKUP(2,1/(C$1:C719&lt;&gt;"-"),C$1:C719)+1,1)),"-")</f>
        <v>-</v>
      </c>
      <c r="D720" s="783" t="s">
        <v>543</v>
      </c>
      <c r="E720" s="783" t="s">
        <v>86</v>
      </c>
      <c r="F720" s="783" t="s">
        <v>3216</v>
      </c>
      <c r="G720" s="784">
        <v>45991</v>
      </c>
      <c r="H720" s="783" t="s">
        <v>3211</v>
      </c>
      <c r="I720" s="783" t="s">
        <v>51</v>
      </c>
      <c r="J720" s="785" t="s">
        <v>388</v>
      </c>
      <c r="K720" s="786" t="s">
        <v>2552</v>
      </c>
      <c r="L720" s="785">
        <f>IF(COUNTIF(J$1:J719,J720)=0,"",IFERROR(G720-_xlfn.MAXIFS(G$1:G719,J$1:J719,J720),""))</f>
        <v>27</v>
      </c>
      <c r="M720" s="785">
        <f>IF(COUNTIF(D$1:D719,D720)=0,"",IFERROR(G720-_xlfn.MAXIFS(G$1:G719,D$1:D719,D720),""))</f>
        <v>27</v>
      </c>
      <c r="N720" s="787" t="s">
        <v>10</v>
      </c>
      <c r="O720" s="874"/>
    </row>
    <row r="721" spans="1:15" x14ac:dyDescent="0.45">
      <c r="A721" s="838">
        <f t="shared" si="9"/>
        <v>718</v>
      </c>
      <c r="B721" s="838" t="str" cm="1">
        <f t="array" ref="B721">IF(LEFT(D721,2)="长征",IFERROR(LOOKUP(2,1/(B$1:B720&lt;&gt;"-"),B$1:B720)+1,1),"-")</f>
        <v>-</v>
      </c>
      <c r="C721" s="838" cm="1">
        <f t="array" ref="C721">IF(LEFT(D721,2)&lt;&gt;"长征",IF(D721="","-",IFERROR(LOOKUP(2,1/(C$1:C720&lt;&gt;"-"),C$1:C720)+1,1)),"-")</f>
        <v>107</v>
      </c>
      <c r="D721" s="839" t="s">
        <v>2937</v>
      </c>
      <c r="E721" s="839" t="s">
        <v>42</v>
      </c>
      <c r="F721" s="928" t="s">
        <v>3316</v>
      </c>
      <c r="G721" s="840">
        <v>45994</v>
      </c>
      <c r="H721" s="839" t="s">
        <v>2723</v>
      </c>
      <c r="I721" s="839" t="s">
        <v>17</v>
      </c>
      <c r="J721" s="841" t="s">
        <v>9</v>
      </c>
      <c r="K721" s="842" t="s">
        <v>3193</v>
      </c>
      <c r="L721" s="841">
        <f>IF(COUNTIF(J$1:J720,J721)=0,"",IFERROR(G721-_xlfn.MAXIFS(G$1:G720,J$1:J720,J721),""))</f>
        <v>8</v>
      </c>
      <c r="M721" s="841" t="str">
        <f>IF(COUNTIF(D$1:D720,D721)=0,"",IFERROR(G721-_xlfn.MAXIFS(G$1:G720,D$1:D720,D721),""))</f>
        <v/>
      </c>
      <c r="N721" s="843" t="s">
        <v>10</v>
      </c>
      <c r="O721" s="711"/>
    </row>
    <row r="722" spans="1:15" x14ac:dyDescent="0.45">
      <c r="A722" s="838">
        <f t="shared" si="9"/>
        <v>719</v>
      </c>
      <c r="B722" s="838" t="str" cm="1">
        <f t="array" ref="B722">IF(LEFT(D722,2)="长征",IFERROR(LOOKUP(2,1/(B$1:B721&lt;&gt;"-"),B$1:B721)+1,1),"-")</f>
        <v>-</v>
      </c>
      <c r="C722" s="838" cm="1">
        <f t="array" ref="C722">IF(LEFT(D722,2)&lt;&gt;"长征",IF(D722="","-",IFERROR(LOOKUP(2,1/(C$1:C721&lt;&gt;"-"),C$1:C721)+1,1)),"-")</f>
        <v>108</v>
      </c>
      <c r="D722" s="839" t="s">
        <v>988</v>
      </c>
      <c r="E722" s="839" t="s">
        <v>3223</v>
      </c>
      <c r="F722" s="839" t="s">
        <v>3238</v>
      </c>
      <c r="G722" s="840">
        <v>45996</v>
      </c>
      <c r="H722" s="839" t="s">
        <v>3222</v>
      </c>
      <c r="I722" s="839" t="s">
        <v>1237</v>
      </c>
      <c r="J722" s="841" t="s">
        <v>9</v>
      </c>
      <c r="K722" s="842" t="s">
        <v>2469</v>
      </c>
      <c r="L722" s="841">
        <f>IF(COUNTIF(J$1:J721,J722)=0,"",IFERROR(G722-_xlfn.MAXIFS(G$1:G721,J$1:J721,J722),""))</f>
        <v>2</v>
      </c>
      <c r="M722" s="841">
        <f>IF(COUNTIF(D$1:D721,D722)=0,"",IFERROR(G722-_xlfn.MAXIFS(G$1:G721,D$1:D721,D722),""))</f>
        <v>127</v>
      </c>
      <c r="N722" s="843" t="s">
        <v>10</v>
      </c>
      <c r="O722" s="711"/>
    </row>
    <row r="723" spans="1:15" x14ac:dyDescent="0.45">
      <c r="A723" s="789">
        <f t="shared" si="9"/>
        <v>720</v>
      </c>
      <c r="B723" s="789" cm="1">
        <f t="array" ref="B723">IF(LEFT(D723,2)="长征",IFERROR(LOOKUP(2,1/(B$1:B722&lt;&gt;"-"),B$1:B722)+1,1),"-")</f>
        <v>612</v>
      </c>
      <c r="C723" s="789" t="str" cm="1">
        <f t="array" ref="C723">IF(LEFT(D723,2)&lt;&gt;"长征",IF(D723="","-",IFERROR(LOOKUP(2,1/(C$1:C722&lt;&gt;"-"),C$1:C722)+1,1)),"-")</f>
        <v>-</v>
      </c>
      <c r="D723" s="914" t="s">
        <v>2551</v>
      </c>
      <c r="E723" s="914" t="s">
        <v>30</v>
      </c>
      <c r="F723" s="914" t="s">
        <v>3161</v>
      </c>
      <c r="G723" s="790">
        <v>45997</v>
      </c>
      <c r="H723" s="914" t="s">
        <v>3221</v>
      </c>
      <c r="I723" s="914" t="s">
        <v>17</v>
      </c>
      <c r="J723" s="863" t="s">
        <v>2468</v>
      </c>
      <c r="K723" s="791" t="s">
        <v>1713</v>
      </c>
      <c r="L723" s="863">
        <f>IF(COUNTIF(J$1:J722,J723)=0,"",IFERROR(G723-_xlfn.MAXIFS(G$1:G722,J$1:J722,J723),""))</f>
        <v>26</v>
      </c>
      <c r="M723" s="863">
        <f>IF(COUNTIF(D$1:D722,D723)=0,"",IFERROR(G723-_xlfn.MAXIFS(G$1:G722,D$1:D722,D723),""))</f>
        <v>51</v>
      </c>
      <c r="N723" s="752" t="s">
        <v>10</v>
      </c>
      <c r="O723" s="711"/>
    </row>
    <row r="724" spans="1:15" x14ac:dyDescent="0.45">
      <c r="A724" s="789">
        <f t="shared" si="9"/>
        <v>721</v>
      </c>
      <c r="B724" s="789" cm="1">
        <f t="array" ref="B724">IF(LEFT(D724,2)="长征",IFERROR(LOOKUP(2,1/(B$1:B723&lt;&gt;"-"),B$1:B723)+1,1),"-")</f>
        <v>613</v>
      </c>
      <c r="C724" s="789" t="str" cm="1">
        <f t="array" ref="C724">IF(LEFT(D724,2)&lt;&gt;"长征",IF(D724="","-",IFERROR(LOOKUP(2,1/(C$1:C723&lt;&gt;"-"),C$1:C723)+1,1)),"-")</f>
        <v>-</v>
      </c>
      <c r="D724" s="914" t="s">
        <v>670</v>
      </c>
      <c r="E724" s="914" t="s">
        <v>3277</v>
      </c>
      <c r="F724" s="926" t="s">
        <v>3241</v>
      </c>
      <c r="G724" s="790">
        <v>46000</v>
      </c>
      <c r="H724" s="914" t="s">
        <v>3275</v>
      </c>
      <c r="I724" s="914" t="s">
        <v>448</v>
      </c>
      <c r="J724" s="863" t="s">
        <v>71</v>
      </c>
      <c r="K724" s="791" t="s">
        <v>672</v>
      </c>
      <c r="L724" s="863">
        <f>IF(COUNTIF(J$1:J723,J724)=0,"",IFERROR(G724-_xlfn.MAXIFS(G$1:G723,J$1:J723,J724),""))</f>
        <v>53</v>
      </c>
      <c r="M724" s="863">
        <f>IF(COUNTIF(D$1:D723,D724)=0,"",IFERROR(G724-_xlfn.MAXIFS(G$1:G723,D$1:D723,D724),""))</f>
        <v>53</v>
      </c>
      <c r="N724" s="752" t="s">
        <v>10</v>
      </c>
      <c r="O724" s="711"/>
    </row>
    <row r="725" spans="1:15" x14ac:dyDescent="0.45">
      <c r="A725" s="789">
        <f t="shared" si="9"/>
        <v>722</v>
      </c>
      <c r="B725" s="789" cm="1">
        <f t="array" ref="B725">IF(LEFT(D725,2)="长征",IFERROR(LOOKUP(2,1/(B$1:B724&lt;&gt;"-"),B$1:B724)+1,1),"-")</f>
        <v>614</v>
      </c>
      <c r="C725" s="789" t="str" cm="1">
        <f t="array" ref="C725">IF(LEFT(D725,2)&lt;&gt;"长征",IF(D725="","-",IFERROR(LOOKUP(2,1/(C$1:C724&lt;&gt;"-"),C$1:C724)+1,1)),"-")</f>
        <v>-</v>
      </c>
      <c r="D725" s="914" t="s">
        <v>2032</v>
      </c>
      <c r="E725" s="914" t="s">
        <v>3280</v>
      </c>
      <c r="F725" s="926" t="s">
        <v>3279</v>
      </c>
      <c r="G725" s="790">
        <v>46000</v>
      </c>
      <c r="H725" s="914" t="s">
        <v>3233</v>
      </c>
      <c r="I725" s="914" t="s">
        <v>1977</v>
      </c>
      <c r="J725" s="863" t="s">
        <v>1184</v>
      </c>
      <c r="K725" s="791" t="s">
        <v>2113</v>
      </c>
      <c r="L725" s="863">
        <f>IF(COUNTIF(J$1:J724,J725)=0,"",IFERROR(G725-_xlfn.MAXIFS(G$1:G724,J$1:J724,J725),""))</f>
        <v>4</v>
      </c>
      <c r="M725" s="863">
        <f>IF(COUNTIF(D$1:D724,D725)=0,"",IFERROR(G725-_xlfn.MAXIFS(G$1:G724,D$1:D724,D725),""))</f>
        <v>194</v>
      </c>
      <c r="N725" s="752" t="s">
        <v>10</v>
      </c>
      <c r="O725" s="711"/>
    </row>
    <row r="726" spans="1:15" x14ac:dyDescent="0.45">
      <c r="A726" s="789">
        <f t="shared" si="9"/>
        <v>723</v>
      </c>
      <c r="B726" s="789" cm="1">
        <f t="array" ref="B726">IF(LEFT(D726,2)="长征",IFERROR(LOOKUP(2,1/(B$1:B725&lt;&gt;"-"),B$1:B725)+1,1),"-")</f>
        <v>615</v>
      </c>
      <c r="C726" s="789" t="str" cm="1">
        <f t="array" ref="C726">IF(LEFT(D726,2)&lt;&gt;"长征",IF(D726="","-",IFERROR(LOOKUP(2,1/(C$1:C725&lt;&gt;"-"),C$1:C725)+1,1)),"-")</f>
        <v>-</v>
      </c>
      <c r="D726" s="914" t="s">
        <v>105</v>
      </c>
      <c r="E726" s="914" t="s">
        <v>3282</v>
      </c>
      <c r="F726" s="926" t="s">
        <v>3239</v>
      </c>
      <c r="G726" s="790">
        <v>46000</v>
      </c>
      <c r="H726" s="914" t="s">
        <v>3240</v>
      </c>
      <c r="I726" s="914" t="s">
        <v>51</v>
      </c>
      <c r="J726" s="863" t="s">
        <v>52</v>
      </c>
      <c r="K726" s="791" t="s">
        <v>1723</v>
      </c>
      <c r="L726" s="863">
        <f>IF(COUNTIF(J$1:J725,J726)=0,"",IFERROR(G726-_xlfn.MAXIFS(G$1:G725,J$1:J725,J726),""))</f>
        <v>18</v>
      </c>
      <c r="M726" s="863">
        <f>IF(COUNTIF(D$1:D725,D726)=0,"",IFERROR(G726-_xlfn.MAXIFS(G$1:G725,D$1:D725,D726),""))</f>
        <v>18</v>
      </c>
      <c r="N726" s="752" t="s">
        <v>10</v>
      </c>
      <c r="O726" s="711"/>
    </row>
    <row r="727" spans="1:15" x14ac:dyDescent="0.45">
      <c r="A727" s="789">
        <f t="shared" si="9"/>
        <v>724</v>
      </c>
      <c r="B727" s="789" t="str" cm="1">
        <f t="array" ref="B727">IF(LEFT(D727,2)="长征",IFERROR(LOOKUP(2,1/(B$1:B726&lt;&gt;"-"),B$1:B726)+1,1),"-")</f>
        <v>-</v>
      </c>
      <c r="C727" s="789" cm="1">
        <f t="array" ref="C727">IF(LEFT(D727,2)&lt;&gt;"长征",IF(D727="","-",IFERROR(LOOKUP(2,1/(C$1:C726&lt;&gt;"-"),C$1:C726)+1,1)),"-")</f>
        <v>109</v>
      </c>
      <c r="D727" s="914" t="s">
        <v>695</v>
      </c>
      <c r="E727" s="914" t="s">
        <v>90</v>
      </c>
      <c r="F727" s="926" t="s">
        <v>3288</v>
      </c>
      <c r="G727" s="790">
        <v>46001</v>
      </c>
      <c r="H727" s="914" t="s">
        <v>606</v>
      </c>
      <c r="I727" s="914" t="s">
        <v>1977</v>
      </c>
      <c r="J727" s="863" t="s">
        <v>9</v>
      </c>
      <c r="K727" s="791" t="s">
        <v>2531</v>
      </c>
      <c r="L727" s="863">
        <f>IF(COUNTIF(J$1:J726,J727)=0,"",IFERROR(G727-_xlfn.MAXIFS(G$1:G726,J$1:J726,J727),""))</f>
        <v>1</v>
      </c>
      <c r="M727" s="863">
        <f>IF(COUNTIF(D$1:D726,D727)=0,"",IFERROR(G727-_xlfn.MAXIFS(G$1:G726,D$1:D726,D727),""))</f>
        <v>31</v>
      </c>
      <c r="N727" s="752" t="s">
        <v>10</v>
      </c>
      <c r="O727" s="711"/>
    </row>
    <row r="728" spans="1:15" x14ac:dyDescent="0.45">
      <c r="A728" s="789">
        <f t="shared" si="9"/>
        <v>725</v>
      </c>
      <c r="B728" s="789" cm="1">
        <f t="array" ref="B728">IF(LEFT(D728,2)="长征",IFERROR(LOOKUP(2,1/(B$1:B727&lt;&gt;"-"),B$1:B727)+1,1),"-")</f>
        <v>616</v>
      </c>
      <c r="C728" s="789" t="str" cm="1">
        <f t="array" ref="C728">IF(LEFT(D728,2)&lt;&gt;"长征",IF(D728="","-",IFERROR(LOOKUP(2,1/(C$1:C727&lt;&gt;"-"),C$1:C727)+1,1)),"-")</f>
        <v>-</v>
      </c>
      <c r="D728" s="914" t="s">
        <v>2757</v>
      </c>
      <c r="E728" s="914" t="s">
        <v>5</v>
      </c>
      <c r="F728" s="926" t="s">
        <v>3202</v>
      </c>
      <c r="G728" s="790">
        <v>46003</v>
      </c>
      <c r="H728" s="914" t="s">
        <v>85</v>
      </c>
      <c r="I728" s="914" t="s">
        <v>1237</v>
      </c>
      <c r="J728" s="863" t="s">
        <v>2468</v>
      </c>
      <c r="K728" s="791" t="s">
        <v>1725</v>
      </c>
      <c r="L728" s="863">
        <f>IF(COUNTIF(J$1:J727,J728)=0,"",IFERROR(G728-_xlfn.MAXIFS(G$1:G727,J$1:J727,J728),""))</f>
        <v>6</v>
      </c>
      <c r="M728" s="863">
        <f>IF(COUNTIF(D$1:D727,D728)=0,"",IFERROR(G728-_xlfn.MAXIFS(G$1:G727,D$1:D727,D728),""))</f>
        <v>32</v>
      </c>
      <c r="N728" s="752" t="s">
        <v>10</v>
      </c>
      <c r="O728" s="711"/>
    </row>
    <row r="729" spans="1:15" x14ac:dyDescent="0.45">
      <c r="A729" s="789">
        <f t="shared" si="9"/>
        <v>726</v>
      </c>
      <c r="B729" s="789" t="str" cm="1">
        <f t="array" ref="B729">IF(LEFT(D729,2)="长征",IFERROR(LOOKUP(2,1/(B$1:B728&lt;&gt;"-"),B$1:B728)+1,1),"-")</f>
        <v>-</v>
      </c>
      <c r="C729" s="789" cm="1">
        <f t="array" ref="C729">IF(LEFT(D729,2)&lt;&gt;"长征",IF(D729="","-",IFERROR(LOOKUP(2,1/(C$1:C728&lt;&gt;"-"),C$1:C728)+1,1)),"-")</f>
        <v>110</v>
      </c>
      <c r="D729" s="914" t="s">
        <v>1935</v>
      </c>
      <c r="E729" s="914" t="s">
        <v>996</v>
      </c>
      <c r="F729" s="926" t="s">
        <v>3338</v>
      </c>
      <c r="G729" s="790">
        <v>46004</v>
      </c>
      <c r="H729" s="914" t="s">
        <v>3294</v>
      </c>
      <c r="I729" s="914" t="s">
        <v>1237</v>
      </c>
      <c r="J729" s="863" t="s">
        <v>1184</v>
      </c>
      <c r="K729" s="791" t="s">
        <v>2115</v>
      </c>
      <c r="L729" s="863">
        <f>IF(COUNTIF(J$1:J728,J729)=0,"",IFERROR(G729-_xlfn.MAXIFS(G$1:G728,J$1:J728,J729),""))</f>
        <v>3</v>
      </c>
      <c r="M729" s="863">
        <f>IF(COUNTIF(D$1:D728,D729)=0,"",IFERROR(G729-_xlfn.MAXIFS(G$1:G728,D$1:D728,D729),""))</f>
        <v>571</v>
      </c>
      <c r="N729" s="752" t="s">
        <v>10</v>
      </c>
      <c r="O729" s="711"/>
    </row>
    <row r="730" spans="1:15" x14ac:dyDescent="0.45">
      <c r="A730" s="789">
        <f t="shared" si="9"/>
        <v>727</v>
      </c>
      <c r="B730" s="789" cm="1">
        <f t="array" ref="B730">IF(LEFT(D730,2)="长征",IFERROR(LOOKUP(2,1/(B$1:B729&lt;&gt;"-"),B$1:B729)+1,1),"-")</f>
        <v>617</v>
      </c>
      <c r="C730" s="789" t="str" cm="1">
        <f t="array" ref="C730">IF(LEFT(D730,2)&lt;&gt;"长征",IF(D730="","-",IFERROR(LOOKUP(2,1/(C$1:C729&lt;&gt;"-"),C$1:C729)+1,1)),"-")</f>
        <v>-</v>
      </c>
      <c r="D730" s="914" t="s">
        <v>2032</v>
      </c>
      <c r="E730" s="914" t="s">
        <v>3300</v>
      </c>
      <c r="F730" s="914" t="s">
        <v>3299</v>
      </c>
      <c r="G730" s="790">
        <v>46007</v>
      </c>
      <c r="H730" s="914" t="s">
        <v>3298</v>
      </c>
      <c r="I730" s="914" t="s">
        <v>448</v>
      </c>
      <c r="J730" s="863" t="s">
        <v>71</v>
      </c>
      <c r="K730" s="791" t="s">
        <v>3285</v>
      </c>
      <c r="L730" s="863">
        <f>IF(COUNTIF(J$1:J729,J730)=0,"",IFERROR(G730-_xlfn.MAXIFS(G$1:G729,J$1:J729,J730),""))</f>
        <v>7</v>
      </c>
      <c r="M730" s="863">
        <f>IF(COUNTIF(D$1:D729,D730)=0,"",IFERROR(G730-_xlfn.MAXIFS(G$1:G729,D$1:D729,D730),""))</f>
        <v>7</v>
      </c>
      <c r="N730" s="752" t="s">
        <v>10</v>
      </c>
      <c r="O730" s="711"/>
    </row>
    <row r="731" spans="1:15" x14ac:dyDescent="0.45">
      <c r="A731" s="789">
        <f t="shared" si="9"/>
        <v>728</v>
      </c>
      <c r="B731" s="789" cm="1">
        <f t="array" ref="B731">IF(LEFT(D731,2)="长征",IFERROR(LOOKUP(2,1/(B$1:B730&lt;&gt;"-"),B$1:B730)+1,1),"-")</f>
        <v>618</v>
      </c>
      <c r="C731" s="789" t="str" cm="1">
        <f t="array" ref="C731">IF(LEFT(D731,2)&lt;&gt;"长征",IF(D731="","-",IFERROR(LOOKUP(2,1/(C$1:C730&lt;&gt;"-"),C$1:C730)+1,1)),"-")</f>
        <v>-</v>
      </c>
      <c r="D731" s="914" t="s">
        <v>399</v>
      </c>
      <c r="E731" s="914" t="s">
        <v>86</v>
      </c>
      <c r="F731" s="914" t="s">
        <v>3215</v>
      </c>
      <c r="G731" s="790">
        <v>46011</v>
      </c>
      <c r="H731" s="914" t="s">
        <v>3307</v>
      </c>
      <c r="I731" s="914" t="s">
        <v>51</v>
      </c>
      <c r="J731" s="863" t="s">
        <v>388</v>
      </c>
      <c r="K731" s="791" t="s">
        <v>2513</v>
      </c>
      <c r="L731" s="863">
        <f>IF(COUNTIF(J$1:J730,J731)=0,"",IFERROR(G731-_xlfn.MAXIFS(G$1:G730,J$1:J730,J731),""))</f>
        <v>20</v>
      </c>
      <c r="M731" s="863">
        <f>IF(COUNTIF(D$1:D730,D731)=0,"",IFERROR(G731-_xlfn.MAXIFS(G$1:G730,D$1:D730,D731),""))</f>
        <v>58</v>
      </c>
      <c r="N731" s="752" t="s">
        <v>10</v>
      </c>
      <c r="O731" s="711"/>
    </row>
    <row r="732" spans="1:15" x14ac:dyDescent="0.45">
      <c r="A732" s="789">
        <f t="shared" si="9"/>
        <v>729</v>
      </c>
      <c r="B732" s="789" cm="1">
        <f t="array" ref="B732">IF(LEFT(D732,2)="长征",IFERROR(LOOKUP(2,1/(B$1:B731&lt;&gt;"-"),B$1:B731)+1,1),"-")</f>
        <v>619</v>
      </c>
      <c r="C732" s="789" t="str" cm="1">
        <f t="array" ref="C732">IF(LEFT(D732,2)&lt;&gt;"长征",IF(D732="","-",IFERROR(LOOKUP(2,1/(C$1:C731&lt;&gt;"-"),C$1:C731)+1,1)),"-")</f>
        <v>-</v>
      </c>
      <c r="D732" s="914" t="s">
        <v>3289</v>
      </c>
      <c r="E732" s="914" t="s">
        <v>42</v>
      </c>
      <c r="F732" s="926" t="s">
        <v>3316</v>
      </c>
      <c r="G732" s="790">
        <v>46014</v>
      </c>
      <c r="H732" s="914" t="s">
        <v>1356</v>
      </c>
      <c r="I732" s="914" t="s">
        <v>17</v>
      </c>
      <c r="J732" s="863" t="s">
        <v>9</v>
      </c>
      <c r="K732" s="791" t="s">
        <v>2645</v>
      </c>
      <c r="L732" s="863">
        <f>IF(COUNTIF(J$1:J731,J732)=0,"",IFERROR(G732-_xlfn.MAXIFS(G$1:G731,J$1:J731,J732),""))</f>
        <v>10</v>
      </c>
      <c r="M732" s="863" t="str">
        <f>IF(COUNTIF(D$1:D731,D732)=0,"",IFERROR(G732-_xlfn.MAXIFS(G$1:G731,D$1:D731,D732),""))</f>
        <v/>
      </c>
      <c r="N732" s="752" t="s">
        <v>10</v>
      </c>
      <c r="O732" s="711"/>
    </row>
    <row r="733" spans="1:15" x14ac:dyDescent="0.45">
      <c r="A733" s="789">
        <f t="shared" si="9"/>
        <v>730</v>
      </c>
      <c r="B733" s="789" cm="1">
        <f t="array" ref="B733">IF(LEFT(D733,2)="长征",IFERROR(LOOKUP(2,1/(B$1:B732&lt;&gt;"-"),B$1:B732)+1,1),"-")</f>
        <v>620</v>
      </c>
      <c r="C733" s="789" t="str" cm="1">
        <f t="array" ref="C733">IF(LEFT(D733,2)&lt;&gt;"长征",IF(D733="","-",IFERROR(LOOKUP(2,1/(C$1:C732&lt;&gt;"-"),C$1:C732)+1,1)),"-")</f>
        <v>-</v>
      </c>
      <c r="D733" s="914" t="s">
        <v>2551</v>
      </c>
      <c r="E733" s="914" t="s">
        <v>33</v>
      </c>
      <c r="F733" s="914" t="s">
        <v>3330</v>
      </c>
      <c r="G733" s="790">
        <v>46017</v>
      </c>
      <c r="H733" s="914" t="s">
        <v>3310</v>
      </c>
      <c r="I733" s="914" t="s">
        <v>17</v>
      </c>
      <c r="J733" s="863" t="s">
        <v>2468</v>
      </c>
      <c r="K733" s="791" t="s">
        <v>1713</v>
      </c>
      <c r="L733" s="863">
        <f>IF(COUNTIF(J$1:J732,J733)=0,"",IFERROR(G733-_xlfn.MAXIFS(G$1:G732,J$1:J732,J733),""))</f>
        <v>14</v>
      </c>
      <c r="M733" s="863">
        <f>IF(COUNTIF(D$1:D732,D733)=0,"",IFERROR(G733-_xlfn.MAXIFS(G$1:G732,D$1:D732,D733),""))</f>
        <v>20</v>
      </c>
      <c r="N733" s="752" t="s">
        <v>10</v>
      </c>
      <c r="O733" s="711"/>
    </row>
    <row r="734" spans="1:15" x14ac:dyDescent="0.45">
      <c r="A734" s="789">
        <f t="shared" si="9"/>
        <v>731</v>
      </c>
      <c r="B734" s="789" cm="1">
        <f t="array" ref="B734">IF(LEFT(D734,2)="长征",IFERROR(LOOKUP(2,1/(B$1:B733&lt;&gt;"-"),B$1:B733)+1,1),"-")</f>
        <v>621</v>
      </c>
      <c r="C734" s="789" t="str" cm="1">
        <f t="array" ref="C734">IF(LEFT(D734,2)&lt;&gt;"长征",IF(D734="","-",IFERROR(LOOKUP(2,1/(C$1:C733&lt;&gt;"-"),C$1:C733)+1,1)),"-")</f>
        <v>-</v>
      </c>
      <c r="D734" s="914" t="s">
        <v>105</v>
      </c>
      <c r="E734" s="914" t="s">
        <v>3321</v>
      </c>
      <c r="F734" s="914" t="s">
        <v>3244</v>
      </c>
      <c r="G734" s="790">
        <v>46018</v>
      </c>
      <c r="H734" s="914" t="s">
        <v>3328</v>
      </c>
      <c r="I734" s="914" t="s">
        <v>1188</v>
      </c>
      <c r="J734" s="863" t="s">
        <v>52</v>
      </c>
      <c r="K734" s="791" t="s">
        <v>1725</v>
      </c>
      <c r="L734" s="863">
        <f>IF(COUNTIF(J$1:J733,J734)=0,"",IFERROR(G734-_xlfn.MAXIFS(G$1:G733,J$1:J733,J734),""))</f>
        <v>18</v>
      </c>
      <c r="M734" s="863">
        <f>IF(COUNTIF(D$1:D733,D734)=0,"",IFERROR(G734-_xlfn.MAXIFS(G$1:G733,D$1:D733,D734),""))</f>
        <v>18</v>
      </c>
      <c r="N734" s="752" t="s">
        <v>10</v>
      </c>
      <c r="O734" s="711"/>
    </row>
    <row r="735" spans="1:15" x14ac:dyDescent="0.45">
      <c r="A735" s="789">
        <f t="shared" si="9"/>
        <v>732</v>
      </c>
      <c r="B735" s="789" cm="1">
        <f t="array" ref="B735">IF(LEFT(D735,2)="长征",IFERROR(LOOKUP(2,1/(B$1:B734&lt;&gt;"-"),B$1:B734)+1,1),"-")</f>
        <v>622</v>
      </c>
      <c r="C735" s="789" t="str" cm="1">
        <f t="array" ref="C735">IF(LEFT(D735,2)&lt;&gt;"长征",IF(D735="","-",IFERROR(LOOKUP(2,1/(C$1:C734&lt;&gt;"-"),C$1:C734)+1,1)),"-")</f>
        <v>-</v>
      </c>
      <c r="D735" s="914" t="s">
        <v>132</v>
      </c>
      <c r="E735" s="914" t="s">
        <v>3332</v>
      </c>
      <c r="F735" s="926" t="s">
        <v>3322</v>
      </c>
      <c r="G735" s="790">
        <v>46021</v>
      </c>
      <c r="H735" s="914" t="s">
        <v>1814</v>
      </c>
      <c r="I735" s="914" t="s">
        <v>70</v>
      </c>
      <c r="J735" s="863" t="s">
        <v>9</v>
      </c>
      <c r="K735" s="791" t="s">
        <v>2645</v>
      </c>
      <c r="L735" s="863">
        <f>IF(COUNTIF(J$1:J734,J735)=0,"",IFERROR(G735-_xlfn.MAXIFS(G$1:G734,J$1:J734,J735),""))</f>
        <v>7</v>
      </c>
      <c r="M735" s="863">
        <f>IF(COUNTIF(D$1:D734,D735)=0,"",IFERROR(G735-_xlfn.MAXIFS(G$1:G734,D$1:D734,D735),""))</f>
        <v>14</v>
      </c>
      <c r="N735" s="752" t="s">
        <v>10</v>
      </c>
      <c r="O735" s="711"/>
    </row>
    <row r="736" spans="1:15" ht="18" thickBot="1" x14ac:dyDescent="0.5">
      <c r="A736" s="740">
        <f t="shared" si="9"/>
        <v>733</v>
      </c>
      <c r="B736" s="740" cm="1">
        <f t="array" ref="B736">IF(LEFT(D736,2)="长征",IFERROR(LOOKUP(2,1/(B$1:B735&lt;&gt;"-"),B$1:B735)+1,1),"-")</f>
        <v>623</v>
      </c>
      <c r="C736" s="740" t="str" cm="1">
        <f t="array" ref="C736">IF(LEFT(D736,2)&lt;&gt;"长征",IF(D736="","-",IFERROR(LOOKUP(2,1/(C$1:C735&lt;&gt;"-"),C$1:C735)+1,1)),"-")</f>
        <v>-</v>
      </c>
      <c r="D736" s="741" t="s">
        <v>543</v>
      </c>
      <c r="E736" s="741" t="s">
        <v>997</v>
      </c>
      <c r="F736" s="741" t="s">
        <v>3335</v>
      </c>
      <c r="G736" s="742">
        <v>46022</v>
      </c>
      <c r="H736" s="741" t="s">
        <v>100</v>
      </c>
      <c r="I736" s="741" t="s">
        <v>2195</v>
      </c>
      <c r="J736" s="743" t="s">
        <v>388</v>
      </c>
      <c r="K736" s="744" t="s">
        <v>2552</v>
      </c>
      <c r="L736" s="743">
        <f>IF(COUNTIF(J$1:J735,J736)=0,"",IFERROR(G736-_xlfn.MAXIFS(G$1:G735,J$1:J735,J736),""))</f>
        <v>11</v>
      </c>
      <c r="M736" s="743">
        <f>IF(COUNTIF(D$1:D735,D736)=0,"",IFERROR(G736-_xlfn.MAXIFS(G$1:G735,D$1:D735,D736),""))</f>
        <v>31</v>
      </c>
      <c r="N736" s="745" t="s">
        <v>10</v>
      </c>
      <c r="O736" s="872"/>
    </row>
    <row r="737" spans="1:15" ht="18" thickTop="1" x14ac:dyDescent="0.45">
      <c r="A737" s="838">
        <f t="shared" si="9"/>
        <v>734</v>
      </c>
      <c r="B737" s="838" cm="1">
        <f t="array" ref="B737">IF(LEFT(D737,2)="长征",IFERROR(LOOKUP(2,1/(B$1:B736&lt;&gt;"-"),B$1:B736)+1,1),"-")</f>
        <v>624</v>
      </c>
      <c r="C737" s="838" t="str" cm="1">
        <f t="array" ref="C737">IF(LEFT(D737,2)&lt;&gt;"长征",IF(D737="","-",IFERROR(LOOKUP(2,1/(C$1:C736&lt;&gt;"-"),C$1:C736)+1,1)),"-")</f>
        <v>-</v>
      </c>
      <c r="D737" s="839" t="s">
        <v>1220</v>
      </c>
      <c r="E737" s="839" t="s">
        <v>1389</v>
      </c>
      <c r="F737" s="839" t="s">
        <v>3371</v>
      </c>
      <c r="G737" s="840">
        <v>46035</v>
      </c>
      <c r="H737" s="839" t="s">
        <v>3372</v>
      </c>
      <c r="I737" s="839" t="s">
        <v>1977</v>
      </c>
      <c r="J737" s="841" t="s">
        <v>2170</v>
      </c>
      <c r="K737" s="842" t="s">
        <v>1222</v>
      </c>
      <c r="L737" s="841">
        <f>IF(COUNTIF(J$1:J736,J737)=0,"",IFERROR(G737-_xlfn.MAXIFS(G$1:G736,J$1:J736,J737),""))</f>
        <v>28</v>
      </c>
      <c r="M737" s="841">
        <f>IF(COUNTIF(D$1:D736,D737)=0,"",IFERROR(G737-_xlfn.MAXIFS(G$1:G736,D$1:D736,D737),""))</f>
        <v>35</v>
      </c>
      <c r="N737" s="843" t="s">
        <v>10</v>
      </c>
    </row>
    <row r="738" spans="1:15" x14ac:dyDescent="0.45">
      <c r="A738" s="789">
        <f t="shared" si="9"/>
        <v>735</v>
      </c>
      <c r="B738" s="789" cm="1">
        <f t="array" ref="B738">IF(LEFT(D738,2)="长征",IFERROR(LOOKUP(2,1/(B$1:B737&lt;&gt;"-"),B$1:B737)+1,1),"-")</f>
        <v>625</v>
      </c>
      <c r="C738" s="789" t="str" cm="1">
        <f t="array" ref="C738">IF(LEFT(D738,2)&lt;&gt;"长征",IF(D738="","-",IFERROR(LOOKUP(2,1/(C$1:C737&lt;&gt;"-"),C$1:C737)+1,1)),"-")</f>
        <v>-</v>
      </c>
      <c r="D738" s="914" t="s">
        <v>2551</v>
      </c>
      <c r="E738" s="914" t="s">
        <v>63</v>
      </c>
      <c r="F738" s="926" t="s">
        <v>3350</v>
      </c>
      <c r="G738" s="790">
        <v>46035</v>
      </c>
      <c r="H738" s="914" t="s">
        <v>3370</v>
      </c>
      <c r="I738" s="914" t="s">
        <v>17</v>
      </c>
      <c r="J738" s="863" t="s">
        <v>2468</v>
      </c>
      <c r="K738" s="791" t="s">
        <v>1758</v>
      </c>
      <c r="L738" s="863">
        <f>IF(COUNTIF(J$1:J737,J738)=0,"",IFERROR(G738-_xlfn.MAXIFS(G$1:G737,J$1:J737,J738),""))</f>
        <v>18</v>
      </c>
      <c r="M738" s="863">
        <f>IF(COUNTIF(D$1:D737,D738)=0,"",IFERROR(G738-_xlfn.MAXIFS(G$1:G737,D$1:D737,D738),""))</f>
        <v>18</v>
      </c>
      <c r="N738" s="752" t="s">
        <v>10</v>
      </c>
    </row>
    <row r="739" spans="1:15" x14ac:dyDescent="0.45">
      <c r="A739" s="789">
        <f t="shared" si="9"/>
        <v>736</v>
      </c>
      <c r="B739" s="789" cm="1">
        <f t="array" ref="B739">IF(LEFT(D739,2)="长征",IFERROR(LOOKUP(2,1/(B$1:B738&lt;&gt;"-"),B$1:B738)+1,1),"-")</f>
        <v>626</v>
      </c>
      <c r="C739" s="789" t="str" cm="1">
        <f t="array" ref="C739">IF(LEFT(D739,2)&lt;&gt;"长征",IF(D739="","-",IFERROR(LOOKUP(2,1/(C$1:C738&lt;&gt;"-"),C$1:C738)+1,1)),"-")</f>
        <v>-</v>
      </c>
      <c r="D739" s="914" t="s">
        <v>41</v>
      </c>
      <c r="E739" s="914" t="s">
        <v>1190</v>
      </c>
      <c r="F739" s="926" t="s">
        <v>3381</v>
      </c>
      <c r="G739" s="790">
        <v>46037</v>
      </c>
      <c r="H739" s="914" t="s">
        <v>3187</v>
      </c>
      <c r="I739" s="914" t="s">
        <v>1977</v>
      </c>
      <c r="J739" s="863" t="s">
        <v>9</v>
      </c>
      <c r="K739" s="791" t="s">
        <v>2645</v>
      </c>
      <c r="L739" s="863">
        <f>IF(COUNTIF(J$1:J738,J739)=0,"",IFERROR(G739-_xlfn.MAXIFS(G$1:G738,J$1:J738,J739),""))</f>
        <v>16</v>
      </c>
      <c r="M739" s="863">
        <f>IF(COUNTIF(D$1:D738,D739)=0,"",IFERROR(G739-_xlfn.MAXIFS(G$1:G738,D$1:D738,D739),""))</f>
        <v>57</v>
      </c>
      <c r="N739" s="752" t="s">
        <v>10</v>
      </c>
    </row>
    <row r="740" spans="1:15" x14ac:dyDescent="0.45">
      <c r="A740" s="789">
        <f t="shared" si="9"/>
        <v>737</v>
      </c>
      <c r="B740" s="789" t="str" cm="1">
        <f t="array" ref="B740">IF(LEFT(D740,2)="长征",IFERROR(LOOKUP(2,1/(B$1:B739&lt;&gt;"-"),B$1:B739)+1,1),"-")</f>
        <v>-</v>
      </c>
      <c r="C740" s="789" cm="1">
        <f t="array" ref="C740">IF(LEFT(D740,2)&lt;&gt;"长征",IF(D740="","-",IFERROR(LOOKUP(2,1/(C$1:C739&lt;&gt;"-"),C$1:C739)+1,1)),"-")</f>
        <v>111</v>
      </c>
      <c r="D740" s="914" t="s">
        <v>2467</v>
      </c>
      <c r="E740" s="914" t="s">
        <v>63</v>
      </c>
      <c r="F740" s="914" t="s">
        <v>3387</v>
      </c>
      <c r="G740" s="790">
        <v>46038</v>
      </c>
      <c r="H740" s="914" t="s">
        <v>3363</v>
      </c>
      <c r="I740" s="914" t="s">
        <v>17</v>
      </c>
      <c r="J740" s="863" t="s">
        <v>503</v>
      </c>
      <c r="K740" s="879" t="s">
        <v>3375</v>
      </c>
      <c r="L740" s="863">
        <f>IF(COUNTIF(J$1:J739,J740)=0,"",IFERROR(G740-_xlfn.MAXIFS(G$1:G739,J$1:J739,J740),""))</f>
        <v>68</v>
      </c>
      <c r="M740" s="863">
        <f>IF(COUNTIF(D$1:D739,D740)=0,"",IFERROR(G740-_xlfn.MAXIFS(G$1:G739,D$1:D739,D740),""))</f>
        <v>242</v>
      </c>
      <c r="N740" s="752" t="s">
        <v>10</v>
      </c>
    </row>
    <row r="741" spans="1:15" x14ac:dyDescent="0.45">
      <c r="A741" s="789">
        <f t="shared" si="9"/>
        <v>738</v>
      </c>
      <c r="B741" s="789" cm="1">
        <f t="array" ref="B741">IF(LEFT(D741,2)="长征",IFERROR(LOOKUP(2,1/(B$1:B740&lt;&gt;"-"),B$1:B740)+1,1),"-")</f>
        <v>627</v>
      </c>
      <c r="C741" s="789" t="str" cm="1">
        <f t="array" ref="C741">IF(LEFT(D741,2)&lt;&gt;"长征",IF(D741="","-",IFERROR(LOOKUP(2,1/(C$1:C740&lt;&gt;"-"),C$1:C740)+1,1)),"-")</f>
        <v>-</v>
      </c>
      <c r="D741" s="914" t="s">
        <v>105</v>
      </c>
      <c r="E741" s="914" t="s">
        <v>3348</v>
      </c>
      <c r="F741" s="914" t="s">
        <v>3422</v>
      </c>
      <c r="G741" s="790">
        <v>46039</v>
      </c>
      <c r="H741" s="914" t="s">
        <v>3378</v>
      </c>
      <c r="I741" s="914" t="s">
        <v>51</v>
      </c>
      <c r="J741" s="863" t="s">
        <v>52</v>
      </c>
      <c r="K741" s="791" t="s">
        <v>1641</v>
      </c>
      <c r="L741" s="863">
        <f>IF(COUNTIF(J$1:J740,J741)=0,"",IFERROR(G741-_xlfn.MAXIFS(G$1:G740,J$1:J740,J741),""))</f>
        <v>21</v>
      </c>
      <c r="M741" s="863">
        <f>IF(COUNTIF(D$1:D740,D741)=0,"",IFERROR(G741-_xlfn.MAXIFS(G$1:G740,D$1:D740,D741),""))</f>
        <v>21</v>
      </c>
      <c r="N741" s="896" t="s">
        <v>18</v>
      </c>
    </row>
    <row r="742" spans="1:15" x14ac:dyDescent="0.45">
      <c r="A742" s="789">
        <f t="shared" si="9"/>
        <v>739</v>
      </c>
      <c r="B742" s="789" t="str" cm="1">
        <f t="array" ref="B742">IF(LEFT(D742,2)="长征",IFERROR(LOOKUP(2,1/(B$1:B741&lt;&gt;"-"),B$1:B741)+1,1),"-")</f>
        <v>-</v>
      </c>
      <c r="C742" s="789" cm="1">
        <f t="array" ref="C742">IF(LEFT(D742,2)&lt;&gt;"长征",IF(D742="","-",IFERROR(LOOKUP(2,1/(C$1:C741&lt;&gt;"-"),C$1:C741)+1,1)),"-")</f>
        <v>112</v>
      </c>
      <c r="D742" s="914" t="s">
        <v>2459</v>
      </c>
      <c r="E742" s="914" t="s">
        <v>42</v>
      </c>
      <c r="F742" s="914" t="s">
        <v>3389</v>
      </c>
      <c r="G742" s="790">
        <v>46039</v>
      </c>
      <c r="H742" s="914" t="s">
        <v>3384</v>
      </c>
      <c r="I742" s="914" t="s">
        <v>70</v>
      </c>
      <c r="J742" s="863" t="s">
        <v>9</v>
      </c>
      <c r="K742" s="791" t="s">
        <v>2469</v>
      </c>
      <c r="L742" s="863">
        <f>IF(COUNTIF(J$1:J741,J742)=0,"",IFERROR(G742-_xlfn.MAXIFS(G$1:G741,J$1:J741,J742),""))</f>
        <v>2</v>
      </c>
      <c r="M742" s="863" t="str">
        <f>IF(COUNTIF(D$1:D741,D742)=0,"",IFERROR(G742-_xlfn.MAXIFS(G$1:G741,D$1:D741,D742),""))</f>
        <v/>
      </c>
      <c r="N742" s="896" t="s">
        <v>18</v>
      </c>
    </row>
    <row r="743" spans="1:15" x14ac:dyDescent="0.45">
      <c r="A743" s="789">
        <f t="shared" si="9"/>
        <v>740</v>
      </c>
      <c r="B743" s="789" cm="1">
        <f t="array" ref="B743">IF(LEFT(D743,2)="长征",IFERROR(LOOKUP(2,1/(B$1:B742&lt;&gt;"-"),B$1:B742)+1,1),"-")</f>
        <v>628</v>
      </c>
      <c r="C743" s="789" t="str" cm="1">
        <f t="array" ref="C743">IF(LEFT(D743,2)&lt;&gt;"长征",IF(D743="","-",IFERROR(LOOKUP(2,1/(C$1:C742&lt;&gt;"-"),C$1:C742)+1,1)),"-")</f>
        <v>-</v>
      </c>
      <c r="D743" s="914" t="s">
        <v>2757</v>
      </c>
      <c r="E743" s="914" t="s">
        <v>30</v>
      </c>
      <c r="F743" s="914" t="s">
        <v>3349</v>
      </c>
      <c r="G743" s="790">
        <v>46041</v>
      </c>
      <c r="H743" s="914" t="s">
        <v>3364</v>
      </c>
      <c r="I743" s="914" t="s">
        <v>17</v>
      </c>
      <c r="J743" s="863" t="s">
        <v>2468</v>
      </c>
      <c r="K743" s="791" t="s">
        <v>1641</v>
      </c>
      <c r="L743" s="863">
        <f>IF(COUNTIF(J$1:J742,J743)=0,"",IFERROR(G743-_xlfn.MAXIFS(G$1:G742,J$1:J742,J743),""))</f>
        <v>6</v>
      </c>
      <c r="M743" s="863">
        <f>IF(COUNTIF(D$1:D742,D743)=0,"",IFERROR(G743-_xlfn.MAXIFS(G$1:G742,D$1:D742,D743),""))</f>
        <v>38</v>
      </c>
      <c r="N743" s="752" t="s">
        <v>10</v>
      </c>
    </row>
    <row r="744" spans="1:15" ht="18" thickBot="1" x14ac:dyDescent="0.5">
      <c r="A744" s="782">
        <f t="shared" si="9"/>
        <v>741</v>
      </c>
      <c r="B744" s="782" cm="1">
        <f t="array" ref="B744">IF(LEFT(D744,2)="长征",IFERROR(LOOKUP(2,1/(B$1:B743&lt;&gt;"-"),B$1:B743)+1,1),"-")</f>
        <v>629</v>
      </c>
      <c r="C744" s="782" t="str" cm="1">
        <f t="array" ref="C744">IF(LEFT(D744,2)&lt;&gt;"长征",IF(D744="","-",IFERROR(LOOKUP(2,1/(C$1:C743&lt;&gt;"-"),C$1:C743)+1,1)),"-")</f>
        <v>-</v>
      </c>
      <c r="D744" s="783" t="s">
        <v>41</v>
      </c>
      <c r="E744" s="783" t="s">
        <v>2052</v>
      </c>
      <c r="F744" s="783" t="s">
        <v>3391</v>
      </c>
      <c r="G744" s="784">
        <v>46053</v>
      </c>
      <c r="H744" s="783" t="s">
        <v>3187</v>
      </c>
      <c r="I744" s="783" t="s">
        <v>1977</v>
      </c>
      <c r="J744" s="785" t="s">
        <v>9</v>
      </c>
      <c r="K744" s="786" t="s">
        <v>2113</v>
      </c>
      <c r="L744" s="785">
        <f>IF(COUNTIF(J$1:J743,J744)=0,"",IFERROR(G744-_xlfn.MAXIFS(G$1:G743,J$1:J743,J744),""))</f>
        <v>14</v>
      </c>
      <c r="M744" s="785">
        <f>IF(COUNTIF(D$1:D743,D744)=0,"",IFERROR(G744-_xlfn.MAXIFS(G$1:G743,D$1:D743,D744),""))</f>
        <v>16</v>
      </c>
      <c r="N744" s="787" t="s">
        <v>10</v>
      </c>
      <c r="O744" s="874"/>
    </row>
    <row r="745" spans="1:15" x14ac:dyDescent="0.45">
      <c r="A745" s="838">
        <f t="shared" si="9"/>
        <v>742</v>
      </c>
      <c r="B745" s="838" cm="1">
        <f t="array" ref="B745">IF(LEFT(D745,2)="长征",IFERROR(LOOKUP(2,1/(B$1:B744&lt;&gt;"-"),B$1:B744)+1,1),"-")</f>
        <v>630</v>
      </c>
      <c r="C745" s="838" t="str" cm="1">
        <f t="array" ref="C745">IF(LEFT(D745,2)&lt;&gt;"长征",IF(D745="","-",IFERROR(LOOKUP(2,1/(C$1:C744&lt;&gt;"-"),C$1:C744)+1,1)),"-")</f>
        <v>-</v>
      </c>
      <c r="D745" s="839" t="s">
        <v>1425</v>
      </c>
      <c r="E745" s="839" t="s">
        <v>3396</v>
      </c>
      <c r="F745" s="928" t="s">
        <v>3394</v>
      </c>
      <c r="G745" s="840">
        <v>46060</v>
      </c>
      <c r="H745" s="839" t="s">
        <v>3395</v>
      </c>
      <c r="I745" s="839" t="s">
        <v>17</v>
      </c>
      <c r="J745" s="841" t="s">
        <v>1184</v>
      </c>
      <c r="K745" s="842" t="s">
        <v>1820</v>
      </c>
      <c r="L745" s="841">
        <f>IF(COUNTIF(J$1:J744,J745)=0,"",IFERROR(G745-_xlfn.MAXIFS(G$1:G744,J$1:J744,J745),""))</f>
        <v>7</v>
      </c>
      <c r="M745" s="841">
        <f>IF(COUNTIF(D$1:D744,D745)=0,"",IFERROR(G745-_xlfn.MAXIFS(G$1:G744,D$1:D744,D745),""))</f>
        <v>74</v>
      </c>
      <c r="N745" s="843" t="s">
        <v>10</v>
      </c>
    </row>
    <row r="746" spans="1:15" ht="18" thickBot="1" x14ac:dyDescent="0.5">
      <c r="A746" s="782">
        <f t="shared" si="9"/>
        <v>743</v>
      </c>
      <c r="B746" s="782" t="str" cm="1">
        <f t="array" ref="B746">IF(LEFT(D746,2)="长征",IFERROR(LOOKUP(2,1/(B$1:B745&lt;&gt;"-"),B$1:B745)+1,1),"-")</f>
        <v>-</v>
      </c>
      <c r="C746" s="782" cm="1">
        <f t="array" ref="C746">IF(LEFT(D746,2)&lt;&gt;"长征",IF(D746="","-",IFERROR(LOOKUP(2,1/(C$1:C745&lt;&gt;"-"),C$1:C745)+1,1)),"-")</f>
        <v>113</v>
      </c>
      <c r="D746" s="783" t="s">
        <v>732</v>
      </c>
      <c r="E746" s="783" t="s">
        <v>78</v>
      </c>
      <c r="F746" s="783" t="s">
        <v>3409</v>
      </c>
      <c r="G746" s="784">
        <v>46065</v>
      </c>
      <c r="H746" s="783" t="s">
        <v>3399</v>
      </c>
      <c r="I746" s="783" t="s">
        <v>70</v>
      </c>
      <c r="J746" s="785" t="s">
        <v>503</v>
      </c>
      <c r="K746" s="819" t="s">
        <v>3477</v>
      </c>
      <c r="L746" s="785">
        <f>IF(COUNTIF(J$1:J745,J746)=0,"",IFERROR(G746-_xlfn.MAXIFS(G$1:G745,J$1:J745,J746),""))</f>
        <v>27</v>
      </c>
      <c r="M746" s="785">
        <f>IF(COUNTIF(D$1:D745,D746)=0,"",IFERROR(G746-_xlfn.MAXIFS(G$1:G745,D$1:D745,D746),""))</f>
        <v>141</v>
      </c>
      <c r="N746" s="787" t="s">
        <v>10</v>
      </c>
      <c r="O746" s="874"/>
    </row>
    <row r="747" spans="1:15" x14ac:dyDescent="0.45">
      <c r="A747" s="838">
        <f t="shared" si="9"/>
        <v>744</v>
      </c>
      <c r="B747" s="838" cm="1">
        <f t="array" ref="B747">IF(LEFT(D747,2)="长征",IFERROR(LOOKUP(2,1/(B$1:B746&lt;&gt;"-"),B$1:B746)+1,1),"-")</f>
        <v>631</v>
      </c>
      <c r="C747" s="838" t="str" cm="1">
        <f t="array" ref="C747">IF(LEFT(D747,2)&lt;&gt;"长征",IF(D747="","-",IFERROR(LOOKUP(2,1/(C$1:C746&lt;&gt;"-"),C$1:C746)+1,1)),"-")</f>
        <v>-</v>
      </c>
      <c r="D747" s="839" t="s">
        <v>2551</v>
      </c>
      <c r="E747" s="839" t="s">
        <v>67</v>
      </c>
      <c r="F747" s="839" t="s">
        <v>3413</v>
      </c>
      <c r="G747" s="840">
        <v>46094</v>
      </c>
      <c r="H747" s="839" t="s">
        <v>2998</v>
      </c>
      <c r="I747" s="839" t="s">
        <v>17</v>
      </c>
      <c r="J747" s="841" t="s">
        <v>2468</v>
      </c>
      <c r="K747" s="842" t="s">
        <v>1713</v>
      </c>
      <c r="L747" s="841">
        <f>IF(COUNTIF(J$1:J746,J747)=0,"",IFERROR(G747-_xlfn.MAXIFS(G$1:G746,J$1:J746,J747),""))</f>
        <v>53</v>
      </c>
      <c r="M747" s="841">
        <f>IF(COUNTIF(D$1:D746,D747)=0,"",IFERROR(G747-_xlfn.MAXIFS(G$1:G746,D$1:D746,D747),""))</f>
        <v>59</v>
      </c>
      <c r="N747" s="843" t="s">
        <v>10</v>
      </c>
    </row>
    <row r="748" spans="1:15" x14ac:dyDescent="0.45">
      <c r="A748" s="789">
        <f t="shared" si="9"/>
        <v>745</v>
      </c>
      <c r="B748" s="789" cm="1">
        <f t="array" ref="B748">IF(LEFT(D748,2)="长征",IFERROR(LOOKUP(2,1/(B$1:B747&lt;&gt;"-"),B$1:B747)+1,1),"-")</f>
        <v>632</v>
      </c>
      <c r="C748" s="789" t="str" cm="1">
        <f t="array" ref="C748">IF(LEFT(D748,2)&lt;&gt;"长征",IF(D748="","-",IFERROR(LOOKUP(2,1/(C$1:C747&lt;&gt;"-"),C$1:C747)+1,1)),"-")</f>
        <v>-</v>
      </c>
      <c r="D748" s="914" t="s">
        <v>83</v>
      </c>
      <c r="E748" s="914" t="s">
        <v>3420</v>
      </c>
      <c r="F748" s="914" t="s">
        <v>3038</v>
      </c>
      <c r="G748" s="790">
        <v>46094</v>
      </c>
      <c r="H748" s="914" t="s">
        <v>3444</v>
      </c>
      <c r="I748" s="914" t="s">
        <v>17</v>
      </c>
      <c r="J748" s="863" t="s">
        <v>52</v>
      </c>
      <c r="K748" s="791" t="s">
        <v>1725</v>
      </c>
      <c r="L748" s="863">
        <f>IF(COUNTIF(J$1:J747,J748)=0,"",IFERROR(G748-_xlfn.MAXIFS(G$1:G747,J$1:J747,J748),""))</f>
        <v>55</v>
      </c>
      <c r="M748" s="863">
        <f>IF(COUNTIF(D$1:D747,D748)=0,"",IFERROR(G748-_xlfn.MAXIFS(G$1:G747,D$1:D747,D748),""))</f>
        <v>151</v>
      </c>
      <c r="N748" s="752" t="s">
        <v>10</v>
      </c>
    </row>
    <row r="749" spans="1:15" x14ac:dyDescent="0.45">
      <c r="A749" s="789">
        <f t="shared" si="9"/>
        <v>746</v>
      </c>
      <c r="B749" s="789" cm="1">
        <f t="array" ref="B749">IF(LEFT(D749,2)="长征",IFERROR(LOOKUP(2,1/(B$1:B748&lt;&gt;"-"),B$1:B748)+1,1),"-")</f>
        <v>633</v>
      </c>
      <c r="C749" s="789" t="str" cm="1">
        <f t="array" ref="C749">IF(LEFT(D749,2)&lt;&gt;"长征",IF(D749="","-",IFERROR(LOOKUP(2,1/(C$1:C748&lt;&gt;"-"),C$1:C748)+1,1)),"-")</f>
        <v>-</v>
      </c>
      <c r="D749" s="914" t="s">
        <v>670</v>
      </c>
      <c r="E749" s="914" t="s">
        <v>1448</v>
      </c>
      <c r="F749" s="914" t="s">
        <v>3416</v>
      </c>
      <c r="G749" s="790">
        <v>46096</v>
      </c>
      <c r="H749" s="914" t="s">
        <v>3427</v>
      </c>
      <c r="I749" s="914" t="s">
        <v>1977</v>
      </c>
      <c r="J749" s="863" t="s">
        <v>71</v>
      </c>
      <c r="K749" s="791" t="s">
        <v>672</v>
      </c>
      <c r="L749" s="863">
        <f>IF(COUNTIF(J$1:J748,J749)=0,"",IFERROR(G749-_xlfn.MAXIFS(G$1:G748,J$1:J748,J749),""))</f>
        <v>61</v>
      </c>
      <c r="M749" s="863">
        <f>IF(COUNTIF(D$1:D748,D749)=0,"",IFERROR(G749-_xlfn.MAXIFS(G$1:G748,D$1:D748,D749),""))</f>
        <v>61</v>
      </c>
      <c r="N749" s="752" t="s">
        <v>10</v>
      </c>
    </row>
    <row r="750" spans="1:15" x14ac:dyDescent="0.45">
      <c r="A750" s="789">
        <f t="shared" si="9"/>
        <v>747</v>
      </c>
      <c r="B750" s="789" t="str" cm="1">
        <f t="array" ref="B750">IF(LEFT(D750,2)="长征",IFERROR(LOOKUP(2,1/(B$1:B749&lt;&gt;"-"),B$1:B749)+1,1),"-")</f>
        <v>-</v>
      </c>
      <c r="C750" s="789" cm="1">
        <f t="array" ref="C750">IF(LEFT(D750,2)&lt;&gt;"长征",IF(D750="","-",IFERROR(LOOKUP(2,1/(C$1:C749&lt;&gt;"-"),C$1:C749)+1,1)),"-")</f>
        <v>114</v>
      </c>
      <c r="D750" s="914" t="s">
        <v>1935</v>
      </c>
      <c r="E750" s="914" t="s">
        <v>63</v>
      </c>
      <c r="F750" s="914" t="s">
        <v>3440</v>
      </c>
      <c r="G750" s="790">
        <v>46097</v>
      </c>
      <c r="H750" s="914" t="s">
        <v>1814</v>
      </c>
      <c r="I750" s="914" t="s">
        <v>70</v>
      </c>
      <c r="J750" s="863" t="s">
        <v>9</v>
      </c>
      <c r="K750" s="791" t="s">
        <v>2469</v>
      </c>
      <c r="L750" s="863">
        <f>IF(COUNTIF(J$1:J749,J750)=0,"",IFERROR(G750-_xlfn.MAXIFS(G$1:G749,J$1:J749,J750),""))</f>
        <v>37</v>
      </c>
      <c r="M750" s="863">
        <f>IF(COUNTIF(D$1:D749,D750)=0,"",IFERROR(G750-_xlfn.MAXIFS(G$1:G749,D$1:D749,D750),""))</f>
        <v>93</v>
      </c>
      <c r="N750" s="752" t="s">
        <v>10</v>
      </c>
    </row>
    <row r="751" spans="1:15" x14ac:dyDescent="0.45">
      <c r="A751" s="789">
        <f t="shared" si="9"/>
        <v>748</v>
      </c>
      <c r="B751" s="789" t="str" cm="1">
        <f t="array" ref="B751">IF(LEFT(D751,2)="长征",IFERROR(LOOKUP(2,1/(B$1:B750&lt;&gt;"-"),B$1:B750)+1,1),"-")</f>
        <v>-</v>
      </c>
      <c r="C751" s="789" cm="1">
        <f t="array" ref="C751">IF(LEFT(D751,2)&lt;&gt;"长征",IF(D751="","-",IFERROR(LOOKUP(2,1/(C$1:C750&lt;&gt;"-"),C$1:C750)+1,1)),"-")</f>
        <v>115</v>
      </c>
      <c r="D751" s="914" t="s">
        <v>732</v>
      </c>
      <c r="E751" s="914" t="s">
        <v>86</v>
      </c>
      <c r="F751" s="926" t="s">
        <v>3426</v>
      </c>
      <c r="G751" s="790">
        <v>46103</v>
      </c>
      <c r="H751" s="914" t="s">
        <v>3441</v>
      </c>
      <c r="I751" s="914" t="s">
        <v>1237</v>
      </c>
      <c r="J751" s="863" t="s">
        <v>503</v>
      </c>
      <c r="K751" s="879" t="s">
        <v>3153</v>
      </c>
      <c r="L751" s="863">
        <f>IF(COUNTIF(J$1:J750,J751)=0,"",IFERROR(G751-_xlfn.MAXIFS(G$1:G750,J$1:J750,J751),""))</f>
        <v>38</v>
      </c>
      <c r="M751" s="863">
        <f>IF(COUNTIF(D$1:D750,D751)=0,"",IFERROR(G751-_xlfn.MAXIFS(G$1:G750,D$1:D750,D751),""))</f>
        <v>38</v>
      </c>
      <c r="N751" s="752" t="s">
        <v>10</v>
      </c>
    </row>
    <row r="752" spans="1:15" x14ac:dyDescent="0.45">
      <c r="A752" s="789">
        <f t="shared" si="9"/>
        <v>749</v>
      </c>
      <c r="B752" s="789" cm="1">
        <f t="array" ref="B752">IF(LEFT(D752,2)="长征",IFERROR(LOOKUP(2,1/(B$1:B751&lt;&gt;"-"),B$1:B751)+1,1),"-")</f>
        <v>634</v>
      </c>
      <c r="C752" s="789" t="str" cm="1">
        <f t="array" ref="C752">IF(LEFT(D752,2)&lt;&gt;"长征",IF(D752="","-",IFERROR(LOOKUP(2,1/(C$1:C751&lt;&gt;"-"),C$1:C751)+1,1)),"-")</f>
        <v>-</v>
      </c>
      <c r="D752" s="914" t="s">
        <v>979</v>
      </c>
      <c r="E752" s="914" t="s">
        <v>2575</v>
      </c>
      <c r="F752" s="926" t="s">
        <v>2687</v>
      </c>
      <c r="G752" s="790">
        <v>46107</v>
      </c>
      <c r="H752" s="914" t="s">
        <v>1670</v>
      </c>
      <c r="I752" s="914" t="s">
        <v>70</v>
      </c>
      <c r="J752" s="863" t="s">
        <v>71</v>
      </c>
      <c r="K752" s="791" t="s">
        <v>3285</v>
      </c>
      <c r="L752" s="863">
        <f>IF(COUNTIF(J$1:J751,J752)=0,"",IFERROR(G752-_xlfn.MAXIFS(G$1:G751,J$1:J751,J752),""))</f>
        <v>11</v>
      </c>
      <c r="M752" s="863">
        <f>IF(COUNTIF(D$1:D751,D752)=0,"",IFERROR(G752-_xlfn.MAXIFS(G$1:G751,D$1:D751,D752),""))</f>
        <v>13</v>
      </c>
      <c r="N752" s="752" t="s">
        <v>10</v>
      </c>
    </row>
    <row r="753" spans="1:15" x14ac:dyDescent="0.45">
      <c r="A753" s="789">
        <f t="shared" si="9"/>
        <v>750</v>
      </c>
      <c r="B753" s="789" cm="1">
        <f t="array" ref="B753">IF(LEFT(D753,2)="长征",IFERROR(LOOKUP(2,1/(B$1:B752&lt;&gt;"-"),B$1:B752)+1,1),"-")</f>
        <v>635</v>
      </c>
      <c r="C753" s="789" t="str" cm="1">
        <f t="array" ref="C753">IF(LEFT(D753,2)&lt;&gt;"长征",IF(D753="","-",IFERROR(LOOKUP(2,1/(C$1:C752&lt;&gt;"-"),C$1:C752)+1,1)),"-")</f>
        <v>-</v>
      </c>
      <c r="D753" s="914" t="s">
        <v>41</v>
      </c>
      <c r="E753" s="914" t="s">
        <v>3453</v>
      </c>
      <c r="F753" s="914" t="s">
        <v>3452</v>
      </c>
      <c r="G753" s="790">
        <v>46108</v>
      </c>
      <c r="H753" s="914" t="s">
        <v>2130</v>
      </c>
      <c r="I753" s="914" t="s">
        <v>1977</v>
      </c>
      <c r="J753" s="863" t="s">
        <v>9</v>
      </c>
      <c r="K753" s="791" t="s">
        <v>2113</v>
      </c>
      <c r="L753" s="863">
        <f>IF(COUNTIF(J$1:J752,J753)=0,"",IFERROR(G753-_xlfn.MAXIFS(G$1:G752,J$1:J752,J753),""))</f>
        <v>11</v>
      </c>
      <c r="M753" s="863">
        <f>IF(COUNTIF(D$1:D752,D753)=0,"",IFERROR(G753-_xlfn.MAXIFS(G$1:G752,D$1:D752,D753),""))</f>
        <v>55</v>
      </c>
      <c r="N753" s="752" t="s">
        <v>10</v>
      </c>
      <c r="O753" s="718" t="s">
        <v>3433</v>
      </c>
    </row>
    <row r="754" spans="1:15" ht="18" thickBot="1" x14ac:dyDescent="0.5">
      <c r="A754" s="782">
        <f t="shared" si="9"/>
        <v>751</v>
      </c>
      <c r="B754" s="782" t="str" cm="1">
        <f t="array" ref="B754">IF(LEFT(D754,2)="长征",IFERROR(LOOKUP(2,1/(B$1:B753&lt;&gt;"-"),B$1:B753)+1,1),"-")</f>
        <v>-</v>
      </c>
      <c r="C754" s="782" cm="1">
        <f t="array" ref="C754">IF(LEFT(D754,2)&lt;&gt;"长征",IF(D754="","-",IFERROR(LOOKUP(2,1/(C$1:C753&lt;&gt;"-"),C$1:C753)+1,1)),"-")</f>
        <v>116</v>
      </c>
      <c r="D754" s="783" t="s">
        <v>1460</v>
      </c>
      <c r="E754" s="783" t="s">
        <v>1198</v>
      </c>
      <c r="F754" s="927" t="s">
        <v>3509</v>
      </c>
      <c r="G754" s="784">
        <v>46111</v>
      </c>
      <c r="H754" s="783" t="s">
        <v>1160</v>
      </c>
      <c r="I754" s="783" t="s">
        <v>2195</v>
      </c>
      <c r="J754" s="785" t="s">
        <v>9</v>
      </c>
      <c r="K754" s="786" t="s">
        <v>3454</v>
      </c>
      <c r="L754" s="785">
        <f>IF(COUNTIF(J$1:J753,J754)=0,"",IFERROR(G754-_xlfn.MAXIFS(G$1:G753,J$1:J753,J754),""))</f>
        <v>3</v>
      </c>
      <c r="M754" s="785" t="str">
        <f>IF(COUNTIF(D$1:D753,D754)=0,"",IFERROR(G754-_xlfn.MAXIFS(G$1:G753,D$1:D753,D754),""))</f>
        <v/>
      </c>
      <c r="N754" s="787" t="s">
        <v>10</v>
      </c>
      <c r="O754" s="874"/>
    </row>
    <row r="755" spans="1:15" x14ac:dyDescent="0.45">
      <c r="A755" s="838">
        <f t="shared" si="9"/>
        <v>752</v>
      </c>
      <c r="B755" s="838" t="str" cm="1">
        <f t="array" ref="B755">IF(LEFT(D755,2)="长征",IFERROR(LOOKUP(2,1/(B$1:B754&lt;&gt;"-"),B$1:B754)+1,1),"-")</f>
        <v>-</v>
      </c>
      <c r="C755" s="838" cm="1">
        <f t="array" ref="C755">IF(LEFT(D755,2)&lt;&gt;"长征",IF(D755="","-",IFERROR(LOOKUP(2,1/(C$1:C754&lt;&gt;"-"),C$1:C754)+1,1)),"-")</f>
        <v>117</v>
      </c>
      <c r="D755" s="839" t="s">
        <v>3198</v>
      </c>
      <c r="E755" s="839" t="s">
        <v>42</v>
      </c>
      <c r="F755" s="928" t="s">
        <v>3599</v>
      </c>
      <c r="G755" s="840">
        <v>46115</v>
      </c>
      <c r="H755" s="839" t="s">
        <v>3474</v>
      </c>
      <c r="I755" s="839" t="s">
        <v>70</v>
      </c>
      <c r="J755" s="841" t="s">
        <v>9</v>
      </c>
      <c r="K755" s="842" t="s">
        <v>2938</v>
      </c>
      <c r="L755" s="841">
        <f>IF(COUNTIF(J$1:J754,J755)=0,"",IFERROR(G755-_xlfn.MAXIFS(G$1:G754,J$1:J754,J755),""))</f>
        <v>4</v>
      </c>
      <c r="M755" s="841" t="str">
        <f>IF(COUNTIF(D$1:D754,D755)=0,"",IFERROR(G755-_xlfn.MAXIFS(G$1:G754,D$1:D754,D755),""))</f>
        <v/>
      </c>
      <c r="N755" s="896" t="s">
        <v>18</v>
      </c>
      <c r="O755" s="711"/>
    </row>
    <row r="756" spans="1:15" x14ac:dyDescent="0.45">
      <c r="A756" s="789">
        <f t="shared" si="9"/>
        <v>753</v>
      </c>
      <c r="B756" s="789" cm="1">
        <f t="array" ref="B756">IF(LEFT(D756,2)="长征",IFERROR(LOOKUP(2,1/(B$1:B755&lt;&gt;"-"),B$1:B755)+1,1),"-")</f>
        <v>636</v>
      </c>
      <c r="C756" s="789" t="str" cm="1">
        <f t="array" ref="C756">IF(LEFT(D756,2)&lt;&gt;"长征",IF(D756="","-",IFERROR(LOOKUP(2,1/(C$1:C755&lt;&gt;"-"),C$1:C755)+1,1)),"-")</f>
        <v>-</v>
      </c>
      <c r="D756" s="914" t="s">
        <v>585</v>
      </c>
      <c r="E756" s="914" t="s">
        <v>997</v>
      </c>
      <c r="F756" s="914" t="s">
        <v>3609</v>
      </c>
      <c r="G756" s="790">
        <v>46119</v>
      </c>
      <c r="H756" s="914" t="s">
        <v>3466</v>
      </c>
      <c r="I756" s="914" t="s">
        <v>1977</v>
      </c>
      <c r="J756" s="863" t="s">
        <v>2468</v>
      </c>
      <c r="K756" s="791" t="s">
        <v>1713</v>
      </c>
      <c r="L756" s="863">
        <f>IF(COUNTIF(J$1:J755,J756)=0,"",IFERROR(G756-_xlfn.MAXIFS(G$1:G755,J$1:J755,J756),""))</f>
        <v>25</v>
      </c>
      <c r="M756" s="863">
        <f>IF(COUNTIF(D$1:D755,D756)=0,"",IFERROR(G756-_xlfn.MAXIFS(G$1:G755,D$1:D755,D756),""))</f>
        <v>391</v>
      </c>
      <c r="N756" s="752" t="s">
        <v>10</v>
      </c>
      <c r="O756" s="711"/>
    </row>
    <row r="757" spans="1:15" x14ac:dyDescent="0.45">
      <c r="A757" s="789">
        <f t="shared" si="9"/>
        <v>754</v>
      </c>
      <c r="B757" s="789" cm="1">
        <f t="array" ref="B757">IF(LEFT(D757,2)="长征",IFERROR(LOOKUP(2,1/(B$1:B756&lt;&gt;"-"),B$1:B756)+1,1),"-")</f>
        <v>637</v>
      </c>
      <c r="C757" s="789" t="str" cm="1">
        <f t="array" ref="C757">IF(LEFT(D757,2)&lt;&gt;"长征",IF(D757="","-",IFERROR(LOOKUP(2,1/(C$1:C756&lt;&gt;"-"),C$1:C756)+1,1)),"-")</f>
        <v>-</v>
      </c>
      <c r="D757" s="914" t="s">
        <v>670</v>
      </c>
      <c r="E757" s="914" t="s">
        <v>1013</v>
      </c>
      <c r="F757" s="914" t="s">
        <v>3456</v>
      </c>
      <c r="G757" s="790">
        <v>46121</v>
      </c>
      <c r="H757" s="914" t="s">
        <v>3469</v>
      </c>
      <c r="I757" s="914" t="s">
        <v>448</v>
      </c>
      <c r="J757" s="863" t="s">
        <v>71</v>
      </c>
      <c r="K757" s="791" t="s">
        <v>672</v>
      </c>
      <c r="L757" s="863">
        <f>IF(COUNTIF(J$1:J756,J757)=0,"",IFERROR(G757-_xlfn.MAXIFS(G$1:G756,J$1:J756,J757),""))</f>
        <v>14</v>
      </c>
      <c r="M757" s="863">
        <f>IF(COUNTIF(D$1:D756,D757)=0,"",IFERROR(G757-_xlfn.MAXIFS(G$1:G756,D$1:D756,D757),""))</f>
        <v>25</v>
      </c>
      <c r="N757" s="752" t="s">
        <v>10</v>
      </c>
      <c r="O757" s="711"/>
    </row>
    <row r="758" spans="1:15" ht="18" thickBot="1" x14ac:dyDescent="0.5">
      <c r="A758" s="789">
        <f t="shared" si="9"/>
        <v>755</v>
      </c>
      <c r="B758" s="789" t="str" cm="1">
        <f t="array" ref="B758">IF(LEFT(D758,2)="长征",IFERROR(LOOKUP(2,1/(B$1:B757&lt;&gt;"-"),B$1:B757)+1,1),"-")</f>
        <v>-</v>
      </c>
      <c r="C758" s="789" cm="1">
        <f t="array" ref="C758">IF(LEFT(D758,2)&lt;&gt;"长征",IF(D758="","-",IFERROR(LOOKUP(2,1/(C$1:C757&lt;&gt;"-"),C$1:C757)+1,1)),"-")</f>
        <v>118</v>
      </c>
      <c r="D758" s="914" t="s">
        <v>732</v>
      </c>
      <c r="E758" s="914" t="s">
        <v>90</v>
      </c>
      <c r="F758" s="914" t="s">
        <v>3511</v>
      </c>
      <c r="G758" s="790">
        <v>46123</v>
      </c>
      <c r="H758" s="914" t="s">
        <v>3504</v>
      </c>
      <c r="I758" s="914" t="s">
        <v>70</v>
      </c>
      <c r="J758" s="863" t="s">
        <v>503</v>
      </c>
      <c r="K758" s="819" t="s">
        <v>3477</v>
      </c>
      <c r="L758" s="863">
        <f>IF(COUNTIF(J$1:J757,J758)=0,"",IFERROR(G758-_xlfn.MAXIFS(G$1:G757,J$1:J757,J758),""))</f>
        <v>20</v>
      </c>
      <c r="M758" s="863">
        <f>IF(COUNTIF(D$1:D757,D758)=0,"",IFERROR(G758-_xlfn.MAXIFS(G$1:G757,D$1:D757,D758),""))</f>
        <v>20</v>
      </c>
      <c r="N758" s="752" t="s">
        <v>10</v>
      </c>
      <c r="O758" s="711"/>
    </row>
    <row r="759" spans="1:15" x14ac:dyDescent="0.45">
      <c r="A759" s="789">
        <f t="shared" si="9"/>
        <v>756</v>
      </c>
      <c r="B759" s="789" t="str" cm="1">
        <f t="array" ref="B759">IF(LEFT(D759,2)="长征",IFERROR(LOOKUP(2,1/(B$1:B758&lt;&gt;"-"),B$1:B758)+1,1),"-")</f>
        <v>-</v>
      </c>
      <c r="C759" s="789" cm="1">
        <f t="array" ref="C759">IF(LEFT(D759,2)&lt;&gt;"长征",IF(D759="","-",IFERROR(LOOKUP(2,1/(C$1:C758&lt;&gt;"-"),C$1:C758)+1,1)),"-")</f>
        <v>119</v>
      </c>
      <c r="D759" s="914" t="s">
        <v>695</v>
      </c>
      <c r="E759" s="914" t="s">
        <v>142</v>
      </c>
      <c r="F759" s="914" t="s">
        <v>3470</v>
      </c>
      <c r="G759" s="790">
        <v>46126</v>
      </c>
      <c r="H759" s="914" t="s">
        <v>606</v>
      </c>
      <c r="I759" s="914" t="s">
        <v>1977</v>
      </c>
      <c r="J759" s="863" t="s">
        <v>9</v>
      </c>
      <c r="K759" s="791" t="s">
        <v>2531</v>
      </c>
      <c r="L759" s="863">
        <f>IF(COUNTIF(J$1:J758,J759)=0,"",IFERROR(G759-_xlfn.MAXIFS(G$1:G758,J$1:J758,J759),""))</f>
        <v>11</v>
      </c>
      <c r="M759" s="863">
        <f>IF(COUNTIF(D$1:D758,D759)=0,"",IFERROR(G759-_xlfn.MAXIFS(G$1:G758,D$1:D758,D759),""))</f>
        <v>125</v>
      </c>
      <c r="N759" s="752" t="s">
        <v>10</v>
      </c>
      <c r="O759" s="711"/>
    </row>
    <row r="760" spans="1:15" x14ac:dyDescent="0.45">
      <c r="A760" s="789">
        <f t="shared" si="9"/>
        <v>757</v>
      </c>
      <c r="B760" s="789" cm="1">
        <f t="array" ref="B760">IF(LEFT(D760,2)="长征",IFERROR(LOOKUP(2,1/(B$1:B759&lt;&gt;"-"),B$1:B759)+1,1),"-")</f>
        <v>638</v>
      </c>
      <c r="C760" s="789" t="str" cm="1">
        <f t="array" ref="C760">IF(LEFT(D760,2)&lt;&gt;"长征",IF(D760="","-",IFERROR(LOOKUP(2,1/(C$1:C759&lt;&gt;"-"),C$1:C759)+1,1)),"-")</f>
        <v>-</v>
      </c>
      <c r="D760" s="914" t="s">
        <v>995</v>
      </c>
      <c r="E760" s="914" t="s">
        <v>3516</v>
      </c>
      <c r="F760" s="914" t="s">
        <v>3517</v>
      </c>
      <c r="G760" s="790">
        <v>46129</v>
      </c>
      <c r="H760" s="914" t="s">
        <v>1153</v>
      </c>
      <c r="I760" s="914" t="s">
        <v>1977</v>
      </c>
      <c r="J760" s="863" t="s">
        <v>1184</v>
      </c>
      <c r="K760" s="791" t="s">
        <v>2113</v>
      </c>
      <c r="L760" s="863">
        <f>IF(COUNTIF(J$1:J759,J760)=0,"",IFERROR(G760-_xlfn.MAXIFS(G$1:G759,J$1:J759,J760),""))</f>
        <v>3</v>
      </c>
      <c r="M760" s="863">
        <f>IF(COUNTIF(D$1:D759,D760)=0,"",IFERROR(G760-_xlfn.MAXIFS(G$1:G759,D$1:D759,D760),""))</f>
        <v>202</v>
      </c>
      <c r="N760" s="752" t="s">
        <v>10</v>
      </c>
      <c r="O760" s="711"/>
    </row>
    <row r="761" spans="1:15" x14ac:dyDescent="0.45">
      <c r="A761" s="789">
        <f t="shared" si="9"/>
        <v>758</v>
      </c>
      <c r="B761" s="789" cm="1">
        <f t="array" ref="B761">IF(LEFT(D761,2)="长征",IFERROR(LOOKUP(2,1/(B$1:B760&lt;&gt;"-"),B$1:B760)+1,1),"-")</f>
        <v>639</v>
      </c>
      <c r="C761" s="789" t="str" cm="1">
        <f t="array" ref="C761">IF(LEFT(D761,2)&lt;&gt;"长征",IF(D761="","-",IFERROR(LOOKUP(2,1/(C$1:C760&lt;&gt;"-"),C$1:C760)+1,1)),"-")</f>
        <v>-</v>
      </c>
      <c r="D761" s="914" t="s">
        <v>979</v>
      </c>
      <c r="E761" s="914" t="s">
        <v>2777</v>
      </c>
      <c r="F761" s="926" t="s">
        <v>3526</v>
      </c>
      <c r="G761" s="790">
        <v>46136</v>
      </c>
      <c r="H761" s="914" t="s">
        <v>3523</v>
      </c>
      <c r="I761" s="914" t="s">
        <v>1237</v>
      </c>
      <c r="J761" s="863" t="s">
        <v>52</v>
      </c>
      <c r="K761" s="791" t="s">
        <v>1659</v>
      </c>
      <c r="L761" s="863">
        <f>IF(COUNTIF(J$1:J760,J761)=0,"",IFERROR(G761-_xlfn.MAXIFS(G$1:G760,J$1:J760,J761),""))</f>
        <v>42</v>
      </c>
      <c r="M761" s="863">
        <f>IF(COUNTIF(D$1:D760,D761)=0,"",IFERROR(G761-_xlfn.MAXIFS(G$1:G760,D$1:D760,D761),""))</f>
        <v>29</v>
      </c>
      <c r="N761" s="752" t="s">
        <v>10</v>
      </c>
      <c r="O761" s="711"/>
    </row>
    <row r="762" spans="1:15" ht="18" thickBot="1" x14ac:dyDescent="0.5">
      <c r="A762" s="782">
        <f t="shared" si="9"/>
        <v>759</v>
      </c>
      <c r="B762" s="782" cm="1">
        <f t="array" ref="B762">IF(LEFT(D762,2)="长征",IFERROR(LOOKUP(2,1/(B$1:B761&lt;&gt;"-"),B$1:B761)+1,1),"-")</f>
        <v>640</v>
      </c>
      <c r="C762" s="782" t="str" cm="1">
        <f t="array" ref="C762">IF(LEFT(D762,2)&lt;&gt;"长征",IF(D762="","-",IFERROR(LOOKUP(2,1/(C$1:C761&lt;&gt;"-"),C$1:C761)+1,1)),"-")</f>
        <v>-</v>
      </c>
      <c r="D762" s="783" t="s">
        <v>355</v>
      </c>
      <c r="E762" s="783" t="s">
        <v>174</v>
      </c>
      <c r="F762" s="927" t="s">
        <v>3541</v>
      </c>
      <c r="G762" s="784">
        <v>46137</v>
      </c>
      <c r="H762" s="783" t="s">
        <v>3533</v>
      </c>
      <c r="I762" s="783" t="s">
        <v>70</v>
      </c>
      <c r="J762" s="785" t="s">
        <v>71</v>
      </c>
      <c r="K762" s="786" t="s">
        <v>2182</v>
      </c>
      <c r="L762" s="785">
        <f>IF(COUNTIF(J$1:J761,J762)=0,"",IFERROR(G762-_xlfn.MAXIFS(G$1:G761,J$1:J761,J762),""))</f>
        <v>16</v>
      </c>
      <c r="M762" s="785">
        <f>IF(COUNTIF(D$1:D761,D762)=0,"",IFERROR(G762-_xlfn.MAXIFS(G$1:G761,D$1:D761,D762),""))</f>
        <v>387</v>
      </c>
      <c r="N762" s="787" t="s">
        <v>10</v>
      </c>
      <c r="O762" s="1168"/>
    </row>
    <row r="763" spans="1:15" x14ac:dyDescent="0.45">
      <c r="A763" s="838">
        <f t="shared" si="9"/>
        <v>760</v>
      </c>
      <c r="B763" s="838" cm="1">
        <f t="array" ref="B763">IF(LEFT(D763,2)="长征",IFERROR(LOOKUP(2,1/(B$1:B762&lt;&gt;"-"),B$1:B762)+1,1),"-")</f>
        <v>641</v>
      </c>
      <c r="C763" s="838" t="str" cm="1">
        <f t="array" ref="C763">IF(LEFT(D763,2)&lt;&gt;"长征",IF(D763="","-",IFERROR(LOOKUP(2,1/(C$1:C762&lt;&gt;"-"),C$1:C762)+1,1)),"-")</f>
        <v>-</v>
      </c>
      <c r="D763" s="839" t="s">
        <v>386</v>
      </c>
      <c r="E763" s="839" t="s">
        <v>90</v>
      </c>
      <c r="F763" s="839" t="s">
        <v>3586</v>
      </c>
      <c r="G763" s="840">
        <v>46153</v>
      </c>
      <c r="H763" s="839" t="s">
        <v>3568</v>
      </c>
      <c r="I763" s="839" t="s">
        <v>17</v>
      </c>
      <c r="J763" s="841" t="s">
        <v>388</v>
      </c>
      <c r="K763" s="842" t="s">
        <v>2552</v>
      </c>
      <c r="L763" s="841">
        <f>IF(COUNTIF(J$1:J762,J763)=0,"",IFERROR(G763-_xlfn.MAXIFS(G$1:G762,J$1:J762,J763),""))</f>
        <v>131</v>
      </c>
      <c r="M763" s="841">
        <f>IF(COUNTIF(D$1:D762,D763)=0,"",IFERROR(G763-_xlfn.MAXIFS(G$1:G762,D$1:D762,D763),""))</f>
        <v>300</v>
      </c>
      <c r="N763" s="843" t="s">
        <v>10</v>
      </c>
      <c r="O763" s="711"/>
    </row>
    <row r="764" spans="1:15" x14ac:dyDescent="0.45">
      <c r="A764" s="789">
        <f t="shared" si="9"/>
        <v>761</v>
      </c>
      <c r="B764" s="789" cm="1">
        <f t="array" ref="B764">IF(LEFT(D764,2)="长征",IFERROR(LOOKUP(2,1/(B$1:B763&lt;&gt;"-"),B$1:B763)+1,1),"-")</f>
        <v>642</v>
      </c>
      <c r="C764" s="789" t="str" cm="1">
        <f t="array" ref="C764">IF(LEFT(D764,2)&lt;&gt;"长征",IF(D764="","-",IFERROR(LOOKUP(2,1/(C$1:C763&lt;&gt;"-"),C$1:C763)+1,1)),"-")</f>
        <v>-</v>
      </c>
      <c r="D764" s="914" t="s">
        <v>3567</v>
      </c>
      <c r="E764" s="914" t="s">
        <v>3591</v>
      </c>
      <c r="F764" s="926" t="s">
        <v>3570</v>
      </c>
      <c r="G764" s="790">
        <v>46154</v>
      </c>
      <c r="H764" s="914" t="s">
        <v>3590</v>
      </c>
      <c r="I764" s="914" t="s">
        <v>2195</v>
      </c>
      <c r="J764" s="863" t="s">
        <v>2170</v>
      </c>
      <c r="K764" s="791" t="s">
        <v>1222</v>
      </c>
      <c r="L764" s="863">
        <f>IF(COUNTIF(J$1:J763,J764)=0,"",IFERROR(G764-_xlfn.MAXIFS(G$1:G763,J$1:J763,J764),""))</f>
        <v>17</v>
      </c>
      <c r="M764" s="863">
        <f>IF(COUNTIF(D$1:D763,D764)=0,"",IFERROR(G764-_xlfn.MAXIFS(G$1:G763,D$1:D763,D764),""))</f>
        <v>33</v>
      </c>
      <c r="N764" s="752" t="s">
        <v>10</v>
      </c>
      <c r="O764" s="711"/>
    </row>
    <row r="765" spans="1:15" x14ac:dyDescent="0.45">
      <c r="A765" s="789">
        <f t="shared" si="9"/>
        <v>762</v>
      </c>
      <c r="B765" s="789" t="str" cm="1">
        <f t="array" ref="B765">IF(LEFT(D765,2)="长征",IFERROR(LOOKUP(2,1/(B$1:B764&lt;&gt;"-"),B$1:B764)+1,1),"-")</f>
        <v>-</v>
      </c>
      <c r="C765" s="789" cm="1">
        <f t="array" ref="C765">IF(LEFT(D765,2)&lt;&gt;"长征",IF(D765="","-",IFERROR(LOOKUP(2,1/(C$1:C764&lt;&gt;"-"),C$1:C764)+1,1)),"-")</f>
        <v>120</v>
      </c>
      <c r="D765" s="914" t="s">
        <v>2443</v>
      </c>
      <c r="E765" s="914" t="s">
        <v>30</v>
      </c>
      <c r="F765" s="926" t="s">
        <v>3596</v>
      </c>
      <c r="G765" s="790">
        <v>46156</v>
      </c>
      <c r="H765" s="914" t="s">
        <v>3080</v>
      </c>
      <c r="I765" s="914" t="s">
        <v>70</v>
      </c>
      <c r="J765" s="863" t="s">
        <v>9</v>
      </c>
      <c r="K765" s="791" t="s">
        <v>2469</v>
      </c>
      <c r="L765" s="863">
        <f>IF(COUNTIF(J$1:J764,J765)=0,"",IFERROR(G765-_xlfn.MAXIFS(G$1:G764,J$1:J764,J765),""))</f>
        <v>27</v>
      </c>
      <c r="M765" s="863">
        <f>IF(COUNTIF(D$1:D764,D765)=0,"",IFERROR(G765-_xlfn.MAXIFS(G$1:G764,D$1:D764,D765),""))</f>
        <v>272</v>
      </c>
      <c r="N765" s="752" t="s">
        <v>10</v>
      </c>
      <c r="O765" s="711"/>
    </row>
    <row r="766" spans="1:15" x14ac:dyDescent="0.45">
      <c r="A766" s="789">
        <f t="shared" si="9"/>
        <v>763</v>
      </c>
      <c r="B766" s="789" t="str" cm="1">
        <f t="array" ref="B766">IF(LEFT(D766,2)="长征",IFERROR(LOOKUP(2,1/(B$1:B765&lt;&gt;"-"),B$1:B765)+1,1),"-")</f>
        <v>-</v>
      </c>
      <c r="C766" s="789" cm="1">
        <f t="array" ref="C766">IF(LEFT(D766,2)&lt;&gt;"长征",IF(D766="","-",IFERROR(LOOKUP(2,1/(C$1:C765&lt;&gt;"-"),C$1:C765)+1,1)),"-")</f>
        <v>121</v>
      </c>
      <c r="D766" s="914" t="s">
        <v>695</v>
      </c>
      <c r="E766" s="914" t="s">
        <v>178</v>
      </c>
      <c r="F766" s="914" t="s">
        <v>3600</v>
      </c>
      <c r="G766" s="790">
        <v>46157</v>
      </c>
      <c r="H766" s="914" t="s">
        <v>3574</v>
      </c>
      <c r="I766" s="914" t="s">
        <v>1977</v>
      </c>
      <c r="J766" s="863" t="s">
        <v>9</v>
      </c>
      <c r="K766" s="791" t="s">
        <v>2531</v>
      </c>
      <c r="L766" s="863">
        <f>IF(COUNTIF(J$1:J765,J766)=0,"",IFERROR(G766-_xlfn.MAXIFS(G$1:G765,J$1:J765,J766),""))</f>
        <v>1</v>
      </c>
      <c r="M766" s="863">
        <f>IF(COUNTIF(D$1:D765,D766)=0,"",IFERROR(G766-_xlfn.MAXIFS(G$1:G765,D$1:D765,D766),""))</f>
        <v>31</v>
      </c>
      <c r="N766" s="752" t="s">
        <v>10</v>
      </c>
      <c r="O766" s="711"/>
    </row>
    <row r="767" spans="1:15" x14ac:dyDescent="0.45">
      <c r="A767" s="789">
        <f t="shared" si="9"/>
        <v>764</v>
      </c>
      <c r="B767" s="789" cm="1">
        <f t="array" ref="B767">IF(LEFT(D767,2)="长征",IFERROR(LOOKUP(2,1/(B$1:B766&lt;&gt;"-"),B$1:B766)+1,1),"-")</f>
        <v>643</v>
      </c>
      <c r="C767" s="789" t="str" cm="1">
        <f t="array" ref="C767">IF(LEFT(D767,2)&lt;&gt;"长征",IF(D767="","-",IFERROR(LOOKUP(2,1/(C$1:C766&lt;&gt;"-"),C$1:C766)+1,1)),"-")</f>
        <v>-</v>
      </c>
      <c r="D767" s="914" t="s">
        <v>585</v>
      </c>
      <c r="E767" s="914" t="s">
        <v>67</v>
      </c>
      <c r="F767" s="914" t="s">
        <v>3593</v>
      </c>
      <c r="G767" s="790">
        <v>46159</v>
      </c>
      <c r="H767" s="914" t="s">
        <v>3603</v>
      </c>
      <c r="I767" s="914" t="s">
        <v>1977</v>
      </c>
      <c r="J767" s="863" t="s">
        <v>2468</v>
      </c>
      <c r="K767" s="791" t="s">
        <v>1713</v>
      </c>
      <c r="L767" s="863">
        <f>IF(COUNTIF(J$1:J766,J767)=0,"",IFERROR(G767-_xlfn.MAXIFS(G$1:G766,J$1:J766,J767),""))</f>
        <v>40</v>
      </c>
      <c r="M767" s="863">
        <f>IF(COUNTIF(D$1:D766,D767)=0,"",IFERROR(G767-_xlfn.MAXIFS(G$1:G766,D$1:D766,D767),""))</f>
        <v>40</v>
      </c>
      <c r="N767" s="752" t="s">
        <v>10</v>
      </c>
      <c r="O767" s="711"/>
    </row>
    <row r="768" spans="1:15" x14ac:dyDescent="0.45">
      <c r="A768" s="789">
        <f t="shared" si="9"/>
        <v>765</v>
      </c>
      <c r="B768" s="789" cm="1">
        <f t="array" ref="B768">IF(LEFT(D768,2)="长征",IFERROR(LOOKUP(2,1/(B$1:B767&lt;&gt;"-"),B$1:B767)+1,1),"-")</f>
        <v>644</v>
      </c>
      <c r="C768" s="789" t="str" cm="1">
        <f t="array" ref="C768">IF(LEFT(D768,2)&lt;&gt;"长征",IF(D768="","-",IFERROR(LOOKUP(2,1/(C$1:C767&lt;&gt;"-"),C$1:C767)+1,1)),"-")</f>
        <v>-</v>
      </c>
      <c r="D768" s="914" t="s">
        <v>138</v>
      </c>
      <c r="E768" s="914" t="s">
        <v>241</v>
      </c>
      <c r="F768" s="914" t="s">
        <v>3651</v>
      </c>
      <c r="G768" s="790">
        <v>46166</v>
      </c>
      <c r="H768" s="914" t="s">
        <v>3607</v>
      </c>
      <c r="I768" s="914" t="s">
        <v>17</v>
      </c>
      <c r="J768" s="863" t="s">
        <v>9</v>
      </c>
      <c r="K768" s="791" t="s">
        <v>1819</v>
      </c>
      <c r="L768" s="863">
        <f>IF(COUNTIF(J$1:J767,J768)=0,"",IFERROR(G768-_xlfn.MAXIFS(G$1:G767,J$1:J767,J768),""))</f>
        <v>9</v>
      </c>
      <c r="M768" s="863">
        <f>IF(COUNTIF(D$1:D767,D768)=0,"",IFERROR(G768-_xlfn.MAXIFS(G$1:G767,D$1:D767,D768),""))</f>
        <v>106</v>
      </c>
      <c r="N768" s="752" t="s">
        <v>10</v>
      </c>
      <c r="O768" s="711"/>
    </row>
    <row r="769" spans="1:15" x14ac:dyDescent="0.45">
      <c r="A769" s="789">
        <f t="shared" si="9"/>
        <v>766</v>
      </c>
      <c r="B769" s="789" cm="1">
        <f t="array" ref="B769">IF(LEFT(D769,2)="长征",IFERROR(LOOKUP(2,1/(B$1:B768&lt;&gt;"-"),B$1:B768)+1,1),"-")</f>
        <v>645</v>
      </c>
      <c r="C769" s="789" t="str" cm="1">
        <f t="array" ref="C769">IF(LEFT(D769,2)&lt;&gt;"长征",IF(D769="","-",IFERROR(LOOKUP(2,1/(C$1:C768&lt;&gt;"-"),C$1:C768)+1,1)),"-")</f>
        <v>-</v>
      </c>
      <c r="D769" s="914" t="s">
        <v>543</v>
      </c>
      <c r="E769" s="914" t="s">
        <v>142</v>
      </c>
      <c r="F769" s="914" t="s">
        <v>3670</v>
      </c>
      <c r="G769" s="790">
        <v>46169</v>
      </c>
      <c r="H769" s="914" t="s">
        <v>3613</v>
      </c>
      <c r="I769" s="914" t="s">
        <v>1188</v>
      </c>
      <c r="J769" s="863" t="s">
        <v>388</v>
      </c>
      <c r="K769" s="791" t="s">
        <v>2552</v>
      </c>
      <c r="L769" s="863">
        <f>IF(COUNTIF(J$1:J768,J769)=0,"",IFERROR(G769-_xlfn.MAXIFS(G$1:G768,J$1:J768,J769),""))</f>
        <v>16</v>
      </c>
      <c r="M769" s="863">
        <f>IF(COUNTIF(D$1:D768,D769)=0,"",IFERROR(G769-_xlfn.MAXIFS(G$1:G768,D$1:D768,D769),""))</f>
        <v>147</v>
      </c>
      <c r="N769" s="752" t="s">
        <v>10</v>
      </c>
      <c r="O769" s="711"/>
    </row>
    <row r="770" spans="1:15" ht="18" thickBot="1" x14ac:dyDescent="0.5">
      <c r="A770" s="782">
        <f t="shared" si="9"/>
        <v>767</v>
      </c>
      <c r="B770" s="782" cm="1">
        <f t="array" ref="B770">IF(LEFT(D770,2)="长征",IFERROR(LOOKUP(2,1/(B$1:B769&lt;&gt;"-"),B$1:B769)+1,1),"-")</f>
        <v>646</v>
      </c>
      <c r="C770" s="782" t="str" cm="1">
        <f t="array" ref="C770">IF(LEFT(D770,2)&lt;&gt;"长征",IF(D770="","-",IFERROR(LOOKUP(2,1/(C$1:C769&lt;&gt;"-"),C$1:C769)+1,1)),"-")</f>
        <v>-</v>
      </c>
      <c r="D770" s="783" t="s">
        <v>83</v>
      </c>
      <c r="E770" s="783" t="s">
        <v>3282</v>
      </c>
      <c r="F770" s="783" t="s">
        <v>3667</v>
      </c>
      <c r="G770" s="784">
        <v>46173</v>
      </c>
      <c r="H770" s="783" t="s">
        <v>481</v>
      </c>
      <c r="I770" s="783" t="s">
        <v>1237</v>
      </c>
      <c r="J770" s="785" t="s">
        <v>52</v>
      </c>
      <c r="K770" s="786" t="s">
        <v>1725</v>
      </c>
      <c r="L770" s="785">
        <f>IF(COUNTIF(J$1:J769,J770)=0,"",IFERROR(G770-_xlfn.MAXIFS(G$1:G769,J$1:J769,J770),""))</f>
        <v>37</v>
      </c>
      <c r="M770" s="785">
        <f>IF(COUNTIF(D$1:D769,D770)=0,"",IFERROR(G770-_xlfn.MAXIFS(G$1:G769,D$1:D769,D770),""))</f>
        <v>37</v>
      </c>
      <c r="N770" s="787" t="s">
        <v>10</v>
      </c>
      <c r="O770" s="1168"/>
    </row>
    <row r="771" spans="1:15" x14ac:dyDescent="0.45">
      <c r="A771" s="838">
        <f t="shared" si="9"/>
        <v>768</v>
      </c>
      <c r="B771" s="838" cm="1">
        <f t="array" ref="B771">IF(LEFT(D771,2)="长征",IFERROR(LOOKUP(2,1/(B$1:B770&lt;&gt;"-"),B$1:B770)+1,1),"-")</f>
        <v>647</v>
      </c>
      <c r="C771" s="838" t="str" cm="1">
        <f t="array" ref="C771">IF(LEFT(D771,2)&lt;&gt;"长征",IF(D771="","-",IFERROR(LOOKUP(2,1/(C$1:C770&lt;&gt;"-"),C$1:C770)+1,1)),"-")</f>
        <v>-</v>
      </c>
      <c r="D771" s="839" t="s">
        <v>3688</v>
      </c>
      <c r="E771" s="839" t="s">
        <v>42</v>
      </c>
      <c r="F771" s="928" t="s">
        <v>3690</v>
      </c>
      <c r="G771" s="840">
        <v>46174</v>
      </c>
      <c r="H771" s="839" t="s">
        <v>3689</v>
      </c>
      <c r="I771" s="839" t="s">
        <v>2195</v>
      </c>
      <c r="J771" s="841" t="s">
        <v>9</v>
      </c>
      <c r="K771" s="842" t="s">
        <v>1641</v>
      </c>
      <c r="L771" s="841">
        <f>IF(COUNTIF(J$1:J770,J771)=0,"",IFERROR(G771-_xlfn.MAXIFS(G$1:G770,J$1:J770,J771),""))</f>
        <v>8</v>
      </c>
      <c r="M771" s="841" t="str">
        <f>IF(COUNTIF(D$1:D770,D771)=0,"",IFERROR(G771-_xlfn.MAXIFS(G$1:G770,D$1:D770,D771),""))</f>
        <v/>
      </c>
      <c r="N771" s="843" t="s">
        <v>10</v>
      </c>
    </row>
    <row r="772" spans="1:15" x14ac:dyDescent="0.45">
      <c r="A772" s="789">
        <f t="shared" si="9"/>
        <v>769</v>
      </c>
      <c r="B772" s="789" cm="1">
        <f t="array" ref="B772">IF(LEFT(D772,2)="长征",IFERROR(LOOKUP(2,1/(B$1:B771&lt;&gt;"-"),B$1:B771)+1,1),"-")</f>
        <v>648</v>
      </c>
      <c r="C772" s="789" t="str" cm="1">
        <f t="array" ref="C772">IF(LEFT(D772,2)&lt;&gt;"长征",IF(D772="","-",IFERROR(LOOKUP(2,1/(C$1:C771&lt;&gt;"-"),C$1:C771)+1,1)),"-")</f>
        <v>-</v>
      </c>
      <c r="D772" s="914" t="s">
        <v>670</v>
      </c>
      <c r="E772" s="914" t="s">
        <v>249</v>
      </c>
      <c r="F772" s="914" t="s">
        <v>3687</v>
      </c>
      <c r="G772" s="790">
        <v>46177</v>
      </c>
      <c r="H772" s="914" t="s">
        <v>2994</v>
      </c>
      <c r="I772" s="914" t="s">
        <v>2195</v>
      </c>
      <c r="J772" s="863" t="s">
        <v>71</v>
      </c>
      <c r="K772" s="791" t="s">
        <v>672</v>
      </c>
      <c r="L772" s="863">
        <f>IF(COUNTIF(J$1:J771,J772)=0,"",IFERROR(G772-_xlfn.MAXIFS(G$1:G771,J$1:J771,J772),""))</f>
        <v>23</v>
      </c>
      <c r="M772" s="863">
        <f>IF(COUNTIF(D$1:D771,D772)=0,"",IFERROR(G772-_xlfn.MAXIFS(G$1:G771,D$1:D771,D772),""))</f>
        <v>23</v>
      </c>
      <c r="N772" s="752" t="s">
        <v>10</v>
      </c>
      <c r="O772" s="711"/>
    </row>
    <row r="773" spans="1:15" x14ac:dyDescent="0.45">
      <c r="A773" s="789">
        <f t="shared" si="9"/>
        <v>770</v>
      </c>
      <c r="B773" s="789" cm="1">
        <f t="array" ref="B773">IF(LEFT(D773,2)="长征",IFERROR(LOOKUP(2,1/(B$1:B772&lt;&gt;"-"),B$1:B772)+1,1),"-")</f>
        <v>649</v>
      </c>
      <c r="C773" s="789" t="str" cm="1">
        <f t="array" ref="C773">IF(LEFT(D773,2)&lt;&gt;"长征",IF(D773="","-",IFERROR(LOOKUP(2,1/(C$1:C772&lt;&gt;"-"),C$1:C772)+1,1)),"-")</f>
        <v>-</v>
      </c>
      <c r="D773" s="914" t="s">
        <v>585</v>
      </c>
      <c r="E773" s="914" t="s">
        <v>78</v>
      </c>
      <c r="F773" s="914" t="s">
        <v>3608</v>
      </c>
      <c r="G773" s="790">
        <v>46178</v>
      </c>
      <c r="H773" s="914" t="s">
        <v>3702</v>
      </c>
      <c r="I773" s="914" t="s">
        <v>1977</v>
      </c>
      <c r="J773" s="863" t="s">
        <v>2468</v>
      </c>
      <c r="K773" s="791" t="s">
        <v>1713</v>
      </c>
      <c r="L773" s="863">
        <f>IF(COUNTIF(J$1:J772,J773)=0,"",IFERROR(G773-_xlfn.MAXIFS(G$1:G772,J$1:J772,J773),""))</f>
        <v>19</v>
      </c>
      <c r="M773" s="863">
        <f>IF(COUNTIF(D$1:D772,D773)=0,"",IFERROR(G773-_xlfn.MAXIFS(G$1:G772,D$1:D772,D773),""))</f>
        <v>19</v>
      </c>
      <c r="N773" s="752" t="s">
        <v>10</v>
      </c>
      <c r="O773" s="711"/>
    </row>
    <row r="774" spans="1:15" x14ac:dyDescent="0.45">
      <c r="A774" s="789">
        <f t="shared" si="9"/>
        <v>771</v>
      </c>
      <c r="B774" s="789" t="str" cm="1">
        <f t="array" ref="B774">IF(LEFT(D774,2)="长征",IFERROR(LOOKUP(2,1/(B$1:B773&lt;&gt;"-"),B$1:B773)+1,1),"-")</f>
        <v>-</v>
      </c>
      <c r="C774" s="789" cm="1">
        <f t="array" ref="C774">IF(LEFT(D774,2)&lt;&gt;"长征",IF(D774="","-",IFERROR(LOOKUP(2,1/(C$1:C773&lt;&gt;"-"),C$1:C773)+1,1)),"-")</f>
        <v>122</v>
      </c>
      <c r="D774" s="914" t="s">
        <v>2443</v>
      </c>
      <c r="E774" s="914" t="s">
        <v>992</v>
      </c>
      <c r="F774" s="914" t="s">
        <v>3718</v>
      </c>
      <c r="G774" s="790">
        <v>46182</v>
      </c>
      <c r="H774" s="914" t="s">
        <v>3719</v>
      </c>
      <c r="I774" s="914" t="s">
        <v>1237</v>
      </c>
      <c r="J774" s="863" t="s">
        <v>1184</v>
      </c>
      <c r="K774" s="791" t="s">
        <v>2115</v>
      </c>
      <c r="L774" s="863">
        <v>95</v>
      </c>
      <c r="M774" s="863">
        <f>IF(COUNTIF(D$1:D773,D774)=0,"",IFERROR(G774-_xlfn.MAXIFS(G$1:G773,D$1:D773,D774),""))</f>
        <v>26</v>
      </c>
      <c r="N774" s="752" t="s">
        <v>10</v>
      </c>
      <c r="O774" s="711"/>
    </row>
    <row r="775" spans="1:15" x14ac:dyDescent="0.45">
      <c r="A775" s="789">
        <f t="shared" si="9"/>
        <v>772</v>
      </c>
      <c r="B775" s="789" cm="1">
        <f t="array" ref="B775">IF(LEFT(D775,2)="长征",IFERROR(LOOKUP(2,1/(B$1:B774&lt;&gt;"-"),B$1:B774)+1,1),"-")</f>
        <v>650</v>
      </c>
      <c r="C775" s="789" t="str" cm="1">
        <f t="array" ref="C775">IF(LEFT(D775,2)&lt;&gt;"长征",IF(D775="","-",IFERROR(LOOKUP(2,1/(C$1:C774&lt;&gt;"-"),C$1:C774)+1,1)),"-")</f>
        <v>-</v>
      </c>
      <c r="D775" s="914" t="s">
        <v>1231</v>
      </c>
      <c r="E775" s="914" t="s">
        <v>1363</v>
      </c>
      <c r="F775" s="926" t="s">
        <v>3674</v>
      </c>
      <c r="G775" s="790">
        <v>46184</v>
      </c>
      <c r="H775" s="914" t="s">
        <v>3701</v>
      </c>
      <c r="I775" s="914" t="s">
        <v>51</v>
      </c>
      <c r="J775" s="863" t="s">
        <v>999</v>
      </c>
      <c r="K775" s="791" t="s">
        <v>2911</v>
      </c>
      <c r="L775" s="863">
        <f>IF(COUNTIF(J$1:J774,J775)=0,"",IFERROR(G775-_xlfn.MAXIFS(G$1:G774,J$1:J774,J775),""))</f>
        <v>15</v>
      </c>
      <c r="M775" s="863">
        <f>IF(COUNTIF(D$1:D774,D775)=0,"",IFERROR(G775-_xlfn.MAXIFS(G$1:G774,D$1:D774,D775),""))</f>
        <v>173</v>
      </c>
      <c r="N775" s="752" t="s">
        <v>10</v>
      </c>
      <c r="O775" s="711"/>
    </row>
    <row r="776" spans="1:15" x14ac:dyDescent="0.45">
      <c r="A776" s="789">
        <f t="shared" si="9"/>
        <v>773</v>
      </c>
      <c r="B776" s="789" t="str" cm="1">
        <f t="array" ref="B776">IF(LEFT(D776,2)="长征",IFERROR(LOOKUP(2,1/(B$1:B775&lt;&gt;"-"),B$1:B775)+1,1),"-")</f>
        <v>-</v>
      </c>
      <c r="C776" s="789" cm="1">
        <f t="array" ref="C776">IF(LEFT(D776,2)&lt;&gt;"长征",IF(D776="","-",IFERROR(LOOKUP(2,1/(C$1:C775&lt;&gt;"-"),C$1:C775)+1,1)),"-")</f>
        <v>123</v>
      </c>
      <c r="D776" s="914" t="s">
        <v>1008</v>
      </c>
      <c r="E776" s="914" t="s">
        <v>2730</v>
      </c>
      <c r="F776" s="926" t="s">
        <v>3733</v>
      </c>
      <c r="G776" s="790">
        <v>46188</v>
      </c>
      <c r="H776" s="914" t="s">
        <v>3732</v>
      </c>
      <c r="I776" s="914" t="s">
        <v>1977</v>
      </c>
      <c r="J776" s="863" t="s">
        <v>9</v>
      </c>
      <c r="K776" s="791" t="s">
        <v>2430</v>
      </c>
      <c r="L776" s="863">
        <f>IF(COUNTIF(J$1:J775,J776)=0,"",IFERROR(G776-_xlfn.MAXIFS(G$1:G775,J$1:J775,J776),""))</f>
        <v>6</v>
      </c>
      <c r="M776" s="863">
        <f>IF(COUNTIF(D$1:D775,D776)=0,"",IFERROR(G776-_xlfn.MAXIFS(G$1:G775,D$1:D775,D776),""))</f>
        <v>31</v>
      </c>
      <c r="N776" s="752" t="s">
        <v>10</v>
      </c>
      <c r="O776" s="711"/>
    </row>
    <row r="777" spans="1:15" x14ac:dyDescent="0.45">
      <c r="A777" s="789">
        <f t="shared" si="9"/>
        <v>774</v>
      </c>
      <c r="B777" s="789" cm="1">
        <f t="array" ref="B777">IF(LEFT(D777,2)="长征",IFERROR(LOOKUP(2,1/(B$1:B776&lt;&gt;"-"),B$1:B776)+1,1),"-")</f>
        <v>651</v>
      </c>
      <c r="C777" s="789" t="str" cm="1">
        <f t="array" ref="C777">IF(LEFT(D777,2)&lt;&gt;"长征",IF(D777="","-",IFERROR(LOOKUP(2,1/(C$1:C776&lt;&gt;"-"),C$1:C776)+1,1)),"-")</f>
        <v>-</v>
      </c>
      <c r="D777" s="914" t="s">
        <v>105</v>
      </c>
      <c r="E777" s="914" t="s">
        <v>3712</v>
      </c>
      <c r="F777" s="926" t="s">
        <v>3738</v>
      </c>
      <c r="G777" s="790">
        <v>46189</v>
      </c>
      <c r="H777" s="914" t="s">
        <v>3711</v>
      </c>
      <c r="I777" s="914" t="s">
        <v>51</v>
      </c>
      <c r="J777" s="863" t="s">
        <v>52</v>
      </c>
      <c r="K777" s="791" t="s">
        <v>1723</v>
      </c>
      <c r="L777" s="863">
        <f>IF(COUNTIF(J$1:J776,J777)=0,"",IFERROR(G777-_xlfn.MAXIFS(G$1:G776,J$1:J776,J777),""))</f>
        <v>16</v>
      </c>
      <c r="M777" s="863">
        <f>IF(COUNTIF(D$1:D776,D777)=0,"",IFERROR(G777-_xlfn.MAXIFS(G$1:G776,D$1:D776,D777),""))</f>
        <v>150</v>
      </c>
      <c r="N777" s="752" t="s">
        <v>10</v>
      </c>
      <c r="O777" s="711"/>
    </row>
    <row r="778" spans="1:15" x14ac:dyDescent="0.45">
      <c r="A778" s="789">
        <f t="shared" si="9"/>
        <v>775</v>
      </c>
      <c r="B778" s="789" cm="1">
        <f t="array" ref="B778">IF(LEFT(D778,2)="长征",IFERROR(LOOKUP(2,1/(B$1:B777&lt;&gt;"-"),B$1:B777)+1,1),"-")</f>
        <v>652</v>
      </c>
      <c r="C778" s="789" t="str" cm="1">
        <f t="array" ref="C778">IF(LEFT(D778,2)&lt;&gt;"长征",IF(D778="","-",IFERROR(LOOKUP(2,1/(C$1:C777&lt;&gt;"-"),C$1:C777)+1,1)),"-")</f>
        <v>-</v>
      </c>
      <c r="D778" s="914" t="s">
        <v>2757</v>
      </c>
      <c r="E778" s="914" t="s">
        <v>997</v>
      </c>
      <c r="F778" s="926" t="s">
        <v>3736</v>
      </c>
      <c r="G778" s="790">
        <v>46190</v>
      </c>
      <c r="H778" s="914" t="s">
        <v>3728</v>
      </c>
      <c r="I778" s="914" t="s">
        <v>17</v>
      </c>
      <c r="J778" s="863" t="s">
        <v>2468</v>
      </c>
      <c r="K778" s="791" t="s">
        <v>1725</v>
      </c>
      <c r="L778" s="863">
        <f>IF(COUNTIF(J$1:J777,J778)=0,"",IFERROR(G778-_xlfn.MAXIFS(G$1:G777,J$1:J777,J778),""))</f>
        <v>12</v>
      </c>
      <c r="M778" s="863">
        <f>IF(COUNTIF(D$1:D777,D778)=0,"",IFERROR(G778-_xlfn.MAXIFS(G$1:G777,D$1:D777,D778),""))</f>
        <v>149</v>
      </c>
      <c r="N778" s="752" t="s">
        <v>10</v>
      </c>
      <c r="O778" s="711"/>
    </row>
    <row r="779" spans="1:15" x14ac:dyDescent="0.45">
      <c r="A779" s="789">
        <f t="shared" si="9"/>
        <v>776</v>
      </c>
      <c r="B779" s="789" t="str" cm="1">
        <f t="array" ref="B779">IF(LEFT(D779,2)="长征",IFERROR(LOOKUP(2,1/(B$1:B778&lt;&gt;"-"),B$1:B778)+1,1),"-")</f>
        <v>-</v>
      </c>
      <c r="C779" s="789" cm="1">
        <f t="array" ref="C779">IF(LEFT(D779,2)&lt;&gt;"长征",IF(D779="","-",IFERROR(LOOKUP(2,1/(C$1:C778&lt;&gt;"-"),C$1:C778)+1,1)),"-")</f>
        <v>124</v>
      </c>
      <c r="D779" s="914" t="s">
        <v>1935</v>
      </c>
      <c r="E779" s="914" t="s">
        <v>1940</v>
      </c>
      <c r="F779" s="914" t="s">
        <v>3752</v>
      </c>
      <c r="G779" s="790">
        <v>46190</v>
      </c>
      <c r="H779" s="914" t="s">
        <v>3744</v>
      </c>
      <c r="I779" s="914" t="s">
        <v>17</v>
      </c>
      <c r="J779" s="863" t="s">
        <v>9</v>
      </c>
      <c r="K779" s="791" t="s">
        <v>2469</v>
      </c>
      <c r="L779" s="863">
        <f>IF(COUNTIF(J$1:J778,J779)=0,"",IFERROR(G779-_xlfn.MAXIFS(G$1:G778,J$1:J778,J779),""))</f>
        <v>2</v>
      </c>
      <c r="M779" s="863">
        <f>IF(COUNTIF(D$1:D778,D779)=0,"",IFERROR(G779-_xlfn.MAXIFS(G$1:G778,D$1:D778,D779),""))</f>
        <v>93</v>
      </c>
      <c r="N779" s="752" t="s">
        <v>10</v>
      </c>
      <c r="O779" s="711"/>
    </row>
    <row r="780" spans="1:15" ht="18" thickBot="1" x14ac:dyDescent="0.5">
      <c r="A780" s="782">
        <f t="shared" si="9"/>
        <v>777</v>
      </c>
      <c r="B780" s="782" cm="1">
        <f t="array" ref="B780">IF(LEFT(D780,2)="长征",IFERROR(LOOKUP(2,1/(B$1:B779&lt;&gt;"-"),B$1:B779)+1,1),"-")</f>
        <v>653</v>
      </c>
      <c r="C780" s="782" t="str" cm="1">
        <f t="array" ref="C780">IF(LEFT(D780,2)&lt;&gt;"长征",IF(D780="","-",IFERROR(LOOKUP(2,1/(C$1:C779&lt;&gt;"-"),C$1:C779)+1,1)),"-")</f>
        <v>-</v>
      </c>
      <c r="D780" s="783" t="s">
        <v>543</v>
      </c>
      <c r="E780" s="783" t="s">
        <v>982</v>
      </c>
      <c r="F780" s="927" t="s">
        <v>3756</v>
      </c>
      <c r="G780" s="784">
        <v>46196</v>
      </c>
      <c r="H780" s="783" t="s">
        <v>3748</v>
      </c>
      <c r="I780" s="783" t="s">
        <v>51</v>
      </c>
      <c r="J780" s="785" t="s">
        <v>388</v>
      </c>
      <c r="K780" s="786" t="s">
        <v>2552</v>
      </c>
      <c r="L780" s="785">
        <f>IF(COUNTIF(J$1:J779,J780)=0,"",IFERROR(G780-_xlfn.MAXIFS(G$1:G779,J$1:J779,J780),""))</f>
        <v>12</v>
      </c>
      <c r="M780" s="785">
        <f>IF(COUNTIF(D$1:D779,D780)=0,"",IFERROR(G780-_xlfn.MAXIFS(G$1:G779,D$1:D779,D780),""))</f>
        <v>27</v>
      </c>
      <c r="N780" s="787" t="s">
        <v>10</v>
      </c>
      <c r="O780" s="1168"/>
    </row>
    <row r="781" spans="1:15" x14ac:dyDescent="0.45">
      <c r="A781" s="838">
        <f t="shared" si="9"/>
        <v>778</v>
      </c>
      <c r="B781" s="838" cm="1">
        <f t="array" ref="B781">IF(LEFT(D781,2)="长征",IFERROR(LOOKUP(2,1/(B$1:B780&lt;&gt;"-"),B$1:B780)+1,1),"-")</f>
        <v>654</v>
      </c>
      <c r="C781" s="838" t="str" cm="1">
        <f t="array" ref="C781">IF(LEFT(D781,2)&lt;&gt;"长征",IF(D781="","-",IFERROR(LOOKUP(2,1/(C$1:C780&lt;&gt;"-"),C$1:C780)+1,1)),"-")</f>
        <v>-</v>
      </c>
      <c r="D781" s="839" t="s">
        <v>2032</v>
      </c>
      <c r="E781" s="839" t="s">
        <v>1186</v>
      </c>
      <c r="F781" s="839" t="s">
        <v>3785</v>
      </c>
      <c r="G781" s="840">
        <v>46205</v>
      </c>
      <c r="H781" s="839" t="s">
        <v>3760</v>
      </c>
      <c r="I781" s="839" t="s">
        <v>1977</v>
      </c>
      <c r="J781" s="841" t="s">
        <v>1184</v>
      </c>
      <c r="K781" s="842" t="s">
        <v>2113</v>
      </c>
      <c r="L781" s="841">
        <f>IF(COUNTIF(J$1:J780,J781)=0,"",IFERROR(G781-_xlfn.MAXIFS(G$1:G780,J$1:J780,J781),""))</f>
        <v>15</v>
      </c>
      <c r="M781" s="841">
        <f>IF(COUNTIF(D$1:D780,D781)=0,"",IFERROR(G781-_xlfn.MAXIFS(G$1:G780,D$1:D780,D781),""))</f>
        <v>184</v>
      </c>
      <c r="N781" s="843" t="s">
        <v>10</v>
      </c>
      <c r="O781" s="711"/>
    </row>
    <row r="782" spans="1:15" x14ac:dyDescent="0.45">
      <c r="A782" s="789">
        <f t="shared" si="9"/>
        <v>779</v>
      </c>
      <c r="B782" s="789" cm="1">
        <f t="array" ref="B782">IF(LEFT(D782,2)="长征",IFERROR(LOOKUP(2,1/(B$1:B781&lt;&gt;"-"),B$1:B781)+1,1),"-")</f>
        <v>655</v>
      </c>
      <c r="C782" s="789" t="str" cm="1">
        <f t="array" ref="C782">IF(LEFT(D782,2)&lt;&gt;"长征",IF(D782="","-",IFERROR(LOOKUP(2,1/(C$1:C781&lt;&gt;"-"),C$1:C781)+1,1)),"-")</f>
        <v>-</v>
      </c>
      <c r="D782" s="914" t="s">
        <v>670</v>
      </c>
      <c r="E782" s="914" t="s">
        <v>260</v>
      </c>
      <c r="F782" s="926" t="s">
        <v>3812</v>
      </c>
      <c r="G782" s="790">
        <v>46207</v>
      </c>
      <c r="H782" s="926" t="s">
        <v>2585</v>
      </c>
      <c r="I782" s="914" t="s">
        <v>448</v>
      </c>
      <c r="J782" s="863" t="s">
        <v>71</v>
      </c>
      <c r="K782" s="791" t="s">
        <v>672</v>
      </c>
      <c r="L782" s="863">
        <f>IF(COUNTIF(J$1:J781,J782)=0,"",IFERROR(G782-_xlfn.MAXIFS(G$1:G781,J$1:J781,J782),""))</f>
        <v>30</v>
      </c>
      <c r="M782" s="863">
        <f>IF(COUNTIF(D$1:D781,D782)=0,"",IFERROR(G782-_xlfn.MAXIFS(G$1:G781,D$1:D781,D782),""))</f>
        <v>30</v>
      </c>
      <c r="N782" s="752" t="s">
        <v>10</v>
      </c>
      <c r="O782" s="711"/>
    </row>
    <row r="783" spans="1:15" x14ac:dyDescent="0.45">
      <c r="A783" s="789">
        <f t="shared" ref="A783:A823" si="10">A782+1</f>
        <v>780</v>
      </c>
      <c r="B783" s="789" cm="1">
        <f t="array" ref="B783">IF(LEFT(D783,2)="长征",IFERROR(LOOKUP(2,1/(B$1:B782&lt;&gt;"-"),B$1:B782)+1,1),"-")</f>
        <v>656</v>
      </c>
      <c r="C783" s="789" t="str" cm="1">
        <f t="array" ref="C783">IF(LEFT(D783,2)&lt;&gt;"长征",IF(D783="","-",IFERROR(LOOKUP(2,1/(C$1:C782&lt;&gt;"-"),C$1:C782)+1,1)),"-")</f>
        <v>-</v>
      </c>
      <c r="D783" s="914" t="s">
        <v>2551</v>
      </c>
      <c r="E783" s="914" t="s">
        <v>78</v>
      </c>
      <c r="F783" s="914" t="s">
        <v>3815</v>
      </c>
      <c r="G783" s="790">
        <v>46208</v>
      </c>
      <c r="H783" s="914" t="s">
        <v>3814</v>
      </c>
      <c r="I783" s="914" t="s">
        <v>70</v>
      </c>
      <c r="J783" s="863" t="s">
        <v>2468</v>
      </c>
      <c r="K783" s="791" t="s">
        <v>1713</v>
      </c>
      <c r="L783" s="863">
        <f>IF(COUNTIF(J$1:J782,J783)=0,"",IFERROR(G783-_xlfn.MAXIFS(G$1:G782,J$1:J782,J783),""))</f>
        <v>18</v>
      </c>
      <c r="M783" s="863">
        <f>IF(COUNTIF(D$1:D782,D783)=0,"",IFERROR(G783-_xlfn.MAXIFS(G$1:G782,D$1:D782,D783),""))</f>
        <v>114</v>
      </c>
      <c r="N783" s="752" t="s">
        <v>10</v>
      </c>
      <c r="O783" s="711"/>
    </row>
    <row r="784" spans="1:15" x14ac:dyDescent="0.45">
      <c r="A784" s="789">
        <f t="shared" si="10"/>
        <v>781</v>
      </c>
      <c r="B784" s="789" cm="1">
        <f t="array" ref="B784">IF(LEFT(D784,2)="长征",IFERROR(LOOKUP(2,1/(B$1:B783&lt;&gt;"-"),B$1:B783)+1,1),"-")</f>
        <v>657</v>
      </c>
      <c r="C784" s="789" t="str" cm="1">
        <f t="array" ref="C784">IF(LEFT(D784,2)&lt;&gt;"长征",IF(D784="","-",IFERROR(LOOKUP(2,1/(C$1:C783&lt;&gt;"-"),C$1:C783)+1,1)),"-")</f>
        <v>-</v>
      </c>
      <c r="D784" s="914" t="s">
        <v>3501</v>
      </c>
      <c r="E784" s="914" t="s">
        <v>42</v>
      </c>
      <c r="F784" s="914" t="s">
        <v>3816</v>
      </c>
      <c r="G784" s="790">
        <v>46213</v>
      </c>
      <c r="H784" s="914" t="s">
        <v>3783</v>
      </c>
      <c r="I784" s="914" t="s">
        <v>1237</v>
      </c>
      <c r="J784" s="863" t="s">
        <v>2468</v>
      </c>
      <c r="K784" s="791" t="s">
        <v>1725</v>
      </c>
      <c r="L784" s="863">
        <f>IF(COUNTIF(J$1:J783,J784)=0,"",IFERROR(G784-_xlfn.MAXIFS(G$1:G783,J$1:J783,J784),""))</f>
        <v>5</v>
      </c>
      <c r="M784" s="863" t="str">
        <f>IF(COUNTIF(D$1:D783,D784)=0,"",IFERROR(G784-_xlfn.MAXIFS(G$1:G783,D$1:D783,D784),""))</f>
        <v/>
      </c>
      <c r="N784" s="752"/>
      <c r="O784" s="711"/>
    </row>
    <row r="785" spans="1:15" x14ac:dyDescent="0.45">
      <c r="A785" s="789">
        <f t="shared" si="10"/>
        <v>782</v>
      </c>
      <c r="B785" s="789" t="str" cm="1">
        <f t="array" ref="B785">IF(LEFT(D785,2)="长征",IFERROR(LOOKUP(2,1/(B$1:B784&lt;&gt;"-"),B$1:B784)+1,1),"-")</f>
        <v>-</v>
      </c>
      <c r="C785" s="789" cm="1">
        <f t="array" ref="C785">IF(LEFT(D785,2)&lt;&gt;"长征",IF(D785="","-",IFERROR(LOOKUP(2,1/(C$1:C784&lt;&gt;"-"),C$1:C784)+1,1)),"-")</f>
        <v>125</v>
      </c>
      <c r="D785" s="914" t="s">
        <v>732</v>
      </c>
      <c r="E785" s="914" t="s">
        <v>142</v>
      </c>
      <c r="F785" s="914" t="s">
        <v>3813</v>
      </c>
      <c r="G785" s="790">
        <v>46215</v>
      </c>
      <c r="H785" s="914" t="s">
        <v>3080</v>
      </c>
      <c r="I785" s="914" t="s">
        <v>70</v>
      </c>
      <c r="J785" s="863" t="s">
        <v>503</v>
      </c>
      <c r="K785" s="879" t="s">
        <v>3597</v>
      </c>
      <c r="L785" s="863">
        <f>IF(COUNTIF(J$1:J784,J785)=0,"",IFERROR(G785-_xlfn.MAXIFS(G$1:G784,J$1:J784,J785),""))</f>
        <v>92</v>
      </c>
      <c r="M785" s="863">
        <f>IF(COUNTIF(D$1:D784,D785)=0,"",IFERROR(G785-_xlfn.MAXIFS(G$1:G784,D$1:D784,D785),""))</f>
        <v>92</v>
      </c>
      <c r="N785" s="752"/>
      <c r="O785" s="711"/>
    </row>
    <row r="786" spans="1:15" x14ac:dyDescent="0.45">
      <c r="A786" s="789">
        <f t="shared" si="10"/>
        <v>783</v>
      </c>
      <c r="B786" s="789" cm="1">
        <f t="array" ref="B786">IF(LEFT(D786,2)="长征",IFERROR(LOOKUP(2,1/(B$1:B785&lt;&gt;"-"),B$1:B785)+1,1),"-")</f>
        <v>658</v>
      </c>
      <c r="C786" s="789" t="str" cm="1">
        <f t="array" ref="C786">IF(LEFT(D786,2)&lt;&gt;"长征",IF(D786="","-",IFERROR(LOOKUP(2,1/(C$1:C785&lt;&gt;"-"),C$1:C785)+1,1)),"-")</f>
        <v>-</v>
      </c>
      <c r="D786" s="914" t="s">
        <v>1976</v>
      </c>
      <c r="E786" s="914" t="s">
        <v>1013</v>
      </c>
      <c r="F786" s="914"/>
      <c r="G786" s="790">
        <v>46220</v>
      </c>
      <c r="H786" s="914" t="s">
        <v>3789</v>
      </c>
      <c r="I786" s="914" t="s">
        <v>1188</v>
      </c>
      <c r="J786" s="863" t="s">
        <v>999</v>
      </c>
      <c r="K786" s="791" t="s">
        <v>2678</v>
      </c>
      <c r="L786" s="863">
        <f>IF(COUNTIF(J$1:J785,J786)=0,"",IFERROR(G786-_xlfn.MAXIFS(G$1:G785,J$1:J785,J786),""))</f>
        <v>24</v>
      </c>
      <c r="M786" s="863">
        <f>IF(COUNTIF(D$1:D785,D786)=0,"",IFERROR(G786-_xlfn.MAXIFS(G$1:G785,D$1:D785,D786),""))</f>
        <v>24</v>
      </c>
      <c r="N786" s="752"/>
      <c r="O786" s="711"/>
    </row>
    <row r="787" spans="1:15" x14ac:dyDescent="0.45">
      <c r="A787" s="789">
        <f t="shared" si="10"/>
        <v>784</v>
      </c>
      <c r="B787" s="789" cm="1">
        <f t="array" ref="B787">IF(LEFT(D787,2)="长征",IFERROR(LOOKUP(2,1/(B$1:B786&lt;&gt;"-"),B$1:B786)+1,1),"-")</f>
        <v>659</v>
      </c>
      <c r="C787" s="789" t="str" cm="1">
        <f t="array" ref="C787">IF(LEFT(D787,2)&lt;&gt;"长征",IF(D787="","-",IFERROR(LOOKUP(2,1/(C$1:C786&lt;&gt;"-"),C$1:C786)+1,1)),"-")</f>
        <v>-</v>
      </c>
      <c r="D787" s="914" t="s">
        <v>105</v>
      </c>
      <c r="E787" s="914" t="s">
        <v>3795</v>
      </c>
      <c r="F787" s="914"/>
      <c r="G787" s="790">
        <v>46226</v>
      </c>
      <c r="H787" s="914" t="s">
        <v>3789</v>
      </c>
      <c r="I787" s="914" t="s">
        <v>1188</v>
      </c>
      <c r="J787" s="863" t="s">
        <v>52</v>
      </c>
      <c r="K787" s="791" t="s">
        <v>1723</v>
      </c>
      <c r="L787" s="863">
        <f>IF(COUNTIF(J$1:J786,J787)=0,"",IFERROR(G787-_xlfn.MAXIFS(G$1:G786,J$1:J786,J787),""))</f>
        <v>37</v>
      </c>
      <c r="M787" s="863">
        <f>IF(COUNTIF(D$1:D786,D787)=0,"",IFERROR(G787-_xlfn.MAXIFS(G$1:G786,D$1:D786,D787),""))</f>
        <v>37</v>
      </c>
      <c r="N787" s="752"/>
      <c r="O787" s="711"/>
    </row>
    <row r="788" spans="1:15" x14ac:dyDescent="0.45">
      <c r="A788" s="789">
        <f t="shared" si="10"/>
        <v>785</v>
      </c>
      <c r="B788" s="789" t="str" cm="1">
        <f t="array" ref="B788">IF(LEFT(D788,2)="长征",IFERROR(LOOKUP(2,1/(B$1:B787&lt;&gt;"-"),B$1:B787)+1,1),"-")</f>
        <v>-</v>
      </c>
      <c r="C788" s="789" t="str" cm="1">
        <f t="array" ref="C788">IF(LEFT(D788,2)&lt;&gt;"长征",IF(D788="","-",IFERROR(LOOKUP(2,1/(C$1:C787&lt;&gt;"-"),C$1:C787)+1,1)),"-")</f>
        <v>-</v>
      </c>
      <c r="D788" s="914"/>
      <c r="E788" s="914"/>
      <c r="F788" s="914"/>
      <c r="G788" s="790"/>
      <c r="H788" s="914"/>
      <c r="I788" s="914"/>
      <c r="J788" s="863"/>
      <c r="K788" s="791"/>
      <c r="L788" s="863" t="str">
        <f>IF(COUNTIF(J$1:J787,J788)=0,"",IFERROR(G788-_xlfn.MAXIFS(G$1:G787,J$1:J787,J788),""))</f>
        <v/>
      </c>
      <c r="M788" s="863" t="str">
        <f>IF(COUNTIF(D$1:D787,D788)=0,"",IFERROR(G788-_xlfn.MAXIFS(G$1:G787,D$1:D787,D788),""))</f>
        <v/>
      </c>
      <c r="N788" s="752"/>
      <c r="O788" s="711"/>
    </row>
    <row r="789" spans="1:15" x14ac:dyDescent="0.45">
      <c r="A789" s="789">
        <f t="shared" si="10"/>
        <v>786</v>
      </c>
      <c r="B789" s="789" t="str" cm="1">
        <f t="array" ref="B789">IF(LEFT(D789,2)="长征",IFERROR(LOOKUP(2,1/(B$1:B788&lt;&gt;"-"),B$1:B788)+1,1),"-")</f>
        <v>-</v>
      </c>
      <c r="C789" s="789" t="str" cm="1">
        <f t="array" ref="C789">IF(LEFT(D789,2)&lt;&gt;"长征",IF(D789="","-",IFERROR(LOOKUP(2,1/(C$1:C788&lt;&gt;"-"),C$1:C788)+1,1)),"-")</f>
        <v>-</v>
      </c>
      <c r="D789" s="914"/>
      <c r="E789" s="914"/>
      <c r="F789" s="926"/>
      <c r="G789" s="790"/>
      <c r="H789" s="914"/>
      <c r="I789" s="914"/>
      <c r="J789" s="863"/>
      <c r="K789" s="791"/>
      <c r="L789" s="863" t="str">
        <f>IF(COUNTIF(J$1:J788,J789)=0,"",IFERROR(G789-_xlfn.MAXIFS(G$1:G788,J$1:J788,J789),""))</f>
        <v/>
      </c>
      <c r="M789" s="863" t="str">
        <f>IF(COUNTIF(D$1:D788,D789)=0,"",IFERROR(G789-_xlfn.MAXIFS(G$1:G788,D$1:D788,D789),""))</f>
        <v/>
      </c>
      <c r="N789" s="752"/>
      <c r="O789" s="711"/>
    </row>
    <row r="790" spans="1:15" x14ac:dyDescent="0.45">
      <c r="A790" s="789">
        <f t="shared" si="10"/>
        <v>787</v>
      </c>
      <c r="B790" s="789" t="str" cm="1">
        <f t="array" ref="B790">IF(LEFT(D790,2)="长征",IFERROR(LOOKUP(2,1/(B$1:B789&lt;&gt;"-"),B$1:B789)+1,1),"-")</f>
        <v>-</v>
      </c>
      <c r="C790" s="789" t="str" cm="1">
        <f t="array" ref="C790">IF(LEFT(D790,2)&lt;&gt;"长征",IF(D790="","-",IFERROR(LOOKUP(2,1/(C$1:C789&lt;&gt;"-"),C$1:C789)+1,1)),"-")</f>
        <v>-</v>
      </c>
      <c r="D790" s="914"/>
      <c r="E790" s="914"/>
      <c r="F790" s="914"/>
      <c r="G790" s="790"/>
      <c r="H790" s="914"/>
      <c r="I790" s="914"/>
      <c r="J790" s="863"/>
      <c r="K790" s="791"/>
      <c r="L790" s="863" t="str">
        <f>IF(COUNTIF(J$1:J789,J790)=0,"",IFERROR(G790-_xlfn.MAXIFS(G$1:G789,J$1:J789,J790),""))</f>
        <v/>
      </c>
      <c r="M790" s="863" t="str">
        <f>IF(COUNTIF(D$1:D789,D790)=0,"",IFERROR(G790-_xlfn.MAXIFS(G$1:G789,D$1:D789,D790),""))</f>
        <v/>
      </c>
      <c r="N790" s="752"/>
      <c r="O790" s="711"/>
    </row>
    <row r="791" spans="1:15" x14ac:dyDescent="0.45">
      <c r="A791" s="789">
        <f t="shared" si="10"/>
        <v>788</v>
      </c>
      <c r="B791" s="789" t="str" cm="1">
        <f t="array" ref="B791">IF(LEFT(D791,2)="长征",IFERROR(LOOKUP(2,1/(B$1:B790&lt;&gt;"-"),B$1:B790)+1,1),"-")</f>
        <v>-</v>
      </c>
      <c r="C791" s="789" t="str" cm="1">
        <f t="array" ref="C791">IF(LEFT(D791,2)&lt;&gt;"长征",IF(D791="","-",IFERROR(LOOKUP(2,1/(C$1:C790&lt;&gt;"-"),C$1:C790)+1,1)),"-")</f>
        <v>-</v>
      </c>
      <c r="D791" s="914"/>
      <c r="E791" s="914"/>
      <c r="F791" s="914"/>
      <c r="G791" s="790"/>
      <c r="H791" s="914"/>
      <c r="I791" s="914"/>
      <c r="J791" s="863"/>
      <c r="K791" s="791"/>
      <c r="L791" s="863" t="str">
        <f>IF(COUNTIF(J$1:J790,J791)=0,"",IFERROR(G791-_xlfn.MAXIFS(G$1:G790,J$1:J790,J791),""))</f>
        <v/>
      </c>
      <c r="M791" s="863" t="str">
        <f>IF(COUNTIF(D$1:D790,D791)=0,"",IFERROR(G791-_xlfn.MAXIFS(G$1:G790,D$1:D790,D791),""))</f>
        <v/>
      </c>
      <c r="N791" s="752"/>
      <c r="O791" s="711"/>
    </row>
    <row r="792" spans="1:15" x14ac:dyDescent="0.45">
      <c r="A792" s="789">
        <f t="shared" si="10"/>
        <v>789</v>
      </c>
      <c r="B792" s="789" cm="1">
        <f t="array" ref="B792">IF(LEFT(D792,2)="长征",IFERROR(LOOKUP(2,1/(B$1:B791&lt;&gt;"-"),B$1:B791)+1,1),"-")</f>
        <v>660</v>
      </c>
      <c r="C792" s="789" t="str" cm="1">
        <f t="array" ref="C792">IF(LEFT(D792,2)&lt;&gt;"长征",IF(D792="","-",IFERROR(LOOKUP(2,1/(C$1:C791&lt;&gt;"-"),C$1:C791)+1,1)),"-")</f>
        <v>-</v>
      </c>
      <c r="D792" s="914" t="s">
        <v>3101</v>
      </c>
      <c r="E792" s="914" t="s">
        <v>42</v>
      </c>
      <c r="F792" s="914" t="s">
        <v>735</v>
      </c>
      <c r="G792" s="790">
        <v>46234</v>
      </c>
      <c r="H792" s="914"/>
      <c r="I792" s="914" t="s">
        <v>17</v>
      </c>
      <c r="J792" s="863" t="s">
        <v>503</v>
      </c>
      <c r="K792" s="879" t="s">
        <v>3100</v>
      </c>
      <c r="L792" s="863">
        <f>IF(COUNTIF(J$1:J791,J792)=0,"",IFERROR(G792-_xlfn.MAXIFS(G$1:G791,J$1:J791,J792),""))</f>
        <v>19</v>
      </c>
      <c r="M792" s="863" t="str">
        <f>IF(COUNTIF(D$1:D791,D792)=0,"",IFERROR(G792-_xlfn.MAXIFS(G$1:G791,D$1:D791,D792),""))</f>
        <v/>
      </c>
      <c r="N792" s="752"/>
      <c r="O792" s="711"/>
    </row>
    <row r="793" spans="1:15" x14ac:dyDescent="0.45">
      <c r="A793" s="789">
        <f t="shared" si="10"/>
        <v>790</v>
      </c>
      <c r="B793" s="789" t="str" cm="1">
        <f t="array" ref="B793">IF(LEFT(D793,2)="长征",IFERROR(LOOKUP(2,1/(B$1:B792&lt;&gt;"-"),B$1:B792)+1,1),"-")</f>
        <v>-</v>
      </c>
      <c r="C793" s="789" cm="1">
        <f t="array" ref="C793">IF(LEFT(D793,2)&lt;&gt;"长征",IF(D793="","-",IFERROR(LOOKUP(2,1/(C$1:C792&lt;&gt;"-"),C$1:C792)+1,1)),"-")</f>
        <v>126</v>
      </c>
      <c r="D793" s="914" t="s">
        <v>772</v>
      </c>
      <c r="E793" s="914" t="s">
        <v>5</v>
      </c>
      <c r="F793" s="914"/>
      <c r="G793" s="790">
        <v>46234</v>
      </c>
      <c r="H793" s="914"/>
      <c r="I793" s="914" t="s">
        <v>17</v>
      </c>
      <c r="J793" s="863" t="s">
        <v>503</v>
      </c>
      <c r="K793" s="879" t="s">
        <v>3100</v>
      </c>
      <c r="L793" s="863">
        <f>IF(COUNTIF(J$1:J792,J793)=0,"",IFERROR(G793-_xlfn.MAXIFS(G$1:G792,J$1:J792,J793),""))</f>
        <v>0</v>
      </c>
      <c r="M793" s="863">
        <f>IF(COUNTIF(D$1:D792,D793)=0,"",IFERROR(G793-_xlfn.MAXIFS(G$1:G792,D$1:D792,D793),""))</f>
        <v>293</v>
      </c>
      <c r="N793" s="752"/>
      <c r="O793" s="711"/>
    </row>
    <row r="794" spans="1:15" x14ac:dyDescent="0.45">
      <c r="A794" s="789">
        <f t="shared" si="10"/>
        <v>791</v>
      </c>
      <c r="B794" s="789" t="str" cm="1">
        <f t="array" ref="B794">IF(LEFT(D794,2)="长征",IFERROR(LOOKUP(2,1/(B$1:B793&lt;&gt;"-"),B$1:B793)+1,1),"-")</f>
        <v>-</v>
      </c>
      <c r="C794" s="789" cm="1">
        <f t="array" ref="C794">IF(LEFT(D794,2)&lt;&gt;"长征",IF(D794="","-",IFERROR(LOOKUP(2,1/(C$1:C793&lt;&gt;"-"),C$1:C793)+1,1)),"-")</f>
        <v>127</v>
      </c>
      <c r="D794" s="914" t="s">
        <v>732</v>
      </c>
      <c r="E794" s="914" t="s">
        <v>142</v>
      </c>
      <c r="F794" s="914" t="s">
        <v>3668</v>
      </c>
      <c r="G794" s="790">
        <v>46234</v>
      </c>
      <c r="H794" s="914"/>
      <c r="I794" s="914" t="s">
        <v>70</v>
      </c>
      <c r="J794" s="863" t="s">
        <v>503</v>
      </c>
      <c r="K794" s="879" t="s">
        <v>3597</v>
      </c>
      <c r="L794" s="863">
        <f>IF(COUNTIF(J$1:J793,J794)=0,"",IFERROR(G794-_xlfn.MAXIFS(G$1:G793,J$1:J793,J794),""))</f>
        <v>0</v>
      </c>
      <c r="M794" s="863">
        <f>IF(COUNTIF(D$1:D793,D794)=0,"",IFERROR(G794-_xlfn.MAXIFS(G$1:G793,D$1:D793,D794),""))</f>
        <v>19</v>
      </c>
      <c r="N794" s="752"/>
      <c r="O794" s="711"/>
    </row>
    <row r="795" spans="1:15" x14ac:dyDescent="0.45">
      <c r="A795" s="789">
        <f t="shared" si="10"/>
        <v>792</v>
      </c>
      <c r="B795" s="789" t="str" cm="1">
        <f t="array" ref="B795">IF(LEFT(D795,2)="长征",IFERROR(LOOKUP(2,1/(B$1:B794&lt;&gt;"-"),B$1:B794)+1,1),"-")</f>
        <v>-</v>
      </c>
      <c r="C795" s="789" cm="1">
        <f t="array" ref="C795">IF(LEFT(D795,2)&lt;&gt;"长征",IF(D795="","-",IFERROR(LOOKUP(2,1/(C$1:C794&lt;&gt;"-"),C$1:C794)+1,1)),"-")</f>
        <v>128</v>
      </c>
      <c r="D795" s="914" t="s">
        <v>2937</v>
      </c>
      <c r="E795" s="914" t="s">
        <v>45</v>
      </c>
      <c r="F795" s="914" t="s">
        <v>3203</v>
      </c>
      <c r="G795" s="790">
        <v>46234</v>
      </c>
      <c r="H795" s="914"/>
      <c r="I795" s="914" t="s">
        <v>70</v>
      </c>
      <c r="J795" s="863" t="s">
        <v>9</v>
      </c>
      <c r="K795" s="791" t="s">
        <v>3193</v>
      </c>
      <c r="L795" s="863">
        <f>IF(COUNTIF(J$1:J794,J795)=0,"",IFERROR(G795-_xlfn.MAXIFS(G$1:G794,J$1:J794,J795),""))</f>
        <v>29</v>
      </c>
      <c r="M795" s="863">
        <f>IF(COUNTIF(D$1:D794,D795)=0,"",IFERROR(G795-_xlfn.MAXIFS(G$1:G794,D$1:D794,D795),""))</f>
        <v>240</v>
      </c>
      <c r="N795" s="752"/>
      <c r="O795" s="711"/>
    </row>
    <row r="796" spans="1:15" x14ac:dyDescent="0.45">
      <c r="A796" s="789">
        <f t="shared" si="10"/>
        <v>793</v>
      </c>
      <c r="B796" s="789" cm="1">
        <f t="array" ref="B796">IF(LEFT(D796,2)="长征",IFERROR(LOOKUP(2,1/(B$1:B795&lt;&gt;"-"),B$1:B795)+1,1),"-")</f>
        <v>661</v>
      </c>
      <c r="C796" s="789" t="str" cm="1">
        <f t="array" ref="C796">IF(LEFT(D796,2)&lt;&gt;"长征",IF(D796="","-",IFERROR(LOOKUP(2,1/(C$1:C795&lt;&gt;"-"),C$1:C795)+1,1)),"-")</f>
        <v>-</v>
      </c>
      <c r="D796" s="914" t="s">
        <v>3762</v>
      </c>
      <c r="E796" s="914" t="s">
        <v>42</v>
      </c>
      <c r="F796" s="914" t="s">
        <v>3694</v>
      </c>
      <c r="G796" s="790">
        <v>46234</v>
      </c>
      <c r="H796" s="914"/>
      <c r="I796" s="914" t="s">
        <v>17</v>
      </c>
      <c r="J796" s="863" t="s">
        <v>2468</v>
      </c>
      <c r="K796" s="791" t="s">
        <v>1725</v>
      </c>
      <c r="L796" s="863">
        <f>IF(COUNTIF(J$1:J795,J796)=0,"",IFERROR(G796-_xlfn.MAXIFS(G$1:G795,J$1:J795,J796),""))</f>
        <v>21</v>
      </c>
      <c r="M796" s="863" t="str">
        <f>IF(COUNTIF(D$1:D795,D796)=0,"",IFERROR(G796-_xlfn.MAXIFS(G$1:G795,D$1:D795,D796),""))</f>
        <v/>
      </c>
      <c r="N796" s="752"/>
      <c r="O796" s="711"/>
    </row>
    <row r="797" spans="1:15" x14ac:dyDescent="0.45">
      <c r="A797" s="789">
        <f t="shared" si="10"/>
        <v>794</v>
      </c>
      <c r="B797" s="789" t="str" cm="1">
        <f t="array" ref="B797">IF(LEFT(D797,2)="长征",IFERROR(LOOKUP(2,1/(B$1:B796&lt;&gt;"-"),B$1:B796)+1,1),"-")</f>
        <v>-</v>
      </c>
      <c r="C797" s="789" cm="1">
        <f t="array" ref="C797">IF(LEFT(D797,2)&lt;&gt;"长征",IF(D797="","-",IFERROR(LOOKUP(2,1/(C$1:C796&lt;&gt;"-"),C$1:C796)+1,1)),"-")</f>
        <v>129</v>
      </c>
      <c r="D797" s="914" t="s">
        <v>3455</v>
      </c>
      <c r="E797" s="914" t="s">
        <v>42</v>
      </c>
      <c r="F797" s="914" t="s">
        <v>3694</v>
      </c>
      <c r="G797" s="790">
        <v>46234</v>
      </c>
      <c r="H797" s="914"/>
      <c r="I797" s="914" t="s">
        <v>17</v>
      </c>
      <c r="J797" s="863" t="s">
        <v>2468</v>
      </c>
      <c r="K797" s="791" t="s">
        <v>1713</v>
      </c>
      <c r="L797" s="863">
        <f>IF(COUNTIF(J$1:J796,J797)=0,"",IFERROR(G797-_xlfn.MAXIFS(G$1:G796,J$1:J796,J797),""))</f>
        <v>0</v>
      </c>
      <c r="M797" s="863" t="str">
        <f>IF(COUNTIF(D$1:D796,D797)=0,"",IFERROR(G797-_xlfn.MAXIFS(G$1:G796,D$1:D796,D797),""))</f>
        <v/>
      </c>
      <c r="N797" s="752"/>
      <c r="O797" s="711"/>
    </row>
    <row r="798" spans="1:15" x14ac:dyDescent="0.45">
      <c r="A798" s="789">
        <f t="shared" si="10"/>
        <v>795</v>
      </c>
      <c r="B798" s="789" t="str" cm="1">
        <f t="array" ref="B798">IF(LEFT(D798,2)="长征",IFERROR(LOOKUP(2,1/(B$1:B797&lt;&gt;"-"),B$1:B797)+1,1),"-")</f>
        <v>-</v>
      </c>
      <c r="C798" s="789" cm="1">
        <f t="array" ref="C798">IF(LEFT(D798,2)&lt;&gt;"长征",IF(D798="","-",IFERROR(LOOKUP(2,1/(C$1:C797&lt;&gt;"-"),C$1:C797)+1,1)),"-")</f>
        <v>130</v>
      </c>
      <c r="D798" s="914" t="s">
        <v>562</v>
      </c>
      <c r="E798" s="914" t="s">
        <v>142</v>
      </c>
      <c r="F798" s="914" t="s">
        <v>3763</v>
      </c>
      <c r="G798" s="790">
        <v>46234</v>
      </c>
      <c r="H798" s="914"/>
      <c r="I798" s="914" t="s">
        <v>17</v>
      </c>
      <c r="J798" s="863" t="s">
        <v>9</v>
      </c>
      <c r="K798" s="791" t="s">
        <v>2469</v>
      </c>
      <c r="L798" s="863">
        <f>IF(COUNTIF(J$1:J797,J798)=0,"",IFERROR(G798-_xlfn.MAXIFS(G$1:G797,J$1:J797,J798),""))</f>
        <v>0</v>
      </c>
      <c r="M798" s="863">
        <f>IF(COUNTIF(D$1:D797,D798)=0,"",IFERROR(G798-_xlfn.MAXIFS(G$1:G797,D$1:D797,D798),""))</f>
        <v>44</v>
      </c>
      <c r="N798" s="752"/>
      <c r="O798" s="711"/>
    </row>
    <row r="799" spans="1:15" x14ac:dyDescent="0.45">
      <c r="A799" s="789">
        <f t="shared" si="10"/>
        <v>796</v>
      </c>
      <c r="B799" s="789" t="str" cm="1">
        <f t="array" ref="B799">IF(LEFT(D799,2)="长征",IFERROR(LOOKUP(2,1/(B$1:B798&lt;&gt;"-"),B$1:B798)+1,1),"-")</f>
        <v>-</v>
      </c>
      <c r="C799" s="789" cm="1">
        <f t="array" ref="C799">IF(LEFT(D799,2)&lt;&gt;"长征",IF(D799="","-",IFERROR(LOOKUP(2,1/(C$1:C798&lt;&gt;"-"),C$1:C798)+1,1)),"-")</f>
        <v>131</v>
      </c>
      <c r="D799" s="914" t="s">
        <v>2939</v>
      </c>
      <c r="E799" s="914" t="s">
        <v>42</v>
      </c>
      <c r="F799" s="914" t="s">
        <v>3462</v>
      </c>
      <c r="G799" s="790">
        <v>46234</v>
      </c>
      <c r="H799" s="914"/>
      <c r="I799" s="914" t="s">
        <v>70</v>
      </c>
      <c r="J799" s="863" t="s">
        <v>9</v>
      </c>
      <c r="K799" s="791" t="s">
        <v>2469</v>
      </c>
      <c r="L799" s="863">
        <f>IF(COUNTIF(J$1:J798,J799)=0,"",IFERROR(G799-_xlfn.MAXIFS(G$1:G798,J$1:J798,J799),""))</f>
        <v>0</v>
      </c>
      <c r="M799" s="863" t="str">
        <f>IF(COUNTIF(D$1:D798,D799)=0,"",IFERROR(G799-_xlfn.MAXIFS(G$1:G798,D$1:D798,D799),""))</f>
        <v/>
      </c>
      <c r="N799" s="752"/>
      <c r="O799" s="711"/>
    </row>
    <row r="800" spans="1:15" x14ac:dyDescent="0.45">
      <c r="A800" s="789">
        <f t="shared" si="10"/>
        <v>797</v>
      </c>
      <c r="B800" s="789" t="str" cm="1">
        <f t="array" ref="B800">IF(LEFT(D800,2)="长征",IFERROR(LOOKUP(2,1/(B$1:B799&lt;&gt;"-"),B$1:B799)+1,1),"-")</f>
        <v>-</v>
      </c>
      <c r="C800" s="789" t="str" cm="1">
        <f t="array" ref="C800">IF(LEFT(D800,2)&lt;&gt;"长征",IF(D800="","-",IFERROR(LOOKUP(2,1/(C$1:C799&lt;&gt;"-"),C$1:C799)+1,1)),"-")</f>
        <v>-</v>
      </c>
      <c r="D800" s="914"/>
      <c r="E800" s="914"/>
      <c r="F800" s="914"/>
      <c r="G800" s="790"/>
      <c r="H800" s="914"/>
      <c r="I800" s="914"/>
      <c r="J800" s="863"/>
      <c r="K800" s="791"/>
      <c r="L800" s="863" t="str">
        <f>IF(COUNTIF(J$1:J799,J800)=0,"",IFERROR(G800-_xlfn.MAXIFS(G$1:G799,J$1:J799,J800),""))</f>
        <v/>
      </c>
      <c r="M800" s="863" t="str">
        <f>IF(COUNTIF(D$1:D799,D800)=0,"",IFERROR(G800-_xlfn.MAXIFS(G$1:G799,D$1:D799,D800),""))</f>
        <v/>
      </c>
      <c r="N800" s="752"/>
      <c r="O800" s="711"/>
    </row>
    <row r="801" spans="1:15" x14ac:dyDescent="0.45">
      <c r="A801" s="789">
        <f t="shared" si="10"/>
        <v>798</v>
      </c>
      <c r="B801" s="789" t="str" cm="1">
        <f t="array" ref="B801">IF(LEFT(D801,2)="长征",IFERROR(LOOKUP(2,1/(B$1:B800&lt;&gt;"-"),B$1:B800)+1,1),"-")</f>
        <v>-</v>
      </c>
      <c r="C801" s="789" t="str" cm="1">
        <f t="array" ref="C801">IF(LEFT(D801,2)&lt;&gt;"长征",IF(D801="","-",IFERROR(LOOKUP(2,1/(C$1:C800&lt;&gt;"-"),C$1:C800)+1,1)),"-")</f>
        <v>-</v>
      </c>
      <c r="D801" s="914"/>
      <c r="E801" s="914"/>
      <c r="F801" s="914"/>
      <c r="G801" s="790"/>
      <c r="H801" s="914"/>
      <c r="I801" s="914"/>
      <c r="J801" s="863"/>
      <c r="K801" s="791"/>
      <c r="L801" s="863" t="str">
        <f>IF(COUNTIF(J$1:J800,J801)=0,"",IFERROR(G801-_xlfn.MAXIFS(G$1:G800,J$1:J800,J801),""))</f>
        <v/>
      </c>
      <c r="M801" s="863" t="str">
        <f>IF(COUNTIF(D$1:D800,D801)=0,"",IFERROR(G801-_xlfn.MAXIFS(G$1:G800,D$1:D800,D801),""))</f>
        <v/>
      </c>
      <c r="N801" s="752"/>
      <c r="O801" s="711"/>
    </row>
    <row r="802" spans="1:15" x14ac:dyDescent="0.45">
      <c r="A802" s="789">
        <f t="shared" si="10"/>
        <v>799</v>
      </c>
      <c r="B802" s="789" t="str" cm="1">
        <f t="array" ref="B802">IF(LEFT(D802,2)="长征",IFERROR(LOOKUP(2,1/(B$1:B801&lt;&gt;"-"),B$1:B801)+1,1),"-")</f>
        <v>-</v>
      </c>
      <c r="C802" s="789" t="str" cm="1">
        <f t="array" ref="C802">IF(LEFT(D802,2)&lt;&gt;"长征",IF(D802="","-",IFERROR(LOOKUP(2,1/(C$1:C801&lt;&gt;"-"),C$1:C801)+1,1)),"-")</f>
        <v>-</v>
      </c>
      <c r="D802" s="914"/>
      <c r="E802" s="914"/>
      <c r="F802" s="914"/>
      <c r="G802" s="790"/>
      <c r="H802" s="914"/>
      <c r="I802" s="914"/>
      <c r="J802" s="863"/>
      <c r="K802" s="791"/>
      <c r="L802" s="863" t="str">
        <f>IF(COUNTIF(J$1:J801,J802)=0,"",IFERROR(G802-_xlfn.MAXIFS(G$1:G801,J$1:J801,J802),""))</f>
        <v/>
      </c>
      <c r="M802" s="863" t="str">
        <f>IF(COUNTIF(D$1:D801,D802)=0,"",IFERROR(G802-_xlfn.MAXIFS(G$1:G801,D$1:D801,D802),""))</f>
        <v/>
      </c>
      <c r="N802" s="752"/>
      <c r="O802" s="711"/>
    </row>
    <row r="803" spans="1:15" x14ac:dyDescent="0.45">
      <c r="A803" s="789">
        <f t="shared" si="10"/>
        <v>800</v>
      </c>
      <c r="B803" s="789" t="str" cm="1">
        <f t="array" ref="B803">IF(LEFT(D803,2)="长征",IFERROR(LOOKUP(2,1/(B$1:B802&lt;&gt;"-"),B$1:B802)+1,1),"-")</f>
        <v>-</v>
      </c>
      <c r="C803" s="789" t="str" cm="1">
        <f t="array" ref="C803">IF(LEFT(D803,2)&lt;&gt;"长征",IF(D803="","-",IFERROR(LOOKUP(2,1/(C$1:C802&lt;&gt;"-"),C$1:C802)+1,1)),"-")</f>
        <v>-</v>
      </c>
      <c r="D803" s="914"/>
      <c r="E803" s="914"/>
      <c r="F803" s="914"/>
      <c r="G803" s="790"/>
      <c r="H803" s="914"/>
      <c r="I803" s="914"/>
      <c r="J803" s="863"/>
      <c r="K803" s="791"/>
      <c r="L803" s="863" t="str">
        <f>IF(COUNTIF(J$1:J802,J803)=0,"",IFERROR(G803-_xlfn.MAXIFS(G$1:G802,J$1:J802,J803),""))</f>
        <v/>
      </c>
      <c r="M803" s="863" t="str">
        <f>IF(COUNTIF(D$1:D802,D803)=0,"",IFERROR(G803-_xlfn.MAXIFS(G$1:G802,D$1:D802,D803),""))</f>
        <v/>
      </c>
      <c r="N803" s="752"/>
    </row>
    <row r="804" spans="1:15" x14ac:dyDescent="0.45">
      <c r="A804" s="789">
        <f t="shared" si="10"/>
        <v>801</v>
      </c>
      <c r="B804" s="789" t="str" cm="1">
        <f t="array" ref="B804">IF(LEFT(D804,2)="长征",IFERROR(LOOKUP(2,1/(B$1:B803&lt;&gt;"-"),B$1:B803)+1,1),"-")</f>
        <v>-</v>
      </c>
      <c r="C804" s="789" t="str" cm="1">
        <f t="array" ref="C804">IF(LEFT(D804,2)&lt;&gt;"长征",IF(D804="","-",IFERROR(LOOKUP(2,1/(C$1:C803&lt;&gt;"-"),C$1:C803)+1,1)),"-")</f>
        <v>-</v>
      </c>
      <c r="D804" s="914"/>
      <c r="E804" s="914"/>
      <c r="F804" s="914"/>
      <c r="G804" s="790"/>
      <c r="H804" s="914"/>
      <c r="I804" s="914"/>
      <c r="J804" s="863"/>
      <c r="K804" s="791"/>
      <c r="L804" s="863" t="str">
        <f>IF(COUNTIF(J$1:J803,J804)=0,"",IFERROR(G804-_xlfn.MAXIFS(G$1:G803,J$1:J803,J804),""))</f>
        <v/>
      </c>
      <c r="M804" s="863" t="str">
        <f>IF(COUNTIF(D$1:D803,D804)=0,"",IFERROR(G804-_xlfn.MAXIFS(G$1:G803,D$1:D803,D804),""))</f>
        <v/>
      </c>
      <c r="N804" s="752"/>
    </row>
    <row r="805" spans="1:15" x14ac:dyDescent="0.45">
      <c r="A805" s="789">
        <f t="shared" si="10"/>
        <v>802</v>
      </c>
      <c r="B805" s="789" t="str" cm="1">
        <f t="array" ref="B805">IF(LEFT(D805,2)="长征",IFERROR(LOOKUP(2,1/(B$1:B804&lt;&gt;"-"),B$1:B804)+1,1),"-")</f>
        <v>-</v>
      </c>
      <c r="C805" s="789" t="str" cm="1">
        <f t="array" ref="C805">IF(LEFT(D805,2)&lt;&gt;"长征",IF(D805="","-",IFERROR(LOOKUP(2,1/(C$1:C804&lt;&gt;"-"),C$1:C804)+1,1)),"-")</f>
        <v>-</v>
      </c>
      <c r="D805" s="914"/>
      <c r="E805" s="914"/>
      <c r="F805" s="914"/>
      <c r="G805" s="790"/>
      <c r="H805" s="914"/>
      <c r="I805" s="914"/>
      <c r="J805" s="863"/>
      <c r="K805" s="791"/>
      <c r="L805" s="863" t="str">
        <f>IF(COUNTIF(J$1:J804,J805)=0,"",IFERROR(G805-_xlfn.MAXIFS(G$1:G804,J$1:J804,J805),""))</f>
        <v/>
      </c>
      <c r="M805" s="863" t="str">
        <f>IF(COUNTIF(D$1:D804,D805)=0,"",IFERROR(G805-_xlfn.MAXIFS(G$1:G804,D$1:D804,D805),""))</f>
        <v/>
      </c>
      <c r="N805" s="752"/>
    </row>
    <row r="806" spans="1:15" x14ac:dyDescent="0.45">
      <c r="A806" s="789">
        <f t="shared" si="10"/>
        <v>803</v>
      </c>
      <c r="B806" s="789" t="str" cm="1">
        <f t="array" ref="B806">IF(LEFT(D806,2)="长征",IFERROR(LOOKUP(2,1/(B$1:B805&lt;&gt;"-"),B$1:B805)+1,1),"-")</f>
        <v>-</v>
      </c>
      <c r="C806" s="789" t="str" cm="1">
        <f t="array" ref="C806">IF(LEFT(D806,2)&lt;&gt;"长征",IF(D806="","-",IFERROR(LOOKUP(2,1/(C$1:C805&lt;&gt;"-"),C$1:C805)+1,1)),"-")</f>
        <v>-</v>
      </c>
      <c r="D806" s="914"/>
      <c r="E806" s="914"/>
      <c r="F806" s="914"/>
      <c r="G806" s="790"/>
      <c r="H806" s="914"/>
      <c r="I806" s="914"/>
      <c r="J806" s="863"/>
      <c r="K806" s="791"/>
      <c r="L806" s="863" t="str">
        <f>IF(COUNTIF(J$1:J805,J806)=0,"",IFERROR(G806-_xlfn.MAXIFS(G$1:G805,J$1:J805,J806),""))</f>
        <v/>
      </c>
      <c r="M806" s="863" t="str">
        <f>IF(COUNTIF(D$1:D805,D806)=0,"",IFERROR(G806-_xlfn.MAXIFS(G$1:G805,D$1:D805,D806),""))</f>
        <v/>
      </c>
      <c r="N806" s="752"/>
    </row>
    <row r="807" spans="1:15" x14ac:dyDescent="0.45">
      <c r="A807" s="789">
        <f t="shared" si="10"/>
        <v>804</v>
      </c>
      <c r="B807" s="789" t="str" cm="1">
        <f t="array" ref="B807">IF(LEFT(D807,2)="长征",IFERROR(LOOKUP(2,1/(B$1:B806&lt;&gt;"-"),B$1:B806)+1,1),"-")</f>
        <v>-</v>
      </c>
      <c r="C807" s="789" t="str" cm="1">
        <f t="array" ref="C807">IF(LEFT(D807,2)&lt;&gt;"长征",IF(D807="","-",IFERROR(LOOKUP(2,1/(C$1:C806&lt;&gt;"-"),C$1:C806)+1,1)),"-")</f>
        <v>-</v>
      </c>
      <c r="D807" s="914"/>
      <c r="E807" s="914"/>
      <c r="F807" s="914"/>
      <c r="G807" s="790"/>
      <c r="H807" s="914"/>
      <c r="I807" s="914"/>
      <c r="J807" s="863"/>
      <c r="K807" s="791"/>
      <c r="L807" s="863" t="str">
        <f>IF(COUNTIF(J$1:J806,J807)=0,"",IFERROR(G807-_xlfn.MAXIFS(G$1:G806,J$1:J806,J807),""))</f>
        <v/>
      </c>
      <c r="M807" s="863" t="str">
        <f>IF(COUNTIF(D$1:D806,D807)=0,"",IFERROR(G807-_xlfn.MAXIFS(G$1:G806,D$1:D806,D807),""))</f>
        <v/>
      </c>
      <c r="N807" s="752"/>
    </row>
    <row r="808" spans="1:15" x14ac:dyDescent="0.45">
      <c r="A808" s="789">
        <f t="shared" si="10"/>
        <v>805</v>
      </c>
      <c r="B808" s="789" t="str" cm="1">
        <f t="array" ref="B808">IF(LEFT(D808,2)="长征",IFERROR(LOOKUP(2,1/(B$1:B807&lt;&gt;"-"),B$1:B807)+1,1),"-")</f>
        <v>-</v>
      </c>
      <c r="C808" s="789" t="str" cm="1">
        <f t="array" ref="C808">IF(LEFT(D808,2)&lt;&gt;"长征",IF(D808="","-",IFERROR(LOOKUP(2,1/(C$1:C807&lt;&gt;"-"),C$1:C807)+1,1)),"-")</f>
        <v>-</v>
      </c>
      <c r="D808" s="914"/>
      <c r="E808" s="914"/>
      <c r="F808" s="914"/>
      <c r="G808" s="790"/>
      <c r="H808" s="914"/>
      <c r="I808" s="914"/>
      <c r="J808" s="863"/>
      <c r="K808" s="791"/>
      <c r="L808" s="863" t="str">
        <f>IF(COUNTIF(J$1:J807,J808)=0,"",IFERROR(G808-_xlfn.MAXIFS(G$1:G807,J$1:J807,J808),""))</f>
        <v/>
      </c>
      <c r="M808" s="863" t="str">
        <f>IF(COUNTIF(D$1:D807,D808)=0,"",IFERROR(G808-_xlfn.MAXIFS(G$1:G807,D$1:D807,D808),""))</f>
        <v/>
      </c>
      <c r="N808" s="752"/>
    </row>
    <row r="809" spans="1:15" x14ac:dyDescent="0.45">
      <c r="A809" s="789">
        <f t="shared" si="10"/>
        <v>806</v>
      </c>
      <c r="B809" s="789" t="str" cm="1">
        <f t="array" ref="B809">IF(LEFT(D809,2)="长征",IFERROR(LOOKUP(2,1/(B$1:B808&lt;&gt;"-"),B$1:B808)+1,1),"-")</f>
        <v>-</v>
      </c>
      <c r="C809" s="789" t="str" cm="1">
        <f t="array" ref="C809">IF(LEFT(D809,2)&lt;&gt;"长征",IF(D809="","-",IFERROR(LOOKUP(2,1/(C$1:C808&lt;&gt;"-"),C$1:C808)+1,1)),"-")</f>
        <v>-</v>
      </c>
      <c r="D809" s="914"/>
      <c r="E809" s="914"/>
      <c r="F809" s="914"/>
      <c r="G809" s="790"/>
      <c r="H809" s="914"/>
      <c r="I809" s="914"/>
      <c r="J809" s="863"/>
      <c r="K809" s="791"/>
      <c r="L809" s="863" t="str">
        <f>IF(COUNTIF(J$1:J808,J809)=0,"",IFERROR(G809-_xlfn.MAXIFS(G$1:G808,J$1:J808,J809),""))</f>
        <v/>
      </c>
      <c r="M809" s="863" t="str">
        <f>IF(COUNTIF(D$1:D808,D809)=0,"",IFERROR(G809-_xlfn.MAXIFS(G$1:G808,D$1:D808,D809),""))</f>
        <v/>
      </c>
      <c r="N809" s="752"/>
    </row>
    <row r="810" spans="1:15" x14ac:dyDescent="0.45">
      <c r="A810" s="789">
        <f t="shared" si="10"/>
        <v>807</v>
      </c>
      <c r="B810" s="789" t="str" cm="1">
        <f t="array" ref="B810">IF(LEFT(D810,2)="长征",IFERROR(LOOKUP(2,1/(B$1:B809&lt;&gt;"-"),B$1:B809)+1,1),"-")</f>
        <v>-</v>
      </c>
      <c r="C810" s="789" t="str" cm="1">
        <f t="array" ref="C810">IF(LEFT(D810,2)&lt;&gt;"长征",IF(D810="","-",IFERROR(LOOKUP(2,1/(C$1:C809&lt;&gt;"-"),C$1:C809)+1,1)),"-")</f>
        <v>-</v>
      </c>
      <c r="D810" s="914"/>
      <c r="E810" s="914"/>
      <c r="F810" s="914"/>
      <c r="G810" s="790"/>
      <c r="H810" s="914"/>
      <c r="I810" s="914"/>
      <c r="J810" s="863"/>
      <c r="K810" s="791"/>
      <c r="L810" s="863" t="str">
        <f>IF(COUNTIF(J$1:J809,J810)=0,"",IFERROR(G810-_xlfn.MAXIFS(G$1:G809,J$1:J809,J810),""))</f>
        <v/>
      </c>
      <c r="M810" s="863" t="str">
        <f>IF(COUNTIF(D$1:D809,D810)=0,"",IFERROR(G810-_xlfn.MAXIFS(G$1:G809,D$1:D809,D810),""))</f>
        <v/>
      </c>
      <c r="N810" s="752"/>
    </row>
    <row r="811" spans="1:15" x14ac:dyDescent="0.45">
      <c r="A811" s="789">
        <f t="shared" si="10"/>
        <v>808</v>
      </c>
      <c r="B811" s="789" t="str" cm="1">
        <f t="array" ref="B811">IF(LEFT(D811,2)="长征",IFERROR(LOOKUP(2,1/(B$1:B810&lt;&gt;"-"),B$1:B810)+1,1),"-")</f>
        <v>-</v>
      </c>
      <c r="C811" s="789" t="str" cm="1">
        <f t="array" ref="C811">IF(LEFT(D811,2)&lt;&gt;"长征",IF(D811="","-",IFERROR(LOOKUP(2,1/(C$1:C810&lt;&gt;"-"),C$1:C810)+1,1)),"-")</f>
        <v>-</v>
      </c>
      <c r="D811" s="914"/>
      <c r="E811" s="914"/>
      <c r="F811" s="914"/>
      <c r="G811" s="790"/>
      <c r="H811" s="914"/>
      <c r="I811" s="914"/>
      <c r="J811" s="863"/>
      <c r="K811" s="791"/>
      <c r="L811" s="863" t="str">
        <f>IF(COUNTIF(J$1:J810,J811)=0,"",IFERROR(G811-_xlfn.MAXIFS(G$1:G810,J$1:J810,J811),""))</f>
        <v/>
      </c>
      <c r="M811" s="863" t="str">
        <f>IF(COUNTIF(D$1:D810,D811)=0,"",IFERROR(G811-_xlfn.MAXIFS(G$1:G810,D$1:D810,D811),""))</f>
        <v/>
      </c>
      <c r="N811" s="752"/>
    </row>
    <row r="812" spans="1:15" x14ac:dyDescent="0.45">
      <c r="A812" s="789">
        <f t="shared" si="10"/>
        <v>809</v>
      </c>
      <c r="B812" s="789" t="str" cm="1">
        <f t="array" ref="B812">IF(LEFT(D812,2)="长征",IFERROR(LOOKUP(2,1/(B$1:B811&lt;&gt;"-"),B$1:B811)+1,1),"-")</f>
        <v>-</v>
      </c>
      <c r="C812" s="789" t="str" cm="1">
        <f t="array" ref="C812">IF(LEFT(D812,2)&lt;&gt;"长征",IF(D812="","-",IFERROR(LOOKUP(2,1/(C$1:C811&lt;&gt;"-"),C$1:C811)+1,1)),"-")</f>
        <v>-</v>
      </c>
      <c r="D812" s="914"/>
      <c r="E812" s="914"/>
      <c r="F812" s="914"/>
      <c r="G812" s="790"/>
      <c r="H812" s="914"/>
      <c r="I812" s="914"/>
      <c r="J812" s="863"/>
      <c r="K812" s="791"/>
      <c r="L812" s="863" t="str">
        <f>IF(COUNTIF(J$1:J811,J812)=0,"",IFERROR(G812-_xlfn.MAXIFS(G$1:G811,J$1:J811,J812),""))</f>
        <v/>
      </c>
      <c r="M812" s="863" t="str">
        <f>IF(COUNTIF(D$1:D811,D812)=0,"",IFERROR(G812-_xlfn.MAXIFS(G$1:G811,D$1:D811,D812),""))</f>
        <v/>
      </c>
      <c r="N812" s="752"/>
    </row>
    <row r="813" spans="1:15" x14ac:dyDescent="0.45">
      <c r="A813" s="789">
        <f t="shared" si="10"/>
        <v>810</v>
      </c>
      <c r="B813" s="789" t="str" cm="1">
        <f t="array" ref="B813">IF(LEFT(D813,2)="长征",IFERROR(LOOKUP(2,1/(B$1:B812&lt;&gt;"-"),B$1:B812)+1,1),"-")</f>
        <v>-</v>
      </c>
      <c r="C813" s="789" t="str" cm="1">
        <f t="array" ref="C813">IF(LEFT(D813,2)&lt;&gt;"长征",IF(D813="","-",IFERROR(LOOKUP(2,1/(C$1:C812&lt;&gt;"-"),C$1:C812)+1,1)),"-")</f>
        <v>-</v>
      </c>
      <c r="D813" s="914"/>
      <c r="E813" s="914"/>
      <c r="F813" s="914"/>
      <c r="G813" s="790"/>
      <c r="H813" s="914"/>
      <c r="I813" s="914"/>
      <c r="J813" s="863"/>
      <c r="K813" s="791"/>
      <c r="L813" s="863" t="str">
        <f>IF(COUNTIF(J$1:J812,J813)=0,"",IFERROR(G813-_xlfn.MAXIFS(G$1:G812,J$1:J812,J813),""))</f>
        <v/>
      </c>
      <c r="M813" s="863" t="str">
        <f>IF(COUNTIF(D$1:D812,D813)=0,"",IFERROR(G813-_xlfn.MAXIFS(G$1:G812,D$1:D812,D813),""))</f>
        <v/>
      </c>
      <c r="N813" s="752"/>
    </row>
    <row r="814" spans="1:15" x14ac:dyDescent="0.45">
      <c r="A814" s="789">
        <f t="shared" si="10"/>
        <v>811</v>
      </c>
      <c r="B814" s="789" t="str" cm="1">
        <f t="array" ref="B814">IF(LEFT(D814,2)="长征",IFERROR(LOOKUP(2,1/(B$1:B813&lt;&gt;"-"),B$1:B813)+1,1),"-")</f>
        <v>-</v>
      </c>
      <c r="C814" s="789" t="str" cm="1">
        <f t="array" ref="C814">IF(LEFT(D814,2)&lt;&gt;"长征",IF(D814="","-",IFERROR(LOOKUP(2,1/(C$1:C813&lt;&gt;"-"),C$1:C813)+1,1)),"-")</f>
        <v>-</v>
      </c>
      <c r="D814" s="914"/>
      <c r="E814" s="914"/>
      <c r="F814" s="914"/>
      <c r="G814" s="790"/>
      <c r="H814" s="914"/>
      <c r="I814" s="914"/>
      <c r="J814" s="863"/>
      <c r="K814" s="791"/>
      <c r="L814" s="863" t="str">
        <f>IF(COUNTIF(J$1:J813,J814)=0,"",IFERROR(G814-_xlfn.MAXIFS(G$1:G813,J$1:J813,J814),""))</f>
        <v/>
      </c>
      <c r="M814" s="863" t="str">
        <f>IF(COUNTIF(D$1:D813,D814)=0,"",IFERROR(G814-_xlfn.MAXIFS(G$1:G813,D$1:D813,D814),""))</f>
        <v/>
      </c>
      <c r="N814" s="752"/>
    </row>
    <row r="815" spans="1:15" x14ac:dyDescent="0.45">
      <c r="A815" s="789">
        <f t="shared" si="10"/>
        <v>812</v>
      </c>
      <c r="B815" s="789" t="str" cm="1">
        <f t="array" ref="B815">IF(LEFT(D815,2)="长征",IFERROR(LOOKUP(2,1/(B$1:B814&lt;&gt;"-"),B$1:B814)+1,1),"-")</f>
        <v>-</v>
      </c>
      <c r="C815" s="789" t="str" cm="1">
        <f t="array" ref="C815">IF(LEFT(D815,2)&lt;&gt;"长征",IF(D815="","-",IFERROR(LOOKUP(2,1/(C$1:C814&lt;&gt;"-"),C$1:C814)+1,1)),"-")</f>
        <v>-</v>
      </c>
      <c r="D815" s="914"/>
      <c r="E815" s="914"/>
      <c r="F815" s="914"/>
      <c r="G815" s="790"/>
      <c r="H815" s="914"/>
      <c r="I815" s="914"/>
      <c r="J815" s="863"/>
      <c r="K815" s="791"/>
      <c r="L815" s="863" t="str">
        <f>IF(COUNTIF(J$1:J814,J815)=0,"",IFERROR(G815-_xlfn.MAXIFS(G$1:G814,J$1:J814,J815),""))</f>
        <v/>
      </c>
      <c r="M815" s="863" t="str">
        <f>IF(COUNTIF(D$1:D814,D815)=0,"",IFERROR(G815-_xlfn.MAXIFS(G$1:G814,D$1:D814,D815),""))</f>
        <v/>
      </c>
      <c r="N815" s="752"/>
    </row>
    <row r="816" spans="1:15" x14ac:dyDescent="0.45">
      <c r="A816" s="789">
        <f t="shared" si="10"/>
        <v>813</v>
      </c>
      <c r="B816" s="789" t="str" cm="1">
        <f t="array" ref="B816">IF(LEFT(D816,2)="长征",IFERROR(LOOKUP(2,1/(B$1:B815&lt;&gt;"-"),B$1:B815)+1,1),"-")</f>
        <v>-</v>
      </c>
      <c r="C816" s="789" t="str" cm="1">
        <f t="array" ref="C816">IF(LEFT(D816,2)&lt;&gt;"长征",IF(D816="","-",IFERROR(LOOKUP(2,1/(C$1:C815&lt;&gt;"-"),C$1:C815)+1,1)),"-")</f>
        <v>-</v>
      </c>
      <c r="D816" s="914"/>
      <c r="E816" s="914"/>
      <c r="F816" s="914"/>
      <c r="G816" s="790"/>
      <c r="H816" s="914"/>
      <c r="I816" s="914"/>
      <c r="J816" s="863"/>
      <c r="K816" s="791"/>
      <c r="L816" s="863" t="str">
        <f>IF(COUNTIF(J$1:J815,J816)=0,"",IFERROR(G816-_xlfn.MAXIFS(G$1:G815,J$1:J815,J816),""))</f>
        <v/>
      </c>
      <c r="M816" s="863" t="str">
        <f>IF(COUNTIF(D$1:D815,D816)=0,"",IFERROR(G816-_xlfn.MAXIFS(G$1:G815,D$1:D815,D816),""))</f>
        <v/>
      </c>
      <c r="N816" s="752"/>
    </row>
    <row r="817" spans="1:14" x14ac:dyDescent="0.45">
      <c r="A817" s="789">
        <f t="shared" si="10"/>
        <v>814</v>
      </c>
      <c r="B817" s="789" t="str" cm="1">
        <f t="array" ref="B817">IF(LEFT(D817,2)="长征",IFERROR(LOOKUP(2,1/(B$1:B816&lt;&gt;"-"),B$1:B816)+1,1),"-")</f>
        <v>-</v>
      </c>
      <c r="C817" s="789" t="str" cm="1">
        <f t="array" ref="C817">IF(LEFT(D817,2)&lt;&gt;"长征",IF(D817="","-",IFERROR(LOOKUP(2,1/(C$1:C816&lt;&gt;"-"),C$1:C816)+1,1)),"-")</f>
        <v>-</v>
      </c>
      <c r="D817" s="914"/>
      <c r="E817" s="914"/>
      <c r="F817" s="914"/>
      <c r="G817" s="790"/>
      <c r="H817" s="914"/>
      <c r="I817" s="914"/>
      <c r="J817" s="863"/>
      <c r="K817" s="791"/>
      <c r="L817" s="863" t="str">
        <f>IF(COUNTIF(J$1:J816,J817)=0,"",IFERROR(G817-_xlfn.MAXIFS(G$1:G816,J$1:J816,J817),""))</f>
        <v/>
      </c>
      <c r="M817" s="863" t="str">
        <f>IF(COUNTIF(D$1:D816,D817)=0,"",IFERROR(G817-_xlfn.MAXIFS(G$1:G816,D$1:D816,D817),""))</f>
        <v/>
      </c>
      <c r="N817" s="752"/>
    </row>
    <row r="818" spans="1:14" x14ac:dyDescent="0.45">
      <c r="A818" s="789">
        <f t="shared" si="10"/>
        <v>815</v>
      </c>
      <c r="B818" s="789" t="str" cm="1">
        <f t="array" ref="B818">IF(LEFT(D818,2)="长征",IFERROR(LOOKUP(2,1/(B$1:B817&lt;&gt;"-"),B$1:B817)+1,1),"-")</f>
        <v>-</v>
      </c>
      <c r="C818" s="789" t="str" cm="1">
        <f t="array" ref="C818">IF(LEFT(D818,2)&lt;&gt;"长征",IF(D818="","-",IFERROR(LOOKUP(2,1/(C$1:C817&lt;&gt;"-"),C$1:C817)+1,1)),"-")</f>
        <v>-</v>
      </c>
      <c r="D818" s="914"/>
      <c r="E818" s="914"/>
      <c r="F818" s="914"/>
      <c r="G818" s="790"/>
      <c r="H818" s="914"/>
      <c r="I818" s="914"/>
      <c r="J818" s="863"/>
      <c r="K818" s="791"/>
      <c r="L818" s="863" t="str">
        <f>IF(COUNTIF(J$1:J817,J818)=0,"",IFERROR(G818-_xlfn.MAXIFS(G$1:G817,J$1:J817,J818),""))</f>
        <v/>
      </c>
      <c r="M818" s="863" t="str">
        <f>IF(COUNTIF(D$1:D817,D818)=0,"",IFERROR(G818-_xlfn.MAXIFS(G$1:G817,D$1:D817,D818),""))</f>
        <v/>
      </c>
      <c r="N818" s="752"/>
    </row>
    <row r="819" spans="1:14" x14ac:dyDescent="0.45">
      <c r="A819" s="789">
        <f t="shared" si="10"/>
        <v>816</v>
      </c>
      <c r="B819" s="789" t="str" cm="1">
        <f t="array" ref="B819">IF(LEFT(D819,2)="长征",IFERROR(LOOKUP(2,1/(B$1:B818&lt;&gt;"-"),B$1:B818)+1,1),"-")</f>
        <v>-</v>
      </c>
      <c r="C819" s="789" t="str" cm="1">
        <f t="array" ref="C819">IF(LEFT(D819,2)&lt;&gt;"长征",IF(D819="","-",IFERROR(LOOKUP(2,1/(C$1:C818&lt;&gt;"-"),C$1:C818)+1,1)),"-")</f>
        <v>-</v>
      </c>
      <c r="D819" s="914"/>
      <c r="E819" s="914"/>
      <c r="F819" s="914"/>
      <c r="G819" s="790"/>
      <c r="H819" s="914"/>
      <c r="I819" s="914"/>
      <c r="J819" s="863"/>
      <c r="K819" s="791"/>
      <c r="L819" s="863" t="str">
        <f>IF(COUNTIF(J$1:J818,J819)=0,"",IFERROR(G819-_xlfn.MAXIFS(G$1:G818,J$1:J818,J819),""))</f>
        <v/>
      </c>
      <c r="M819" s="863" t="str">
        <f>IF(COUNTIF(D$1:D818,D819)=0,"",IFERROR(G819-_xlfn.MAXIFS(G$1:G818,D$1:D818,D819),""))</f>
        <v/>
      </c>
      <c r="N819" s="752"/>
    </row>
    <row r="820" spans="1:14" x14ac:dyDescent="0.45">
      <c r="A820" s="789">
        <f t="shared" si="10"/>
        <v>817</v>
      </c>
      <c r="B820" s="789" t="str" cm="1">
        <f t="array" ref="B820">IF(LEFT(D820,2)="长征",IFERROR(LOOKUP(2,1/(B$1:B819&lt;&gt;"-"),B$1:B819)+1,1),"-")</f>
        <v>-</v>
      </c>
      <c r="C820" s="789" t="str" cm="1">
        <f t="array" ref="C820">IF(LEFT(D820,2)&lt;&gt;"长征",IF(D820="","-",IFERROR(LOOKUP(2,1/(C$1:C819&lt;&gt;"-"),C$1:C819)+1,1)),"-")</f>
        <v>-</v>
      </c>
      <c r="D820" s="914"/>
      <c r="E820" s="914"/>
      <c r="F820" s="914"/>
      <c r="G820" s="790"/>
      <c r="H820" s="914"/>
      <c r="I820" s="914"/>
      <c r="J820" s="863"/>
      <c r="K820" s="791"/>
      <c r="L820" s="863" t="str">
        <f>IF(COUNTIF(J$1:J819,J820)=0,"",IFERROR(G820-_xlfn.MAXIFS(G$1:G819,J$1:J819,J820),""))</f>
        <v/>
      </c>
      <c r="M820" s="863" t="str">
        <f>IF(COUNTIF(D$1:D819,D820)=0,"",IFERROR(G820-_xlfn.MAXIFS(G$1:G819,D$1:D819,D820),""))</f>
        <v/>
      </c>
      <c r="N820" s="752"/>
    </row>
    <row r="821" spans="1:14" x14ac:dyDescent="0.45">
      <c r="A821" s="789">
        <f t="shared" si="10"/>
        <v>818</v>
      </c>
      <c r="B821" s="789" t="str" cm="1">
        <f t="array" ref="B821">IF(LEFT(D821,2)="长征",IFERROR(LOOKUP(2,1/(B$1:B820&lt;&gt;"-"),B$1:B820)+1,1),"-")</f>
        <v>-</v>
      </c>
      <c r="C821" s="789" t="str" cm="1">
        <f t="array" ref="C821">IF(LEFT(D821,2)&lt;&gt;"长征",IF(D821="","-",IFERROR(LOOKUP(2,1/(C$1:C820&lt;&gt;"-"),C$1:C820)+1,1)),"-")</f>
        <v>-</v>
      </c>
      <c r="D821" s="914"/>
      <c r="E821" s="914"/>
      <c r="F821" s="914"/>
      <c r="G821" s="790"/>
      <c r="H821" s="914"/>
      <c r="I821" s="914"/>
      <c r="J821" s="863"/>
      <c r="K821" s="791"/>
      <c r="L821" s="863" t="str">
        <f>IF(COUNTIF(J$1:J820,J821)=0,"",IFERROR(G821-_xlfn.MAXIFS(G$1:G820,J$1:J820,J821),""))</f>
        <v/>
      </c>
      <c r="M821" s="863" t="str">
        <f>IF(COUNTIF(D$1:D820,D821)=0,"",IFERROR(G821-_xlfn.MAXIFS(G$1:G820,D$1:D820,D821),""))</f>
        <v/>
      </c>
      <c r="N821" s="752"/>
    </row>
    <row r="822" spans="1:14" x14ac:dyDescent="0.45">
      <c r="A822" s="789">
        <f t="shared" si="10"/>
        <v>819</v>
      </c>
      <c r="B822" s="789" t="str" cm="1">
        <f t="array" ref="B822">IF(LEFT(D822,2)="长征",IFERROR(LOOKUP(2,1/(B$1:B821&lt;&gt;"-"),B$1:B821)+1,1),"-")</f>
        <v>-</v>
      </c>
      <c r="C822" s="789" t="str" cm="1">
        <f t="array" ref="C822">IF(LEFT(D822,2)&lt;&gt;"长征",IF(D822="","-",IFERROR(LOOKUP(2,1/(C$1:C821&lt;&gt;"-"),C$1:C821)+1,1)),"-")</f>
        <v>-</v>
      </c>
      <c r="D822" s="914"/>
      <c r="E822" s="914"/>
      <c r="F822" s="914"/>
      <c r="G822" s="790"/>
      <c r="H822" s="914"/>
      <c r="I822" s="914"/>
      <c r="J822" s="863"/>
      <c r="K822" s="791"/>
      <c r="L822" s="863" t="str">
        <f>IF(COUNTIF(J$1:J821,J822)=0,"",IFERROR(G822-_xlfn.MAXIFS(G$1:G821,J$1:J821,J822),""))</f>
        <v/>
      </c>
      <c r="M822" s="863" t="str">
        <f>IF(COUNTIF(D$1:D821,D822)=0,"",IFERROR(G822-_xlfn.MAXIFS(G$1:G821,D$1:D821,D822),""))</f>
        <v/>
      </c>
      <c r="N822" s="752"/>
    </row>
    <row r="823" spans="1:14" x14ac:dyDescent="0.45">
      <c r="A823" s="789">
        <f t="shared" si="10"/>
        <v>820</v>
      </c>
      <c r="B823" s="789" t="str" cm="1">
        <f t="array" ref="B823">IF(LEFT(D823,2)="长征",IFERROR(LOOKUP(2,1/(B$1:B822&lt;&gt;"-"),B$1:B822)+1,1),"-")</f>
        <v>-</v>
      </c>
      <c r="C823" s="789" t="str" cm="1">
        <f t="array" ref="C823">IF(LEFT(D823,2)&lt;&gt;"长征",IF(D823="","-",IFERROR(LOOKUP(2,1/(C$1:C822&lt;&gt;"-"),C$1:C822)+1,1)),"-")</f>
        <v>-</v>
      </c>
      <c r="D823" s="914"/>
      <c r="E823" s="914"/>
      <c r="F823" s="914"/>
      <c r="G823" s="790"/>
      <c r="H823" s="914"/>
      <c r="I823" s="914"/>
      <c r="J823" s="863"/>
      <c r="K823" s="791"/>
      <c r="L823" s="863" t="str">
        <f>IF(COUNTIF(J$1:J822,J823)=0,"",IFERROR(G823-_xlfn.MAXIFS(G$1:G822,J$1:J822,J823),""))</f>
        <v/>
      </c>
      <c r="M823" s="863" t="str">
        <f>IF(COUNTIF(D$1:D822,D823)=0,"",IFERROR(G823-_xlfn.MAXIFS(G$1:G822,D$1:D822,D823),""))</f>
        <v/>
      </c>
      <c r="N823" s="752"/>
    </row>
  </sheetData>
  <autoFilter ref="A1:O823" xr:uid="{00000000-0001-0000-0000-000000000000}"/>
  <phoneticPr fontId="2"/>
  <conditionalFormatting sqref="J2:M999">
    <cfRule type="expression" dxfId="107" priority="1">
      <formula>$J2="海南"</formula>
    </cfRule>
    <cfRule type="expression" dxfId="106" priority="2">
      <formula>$J2="文昌"</formula>
    </cfRule>
    <cfRule type="expression" dxfId="105" priority="3">
      <formula>$J2="海上"</formula>
    </cfRule>
    <cfRule type="expression" dxfId="104" priority="4">
      <formula>$J2="西昌"</formula>
    </cfRule>
    <cfRule type="expression" dxfId="103" priority="5">
      <formula>$J2="太原"</formula>
    </cfRule>
    <cfRule type="expression" dxfId="102" priority="6">
      <formula>$J2="酒泉"</formula>
    </cfRule>
  </conditionalFormatting>
  <conditionalFormatting sqref="A1:I999">
    <cfRule type="expression" dxfId="101" priority="345">
      <formula>AND($J1="海上",$N1="")</formula>
    </cfRule>
    <cfRule type="expression" dxfId="100" priority="346">
      <formula>AND($J1="海南",$N1="")</formula>
    </cfRule>
    <cfRule type="expression" dxfId="99" priority="347">
      <formula>AND($J1="文昌",$N1="")</formula>
    </cfRule>
    <cfRule type="expression" dxfId="98" priority="348">
      <formula>AND($J1="太原",$N1="")</formula>
    </cfRule>
    <cfRule type="expression" dxfId="97" priority="349">
      <formula>AND($J1="西昌",$N1="")</formula>
    </cfRule>
    <cfRule type="expression" dxfId="96" priority="350">
      <formula>AND($J1="酒泉",$N1="")</formula>
    </cfRule>
  </conditionalFormatting>
  <conditionalFormatting sqref="A1:O999">
    <cfRule type="expression" dxfId="95" priority="396">
      <formula>$G1=_xlfn.MINIFS($G$1:$G$999,$G$1:$G$999,"&gt;=" &amp; TODAY())</formula>
    </cfRule>
  </conditionalFormatting>
  <pageMargins left="0.7" right="0.7" top="0.75" bottom="0.75" header="0.3" footer="0.3"/>
  <pageSetup paperSize="9" orientation="portrait" horizontalDpi="0" verticalDpi="0"/>
  <ignoredErrors>
    <ignoredError sqref="E14:E15 K75:K171 K338:K564 K601:K607 K609:K616 K723:K725 K721:K722 K720 K718 K719 K714 K716 K715 K717 K711:K712 K708:K710 K705:K706 K703 K701 K698:K699 K692:K695 K690:K691 K688:K689 K686 K683:K684 K678:K681 K645:K648 K676 K673:K675 K666:K667 K669:K671 K661:K665 K654:K660 K649:K653 K608 K668 K672 K677 K682 K685 K687 K696:K697 K700 K702 K704 K707 K713 K726:K729 K730 K566:K571 K573:K582 K731 K732:K733 K584:K599 K734 K735:K736 K741:K742 K739 K738 K740 K743:K745 K750 K747:K748 K752:K753 K641:K644 K618:K633 K634:K639 K617 K640 K754 K755:K756 K759:K760 K762:K763 K761 K765 K766:K767 K768:K771 K773:K777 K778:K781 K172:K337 K783:K784 K797 K792:K796 K798:K799 K786:K7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7"/>
  <sheetViews>
    <sheetView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I11" sqref="I11"/>
    </sheetView>
  </sheetViews>
  <sheetFormatPr defaultColWidth="32.59765625" defaultRowHeight="19.2" x14ac:dyDescent="0.45"/>
  <cols>
    <col min="1" max="1" width="24" style="371" customWidth="1"/>
    <col min="2" max="2" width="46.09765625" style="372" bestFit="1" customWidth="1"/>
    <col min="3" max="3" width="25.19921875" style="373" bestFit="1" customWidth="1"/>
    <col min="4" max="4" width="21.3984375" style="371" bestFit="1" customWidth="1"/>
    <col min="5" max="5" width="31.5" style="372" bestFit="1" customWidth="1"/>
    <col min="6" max="6" width="2.5" style="693" customWidth="1"/>
    <col min="7" max="7" width="8.19921875" style="584" customWidth="1"/>
    <col min="8" max="8" width="8.59765625" style="448" customWidth="1"/>
    <col min="9" max="9" width="11" style="584" customWidth="1"/>
    <col min="10" max="10" width="11.69921875" style="1215" customWidth="1"/>
    <col min="11" max="16384" width="32.59765625" style="1215"/>
  </cols>
  <sheetData>
    <row r="1" spans="1:9" ht="23.4" x14ac:dyDescent="0.45">
      <c r="A1" s="2026" t="str">
        <f ca="1">_xlfn.CONCAT("截止",TEXT(TODAY(),"YYYY年MM月DD日"),"：全年成功",年間統計!O60,"/",年間統計!N60,"发射=",IF(年間統計!N60=0,"无发射",TEXT(年間統計!O60/年間統計!N60,"0.00%成功率， ")),MONTH(TODAY()),"月成功",月間統計!O682,"/",月間統計!N682,"发射=",TEXT(月間統計!O682/月間統計!N682,"0.00%成功率"))</f>
        <v>截止2026年07月06日：全年成功44/47发射=93.62%成功率, 7月成功3/3发射=100.00%成功率</v>
      </c>
      <c r="B1" s="2027"/>
      <c r="C1" s="2027"/>
      <c r="D1" s="2027"/>
      <c r="E1" s="2028"/>
      <c r="F1" s="2029"/>
      <c r="G1" s="2030" t="s">
        <v>3761</v>
      </c>
      <c r="H1" s="359"/>
    </row>
    <row r="2" spans="1:9" ht="23.4" x14ac:dyDescent="0.45">
      <c r="A2" s="1565" t="s">
        <v>3176</v>
      </c>
      <c r="B2" s="1566"/>
      <c r="C2" s="1566"/>
      <c r="D2" s="1566"/>
      <c r="E2" s="1567"/>
      <c r="G2" s="584" t="s">
        <v>3717</v>
      </c>
    </row>
    <row r="3" spans="1:9" ht="24" thickBot="1" x14ac:dyDescent="0.5">
      <c r="A3" s="1565" t="s">
        <v>3015</v>
      </c>
      <c r="B3" s="1566"/>
      <c r="C3" s="1566"/>
      <c r="D3" s="1566"/>
      <c r="E3" s="1567"/>
      <c r="G3" s="1216"/>
      <c r="H3" s="1215"/>
    </row>
    <row r="4" spans="1:9" ht="21" thickBot="1" x14ac:dyDescent="0.5">
      <c r="A4" s="1346" t="s">
        <v>3602</v>
      </c>
      <c r="B4" s="703" t="s">
        <v>2025</v>
      </c>
      <c r="C4" s="704" t="s">
        <v>3611</v>
      </c>
      <c r="D4" s="703" t="s">
        <v>2026</v>
      </c>
      <c r="E4" s="705" t="s">
        <v>2027</v>
      </c>
      <c r="H4" s="584"/>
    </row>
    <row r="5" spans="1:9" s="361" customFormat="1" ht="19.8" thickTop="1" x14ac:dyDescent="0.45">
      <c r="A5" s="1347" t="s">
        <v>3382</v>
      </c>
      <c r="B5" s="1340" t="s">
        <v>3816</v>
      </c>
      <c r="C5" s="1341">
        <v>46213</v>
      </c>
      <c r="D5" s="1569" t="s">
        <v>1237</v>
      </c>
      <c r="E5" s="1571" t="s">
        <v>3356</v>
      </c>
      <c r="F5" s="489"/>
      <c r="G5" s="584"/>
      <c r="I5" s="360"/>
    </row>
    <row r="6" spans="1:9" s="361" customFormat="1" x14ac:dyDescent="0.45">
      <c r="A6" s="1348"/>
      <c r="B6" s="1349"/>
      <c r="C6" s="1350" t="s">
        <v>3783</v>
      </c>
      <c r="D6" s="1570"/>
      <c r="E6" s="1572"/>
      <c r="F6" s="359"/>
      <c r="G6" s="2030"/>
      <c r="H6" s="448"/>
      <c r="I6" s="360"/>
    </row>
    <row r="7" spans="1:9" ht="19.2" customHeight="1" x14ac:dyDescent="0.45">
      <c r="A7" s="1449" t="s">
        <v>3473</v>
      </c>
      <c r="B7" s="1452" t="s">
        <v>3802</v>
      </c>
      <c r="C7" s="1442" t="s">
        <v>3797</v>
      </c>
      <c r="D7" s="1554" t="s">
        <v>1977</v>
      </c>
      <c r="E7" s="1562" t="s">
        <v>3343</v>
      </c>
      <c r="G7" s="368"/>
      <c r="H7" s="359"/>
    </row>
    <row r="8" spans="1:9" ht="19.8" thickBot="1" x14ac:dyDescent="0.5">
      <c r="A8" s="1450"/>
      <c r="B8" s="1453" t="s">
        <v>3803</v>
      </c>
      <c r="C8" s="1448" t="s">
        <v>3798</v>
      </c>
      <c r="D8" s="1555"/>
      <c r="E8" s="1563"/>
      <c r="G8" s="368"/>
      <c r="H8" s="359"/>
    </row>
    <row r="9" spans="1:9" x14ac:dyDescent="0.45">
      <c r="A9" s="1451" t="s">
        <v>3804</v>
      </c>
      <c r="B9" s="1454" t="s">
        <v>3805</v>
      </c>
      <c r="C9" s="1443"/>
      <c r="D9" s="1556"/>
      <c r="E9" s="1564"/>
      <c r="G9" s="360"/>
      <c r="H9" s="359"/>
    </row>
    <row r="10" spans="1:9" s="361" customFormat="1" ht="19.2" customHeight="1" x14ac:dyDescent="0.45">
      <c r="A10" s="1557" t="s">
        <v>3721</v>
      </c>
      <c r="B10" s="1444" t="s">
        <v>3765</v>
      </c>
      <c r="C10" s="1445" t="s">
        <v>3796</v>
      </c>
      <c r="D10" s="1576" t="s">
        <v>1415</v>
      </c>
      <c r="E10" s="1578" t="s">
        <v>1315</v>
      </c>
      <c r="F10" s="489"/>
      <c r="G10" s="584"/>
      <c r="I10" s="360"/>
    </row>
    <row r="11" spans="1:9" s="361" customFormat="1" x14ac:dyDescent="0.45">
      <c r="A11" s="1558"/>
      <c r="B11" s="1446"/>
      <c r="C11" s="1447" t="s">
        <v>3787</v>
      </c>
      <c r="D11" s="1577"/>
      <c r="E11" s="1579"/>
      <c r="F11" s="359"/>
      <c r="G11" s="2030"/>
      <c r="H11" s="448"/>
      <c r="I11" s="360"/>
    </row>
    <row r="12" spans="1:9" s="361" customFormat="1" ht="18.600000000000001" customHeight="1" x14ac:dyDescent="0.45">
      <c r="A12" s="1351" t="s">
        <v>3539</v>
      </c>
      <c r="B12" s="1344" t="s">
        <v>3786</v>
      </c>
      <c r="C12" s="1345" t="s">
        <v>3788</v>
      </c>
      <c r="D12" s="1433" t="s">
        <v>1188</v>
      </c>
      <c r="E12" s="1546" t="s">
        <v>1300</v>
      </c>
      <c r="F12" s="359"/>
      <c r="G12" s="360"/>
      <c r="H12" s="368"/>
      <c r="I12" s="360"/>
    </row>
    <row r="13" spans="1:9" s="361" customFormat="1" ht="19.8" thickBot="1" x14ac:dyDescent="0.5">
      <c r="A13" s="1437"/>
      <c r="B13" s="1438"/>
      <c r="C13" s="1439" t="s">
        <v>3787</v>
      </c>
      <c r="D13" s="1434"/>
      <c r="E13" s="1547"/>
      <c r="F13" s="359"/>
      <c r="G13" s="360"/>
      <c r="H13" s="368"/>
      <c r="I13" s="360"/>
    </row>
    <row r="14" spans="1:9" ht="24" customHeight="1" thickTop="1" thickBot="1" x14ac:dyDescent="0.5">
      <c r="A14" s="1573" t="s">
        <v>2973</v>
      </c>
      <c r="B14" s="1574"/>
      <c r="C14" s="1574"/>
      <c r="D14" s="1574"/>
      <c r="E14" s="1575"/>
      <c r="H14" s="359"/>
    </row>
    <row r="15" spans="1:9" ht="19.8" thickTop="1" x14ac:dyDescent="0.45">
      <c r="A15" s="1540" t="s">
        <v>3520</v>
      </c>
      <c r="B15" s="1568" t="s">
        <v>3713</v>
      </c>
      <c r="C15" s="364">
        <v>46218</v>
      </c>
      <c r="D15" s="1550" t="s">
        <v>1977</v>
      </c>
      <c r="E15" s="1545" t="s">
        <v>1010</v>
      </c>
      <c r="F15" s="1215"/>
      <c r="G15" s="1215"/>
      <c r="H15" s="1215"/>
      <c r="I15" s="1215"/>
    </row>
    <row r="16" spans="1:9" x14ac:dyDescent="0.45">
      <c r="A16" s="1541"/>
      <c r="B16" s="1544"/>
      <c r="C16" s="482"/>
      <c r="D16" s="1551"/>
      <c r="E16" s="1537"/>
      <c r="F16" s="1215"/>
      <c r="G16" s="1215"/>
      <c r="H16" s="1215"/>
      <c r="I16" s="1215"/>
    </row>
    <row r="17" spans="1:11" s="361" customFormat="1" x14ac:dyDescent="0.45">
      <c r="A17" s="1539" t="s">
        <v>3737</v>
      </c>
      <c r="B17" s="1542" t="s">
        <v>3741</v>
      </c>
      <c r="C17" s="364">
        <v>46221</v>
      </c>
      <c r="D17" s="1550" t="s">
        <v>1977</v>
      </c>
      <c r="E17" s="1538" t="s">
        <v>1010</v>
      </c>
      <c r="F17" s="359"/>
      <c r="I17" s="360"/>
    </row>
    <row r="18" spans="1:11" x14ac:dyDescent="0.45">
      <c r="A18" s="1541"/>
      <c r="B18" s="1544"/>
      <c r="C18" s="366"/>
      <c r="D18" s="1551"/>
      <c r="E18" s="1537"/>
    </row>
    <row r="19" spans="1:11" s="361" customFormat="1" x14ac:dyDescent="0.45">
      <c r="A19" s="1539" t="s">
        <v>3754</v>
      </c>
      <c r="B19" s="1542" t="s">
        <v>3817</v>
      </c>
      <c r="C19" s="364">
        <v>46223</v>
      </c>
      <c r="D19" s="1550" t="s">
        <v>1237</v>
      </c>
      <c r="E19" s="1538" t="s">
        <v>3356</v>
      </c>
      <c r="F19" s="489"/>
      <c r="G19" s="584"/>
      <c r="I19" s="360"/>
    </row>
    <row r="20" spans="1:11" s="361" customFormat="1" x14ac:dyDescent="0.45">
      <c r="A20" s="1541"/>
      <c r="B20" s="1552"/>
      <c r="C20" s="482"/>
      <c r="D20" s="1551"/>
      <c r="E20" s="1548"/>
      <c r="F20" s="359"/>
      <c r="G20" s="2030"/>
      <c r="H20" s="448"/>
      <c r="I20" s="360"/>
    </row>
    <row r="21" spans="1:11" x14ac:dyDescent="0.45">
      <c r="A21" s="1539" t="s">
        <v>3720</v>
      </c>
      <c r="B21" s="1542" t="s">
        <v>3771</v>
      </c>
      <c r="C21" s="364">
        <v>46224</v>
      </c>
      <c r="D21" s="1550" t="s">
        <v>1237</v>
      </c>
      <c r="E21" s="1538" t="s">
        <v>3343</v>
      </c>
      <c r="G21" s="368"/>
      <c r="H21" s="359"/>
    </row>
    <row r="22" spans="1:11" x14ac:dyDescent="0.45">
      <c r="A22" s="1540"/>
      <c r="B22" s="1543"/>
      <c r="C22" s="365"/>
      <c r="D22" s="1553"/>
      <c r="E22" s="1536"/>
      <c r="G22" s="368"/>
      <c r="H22" s="359"/>
    </row>
    <row r="23" spans="1:11" x14ac:dyDescent="0.45">
      <c r="A23" s="1541"/>
      <c r="B23" s="1544"/>
      <c r="C23" s="366"/>
      <c r="D23" s="1551"/>
      <c r="E23" s="1537"/>
      <c r="G23" s="360"/>
      <c r="H23" s="359"/>
      <c r="K23" s="1342"/>
    </row>
    <row r="24" spans="1:11" x14ac:dyDescent="0.45">
      <c r="A24" s="1539" t="s">
        <v>3768</v>
      </c>
      <c r="B24" s="1542" t="s">
        <v>1003</v>
      </c>
      <c r="C24" s="364">
        <v>46225</v>
      </c>
      <c r="D24" s="1550" t="s">
        <v>1977</v>
      </c>
      <c r="E24" s="1538" t="s">
        <v>3385</v>
      </c>
      <c r="G24" s="2030"/>
      <c r="H24" s="359"/>
    </row>
    <row r="25" spans="1:11" x14ac:dyDescent="0.45">
      <c r="A25" s="1541"/>
      <c r="B25" s="1552"/>
      <c r="C25" s="367"/>
      <c r="D25" s="1551"/>
      <c r="E25" s="1548"/>
      <c r="G25" s="2030"/>
      <c r="H25" s="359"/>
    </row>
    <row r="26" spans="1:11" s="361" customFormat="1" x14ac:dyDescent="0.45">
      <c r="A26" s="1539" t="s">
        <v>3774</v>
      </c>
      <c r="B26" s="1542" t="s">
        <v>3773</v>
      </c>
      <c r="C26" s="364">
        <v>46227</v>
      </c>
      <c r="D26" s="1550" t="s">
        <v>2195</v>
      </c>
      <c r="E26" s="1538" t="s">
        <v>3592</v>
      </c>
      <c r="F26" s="489"/>
      <c r="G26" s="584"/>
      <c r="I26" s="360"/>
    </row>
    <row r="27" spans="1:11" s="361" customFormat="1" x14ac:dyDescent="0.45">
      <c r="A27" s="1541"/>
      <c r="B27" s="1552"/>
      <c r="C27" s="482"/>
      <c r="D27" s="1551"/>
      <c r="E27" s="1548"/>
      <c r="F27" s="359"/>
      <c r="G27" s="2030"/>
      <c r="H27" s="448"/>
      <c r="I27" s="360"/>
    </row>
    <row r="28" spans="1:11" s="361" customFormat="1" x14ac:dyDescent="0.45">
      <c r="A28" s="1539" t="s">
        <v>3750</v>
      </c>
      <c r="B28" s="1542" t="s">
        <v>3746</v>
      </c>
      <c r="C28" s="364">
        <v>46229</v>
      </c>
      <c r="D28" s="1550" t="s">
        <v>1977</v>
      </c>
      <c r="E28" s="1538" t="s">
        <v>1010</v>
      </c>
      <c r="F28" s="359"/>
      <c r="H28" s="359"/>
      <c r="I28" s="360"/>
    </row>
    <row r="29" spans="1:11" x14ac:dyDescent="0.45">
      <c r="A29" s="1541"/>
      <c r="B29" s="1544"/>
      <c r="C29" s="366"/>
      <c r="D29" s="1551"/>
      <c r="E29" s="1537"/>
      <c r="H29" s="359"/>
    </row>
    <row r="30" spans="1:11" s="361" customFormat="1" ht="19.2" customHeight="1" x14ac:dyDescent="0.45">
      <c r="A30" s="1459" t="s">
        <v>3106</v>
      </c>
      <c r="B30" s="1464" t="s">
        <v>1760</v>
      </c>
      <c r="C30" s="365">
        <v>46231</v>
      </c>
      <c r="D30" s="1553" t="s">
        <v>1237</v>
      </c>
      <c r="E30" s="1536" t="s">
        <v>2208</v>
      </c>
      <c r="F30" s="359"/>
      <c r="G30" s="584"/>
      <c r="I30" s="360"/>
    </row>
    <row r="31" spans="1:11" x14ac:dyDescent="0.45">
      <c r="A31" s="1460"/>
      <c r="B31" s="1462"/>
      <c r="C31" s="482"/>
      <c r="D31" s="1551"/>
      <c r="E31" s="1537"/>
    </row>
    <row r="32" spans="1:11" s="361" customFormat="1" x14ac:dyDescent="0.45">
      <c r="A32" s="1459" t="s">
        <v>3766</v>
      </c>
      <c r="B32" s="1542" t="s">
        <v>3811</v>
      </c>
      <c r="C32" s="364">
        <v>46233</v>
      </c>
      <c r="D32" s="1550" t="s">
        <v>1237</v>
      </c>
      <c r="E32" s="1538" t="s">
        <v>3356</v>
      </c>
      <c r="F32" s="489"/>
      <c r="G32" s="584"/>
      <c r="I32" s="360"/>
      <c r="K32" s="1343"/>
    </row>
    <row r="33" spans="1:9" s="361" customFormat="1" x14ac:dyDescent="0.45">
      <c r="A33" s="1460"/>
      <c r="B33" s="1552"/>
      <c r="C33" s="482"/>
      <c r="D33" s="1551"/>
      <c r="E33" s="1548"/>
      <c r="F33" s="359"/>
      <c r="G33" s="2030"/>
      <c r="H33" s="448"/>
      <c r="I33" s="360"/>
    </row>
    <row r="34" spans="1:9" x14ac:dyDescent="0.45">
      <c r="A34" s="1459" t="s">
        <v>3731</v>
      </c>
      <c r="B34" s="1542" t="s">
        <v>3764</v>
      </c>
      <c r="C34" s="365">
        <v>46234</v>
      </c>
      <c r="D34" s="1549" t="s">
        <v>1237</v>
      </c>
      <c r="E34" s="1536" t="s">
        <v>2555</v>
      </c>
    </row>
    <row r="35" spans="1:9" x14ac:dyDescent="0.45">
      <c r="A35" s="1463"/>
      <c r="B35" s="1543"/>
      <c r="C35" s="362"/>
      <c r="D35" s="1549"/>
      <c r="E35" s="1536"/>
      <c r="G35" s="2030"/>
    </row>
    <row r="36" spans="1:9" x14ac:dyDescent="0.45">
      <c r="A36" s="1463"/>
      <c r="B36" s="1543"/>
      <c r="C36" s="362"/>
      <c r="D36" s="1549"/>
      <c r="E36" s="1536"/>
      <c r="G36" s="2030"/>
    </row>
    <row r="37" spans="1:9" x14ac:dyDescent="0.45">
      <c r="A37" s="1463"/>
      <c r="B37" s="1543"/>
      <c r="C37" s="362"/>
      <c r="D37" s="1549"/>
      <c r="E37" s="1536"/>
      <c r="G37" s="2030"/>
    </row>
    <row r="38" spans="1:9" x14ac:dyDescent="0.45">
      <c r="A38" s="1460"/>
      <c r="B38" s="1544"/>
      <c r="C38" s="363"/>
      <c r="D38" s="1549"/>
      <c r="E38" s="1548"/>
      <c r="G38" s="2030"/>
    </row>
    <row r="39" spans="1:9" x14ac:dyDescent="0.45">
      <c r="A39" s="1539" t="s">
        <v>1457</v>
      </c>
      <c r="B39" s="1542" t="s">
        <v>3596</v>
      </c>
      <c r="C39" s="364">
        <v>46234</v>
      </c>
      <c r="D39" s="1550" t="s">
        <v>1977</v>
      </c>
      <c r="E39" s="1538" t="s">
        <v>3385</v>
      </c>
      <c r="G39" s="2030"/>
      <c r="H39" s="359"/>
    </row>
    <row r="40" spans="1:9" x14ac:dyDescent="0.45">
      <c r="A40" s="1541"/>
      <c r="B40" s="1552"/>
      <c r="C40" s="367"/>
      <c r="D40" s="1551"/>
      <c r="E40" s="1548"/>
      <c r="G40" s="2030"/>
      <c r="H40" s="359"/>
    </row>
    <row r="41" spans="1:9" x14ac:dyDescent="0.45">
      <c r="A41" s="1459" t="s">
        <v>3412</v>
      </c>
      <c r="B41" s="1559" t="s">
        <v>1455</v>
      </c>
      <c r="C41" s="364">
        <v>46235</v>
      </c>
      <c r="D41" s="1549" t="s">
        <v>1237</v>
      </c>
      <c r="E41" s="1536" t="s">
        <v>2555</v>
      </c>
    </row>
    <row r="42" spans="1:9" x14ac:dyDescent="0.45">
      <c r="A42" s="1463"/>
      <c r="B42" s="1543"/>
      <c r="C42" s="362"/>
      <c r="D42" s="1549"/>
      <c r="E42" s="1536"/>
      <c r="G42" s="2030"/>
    </row>
    <row r="43" spans="1:9" x14ac:dyDescent="0.45">
      <c r="A43" s="1460"/>
      <c r="B43" s="1544"/>
      <c r="C43" s="363"/>
      <c r="D43" s="1549"/>
      <c r="E43" s="1548"/>
      <c r="G43" s="2030"/>
    </row>
    <row r="44" spans="1:9" s="361" customFormat="1" ht="19.2" customHeight="1" x14ac:dyDescent="0.45">
      <c r="A44" s="1539" t="s">
        <v>3722</v>
      </c>
      <c r="B44" s="1455" t="s">
        <v>3740</v>
      </c>
      <c r="C44" s="364">
        <v>46243</v>
      </c>
      <c r="D44" s="1550" t="s">
        <v>1415</v>
      </c>
      <c r="E44" s="1545" t="s">
        <v>1315</v>
      </c>
      <c r="F44" s="489"/>
      <c r="G44" s="584"/>
      <c r="I44" s="360"/>
    </row>
    <row r="45" spans="1:9" s="361" customFormat="1" x14ac:dyDescent="0.45">
      <c r="A45" s="1541"/>
      <c r="B45" s="1456"/>
      <c r="C45" s="482"/>
      <c r="D45" s="1551"/>
      <c r="E45" s="1537"/>
      <c r="F45" s="359"/>
      <c r="G45" s="2030"/>
      <c r="H45" s="448"/>
      <c r="I45" s="360"/>
    </row>
    <row r="46" spans="1:9" s="361" customFormat="1" x14ac:dyDescent="0.45">
      <c r="A46" s="1539" t="s">
        <v>3742</v>
      </c>
      <c r="B46" s="1542" t="s">
        <v>1003</v>
      </c>
      <c r="C46" s="364">
        <v>46254</v>
      </c>
      <c r="D46" s="1550" t="s">
        <v>1977</v>
      </c>
      <c r="E46" s="1538" t="s">
        <v>1010</v>
      </c>
      <c r="F46" s="359"/>
      <c r="I46" s="360"/>
    </row>
    <row r="47" spans="1:9" x14ac:dyDescent="0.45">
      <c r="A47" s="1541"/>
      <c r="B47" s="1544"/>
      <c r="C47" s="366"/>
      <c r="D47" s="1551"/>
      <c r="E47" s="1537"/>
    </row>
    <row r="48" spans="1:9" s="361" customFormat="1" ht="22.8" customHeight="1" x14ac:dyDescent="0.45">
      <c r="A48" s="1459" t="s">
        <v>3582</v>
      </c>
      <c r="B48" s="1455" t="s">
        <v>3340</v>
      </c>
      <c r="C48" s="364">
        <v>46258</v>
      </c>
      <c r="D48" s="1550" t="s">
        <v>1415</v>
      </c>
      <c r="E48" s="1545" t="s">
        <v>1315</v>
      </c>
      <c r="F48" s="489"/>
      <c r="G48" s="360"/>
      <c r="I48" s="360"/>
    </row>
    <row r="49" spans="1:9" s="361" customFormat="1" ht="19.2" customHeight="1" x14ac:dyDescent="0.45">
      <c r="A49" s="1460"/>
      <c r="B49" s="1456"/>
      <c r="C49" s="482"/>
      <c r="D49" s="1551"/>
      <c r="E49" s="1537"/>
      <c r="F49" s="359"/>
      <c r="G49" s="2030"/>
      <c r="H49" s="368"/>
      <c r="I49" s="360"/>
    </row>
    <row r="50" spans="1:9" x14ac:dyDescent="0.45">
      <c r="A50" s="1539" t="s">
        <v>3770</v>
      </c>
      <c r="B50" s="1542" t="s">
        <v>1003</v>
      </c>
      <c r="C50" s="364">
        <v>46260</v>
      </c>
      <c r="D50" s="1550" t="s">
        <v>1977</v>
      </c>
      <c r="E50" s="1538" t="s">
        <v>3385</v>
      </c>
      <c r="G50" s="2030"/>
      <c r="H50" s="359"/>
    </row>
    <row r="51" spans="1:9" x14ac:dyDescent="0.45">
      <c r="A51" s="1541"/>
      <c r="B51" s="1552"/>
      <c r="C51" s="367"/>
      <c r="D51" s="1551"/>
      <c r="E51" s="1548"/>
      <c r="G51" s="2030"/>
      <c r="H51" s="359"/>
    </row>
    <row r="52" spans="1:9" s="361" customFormat="1" x14ac:dyDescent="0.45">
      <c r="A52" s="1459" t="s">
        <v>3767</v>
      </c>
      <c r="B52" s="1455" t="s">
        <v>3818</v>
      </c>
      <c r="C52" s="364">
        <v>46264</v>
      </c>
      <c r="D52" s="1550" t="s">
        <v>1237</v>
      </c>
      <c r="E52" s="1538" t="s">
        <v>3356</v>
      </c>
      <c r="F52" s="489"/>
      <c r="G52" s="584"/>
      <c r="I52" s="360"/>
    </row>
    <row r="53" spans="1:9" s="361" customFormat="1" x14ac:dyDescent="0.45">
      <c r="A53" s="1460"/>
      <c r="B53" s="1456"/>
      <c r="C53" s="482"/>
      <c r="D53" s="1551"/>
      <c r="E53" s="1548"/>
      <c r="F53" s="359"/>
      <c r="G53" s="2030"/>
      <c r="H53" s="448"/>
      <c r="I53" s="360"/>
    </row>
    <row r="54" spans="1:9" s="361" customFormat="1" x14ac:dyDescent="0.45">
      <c r="A54" s="1539" t="s">
        <v>3743</v>
      </c>
      <c r="B54" s="1542" t="s">
        <v>1003</v>
      </c>
      <c r="C54" s="364">
        <v>46285</v>
      </c>
      <c r="D54" s="1550" t="s">
        <v>1977</v>
      </c>
      <c r="E54" s="1538" t="s">
        <v>1010</v>
      </c>
      <c r="F54" s="359"/>
      <c r="I54" s="360"/>
    </row>
    <row r="55" spans="1:9" x14ac:dyDescent="0.45">
      <c r="A55" s="1541"/>
      <c r="B55" s="1544"/>
      <c r="C55" s="366"/>
      <c r="D55" s="1551"/>
      <c r="E55" s="1537"/>
    </row>
    <row r="56" spans="1:9" s="361" customFormat="1" x14ac:dyDescent="0.45">
      <c r="A56" s="1539" t="s">
        <v>3745</v>
      </c>
      <c r="B56" s="1542" t="s">
        <v>1003</v>
      </c>
      <c r="C56" s="364">
        <v>46295</v>
      </c>
      <c r="D56" s="1550" t="s">
        <v>1977</v>
      </c>
      <c r="E56" s="1538" t="s">
        <v>1010</v>
      </c>
      <c r="F56" s="359"/>
      <c r="I56" s="360"/>
    </row>
    <row r="57" spans="1:9" x14ac:dyDescent="0.45">
      <c r="A57" s="1541"/>
      <c r="B57" s="1544"/>
      <c r="C57" s="366"/>
      <c r="D57" s="1551"/>
      <c r="E57" s="1537"/>
    </row>
    <row r="58" spans="1:9" x14ac:dyDescent="0.45">
      <c r="A58" s="1560" t="s">
        <v>2782</v>
      </c>
      <c r="B58" s="1543" t="s">
        <v>1455</v>
      </c>
      <c r="C58" s="364">
        <v>46313</v>
      </c>
      <c r="D58" s="1550" t="s">
        <v>70</v>
      </c>
      <c r="E58" s="1538" t="s">
        <v>3535</v>
      </c>
    </row>
    <row r="59" spans="1:9" x14ac:dyDescent="0.45">
      <c r="A59" s="1560"/>
      <c r="B59" s="1543"/>
      <c r="C59" s="365"/>
      <c r="D59" s="1553"/>
      <c r="E59" s="1536"/>
    </row>
    <row r="60" spans="1:9" x14ac:dyDescent="0.45">
      <c r="A60" s="1560"/>
      <c r="B60" s="1544"/>
      <c r="C60" s="366"/>
      <c r="D60" s="1551"/>
      <c r="E60" s="1537"/>
    </row>
    <row r="61" spans="1:9" s="361" customFormat="1" x14ac:dyDescent="0.45">
      <c r="A61" s="1539" t="s">
        <v>3686</v>
      </c>
      <c r="B61" s="1542" t="s">
        <v>3685</v>
      </c>
      <c r="C61" s="364">
        <v>46315</v>
      </c>
      <c r="D61" s="1550" t="s">
        <v>1977</v>
      </c>
      <c r="E61" s="1538" t="s">
        <v>1010</v>
      </c>
      <c r="F61" s="359"/>
      <c r="I61" s="360"/>
    </row>
    <row r="62" spans="1:9" x14ac:dyDescent="0.45">
      <c r="A62" s="1541"/>
      <c r="B62" s="1544"/>
      <c r="C62" s="366"/>
      <c r="D62" s="1551"/>
      <c r="E62" s="1537"/>
    </row>
    <row r="63" spans="1:9" x14ac:dyDescent="0.45">
      <c r="A63" s="1539" t="s">
        <v>3540</v>
      </c>
      <c r="B63" s="1559" t="s">
        <v>3053</v>
      </c>
      <c r="C63" s="364">
        <v>46337</v>
      </c>
      <c r="D63" s="1550" t="s">
        <v>70</v>
      </c>
      <c r="E63" s="1545" t="s">
        <v>3385</v>
      </c>
    </row>
    <row r="64" spans="1:9" x14ac:dyDescent="0.45">
      <c r="A64" s="1541"/>
      <c r="B64" s="1544"/>
      <c r="C64" s="366"/>
      <c r="D64" s="1551"/>
      <c r="E64" s="1537"/>
    </row>
    <row r="65" spans="1:9" s="361" customFormat="1" x14ac:dyDescent="0.45">
      <c r="A65" s="1539" t="s">
        <v>3410</v>
      </c>
      <c r="B65" s="1559" t="s">
        <v>3407</v>
      </c>
      <c r="C65" s="364">
        <v>46343</v>
      </c>
      <c r="D65" s="1550" t="s">
        <v>1237</v>
      </c>
      <c r="E65" s="1538" t="s">
        <v>1010</v>
      </c>
      <c r="F65" s="359"/>
      <c r="G65" s="584"/>
      <c r="I65" s="360"/>
    </row>
    <row r="66" spans="1:9" x14ac:dyDescent="0.45">
      <c r="A66" s="1541"/>
      <c r="B66" s="1544"/>
      <c r="C66" s="366"/>
      <c r="D66" s="1551"/>
      <c r="E66" s="1537"/>
    </row>
    <row r="67" spans="1:9" x14ac:dyDescent="0.45">
      <c r="A67" s="1539" t="s">
        <v>1456</v>
      </c>
      <c r="B67" s="1559" t="s">
        <v>1760</v>
      </c>
      <c r="C67" s="364">
        <v>46376</v>
      </c>
      <c r="D67" s="1550" t="s">
        <v>1237</v>
      </c>
      <c r="E67" s="1538" t="s">
        <v>2555</v>
      </c>
      <c r="G67" s="368"/>
    </row>
    <row r="68" spans="1:9" x14ac:dyDescent="0.45">
      <c r="A68" s="1540"/>
      <c r="B68" s="1543"/>
      <c r="C68" s="365"/>
      <c r="D68" s="1553"/>
      <c r="E68" s="1536"/>
      <c r="G68" s="368"/>
    </row>
    <row r="69" spans="1:9" x14ac:dyDescent="0.45">
      <c r="A69" s="1541"/>
      <c r="B69" s="1544"/>
      <c r="C69" s="366"/>
      <c r="D69" s="1551"/>
      <c r="E69" s="1537"/>
      <c r="G69" s="360"/>
      <c r="H69" s="368"/>
    </row>
    <row r="70" spans="1:9" s="361" customFormat="1" ht="18.600000000000001" customHeight="1" x14ac:dyDescent="0.45">
      <c r="A70" s="1463" t="s">
        <v>3589</v>
      </c>
      <c r="B70" s="1465" t="s">
        <v>3508</v>
      </c>
      <c r="C70" s="364">
        <v>46377</v>
      </c>
      <c r="D70" s="1461" t="s">
        <v>1188</v>
      </c>
      <c r="E70" s="1545" t="s">
        <v>1300</v>
      </c>
      <c r="F70" s="359"/>
      <c r="G70" s="360"/>
      <c r="H70" s="368"/>
      <c r="I70" s="360"/>
    </row>
    <row r="71" spans="1:9" s="361" customFormat="1" x14ac:dyDescent="0.45">
      <c r="A71" s="1460"/>
      <c r="B71" s="1462"/>
      <c r="C71" s="369"/>
      <c r="D71" s="1458"/>
      <c r="E71" s="1537"/>
      <c r="F71" s="359"/>
      <c r="G71" s="360"/>
      <c r="H71" s="368"/>
      <c r="I71" s="360"/>
    </row>
    <row r="72" spans="1:9" x14ac:dyDescent="0.45">
      <c r="A72" s="1539" t="s">
        <v>2672</v>
      </c>
      <c r="B72" s="1559" t="s">
        <v>1760</v>
      </c>
      <c r="C72" s="364">
        <v>46378</v>
      </c>
      <c r="D72" s="1550" t="s">
        <v>1237</v>
      </c>
      <c r="E72" s="1538" t="s">
        <v>3356</v>
      </c>
      <c r="G72" s="2030"/>
      <c r="H72" s="359"/>
    </row>
    <row r="73" spans="1:9" s="361" customFormat="1" x14ac:dyDescent="0.45">
      <c r="A73" s="1541"/>
      <c r="B73" s="1544"/>
      <c r="C73" s="369"/>
      <c r="D73" s="1551"/>
      <c r="E73" s="1548"/>
      <c r="F73" s="359"/>
      <c r="G73" s="584"/>
      <c r="I73" s="360"/>
    </row>
    <row r="74" spans="1:9" s="361" customFormat="1" x14ac:dyDescent="0.45">
      <c r="A74" s="1539" t="s">
        <v>2921</v>
      </c>
      <c r="B74" s="1559" t="s">
        <v>1760</v>
      </c>
      <c r="C74" s="364">
        <v>46379</v>
      </c>
      <c r="D74" s="1550" t="s">
        <v>1237</v>
      </c>
      <c r="E74" s="1538" t="s">
        <v>2208</v>
      </c>
      <c r="F74" s="359"/>
      <c r="G74" s="584"/>
      <c r="I74" s="360"/>
    </row>
    <row r="75" spans="1:9" x14ac:dyDescent="0.45">
      <c r="A75" s="1541"/>
      <c r="B75" s="1544"/>
      <c r="C75" s="366"/>
      <c r="D75" s="1551"/>
      <c r="E75" s="1537"/>
    </row>
    <row r="76" spans="1:9" s="361" customFormat="1" ht="19.2" customHeight="1" x14ac:dyDescent="0.45">
      <c r="A76" s="1539" t="s">
        <v>3463</v>
      </c>
      <c r="B76" s="1455" t="s">
        <v>1455</v>
      </c>
      <c r="C76" s="370">
        <v>46052</v>
      </c>
      <c r="D76" s="1550" t="s">
        <v>1415</v>
      </c>
      <c r="E76" s="1545" t="s">
        <v>1315</v>
      </c>
      <c r="F76" s="489"/>
      <c r="G76" s="584"/>
      <c r="I76" s="360"/>
    </row>
    <row r="77" spans="1:9" s="361" customFormat="1" x14ac:dyDescent="0.45">
      <c r="A77" s="1541"/>
      <c r="B77" s="1456" t="s">
        <v>3464</v>
      </c>
      <c r="C77" s="482"/>
      <c r="D77" s="1551"/>
      <c r="E77" s="1537"/>
      <c r="F77" s="359"/>
      <c r="G77" s="2030"/>
      <c r="H77" s="448"/>
      <c r="I77" s="360"/>
    </row>
    <row r="78" spans="1:9" x14ac:dyDescent="0.45">
      <c r="A78" s="1459" t="s">
        <v>2935</v>
      </c>
      <c r="B78" s="1559" t="s">
        <v>1455</v>
      </c>
      <c r="C78" s="370">
        <v>46052</v>
      </c>
      <c r="D78" s="1549" t="s">
        <v>1237</v>
      </c>
      <c r="E78" s="1536" t="s">
        <v>2555</v>
      </c>
    </row>
    <row r="79" spans="1:9" x14ac:dyDescent="0.45">
      <c r="A79" s="1463"/>
      <c r="B79" s="1543"/>
      <c r="C79" s="362"/>
      <c r="D79" s="1549"/>
      <c r="E79" s="1536"/>
      <c r="G79" s="2030"/>
    </row>
    <row r="80" spans="1:9" x14ac:dyDescent="0.45">
      <c r="A80" s="1460"/>
      <c r="B80" s="1544"/>
      <c r="C80" s="363"/>
      <c r="D80" s="1549"/>
      <c r="E80" s="1548"/>
      <c r="G80" s="2030"/>
    </row>
    <row r="81" spans="1:9" s="361" customFormat="1" ht="18.600000000000001" customHeight="1" x14ac:dyDescent="0.45">
      <c r="A81" s="1464" t="s">
        <v>3539</v>
      </c>
      <c r="B81" s="1464" t="s">
        <v>3054</v>
      </c>
      <c r="C81" s="370">
        <v>46052</v>
      </c>
      <c r="D81" s="1457" t="s">
        <v>1188</v>
      </c>
      <c r="E81" s="1550" t="s">
        <v>1300</v>
      </c>
      <c r="F81" s="359"/>
      <c r="G81" s="360"/>
      <c r="H81" s="368"/>
      <c r="I81" s="360"/>
    </row>
    <row r="82" spans="1:9" s="361" customFormat="1" x14ac:dyDescent="0.45">
      <c r="A82" s="1462"/>
      <c r="B82" s="1462"/>
      <c r="C82" s="369"/>
      <c r="D82" s="1458"/>
      <c r="E82" s="1551"/>
      <c r="F82" s="359"/>
      <c r="G82" s="360"/>
      <c r="H82" s="368"/>
      <c r="I82" s="360"/>
    </row>
    <row r="83" spans="1:9" x14ac:dyDescent="0.45">
      <c r="A83" s="1561" t="s">
        <v>3052</v>
      </c>
      <c r="B83" s="1561" t="s">
        <v>3051</v>
      </c>
      <c r="C83" s="370">
        <v>46387</v>
      </c>
      <c r="D83" s="1549" t="s">
        <v>70</v>
      </c>
      <c r="E83" s="1549" t="s">
        <v>1011</v>
      </c>
    </row>
    <row r="84" spans="1:9" x14ac:dyDescent="0.45">
      <c r="A84" s="1561"/>
      <c r="B84" s="1561"/>
      <c r="C84" s="366"/>
      <c r="D84" s="1549"/>
      <c r="E84" s="1549"/>
    </row>
    <row r="85" spans="1:9" x14ac:dyDescent="0.45">
      <c r="A85" s="1559" t="s">
        <v>2921</v>
      </c>
      <c r="B85" s="1559" t="s">
        <v>1760</v>
      </c>
      <c r="C85" s="416">
        <v>46386</v>
      </c>
      <c r="D85" s="1550" t="s">
        <v>1237</v>
      </c>
      <c r="E85" s="1559" t="s">
        <v>2922</v>
      </c>
      <c r="G85" s="368"/>
    </row>
    <row r="86" spans="1:9" x14ac:dyDescent="0.45">
      <c r="A86" s="1543"/>
      <c r="B86" s="1543"/>
      <c r="C86" s="365"/>
      <c r="D86" s="1553"/>
      <c r="E86" s="1543"/>
      <c r="G86" s="368"/>
    </row>
    <row r="87" spans="1:9" x14ac:dyDescent="0.45">
      <c r="A87" s="1544"/>
      <c r="B87" s="1544"/>
      <c r="C87" s="366"/>
      <c r="D87" s="1551"/>
      <c r="E87" s="1544"/>
      <c r="G87" s="360"/>
      <c r="H87" s="368"/>
    </row>
    <row r="88" spans="1:9" x14ac:dyDescent="0.45">
      <c r="A88" s="1559" t="s">
        <v>1916</v>
      </c>
      <c r="B88" s="1559" t="s">
        <v>1455</v>
      </c>
      <c r="C88" s="416">
        <v>46386</v>
      </c>
      <c r="D88" s="1550" t="s">
        <v>70</v>
      </c>
      <c r="E88" s="1550" t="s">
        <v>1010</v>
      </c>
    </row>
    <row r="89" spans="1:9" x14ac:dyDescent="0.45">
      <c r="A89" s="1544"/>
      <c r="B89" s="1544"/>
      <c r="C89" s="366"/>
      <c r="D89" s="1551"/>
      <c r="E89" s="1551"/>
    </row>
    <row r="90" spans="1:9" x14ac:dyDescent="0.45">
      <c r="A90" s="1559" t="s">
        <v>2169</v>
      </c>
      <c r="B90" s="1559" t="s">
        <v>1455</v>
      </c>
      <c r="C90" s="416">
        <v>46386</v>
      </c>
      <c r="D90" s="1550" t="s">
        <v>70</v>
      </c>
      <c r="E90" s="1550" t="s">
        <v>1010</v>
      </c>
    </row>
    <row r="91" spans="1:9" x14ac:dyDescent="0.45">
      <c r="A91" s="1544"/>
      <c r="B91" s="1544"/>
      <c r="C91" s="416"/>
      <c r="D91" s="1551"/>
      <c r="E91" s="1551"/>
    </row>
    <row r="92" spans="1:9" x14ac:dyDescent="0.45">
      <c r="A92" s="1559" t="s">
        <v>2167</v>
      </c>
      <c r="B92" s="1559" t="s">
        <v>1455</v>
      </c>
      <c r="C92" s="416">
        <v>46386</v>
      </c>
      <c r="D92" s="1550" t="s">
        <v>70</v>
      </c>
      <c r="E92" s="1550" t="s">
        <v>1010</v>
      </c>
      <c r="G92" s="360"/>
      <c r="H92" s="368"/>
    </row>
    <row r="93" spans="1:9" x14ac:dyDescent="0.45">
      <c r="A93" s="1544"/>
      <c r="B93" s="1544"/>
      <c r="C93" s="366"/>
      <c r="D93" s="1551"/>
      <c r="E93" s="1551"/>
      <c r="G93" s="360"/>
      <c r="H93" s="368"/>
      <c r="I93" s="1215"/>
    </row>
    <row r="94" spans="1:9" x14ac:dyDescent="0.45">
      <c r="A94" s="1559" t="s">
        <v>2168</v>
      </c>
      <c r="B94" s="1559" t="s">
        <v>1455</v>
      </c>
      <c r="C94" s="416">
        <v>46386</v>
      </c>
      <c r="D94" s="1550" t="s">
        <v>70</v>
      </c>
      <c r="E94" s="1550" t="s">
        <v>1010</v>
      </c>
      <c r="G94" s="360"/>
      <c r="H94" s="368"/>
      <c r="I94" s="1215"/>
    </row>
    <row r="95" spans="1:9" x14ac:dyDescent="0.45">
      <c r="A95" s="1544"/>
      <c r="B95" s="1544"/>
      <c r="C95" s="366"/>
      <c r="D95" s="1551"/>
      <c r="E95" s="1551"/>
      <c r="G95" s="360"/>
      <c r="H95" s="368"/>
      <c r="I95" s="1215"/>
    </row>
    <row r="96" spans="1:9" x14ac:dyDescent="0.45">
      <c r="A96" s="1559" t="s">
        <v>2436</v>
      </c>
      <c r="B96" s="1559" t="s">
        <v>3649</v>
      </c>
      <c r="C96" s="370">
        <v>46441</v>
      </c>
      <c r="D96" s="1550" t="s">
        <v>1237</v>
      </c>
      <c r="E96" s="1550" t="s">
        <v>1315</v>
      </c>
      <c r="I96" s="1215"/>
    </row>
    <row r="97" spans="1:9" x14ac:dyDescent="0.45">
      <c r="A97" s="1544"/>
      <c r="B97" s="1544"/>
      <c r="C97" s="366"/>
      <c r="D97" s="1551"/>
      <c r="E97" s="1551"/>
      <c r="G97" s="360"/>
      <c r="H97" s="368"/>
      <c r="I97" s="1215"/>
    </row>
  </sheetData>
  <mergeCells count="142">
    <mergeCell ref="A1:E1"/>
    <mergeCell ref="A2:E2"/>
    <mergeCell ref="A3:E3"/>
    <mergeCell ref="A39:A40"/>
    <mergeCell ref="B39:B40"/>
    <mergeCell ref="D39:D40"/>
    <mergeCell ref="E39:E40"/>
    <mergeCell ref="D21:D23"/>
    <mergeCell ref="D32:D33"/>
    <mergeCell ref="E32:E33"/>
    <mergeCell ref="B15:B16"/>
    <mergeCell ref="D15:D16"/>
    <mergeCell ref="A15:A16"/>
    <mergeCell ref="D5:D6"/>
    <mergeCell ref="E5:E6"/>
    <mergeCell ref="A14:E14"/>
    <mergeCell ref="E17:E18"/>
    <mergeCell ref="D10:D11"/>
    <mergeCell ref="E10:E11"/>
    <mergeCell ref="A94:A95"/>
    <mergeCell ref="A92:A93"/>
    <mergeCell ref="D92:D93"/>
    <mergeCell ref="E81:E82"/>
    <mergeCell ref="D78:D80"/>
    <mergeCell ref="D76:D77"/>
    <mergeCell ref="B28:B29"/>
    <mergeCell ref="E28:E29"/>
    <mergeCell ref="E7:E9"/>
    <mergeCell ref="D24:D25"/>
    <mergeCell ref="D28:D29"/>
    <mergeCell ref="A28:A29"/>
    <mergeCell ref="D63:D64"/>
    <mergeCell ref="E70:E71"/>
    <mergeCell ref="A46:A47"/>
    <mergeCell ref="B46:B47"/>
    <mergeCell ref="D46:D47"/>
    <mergeCell ref="E46:E47"/>
    <mergeCell ref="E67:E69"/>
    <mergeCell ref="D85:D87"/>
    <mergeCell ref="A85:A87"/>
    <mergeCell ref="B85:B87"/>
    <mergeCell ref="A96:A97"/>
    <mergeCell ref="D96:D97"/>
    <mergeCell ref="B96:B97"/>
    <mergeCell ref="E96:E97"/>
    <mergeCell ref="B83:B84"/>
    <mergeCell ref="D83:D84"/>
    <mergeCell ref="A83:A84"/>
    <mergeCell ref="E83:E84"/>
    <mergeCell ref="B65:B66"/>
    <mergeCell ref="D65:D66"/>
    <mergeCell ref="A90:A91"/>
    <mergeCell ref="D94:D95"/>
    <mergeCell ref="B92:B93"/>
    <mergeCell ref="D88:D89"/>
    <mergeCell ref="B88:B89"/>
    <mergeCell ref="A88:A89"/>
    <mergeCell ref="E90:E91"/>
    <mergeCell ref="B94:B95"/>
    <mergeCell ref="D90:D91"/>
    <mergeCell ref="E76:E77"/>
    <mergeCell ref="A76:A77"/>
    <mergeCell ref="B90:B91"/>
    <mergeCell ref="E92:E93"/>
    <mergeCell ref="E94:E95"/>
    <mergeCell ref="E78:E80"/>
    <mergeCell ref="B78:B80"/>
    <mergeCell ref="A67:A69"/>
    <mergeCell ref="D67:D69"/>
    <mergeCell ref="B67:B69"/>
    <mergeCell ref="E88:E89"/>
    <mergeCell ref="E85:E87"/>
    <mergeCell ref="E72:E73"/>
    <mergeCell ref="D41:D43"/>
    <mergeCell ref="B41:B43"/>
    <mergeCell ref="A74:A75"/>
    <mergeCell ref="B74:B75"/>
    <mergeCell ref="D74:D75"/>
    <mergeCell ref="E74:E75"/>
    <mergeCell ref="A72:A73"/>
    <mergeCell ref="D72:D73"/>
    <mergeCell ref="B72:B73"/>
    <mergeCell ref="E65:E66"/>
    <mergeCell ref="A65:A66"/>
    <mergeCell ref="D48:D49"/>
    <mergeCell ref="A44:A45"/>
    <mergeCell ref="D44:D45"/>
    <mergeCell ref="A58:A60"/>
    <mergeCell ref="B63:B64"/>
    <mergeCell ref="D7:D9"/>
    <mergeCell ref="E61:E62"/>
    <mergeCell ref="A54:A55"/>
    <mergeCell ref="B54:B55"/>
    <mergeCell ref="D54:D55"/>
    <mergeCell ref="E54:E55"/>
    <mergeCell ref="A56:A57"/>
    <mergeCell ref="B56:B57"/>
    <mergeCell ref="D56:D57"/>
    <mergeCell ref="E56:E57"/>
    <mergeCell ref="E58:E60"/>
    <mergeCell ref="E41:E43"/>
    <mergeCell ref="A10:A11"/>
    <mergeCell ref="A19:A20"/>
    <mergeCell ref="B19:B20"/>
    <mergeCell ref="D19:D20"/>
    <mergeCell ref="E19:E20"/>
    <mergeCell ref="B50:B51"/>
    <mergeCell ref="D50:D51"/>
    <mergeCell ref="E50:E51"/>
    <mergeCell ref="B32:B33"/>
    <mergeCell ref="D52:D53"/>
    <mergeCell ref="E52:E53"/>
    <mergeCell ref="D30:D31"/>
    <mergeCell ref="E63:E64"/>
    <mergeCell ref="D58:D60"/>
    <mergeCell ref="B58:B60"/>
    <mergeCell ref="A61:A62"/>
    <mergeCell ref="B61:B62"/>
    <mergeCell ref="D61:D62"/>
    <mergeCell ref="A63:A64"/>
    <mergeCell ref="E30:E31"/>
    <mergeCell ref="E21:E23"/>
    <mergeCell ref="A21:A23"/>
    <mergeCell ref="B21:B23"/>
    <mergeCell ref="E15:E16"/>
    <mergeCell ref="A50:A51"/>
    <mergeCell ref="E44:E45"/>
    <mergeCell ref="E12:E13"/>
    <mergeCell ref="A24:A25"/>
    <mergeCell ref="E48:E49"/>
    <mergeCell ref="E34:E38"/>
    <mergeCell ref="D34:D38"/>
    <mergeCell ref="B34:B38"/>
    <mergeCell ref="A17:A18"/>
    <mergeCell ref="B17:B18"/>
    <mergeCell ref="D17:D18"/>
    <mergeCell ref="A26:A27"/>
    <mergeCell ref="B26:B27"/>
    <mergeCell ref="D26:D27"/>
    <mergeCell ref="E26:E27"/>
    <mergeCell ref="B24:B25"/>
    <mergeCell ref="E24:E25"/>
  </mergeCells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10"/>
  <sheetViews>
    <sheetView zoomScale="70" zoomScaleNormal="70" workbookViewId="0">
      <pane xSplit="13" ySplit="2" topLeftCell="N1180" activePane="bottomRight" state="frozen"/>
      <selection pane="topRight" activeCell="N1" sqref="N1"/>
      <selection pane="bottomLeft" activeCell="A3" sqref="A3"/>
      <selection pane="bottomRight" activeCell="Q1193" sqref="Q1193"/>
    </sheetView>
  </sheetViews>
  <sheetFormatPr defaultColWidth="9" defaultRowHeight="19.2" x14ac:dyDescent="0.45"/>
  <cols>
    <col min="1" max="1" width="16.3984375" style="77" bestFit="1" customWidth="1"/>
    <col min="2" max="2" width="8.796875" style="77" bestFit="1" customWidth="1"/>
    <col min="3" max="3" width="32.69921875" style="653" bestFit="1" customWidth="1"/>
    <col min="4" max="4" width="13.19921875" style="77" bestFit="1" customWidth="1"/>
    <col min="5" max="5" width="25.5" style="77" customWidth="1"/>
    <col min="6" max="6" width="25.5" style="77" bestFit="1" customWidth="1"/>
    <col min="7" max="7" width="26.5" style="77" hidden="1" customWidth="1"/>
    <col min="8" max="8" width="25.8984375" style="323" hidden="1" customWidth="1"/>
    <col min="9" max="9" width="11.3984375" style="611" hidden="1" customWidth="1"/>
    <col min="10" max="10" width="25.5" style="77" bestFit="1" customWidth="1"/>
    <col min="11" max="11" width="11.5" style="678" customWidth="1"/>
    <col min="12" max="12" width="25.5" style="324" bestFit="1" customWidth="1"/>
    <col min="13" max="13" width="25.5" style="628" bestFit="1" customWidth="1"/>
    <col min="14" max="16384" width="9" style="77"/>
  </cols>
  <sheetData>
    <row r="1" spans="1:13" ht="20.399999999999999" x14ac:dyDescent="0.45">
      <c r="A1" s="1714" t="str">
        <f>HYPERLINK("#火箭年間統計!A2","火箭年間统计")</f>
        <v>火箭年間统计</v>
      </c>
      <c r="B1" s="1716" t="s">
        <v>779</v>
      </c>
      <c r="C1" s="1728" t="s">
        <v>775</v>
      </c>
      <c r="D1" s="1729"/>
      <c r="E1" s="1723" t="s">
        <v>1006</v>
      </c>
      <c r="F1" s="1724"/>
      <c r="G1" s="617"/>
      <c r="H1" s="618"/>
      <c r="I1" s="618"/>
      <c r="J1" s="1725" t="s">
        <v>3253</v>
      </c>
      <c r="K1" s="1726"/>
      <c r="L1" s="1726"/>
      <c r="M1" s="1727"/>
    </row>
    <row r="2" spans="1:13" ht="21" thickBot="1" x14ac:dyDescent="0.5">
      <c r="A2" s="1715"/>
      <c r="B2" s="1717"/>
      <c r="C2" s="630" t="s">
        <v>3256</v>
      </c>
      <c r="D2" s="619" t="s">
        <v>3257</v>
      </c>
      <c r="E2" s="619" t="s">
        <v>776</v>
      </c>
      <c r="F2" s="619" t="s">
        <v>777</v>
      </c>
      <c r="G2" s="620"/>
      <c r="H2" s="1718"/>
      <c r="I2" s="1719"/>
      <c r="J2" s="1525" t="s">
        <v>3255</v>
      </c>
      <c r="K2" s="1526" t="s">
        <v>3259</v>
      </c>
      <c r="L2" s="1526" t="s">
        <v>2072</v>
      </c>
      <c r="M2" s="621" t="s">
        <v>778</v>
      </c>
    </row>
    <row r="3" spans="1:13" ht="19.8" thickBot="1" x14ac:dyDescent="0.5">
      <c r="A3" s="1470" t="s">
        <v>971</v>
      </c>
      <c r="B3" s="1480" t="s">
        <v>9</v>
      </c>
      <c r="C3" s="1484" t="s">
        <v>784</v>
      </c>
      <c r="D3" s="86"/>
      <c r="E3" s="1481">
        <v>44680.168749999997</v>
      </c>
      <c r="F3" s="1481">
        <v>44680.19027777778</v>
      </c>
      <c r="G3" s="1481"/>
      <c r="H3" s="1481"/>
      <c r="I3" s="656"/>
      <c r="J3" s="1481">
        <f>E3+TIME(8,0,0)</f>
        <v>44680.502083333333</v>
      </c>
      <c r="K3" s="1534" t="str">
        <f>IF($M$3-J3&lt;0,"-"&amp;TEXT(ABS($M$3-J3),"[hh]:mm:ss"),TEXT($M$3-J3,"[hh]:mm:ss"))</f>
        <v>00:08:33</v>
      </c>
      <c r="L3" s="1481">
        <v>0</v>
      </c>
      <c r="M3" s="1482">
        <v>44680.508020833331</v>
      </c>
    </row>
    <row r="4" spans="1:13" ht="20.399999999999999" thickTop="1" thickBot="1" x14ac:dyDescent="0.5">
      <c r="A4" s="1707" t="s">
        <v>1266</v>
      </c>
      <c r="B4" s="1621" t="s">
        <v>9</v>
      </c>
      <c r="C4" s="1661" t="s">
        <v>784</v>
      </c>
      <c r="D4" s="1587"/>
      <c r="E4" s="1496">
        <v>44701.430555555555</v>
      </c>
      <c r="F4" s="1496">
        <v>44701.454861111109</v>
      </c>
      <c r="G4" s="1496"/>
      <c r="H4" s="1496"/>
      <c r="I4" s="594"/>
      <c r="J4" s="1504">
        <f>E4+TIME(8,0,0)</f>
        <v>44701.763888888891</v>
      </c>
      <c r="K4" s="659" t="str">
        <f>IF($M$4-J4&lt;0, "-" &amp; TEXT(ABS($M$4-J4),"[hh]:mm:ss"), TEXT($M$4-J4,"[hh]:mm:ss"))</f>
        <v>00:10:00</v>
      </c>
      <c r="L4" s="1585">
        <v>44701.770833333336</v>
      </c>
      <c r="M4" s="1590">
        <v>44701.770833333336</v>
      </c>
    </row>
    <row r="5" spans="1:13" ht="19.8" thickTop="1" x14ac:dyDescent="0.45">
      <c r="A5" s="1671"/>
      <c r="B5" s="1655"/>
      <c r="C5" s="1686"/>
      <c r="D5" s="1684"/>
      <c r="E5" s="81">
        <v>44701.431944444441</v>
      </c>
      <c r="F5" s="81">
        <v>44701.458333333336</v>
      </c>
      <c r="G5" s="81"/>
      <c r="H5" s="81"/>
      <c r="I5" s="593"/>
      <c r="J5" s="1497">
        <f>E5+TIME(8,0,0)</f>
        <v>44701.765277777777</v>
      </c>
      <c r="K5" s="660" t="str">
        <f>IF($M$4-J5&lt;0, "-" &amp; TEXT(ABS($M$4-J5),"[hh]:mm:ss"), TEXT($M$4-J5,"[hh]:mm:ss"))</f>
        <v>00:08:00</v>
      </c>
      <c r="L5" s="1671"/>
      <c r="M5" s="1652"/>
    </row>
    <row r="6" spans="1:13" x14ac:dyDescent="0.45">
      <c r="A6" s="1671"/>
      <c r="B6" s="1655"/>
      <c r="C6" s="631" t="s">
        <v>3260</v>
      </c>
      <c r="D6" s="156"/>
      <c r="E6" s="81">
        <v>44701.432638888888</v>
      </c>
      <c r="F6" s="81">
        <v>44701.462500000001</v>
      </c>
      <c r="G6" s="81"/>
      <c r="H6" s="81"/>
      <c r="I6" s="593"/>
      <c r="J6" s="1497">
        <f>E6+TIME(8,0,0)</f>
        <v>44701.765972222223</v>
      </c>
      <c r="K6" s="660" t="str">
        <f>IF($M$4-J6&lt;0, "-" &amp; TEXT(ABS($M$4-J6),"[hh]:mm:ss"), TEXT($M$4-J6,"[hh]:mm:ss"))</f>
        <v>00:07:00</v>
      </c>
      <c r="L6" s="1671"/>
      <c r="M6" s="1652"/>
    </row>
    <row r="7" spans="1:13" ht="19.8" thickBot="1" x14ac:dyDescent="0.5">
      <c r="A7" s="1586"/>
      <c r="B7" s="1639"/>
      <c r="C7" s="1474" t="s">
        <v>785</v>
      </c>
      <c r="D7" s="82"/>
      <c r="E7" s="1514">
        <v>44701.441666666666</v>
      </c>
      <c r="F7" s="1514">
        <v>44701.500694444447</v>
      </c>
      <c r="G7" s="1514"/>
      <c r="H7" s="1514"/>
      <c r="I7" s="595"/>
      <c r="J7" s="1514">
        <f>E7+TIME(8,0,0)</f>
        <v>44701.775000000001</v>
      </c>
      <c r="K7" s="661" t="str">
        <f>IF($M$4-J7&lt;0, "-" &amp; TEXT(ABS($M$4-J7),"[hh]:mm:ss"), TEXT($M$4-J7,"[hh]:mm:ss"))</f>
        <v>-00:06:00</v>
      </c>
      <c r="L7" s="1586"/>
      <c r="M7" s="1610"/>
    </row>
    <row r="8" spans="1:13" ht="20.399999999999999" thickTop="1" thickBot="1" x14ac:dyDescent="0.5">
      <c r="A8" s="80" t="s">
        <v>971</v>
      </c>
      <c r="B8" s="1479" t="s">
        <v>9</v>
      </c>
      <c r="C8" s="1524" t="s">
        <v>784</v>
      </c>
      <c r="D8" s="78"/>
      <c r="E8" s="79">
        <v>44981.162499999999</v>
      </c>
      <c r="F8" s="79">
        <v>44981.183333333334</v>
      </c>
      <c r="G8" s="79"/>
      <c r="H8" s="79"/>
      <c r="I8" s="592"/>
      <c r="J8" s="1472">
        <f t="shared" ref="J8:J11" si="0">E8+TIME(8,0,0)</f>
        <v>44981.495833333334</v>
      </c>
      <c r="K8" s="662" t="str">
        <f>IF($M$8-J8&lt;0, "-" &amp; TEXT(ABS($M$8-J8),"[hh]:mm:ss"), TEXT($M$8-J8,"[hh]:mm:ss"))</f>
        <v>00:07:00</v>
      </c>
      <c r="L8" s="79">
        <v>44981.503472222219</v>
      </c>
      <c r="M8" s="1471">
        <v>44981.500694444447</v>
      </c>
    </row>
    <row r="9" spans="1:13" ht="20.399999999999999" thickTop="1" thickBot="1" x14ac:dyDescent="0.5">
      <c r="A9" s="1583" t="s">
        <v>41</v>
      </c>
      <c r="B9" s="1608" t="s">
        <v>9</v>
      </c>
      <c r="C9" s="1612" t="s">
        <v>784</v>
      </c>
      <c r="D9" s="1591"/>
      <c r="E9" s="1497">
        <v>44998.161805555559</v>
      </c>
      <c r="F9" s="1497">
        <v>44998.178472222222</v>
      </c>
      <c r="G9" s="1497"/>
      <c r="H9" s="1497"/>
      <c r="I9" s="593"/>
      <c r="J9" s="1497">
        <f>E9+TIME(8,0,0)</f>
        <v>44998.495138888895</v>
      </c>
      <c r="K9" s="660" t="str">
        <f>IF($M$9-J9&lt;0, "-" &amp; TEXT(ABS($M$9-J9),"[hh]:mm:ss"), TEXT($M$9-J9,"[hh]:mm:ss"))</f>
        <v>00:09:00</v>
      </c>
      <c r="L9" s="1585">
        <v>44998.500694444447</v>
      </c>
      <c r="M9" s="1590">
        <v>44998.501388888886</v>
      </c>
    </row>
    <row r="10" spans="1:13" ht="20.399999999999999" thickTop="1" thickBot="1" x14ac:dyDescent="0.5">
      <c r="A10" s="1586"/>
      <c r="B10" s="1639"/>
      <c r="C10" s="1654"/>
      <c r="D10" s="1585"/>
      <c r="E10" s="1514">
        <v>44998.162499999999</v>
      </c>
      <c r="F10" s="1514">
        <v>44998.184027777781</v>
      </c>
      <c r="G10" s="1514"/>
      <c r="H10" s="1514"/>
      <c r="I10" s="656"/>
      <c r="J10" s="1481">
        <f>E10+TIME(8,0,0)</f>
        <v>44998.495833333334</v>
      </c>
      <c r="K10" s="1534" t="str">
        <f>IF($M$9-J10&lt;0, "-" &amp; TEXT(ABS($M$9-J10),"[hh]:mm:ss"), TEXT($M$9-J10,"[hh]:mm:ss"))</f>
        <v>00:08:00</v>
      </c>
      <c r="L10" s="1586"/>
      <c r="M10" s="1610"/>
    </row>
    <row r="11" spans="1:13" ht="20.399999999999999" thickTop="1" thickBot="1" x14ac:dyDescent="0.5">
      <c r="A11" s="1488" t="s">
        <v>971</v>
      </c>
      <c r="B11" s="1479" t="s">
        <v>9</v>
      </c>
      <c r="C11" s="1524" t="s">
        <v>968</v>
      </c>
      <c r="D11" s="78"/>
      <c r="E11" s="1472">
        <v>45067.326388888891</v>
      </c>
      <c r="F11" s="1472">
        <v>45067.427777777775</v>
      </c>
      <c r="G11" s="1472"/>
      <c r="H11" s="1472"/>
      <c r="I11" s="592"/>
      <c r="J11" s="1472">
        <f t="shared" si="0"/>
        <v>45067.659722222226</v>
      </c>
      <c r="K11" s="662" t="str">
        <f>IF($M$11-J11&lt;0, "-" &amp; TEXT(ABS($M$11-J11),"[hh]:mm:ss"), TEXT($M$11-J11,"[hh]:mm:ss"))</f>
        <v>00:10:00</v>
      </c>
      <c r="L11" s="1472">
        <v>45067.693055555559</v>
      </c>
      <c r="M11" s="1471">
        <v>45067.666666666664</v>
      </c>
    </row>
    <row r="12" spans="1:13" ht="39.6" thickTop="1" thickBot="1" x14ac:dyDescent="0.5">
      <c r="A12" s="1527" t="s">
        <v>1266</v>
      </c>
      <c r="B12" s="1480" t="s">
        <v>9</v>
      </c>
      <c r="C12" s="1524" t="s">
        <v>785</v>
      </c>
      <c r="D12" s="78"/>
      <c r="E12" s="1472">
        <v>45116.456250000003</v>
      </c>
      <c r="F12" s="1472">
        <v>45116.522222222222</v>
      </c>
      <c r="G12" s="1472"/>
      <c r="H12" s="1472"/>
      <c r="I12" s="656"/>
      <c r="J12" s="1481">
        <f t="shared" ref="J12:J25" si="1">E12+TIME(8,0,0)</f>
        <v>45116.789583333339</v>
      </c>
      <c r="K12" s="1534" t="str">
        <f>IF($M$12-J12&lt;0, "-" &amp; TEXT(ABS($M$12-J12),"[hh]:mm:ss"), TEXT($M$12-J12,"[hh]:mm:ss"))</f>
        <v>00:03:00</v>
      </c>
      <c r="L12" s="1472">
        <v>45116.811111111114</v>
      </c>
      <c r="M12" s="1482">
        <v>45116.791666666664</v>
      </c>
    </row>
    <row r="13" spans="1:13" s="104" customFormat="1" ht="19.8" thickTop="1" x14ac:dyDescent="0.45">
      <c r="A13" s="1722" t="s">
        <v>1266</v>
      </c>
      <c r="B13" s="1658" t="s">
        <v>9</v>
      </c>
      <c r="C13" s="1485" t="s">
        <v>784</v>
      </c>
      <c r="D13" s="1504" t="s">
        <v>1264</v>
      </c>
      <c r="E13" s="1504">
        <v>45246.15902777778</v>
      </c>
      <c r="F13" s="1504">
        <v>45246.178472222222</v>
      </c>
      <c r="G13" s="1504"/>
      <c r="H13" s="1504"/>
      <c r="I13" s="594"/>
      <c r="J13" s="1504">
        <f t="shared" si="1"/>
        <v>45246.492361111115</v>
      </c>
      <c r="K13" s="659" t="str">
        <f t="shared" ref="K13:K14" si="2">IF($M$13-J13&lt;0, "-" &amp; TEXT(ABS($M$13-J13),"[hh]:mm:ss"), TEXT($M$13-J13,"[hh]:mm:ss"))</f>
        <v>00:06:00</v>
      </c>
      <c r="L13" s="1664">
        <v>45246.5</v>
      </c>
      <c r="M13" s="1634">
        <v>45246.496527777781</v>
      </c>
    </row>
    <row r="14" spans="1:13" s="104" customFormat="1" ht="19.8" thickBot="1" x14ac:dyDescent="0.5">
      <c r="A14" s="1633"/>
      <c r="B14" s="1616"/>
      <c r="C14" s="1474" t="s">
        <v>785</v>
      </c>
      <c r="D14" s="1514" t="s">
        <v>1265</v>
      </c>
      <c r="E14" s="1514">
        <v>45246.161805555559</v>
      </c>
      <c r="F14" s="1514">
        <v>45246.186805555553</v>
      </c>
      <c r="G14" s="1514"/>
      <c r="H14" s="1514"/>
      <c r="I14" s="595"/>
      <c r="J14" s="1514">
        <f t="shared" si="1"/>
        <v>45246.495138888895</v>
      </c>
      <c r="K14" s="661" t="str">
        <f t="shared" si="2"/>
        <v>00:02:00</v>
      </c>
      <c r="L14" s="1701"/>
      <c r="M14" s="1730"/>
    </row>
    <row r="15" spans="1:13" s="104" customFormat="1" ht="20.399999999999999" thickTop="1" thickBot="1" x14ac:dyDescent="0.5">
      <c r="A15" s="1583" t="s">
        <v>41</v>
      </c>
      <c r="B15" s="1608" t="s">
        <v>9</v>
      </c>
      <c r="C15" s="1653" t="s">
        <v>784</v>
      </c>
      <c r="D15" s="1492" t="s">
        <v>1310</v>
      </c>
      <c r="E15" s="83">
        <v>45264.168055555558</v>
      </c>
      <c r="F15" s="83">
        <v>45264.184027777781</v>
      </c>
      <c r="G15" s="83"/>
      <c r="H15" s="83"/>
      <c r="I15" s="593"/>
      <c r="J15" s="1504">
        <f>E15+TIME(8,0,0)</f>
        <v>45264.501388888893</v>
      </c>
      <c r="K15" s="660" t="str">
        <f>IF($M$15-J15&lt;0, "-" &amp; TEXT(ABS($M$15-J15),"[hh]:mm:ss"), TEXT($M$15-J15,"[hh]:mm:ss"))</f>
        <v>00:08:00</v>
      </c>
      <c r="L15" s="1585">
        <v>45264.506944444445</v>
      </c>
      <c r="M15" s="1590">
        <v>45264.506944444445</v>
      </c>
    </row>
    <row r="16" spans="1:13" s="104" customFormat="1" ht="20.399999999999999" thickTop="1" thickBot="1" x14ac:dyDescent="0.5">
      <c r="A16" s="1583"/>
      <c r="B16" s="1608"/>
      <c r="C16" s="1698"/>
      <c r="D16" s="1481" t="s">
        <v>1311</v>
      </c>
      <c r="E16" s="1514">
        <v>45264.168055555558</v>
      </c>
      <c r="F16" s="1514">
        <v>45264.188888888886</v>
      </c>
      <c r="G16" s="1514"/>
      <c r="H16" s="1514"/>
      <c r="I16" s="656"/>
      <c r="J16" s="1481">
        <f>E16+TIME(8,0,0)</f>
        <v>45264.501388888893</v>
      </c>
      <c r="K16" s="1534" t="str">
        <f>IF($M$15-J16&lt;0, "-" &amp; TEXT(ABS($M$15-J16),"[hh]:mm:ss"), TEXT($M$15-J16,"[hh]:mm:ss"))</f>
        <v>00:08:00</v>
      </c>
      <c r="L16" s="1583"/>
      <c r="M16" s="1624"/>
    </row>
    <row r="17" spans="1:13" ht="19.8" thickTop="1" x14ac:dyDescent="0.45">
      <c r="A17" s="1710" t="s">
        <v>1266</v>
      </c>
      <c r="B17" s="1607" t="s">
        <v>1184</v>
      </c>
      <c r="C17" s="1681" t="s">
        <v>784</v>
      </c>
      <c r="D17" s="587" t="s">
        <v>1412</v>
      </c>
      <c r="E17" s="1504">
        <v>45290.00277777778</v>
      </c>
      <c r="F17" s="1504">
        <v>45290.017361111109</v>
      </c>
      <c r="G17" s="1504"/>
      <c r="H17" s="1504"/>
      <c r="I17" s="594"/>
      <c r="J17" s="1504">
        <f t="shared" si="1"/>
        <v>45290.336111111115</v>
      </c>
      <c r="K17" s="659" t="str">
        <f t="shared" ref="K17:K19" si="3">IF($M$17-J17&lt;0, "-" &amp; TEXT(ABS($M$17-J17),"[hh]:mm:ss"), TEXT($M$17-J17,"[hh]:mm:ss"))</f>
        <v>00:09:00</v>
      </c>
      <c r="L17" s="1587">
        <v>45290.340277777781</v>
      </c>
      <c r="M17" s="1588">
        <v>45290.342361111114</v>
      </c>
    </row>
    <row r="18" spans="1:13" x14ac:dyDescent="0.45">
      <c r="A18" s="1666"/>
      <c r="B18" s="1615"/>
      <c r="C18" s="1683"/>
      <c r="D18" s="319" t="s">
        <v>1413</v>
      </c>
      <c r="E18" s="1530">
        <v>45290.004166666666</v>
      </c>
      <c r="F18" s="1530">
        <v>45290.022222222222</v>
      </c>
      <c r="G18" s="1530"/>
      <c r="H18" s="1530"/>
      <c r="I18" s="596"/>
      <c r="J18" s="1530">
        <f t="shared" si="1"/>
        <v>45290.337500000001</v>
      </c>
      <c r="K18" s="663" t="str">
        <f t="shared" si="3"/>
        <v>00:07:00</v>
      </c>
      <c r="L18" s="1591"/>
      <c r="M18" s="1589"/>
    </row>
    <row r="19" spans="1:13" ht="19.8" thickBot="1" x14ac:dyDescent="0.5">
      <c r="A19" s="1660"/>
      <c r="B19" s="1608"/>
      <c r="C19" s="632" t="s">
        <v>797</v>
      </c>
      <c r="D19" s="86" t="s">
        <v>1414</v>
      </c>
      <c r="E19" s="1481">
        <v>45290.006249999999</v>
      </c>
      <c r="F19" s="1481">
        <v>45290.03402777778</v>
      </c>
      <c r="G19" s="1481"/>
      <c r="H19" s="1481"/>
      <c r="I19" s="656"/>
      <c r="J19" s="1481">
        <f t="shared" si="1"/>
        <v>45290.339583333334</v>
      </c>
      <c r="K19" s="1534" t="str">
        <f t="shared" si="3"/>
        <v>00:04:00</v>
      </c>
      <c r="L19" s="1585"/>
      <c r="M19" s="1590"/>
    </row>
    <row r="20" spans="1:13" s="104" customFormat="1" ht="20.399999999999999" thickTop="1" thickBot="1" x14ac:dyDescent="0.5">
      <c r="A20" s="1470" t="s">
        <v>971</v>
      </c>
      <c r="B20" s="1480" t="s">
        <v>9</v>
      </c>
      <c r="C20" s="1524" t="s">
        <v>784</v>
      </c>
      <c r="D20" s="1504" t="s">
        <v>2218</v>
      </c>
      <c r="E20" s="83">
        <v>45605.145138888889</v>
      </c>
      <c r="F20" s="83">
        <v>45605.161805555559</v>
      </c>
      <c r="G20" s="83"/>
      <c r="H20" s="83"/>
      <c r="I20" s="593"/>
      <c r="J20" s="1504">
        <f>E20+TIME(8,0,0)</f>
        <v>45605.478472222225</v>
      </c>
      <c r="K20" s="660" t="str">
        <f>IF($M$20-J20&lt;0, "-" &amp; TEXT(ABS($M$20-J20),"[hh]:mm:ss"), TEXT($M$20-J20,"[hh]:mm:ss"))</f>
        <v>00:10:00</v>
      </c>
      <c r="L20" s="1481">
        <v>45605.484027777777</v>
      </c>
      <c r="M20" s="1482">
        <v>45605.48541666667</v>
      </c>
    </row>
    <row r="21" spans="1:13" s="104" customFormat="1" ht="20.399999999999999" thickTop="1" thickBot="1" x14ac:dyDescent="0.5">
      <c r="A21" s="1488" t="s">
        <v>41</v>
      </c>
      <c r="B21" s="1479" t="s">
        <v>9</v>
      </c>
      <c r="C21" s="1524" t="s">
        <v>784</v>
      </c>
      <c r="D21" s="78" t="s">
        <v>2442</v>
      </c>
      <c r="E21" s="1472">
        <v>45650.976388888892</v>
      </c>
      <c r="F21" s="1472">
        <v>45650.999305555553</v>
      </c>
      <c r="G21" s="1472"/>
      <c r="H21" s="1472"/>
      <c r="I21" s="592"/>
      <c r="J21" s="1472">
        <f>E21+TIME(8,0,0)</f>
        <v>45651.309722222228</v>
      </c>
      <c r="K21" s="662" t="str">
        <f>IF($M$21-J21&lt;0, "-" &amp; TEXT(ABS($M$21-J21),"[hh]:mm:ss"), TEXT($M$21-J21,"[hh]:mm:ss"))</f>
        <v>00:13:00</v>
      </c>
      <c r="L21" s="1472">
        <v>45651.316666666666</v>
      </c>
      <c r="M21" s="1471">
        <v>45651.318749999999</v>
      </c>
    </row>
    <row r="22" spans="1:13" s="104" customFormat="1" ht="20.399999999999999" thickTop="1" thickBot="1" x14ac:dyDescent="0.5">
      <c r="A22" s="1488" t="s">
        <v>41</v>
      </c>
      <c r="B22" s="1479" t="s">
        <v>9</v>
      </c>
      <c r="C22" s="1524" t="s">
        <v>784</v>
      </c>
      <c r="D22" s="78" t="s">
        <v>2620</v>
      </c>
      <c r="E22" s="1472">
        <v>45715.292361111111</v>
      </c>
      <c r="F22" s="1472">
        <v>45715.311805555553</v>
      </c>
      <c r="G22" s="1472"/>
      <c r="H22" s="1472"/>
      <c r="I22" s="592"/>
      <c r="J22" s="1472">
        <f>E22+TIME(8,0,0)</f>
        <v>45715.625694444447</v>
      </c>
      <c r="K22" s="662" t="str">
        <f>IF($M$22-J22&lt;0, "-" &amp; TEXT(ABS($M$22-J22),"[hh]:mm:ss"), TEXT($M$22-J22,"[hh]:mm:ss"))</f>
        <v>00:07:00</v>
      </c>
      <c r="L22" s="1472">
        <v>45715.631249999999</v>
      </c>
      <c r="M22" s="1471">
        <v>45715.630555555559</v>
      </c>
    </row>
    <row r="23" spans="1:13" s="320" customFormat="1" ht="19.8" thickTop="1" x14ac:dyDescent="0.45">
      <c r="A23" s="1691" t="s">
        <v>1266</v>
      </c>
      <c r="B23" s="1607" t="s">
        <v>9</v>
      </c>
      <c r="C23" s="1611" t="s">
        <v>784</v>
      </c>
      <c r="D23" s="588" t="s">
        <v>3001</v>
      </c>
      <c r="E23" s="1497">
        <v>45916.040277777778</v>
      </c>
      <c r="F23" s="1497">
        <v>45916.059027777781</v>
      </c>
      <c r="G23" s="1497"/>
      <c r="H23" s="1497"/>
      <c r="I23" s="593"/>
      <c r="J23" s="1497">
        <f t="shared" si="1"/>
        <v>45916.373611111114</v>
      </c>
      <c r="K23" s="660" t="str">
        <f t="shared" ref="K23:K25" si="4">IF($M$23-J23&lt;0, "-" &amp; TEXT(ABS($M$23-J23),"[hh]:mm:ss"), TEXT($M$23-J23,"[hh]:mm:ss"))</f>
        <v>00:08:00</v>
      </c>
      <c r="L23" s="1587">
        <v>45916.379861111112</v>
      </c>
      <c r="M23" s="1588">
        <v>45916.379166666666</v>
      </c>
    </row>
    <row r="24" spans="1:13" s="104" customFormat="1" x14ac:dyDescent="0.45">
      <c r="A24" s="1619"/>
      <c r="B24" s="1615"/>
      <c r="C24" s="1617"/>
      <c r="D24" s="588" t="s">
        <v>3002</v>
      </c>
      <c r="E24" s="1497">
        <v>45916.040972222225</v>
      </c>
      <c r="F24" s="1497">
        <v>45916.063888888886</v>
      </c>
      <c r="G24" s="1497"/>
      <c r="H24" s="1497"/>
      <c r="I24" s="593"/>
      <c r="J24" s="1497">
        <f t="shared" si="1"/>
        <v>45916.374305555561</v>
      </c>
      <c r="K24" s="660" t="str">
        <f t="shared" si="4"/>
        <v>00:07:00</v>
      </c>
      <c r="L24" s="1591"/>
      <c r="M24" s="1589"/>
    </row>
    <row r="25" spans="1:13" s="104" customFormat="1" ht="19.8" thickBot="1" x14ac:dyDescent="0.5">
      <c r="A25" s="1583"/>
      <c r="B25" s="1608"/>
      <c r="C25" s="1484" t="s">
        <v>2076</v>
      </c>
      <c r="D25" s="86" t="s">
        <v>3003</v>
      </c>
      <c r="E25" s="1481">
        <v>45916.043749999997</v>
      </c>
      <c r="F25" s="1481">
        <v>45916.073611111111</v>
      </c>
      <c r="G25" s="1481"/>
      <c r="H25" s="1481"/>
      <c r="I25" s="656"/>
      <c r="J25" s="1481">
        <f t="shared" si="1"/>
        <v>45916.377083333333</v>
      </c>
      <c r="K25" s="1534" t="str">
        <f t="shared" si="4"/>
        <v>00:03:00</v>
      </c>
      <c r="L25" s="1585"/>
      <c r="M25" s="1590"/>
    </row>
    <row r="26" spans="1:13" s="104" customFormat="1" ht="20.399999999999999" thickTop="1" thickBot="1" x14ac:dyDescent="0.5">
      <c r="A26" s="1583" t="s">
        <v>41</v>
      </c>
      <c r="B26" s="1608" t="s">
        <v>9</v>
      </c>
      <c r="C26" s="1653" t="s">
        <v>784</v>
      </c>
      <c r="D26" s="1504" t="s">
        <v>3177</v>
      </c>
      <c r="E26" s="83">
        <v>45980.161111111112</v>
      </c>
      <c r="F26" s="83">
        <v>45980.179861111108</v>
      </c>
      <c r="G26" s="83"/>
      <c r="H26" s="83"/>
      <c r="I26" s="593"/>
      <c r="J26" s="1504">
        <f t="shared" ref="J26:J27" si="5">E26+TIME(8,0,0)</f>
        <v>45980.494444444448</v>
      </c>
      <c r="K26" s="660" t="str">
        <f t="shared" ref="K26:K27" si="6">IF($M$26-J26&lt;0, "-" &amp; TEXT(ABS($M$26-J26),"[hh]:mm:ss"), TEXT($M$26-J26,"[hh]:mm:ss"))</f>
        <v>00:09:00</v>
      </c>
      <c r="L26" s="1585">
        <v>45980.5</v>
      </c>
      <c r="M26" s="1590">
        <v>45980.500694444447</v>
      </c>
    </row>
    <row r="27" spans="1:13" s="104" customFormat="1" ht="20.399999999999999" thickTop="1" thickBot="1" x14ac:dyDescent="0.5">
      <c r="A27" s="1583"/>
      <c r="B27" s="1608"/>
      <c r="C27" s="1698"/>
      <c r="D27" s="1481" t="s">
        <v>3178</v>
      </c>
      <c r="E27" s="1514">
        <v>45980.161805555559</v>
      </c>
      <c r="F27" s="1514">
        <v>45980.18472222222</v>
      </c>
      <c r="G27" s="1514"/>
      <c r="H27" s="1514"/>
      <c r="I27" s="656"/>
      <c r="J27" s="1481">
        <f t="shared" si="5"/>
        <v>45980.495138888895</v>
      </c>
      <c r="K27" s="1534" t="str">
        <f t="shared" si="6"/>
        <v>00:08:00</v>
      </c>
      <c r="L27" s="1583"/>
      <c r="M27" s="1624"/>
    </row>
    <row r="28" spans="1:13" s="104" customFormat="1" ht="20.399999999999999" thickTop="1" thickBot="1" x14ac:dyDescent="0.5">
      <c r="A28" s="1618" t="s">
        <v>41</v>
      </c>
      <c r="B28" s="1607" t="s">
        <v>9</v>
      </c>
      <c r="C28" s="1680" t="s">
        <v>784</v>
      </c>
      <c r="D28" s="587" t="s">
        <v>3360</v>
      </c>
      <c r="E28" s="1504">
        <v>46037.161805555559</v>
      </c>
      <c r="F28" s="1504">
        <v>46037.178472222222</v>
      </c>
      <c r="G28" s="1504"/>
      <c r="H28" s="1504"/>
      <c r="I28" s="594"/>
      <c r="J28" s="1504">
        <f>E28+TIME(8,0,0)</f>
        <v>46037.495138888895</v>
      </c>
      <c r="K28" s="659" t="str">
        <f>IF($M$28-J28&lt;0, "-" &amp; TEXT(ABS($M$28-J28),"[hh]:mm:ss"), TEXT($M$28-J28,"[hh]:mm:ss"))</f>
        <v>00:08:00</v>
      </c>
      <c r="L28" s="1585">
        <v>46037.500694444447</v>
      </c>
      <c r="M28" s="1590">
        <v>46037.500694444447</v>
      </c>
    </row>
    <row r="29" spans="1:13" s="104" customFormat="1" ht="20.399999999999999" thickTop="1" thickBot="1" x14ac:dyDescent="0.5">
      <c r="A29" s="1583"/>
      <c r="B29" s="1608"/>
      <c r="C29" s="1625"/>
      <c r="D29" s="588" t="s">
        <v>3361</v>
      </c>
      <c r="E29" s="1497">
        <v>46037.162499999999</v>
      </c>
      <c r="F29" s="1497">
        <v>46037.184027777781</v>
      </c>
      <c r="G29" s="1481"/>
      <c r="H29" s="1481"/>
      <c r="I29" s="656"/>
      <c r="J29" s="1481">
        <f>E29+TIME(8,0,0)</f>
        <v>46037.495833333334</v>
      </c>
      <c r="K29" s="1534" t="str">
        <f>IF($M$28-J29&lt;0, "-" &amp; TEXT(ABS($M$28-J29),"[hh]:mm:ss"), TEXT($M$28-J29,"[hh]:mm:ss"))</f>
        <v>00:07:00</v>
      </c>
      <c r="L29" s="1583"/>
      <c r="M29" s="1624"/>
    </row>
    <row r="30" spans="1:13" s="104" customFormat="1" ht="20.399999999999999" thickTop="1" thickBot="1" x14ac:dyDescent="0.5">
      <c r="A30" s="1490" t="s">
        <v>41</v>
      </c>
      <c r="B30" s="1487" t="s">
        <v>9</v>
      </c>
      <c r="C30" s="1518" t="s">
        <v>784</v>
      </c>
      <c r="D30" s="587" t="s">
        <v>3390</v>
      </c>
      <c r="E30" s="1504">
        <v>46053.162499999999</v>
      </c>
      <c r="F30" s="1504">
        <v>46053.184027777781</v>
      </c>
      <c r="G30" s="1504"/>
      <c r="H30" s="1504"/>
      <c r="I30" s="594"/>
      <c r="J30" s="1504">
        <f>E30+TIME(8,0,0)</f>
        <v>46053.495833333334</v>
      </c>
      <c r="K30" s="659" t="str">
        <f>IF($M$30-J30&lt;0, "-" &amp; TEXT(ABS($M$30-J30),"[hh]:mm:ss"), TEXT($M$30-J30,"[hh]:mm:ss"))</f>
        <v>00:07:00</v>
      </c>
      <c r="L30" s="1481">
        <v>46053.500694444447</v>
      </c>
      <c r="M30" s="1482">
        <v>46053.500694444447</v>
      </c>
    </row>
    <row r="31" spans="1:13" s="104" customFormat="1" ht="19.8" thickTop="1" x14ac:dyDescent="0.45">
      <c r="A31" s="1720" t="s">
        <v>1266</v>
      </c>
      <c r="B31" s="1658" t="s">
        <v>9</v>
      </c>
      <c r="C31" s="700" t="s">
        <v>784</v>
      </c>
      <c r="D31" s="1504" t="s">
        <v>3439</v>
      </c>
      <c r="E31" s="1504">
        <v>46108.169444444444</v>
      </c>
      <c r="F31" s="1504">
        <v>46108.193055555559</v>
      </c>
      <c r="G31" s="1504"/>
      <c r="H31" s="1504"/>
      <c r="I31" s="594"/>
      <c r="J31" s="1504">
        <f t="shared" ref="J31:J33" si="7">E31+TIME(8,0,0)</f>
        <v>46108.50277777778</v>
      </c>
      <c r="K31" s="659" t="str">
        <f>IF($M$31-J31&lt;0, "-" &amp; TEXT(ABS($M$31-J31),"[hh]:mm:ss"), TEXT($M$31-J31,"[hh]:mm:ss"))</f>
        <v>00:07:00</v>
      </c>
      <c r="L31" s="1664">
        <v>46108.508333333331</v>
      </c>
      <c r="M31" s="1634">
        <v>46108.507638888892</v>
      </c>
    </row>
    <row r="32" spans="1:13" s="104" customFormat="1" x14ac:dyDescent="0.45">
      <c r="A32" s="1666"/>
      <c r="B32" s="1615"/>
      <c r="C32" s="1515" t="s">
        <v>785</v>
      </c>
      <c r="D32" s="1473" t="s">
        <v>3445</v>
      </c>
      <c r="E32" s="1473">
        <v>46108.172222222223</v>
      </c>
      <c r="F32" s="1473">
        <v>46108.20208333333</v>
      </c>
      <c r="G32" s="1473"/>
      <c r="H32" s="1473"/>
      <c r="I32" s="600"/>
      <c r="J32" s="1473">
        <f t="shared" si="7"/>
        <v>46108.505555555559</v>
      </c>
      <c r="K32" s="667" t="str">
        <f t="shared" ref="K32:K33" si="8">IF($M$31-J32&lt;0, "-" &amp; TEXT(ABS($M$31-J32),"[hh]:mm:ss"), TEXT($M$31-J32,"[hh]:mm:ss"))</f>
        <v>00:03:00</v>
      </c>
      <c r="L32" s="1591"/>
      <c r="M32" s="1589"/>
    </row>
    <row r="33" spans="1:13" s="104" customFormat="1" ht="19.8" thickBot="1" x14ac:dyDescent="0.5">
      <c r="A33" s="1721"/>
      <c r="B33" s="1616"/>
      <c r="C33" s="707" t="s">
        <v>3446</v>
      </c>
      <c r="D33" s="1514" t="s">
        <v>3447</v>
      </c>
      <c r="E33" s="1514">
        <v>46108.172222222223</v>
      </c>
      <c r="F33" s="1514">
        <v>46108.375</v>
      </c>
      <c r="G33" s="1514"/>
      <c r="H33" s="1514"/>
      <c r="I33" s="595"/>
      <c r="J33" s="1514">
        <f t="shared" si="7"/>
        <v>46108.505555555559</v>
      </c>
      <c r="K33" s="661" t="str">
        <f t="shared" si="8"/>
        <v>00:03:00</v>
      </c>
      <c r="L33" s="1701"/>
      <c r="M33" s="1730"/>
    </row>
    <row r="34" spans="1:13" ht="19.8" thickTop="1" x14ac:dyDescent="0.45">
      <c r="A34" s="1713" t="s">
        <v>971</v>
      </c>
      <c r="B34" s="1598" t="s">
        <v>1184</v>
      </c>
      <c r="C34" s="708"/>
      <c r="D34" s="358"/>
      <c r="E34" s="1493"/>
      <c r="F34" s="1493"/>
      <c r="G34" s="1493"/>
      <c r="H34" s="1493"/>
      <c r="I34" s="606"/>
      <c r="J34" s="1493">
        <f t="shared" ref="J34:J35" si="9">E34+TIME(8,0,0)</f>
        <v>0.33333333333333331</v>
      </c>
      <c r="K34" s="674" t="str">
        <f>IF($M$34-J34&lt;0, "-" &amp; TEXT(ABS($M$34-J34),"[hh]:mm:ss"), TEXT($M$34-J34,"[hh]:mm:ss"))</f>
        <v>-08:00:00</v>
      </c>
      <c r="L34" s="1601"/>
      <c r="M34" s="1604"/>
    </row>
    <row r="35" spans="1:13" ht="19.8" thickBot="1" x14ac:dyDescent="0.5">
      <c r="A35" s="1649"/>
      <c r="B35" s="1600"/>
      <c r="C35" s="706"/>
      <c r="D35" s="129"/>
      <c r="E35" s="1476"/>
      <c r="F35" s="1476"/>
      <c r="G35" s="1476"/>
      <c r="H35" s="1476"/>
      <c r="I35" s="603"/>
      <c r="J35" s="1476">
        <f t="shared" si="9"/>
        <v>0.33333333333333331</v>
      </c>
      <c r="K35" s="670" t="str">
        <f t="shared" ref="K35" si="10">IF($M$34-J35&lt;0, "-" &amp; TEXT(ABS($M$34-J35),"[hh]:mm:ss"), TEXT($M$34-J35,"[hh]:mm:ss"))</f>
        <v>-08:00:00</v>
      </c>
      <c r="L35" s="1603"/>
      <c r="M35" s="1606"/>
    </row>
    <row r="36" spans="1:13" s="85" customFormat="1" ht="20.399999999999999" thickTop="1" thickBot="1" x14ac:dyDescent="0.5">
      <c r="A36" s="132"/>
      <c r="B36" s="132"/>
      <c r="C36" s="633"/>
      <c r="D36" s="84"/>
      <c r="E36" s="84"/>
      <c r="F36" s="84"/>
      <c r="G36" s="84"/>
      <c r="H36" s="84"/>
      <c r="I36" s="597"/>
      <c r="J36" s="84"/>
      <c r="K36" s="664"/>
      <c r="L36" s="132"/>
      <c r="M36" s="622"/>
    </row>
    <row r="37" spans="1:13" s="104" customFormat="1" ht="20.399999999999999" thickTop="1" thickBot="1" x14ac:dyDescent="0.5">
      <c r="A37" s="1582" t="s">
        <v>41</v>
      </c>
      <c r="B37" s="1621" t="s">
        <v>52</v>
      </c>
      <c r="C37" s="1523" t="s">
        <v>780</v>
      </c>
      <c r="D37" s="1497" t="s">
        <v>1747</v>
      </c>
      <c r="E37" s="83">
        <v>43914.149305555555</v>
      </c>
      <c r="F37" s="83">
        <v>43914.162499999999</v>
      </c>
      <c r="G37" s="83"/>
      <c r="H37" s="83"/>
      <c r="I37" s="593"/>
      <c r="J37" s="1530">
        <f>E37+TIME(8,0,0)</f>
        <v>43914.482638888891</v>
      </c>
      <c r="K37" s="660" t="str">
        <f t="shared" ref="K37:K38" si="11">IF($M$37-J37&lt;0, "-" &amp; TEXT(ABS($M$37-J37),"[hh]:mm:ss"), TEXT($M$37-J37,"[hh]:mm:ss"))</f>
        <v>00:08:00</v>
      </c>
      <c r="L37" s="1640">
        <v>43914.488194444442</v>
      </c>
      <c r="M37" s="1609">
        <v>43914.488194444442</v>
      </c>
    </row>
    <row r="38" spans="1:13" s="104" customFormat="1" ht="20.399999999999999" thickTop="1" thickBot="1" x14ac:dyDescent="0.5">
      <c r="A38" s="1583"/>
      <c r="B38" s="1608"/>
      <c r="C38" s="1474" t="s">
        <v>795</v>
      </c>
      <c r="D38" s="82" t="s">
        <v>1748</v>
      </c>
      <c r="E38" s="1514">
        <v>43914.15</v>
      </c>
      <c r="F38" s="1514">
        <v>43914.163194444445</v>
      </c>
      <c r="G38" s="1514"/>
      <c r="H38" s="1514"/>
      <c r="I38" s="656"/>
      <c r="J38" s="1481">
        <f>E38+TIME(8,0,0)</f>
        <v>43914.483333333337</v>
      </c>
      <c r="K38" s="1534" t="str">
        <f t="shared" si="11"/>
        <v>00:07:00</v>
      </c>
      <c r="L38" s="1583"/>
      <c r="M38" s="1624"/>
    </row>
    <row r="39" spans="1:13" ht="20.399999999999999" thickTop="1" thickBot="1" x14ac:dyDescent="0.5">
      <c r="A39" s="1583" t="s">
        <v>41</v>
      </c>
      <c r="B39" s="1608" t="s">
        <v>52</v>
      </c>
      <c r="C39" s="1489" t="s">
        <v>780</v>
      </c>
      <c r="D39" s="588"/>
      <c r="E39" s="1497">
        <v>44625.243055555555</v>
      </c>
      <c r="F39" s="1497">
        <v>44625.267361111109</v>
      </c>
      <c r="G39" s="1497"/>
      <c r="H39" s="1497"/>
      <c r="I39" s="594"/>
      <c r="J39" s="1504">
        <f t="shared" ref="J39:J48" si="12">E39+TIME(8,0,0)</f>
        <v>44625.576388888891</v>
      </c>
      <c r="K39" s="659" t="str">
        <f t="shared" ref="K39:K40" si="13">IF($M$39-J39&lt;0, "-" &amp; TEXT(ABS($M$39-J39),"[hh]:mm:ss"), TEXT($M$39-J39,"[hh]:mm:ss"))</f>
        <v>00:11:00</v>
      </c>
      <c r="L39" s="1585">
        <v>44625.587152777778</v>
      </c>
      <c r="M39" s="1590">
        <v>44625.584027777775</v>
      </c>
    </row>
    <row r="40" spans="1:13" ht="20.399999999999999" thickTop="1" thickBot="1" x14ac:dyDescent="0.5">
      <c r="A40" s="1586"/>
      <c r="B40" s="1639"/>
      <c r="C40" s="1474" t="s">
        <v>781</v>
      </c>
      <c r="D40" s="82"/>
      <c r="E40" s="1514">
        <v>44625.245833333334</v>
      </c>
      <c r="F40" s="1514">
        <v>44625.277777777781</v>
      </c>
      <c r="G40" s="1514"/>
      <c r="H40" s="1514"/>
      <c r="I40" s="656"/>
      <c r="J40" s="1481">
        <f t="shared" si="12"/>
        <v>44625.57916666667</v>
      </c>
      <c r="K40" s="1534" t="str">
        <f t="shared" si="13"/>
        <v>00:07:00</v>
      </c>
      <c r="L40" s="1586"/>
      <c r="M40" s="1610"/>
    </row>
    <row r="41" spans="1:13" ht="20.399999999999999" thickTop="1" thickBot="1" x14ac:dyDescent="0.5">
      <c r="A41" s="1583" t="s">
        <v>41</v>
      </c>
      <c r="B41" s="1621" t="s">
        <v>52</v>
      </c>
      <c r="C41" s="1485" t="s">
        <v>780</v>
      </c>
      <c r="D41" s="587"/>
      <c r="E41" s="1496">
        <v>44714.159722222219</v>
      </c>
      <c r="F41" s="1496">
        <v>44714.177083333336</v>
      </c>
      <c r="G41" s="1496"/>
      <c r="H41" s="1496"/>
      <c r="I41" s="594"/>
      <c r="J41" s="1504">
        <f t="shared" si="12"/>
        <v>44714.493055555555</v>
      </c>
      <c r="K41" s="659" t="str">
        <f>IF($M$41-J41&lt;0, "-" &amp; TEXT(ABS($M$41-J41),"[hh]:mm:ss"), TEXT($M$41-J41,"[hh]:mm:ss"))</f>
        <v>00:10:00</v>
      </c>
      <c r="L41" s="1585">
        <v>44714.5</v>
      </c>
      <c r="M41" s="1590">
        <v>44714.5</v>
      </c>
    </row>
    <row r="42" spans="1:13" ht="19.8" thickTop="1" x14ac:dyDescent="0.45">
      <c r="A42" s="1671"/>
      <c r="B42" s="1655"/>
      <c r="C42" s="631" t="s">
        <v>3261</v>
      </c>
      <c r="D42" s="156"/>
      <c r="E42" s="81">
        <v>44714.160416666666</v>
      </c>
      <c r="F42" s="81">
        <v>44714.180555555555</v>
      </c>
      <c r="G42" s="81"/>
      <c r="H42" s="81"/>
      <c r="I42" s="593"/>
      <c r="J42" s="1497">
        <f t="shared" si="12"/>
        <v>44714.493750000001</v>
      </c>
      <c r="K42" s="660" t="str">
        <f t="shared" ref="K42:K43" si="14">IF($M$41-J42&lt;0, "-" &amp; TEXT(ABS($M$41-J42),"[hh]:mm:ss"), TEXT($M$41-J42,"[hh]:mm:ss"))</f>
        <v>00:09:00</v>
      </c>
      <c r="L42" s="1671"/>
      <c r="M42" s="1652"/>
    </row>
    <row r="43" spans="1:13" ht="19.8" thickBot="1" x14ac:dyDescent="0.5">
      <c r="A43" s="1586"/>
      <c r="B43" s="1639"/>
      <c r="C43" s="1474" t="s">
        <v>781</v>
      </c>
      <c r="D43" s="82"/>
      <c r="E43" s="1514">
        <v>44714.161805555559</v>
      </c>
      <c r="F43" s="1514">
        <v>44714.18472222222</v>
      </c>
      <c r="G43" s="1514"/>
      <c r="H43" s="1514"/>
      <c r="I43" s="595"/>
      <c r="J43" s="1514">
        <f t="shared" si="12"/>
        <v>44714.495138888895</v>
      </c>
      <c r="K43" s="661" t="str">
        <f t="shared" si="14"/>
        <v>00:07:00</v>
      </c>
      <c r="L43" s="1586"/>
      <c r="M43" s="1610"/>
    </row>
    <row r="44" spans="1:13" ht="20.399999999999999" thickTop="1" thickBot="1" x14ac:dyDescent="0.5">
      <c r="A44" s="1582" t="s">
        <v>41</v>
      </c>
      <c r="B44" s="1621" t="s">
        <v>52</v>
      </c>
      <c r="C44" s="1661" t="s">
        <v>798</v>
      </c>
      <c r="D44" s="1587"/>
      <c r="E44" s="1496">
        <v>44938.75</v>
      </c>
      <c r="F44" s="1496">
        <v>44938.784722222219</v>
      </c>
      <c r="G44" s="1496"/>
      <c r="H44" s="1496"/>
      <c r="I44" s="594"/>
      <c r="J44" s="1504">
        <f t="shared" si="12"/>
        <v>44939.083333333336</v>
      </c>
      <c r="K44" s="659" t="str">
        <f t="shared" ref="K44:K46" si="15">IF($M$44-J44&lt;0, "-" &amp; TEXT(ABS($M$44-J44),"[hh]:mm:ss"), TEXT($M$44-J44,"[hh]:mm:ss"))</f>
        <v>00:10:00</v>
      </c>
      <c r="L44" s="1640">
        <v>44939.097222222219</v>
      </c>
      <c r="M44" s="1609">
        <v>44939.090277777781</v>
      </c>
    </row>
    <row r="45" spans="1:13" ht="19.8" thickTop="1" x14ac:dyDescent="0.45">
      <c r="A45" s="1671"/>
      <c r="B45" s="1655"/>
      <c r="C45" s="1686"/>
      <c r="D45" s="1684"/>
      <c r="E45" s="83">
        <v>44938.751388888886</v>
      </c>
      <c r="F45" s="83">
        <v>44938.786805555559</v>
      </c>
      <c r="G45" s="83"/>
      <c r="H45" s="83"/>
      <c r="I45" s="593"/>
      <c r="J45" s="1530">
        <f t="shared" si="12"/>
        <v>44939.084722222222</v>
      </c>
      <c r="K45" s="660" t="str">
        <f t="shared" si="15"/>
        <v>00:08:00</v>
      </c>
      <c r="L45" s="1671"/>
      <c r="M45" s="1652"/>
    </row>
    <row r="46" spans="1:13" ht="19.8" thickBot="1" x14ac:dyDescent="0.5">
      <c r="A46" s="1586"/>
      <c r="B46" s="1639"/>
      <c r="C46" s="1474" t="s">
        <v>795</v>
      </c>
      <c r="D46" s="82"/>
      <c r="E46" s="1514">
        <v>44938.752083333333</v>
      </c>
      <c r="F46" s="1514">
        <v>44938.787499999999</v>
      </c>
      <c r="G46" s="1514"/>
      <c r="H46" s="1514"/>
      <c r="I46" s="656"/>
      <c r="J46" s="1481">
        <f t="shared" si="12"/>
        <v>44939.085416666669</v>
      </c>
      <c r="K46" s="1534" t="str">
        <f t="shared" si="15"/>
        <v>00:07:00</v>
      </c>
      <c r="L46" s="1586"/>
      <c r="M46" s="1610"/>
    </row>
    <row r="47" spans="1:13" s="104" customFormat="1" ht="20.399999999999999" thickTop="1" thickBot="1" x14ac:dyDescent="0.5">
      <c r="A47" s="1582" t="s">
        <v>41</v>
      </c>
      <c r="B47" s="1621" t="s">
        <v>52</v>
      </c>
      <c r="C47" s="1523" t="s">
        <v>780</v>
      </c>
      <c r="D47" s="1497" t="s">
        <v>1437</v>
      </c>
      <c r="E47" s="83">
        <v>45300.285416666666</v>
      </c>
      <c r="F47" s="83">
        <v>45300.327777777777</v>
      </c>
      <c r="G47" s="83"/>
      <c r="H47" s="83"/>
      <c r="I47" s="593"/>
      <c r="J47" s="1530">
        <f>E47+TIME(8,0,0)</f>
        <v>45300.618750000001</v>
      </c>
      <c r="K47" s="660" t="str">
        <f t="shared" ref="K47:K48" si="16">IF($M$47-J47&lt;0, "-" &amp; TEXT(ABS($M$47-J47),"[hh]:mm:ss"), TEXT($M$47-J47,"[hh]:mm:ss"))</f>
        <v>00:12:00</v>
      </c>
      <c r="L47" s="1640">
        <v>45300.625</v>
      </c>
      <c r="M47" s="1609">
        <v>45300.627083333333</v>
      </c>
    </row>
    <row r="48" spans="1:13" s="104" customFormat="1" ht="20.399999999999999" thickTop="1" thickBot="1" x14ac:dyDescent="0.5">
      <c r="A48" s="1583"/>
      <c r="B48" s="1608"/>
      <c r="C48" s="1474" t="s">
        <v>795</v>
      </c>
      <c r="D48" s="82" t="s">
        <v>1438</v>
      </c>
      <c r="E48" s="1514">
        <v>45300.286805555559</v>
      </c>
      <c r="F48" s="1514">
        <v>45300.331250000003</v>
      </c>
      <c r="G48" s="1514"/>
      <c r="H48" s="1514"/>
      <c r="I48" s="656"/>
      <c r="J48" s="1481">
        <f t="shared" si="12"/>
        <v>45300.620138888895</v>
      </c>
      <c r="K48" s="1534" t="str">
        <f t="shared" si="16"/>
        <v>00:10:00</v>
      </c>
      <c r="L48" s="1583"/>
      <c r="M48" s="1624"/>
    </row>
    <row r="49" spans="1:13" s="104" customFormat="1" ht="20.399999999999999" thickTop="1" thickBot="1" x14ac:dyDescent="0.5">
      <c r="A49" s="1583" t="s">
        <v>41</v>
      </c>
      <c r="B49" s="1608" t="s">
        <v>52</v>
      </c>
      <c r="C49" s="1489" t="s">
        <v>780</v>
      </c>
      <c r="D49" s="588" t="s">
        <v>1584</v>
      </c>
      <c r="E49" s="1497">
        <v>45324.981944444444</v>
      </c>
      <c r="F49" s="1497">
        <v>45324.999305555553</v>
      </c>
      <c r="G49" s="1497"/>
      <c r="H49" s="1497"/>
      <c r="I49" s="594"/>
      <c r="J49" s="1504">
        <f t="shared" ref="J49:J56" si="17">E49+TIME(8,0,0)</f>
        <v>45325.31527777778</v>
      </c>
      <c r="K49" s="659" t="str">
        <f t="shared" ref="K49:K51" si="18">IF($M$49-J49&lt;0, "-" &amp; TEXT(ABS($M$49-J49),"[hh]:mm:ss"), TEXT($M$49-J49,"[hh]:mm:ss"))</f>
        <v>00:03:00</v>
      </c>
      <c r="L49" s="1585">
        <v>45325.322222222225</v>
      </c>
      <c r="M49" s="1590">
        <v>45325.317361111112</v>
      </c>
    </row>
    <row r="50" spans="1:13" s="104" customFormat="1" ht="20.399999999999999" thickTop="1" thickBot="1" x14ac:dyDescent="0.5">
      <c r="A50" s="1583"/>
      <c r="B50" s="1608"/>
      <c r="C50" s="1503" t="s">
        <v>1280</v>
      </c>
      <c r="D50" s="160" t="s">
        <v>1816</v>
      </c>
      <c r="E50" s="1473">
        <v>45324.958333333336</v>
      </c>
      <c r="F50" s="1473">
        <v>45325</v>
      </c>
      <c r="G50" s="1473"/>
      <c r="H50" s="1473"/>
      <c r="I50" s="596"/>
      <c r="J50" s="1530">
        <f>E50+TIME(8,0,0)</f>
        <v>45325.291666666672</v>
      </c>
      <c r="K50" s="663" t="str">
        <f t="shared" si="18"/>
        <v>00:37:00</v>
      </c>
      <c r="L50" s="1585"/>
      <c r="M50" s="1590"/>
    </row>
    <row r="51" spans="1:13" s="104" customFormat="1" ht="20.399999999999999" thickTop="1" thickBot="1" x14ac:dyDescent="0.5">
      <c r="A51" s="1583"/>
      <c r="B51" s="1608"/>
      <c r="C51" s="1474" t="s">
        <v>781</v>
      </c>
      <c r="D51" s="82" t="s">
        <v>1585</v>
      </c>
      <c r="E51" s="1514">
        <v>45324.984027777777</v>
      </c>
      <c r="F51" s="1514">
        <v>45325.005555555559</v>
      </c>
      <c r="G51" s="1514"/>
      <c r="H51" s="1514"/>
      <c r="I51" s="656"/>
      <c r="J51" s="1481">
        <f t="shared" si="17"/>
        <v>45325.317361111112</v>
      </c>
      <c r="K51" s="1534" t="str">
        <f t="shared" si="18"/>
        <v>00:00:00</v>
      </c>
      <c r="L51" s="1583"/>
      <c r="M51" s="1624"/>
    </row>
    <row r="52" spans="1:13" s="104" customFormat="1" ht="20.399999999999999" thickTop="1" thickBot="1" x14ac:dyDescent="0.5">
      <c r="A52" s="1707" t="s">
        <v>1266</v>
      </c>
      <c r="B52" s="1621" t="s">
        <v>52</v>
      </c>
      <c r="C52" s="1611" t="s">
        <v>780</v>
      </c>
      <c r="D52" s="587" t="s">
        <v>1629</v>
      </c>
      <c r="E52" s="1496">
        <v>45364.527083333334</v>
      </c>
      <c r="F52" s="1496">
        <v>45364.540972222225</v>
      </c>
      <c r="G52" s="1496"/>
      <c r="H52" s="1496"/>
      <c r="I52" s="594"/>
      <c r="J52" s="1504">
        <f t="shared" si="17"/>
        <v>45364.86041666667</v>
      </c>
      <c r="K52" s="659" t="str">
        <f t="shared" ref="K52:K54" si="19">IF($M$52-J52&lt;0, "-" &amp; TEXT(ABS($M$52-J52),"[hh]:mm:ss"), TEXT($M$52-J52,"[hh]:mm:ss"))</f>
        <v>00:12:00</v>
      </c>
      <c r="L52" s="1585">
        <v>45364.868055555555</v>
      </c>
      <c r="M52" s="1590">
        <v>45364.868750000001</v>
      </c>
    </row>
    <row r="53" spans="1:13" s="104" customFormat="1" ht="19.8" thickTop="1" x14ac:dyDescent="0.45">
      <c r="A53" s="1638"/>
      <c r="B53" s="1615"/>
      <c r="C53" s="1617"/>
      <c r="D53" s="156" t="s">
        <v>1630</v>
      </c>
      <c r="E53" s="81">
        <v>45364.527777777781</v>
      </c>
      <c r="F53" s="81">
        <v>45364.544444444444</v>
      </c>
      <c r="G53" s="81"/>
      <c r="H53" s="81"/>
      <c r="I53" s="593"/>
      <c r="J53" s="1497">
        <f t="shared" si="17"/>
        <v>45364.861111111117</v>
      </c>
      <c r="K53" s="660" t="str">
        <f t="shared" si="19"/>
        <v>00:11:00</v>
      </c>
      <c r="L53" s="1638"/>
      <c r="M53" s="1635"/>
    </row>
    <row r="54" spans="1:13" s="104" customFormat="1" ht="19.8" thickBot="1" x14ac:dyDescent="0.5">
      <c r="A54" s="1583"/>
      <c r="B54" s="1608"/>
      <c r="C54" s="634" t="s">
        <v>3262</v>
      </c>
      <c r="D54" s="82" t="s">
        <v>1631</v>
      </c>
      <c r="E54" s="1514">
        <v>45364.529166666667</v>
      </c>
      <c r="F54" s="1514">
        <v>45364.546527777777</v>
      </c>
      <c r="G54" s="1514"/>
      <c r="H54" s="1514"/>
      <c r="I54" s="595"/>
      <c r="J54" s="1514">
        <f t="shared" si="17"/>
        <v>45364.862500000003</v>
      </c>
      <c r="K54" s="661" t="str">
        <f t="shared" si="19"/>
        <v>00:09:00</v>
      </c>
      <c r="L54" s="1583"/>
      <c r="M54" s="1624"/>
    </row>
    <row r="55" spans="1:13" s="104" customFormat="1" ht="20.399999999999999" thickTop="1" thickBot="1" x14ac:dyDescent="0.5">
      <c r="A55" s="1582" t="s">
        <v>971</v>
      </c>
      <c r="B55" s="1621" t="s">
        <v>52</v>
      </c>
      <c r="C55" s="1711" t="s">
        <v>780</v>
      </c>
      <c r="D55" s="1497" t="s">
        <v>1996</v>
      </c>
      <c r="E55" s="83">
        <v>45465.284722222219</v>
      </c>
      <c r="F55" s="83">
        <v>45465.305555555555</v>
      </c>
      <c r="G55" s="83"/>
      <c r="H55" s="83"/>
      <c r="I55" s="593"/>
      <c r="J55" s="1530">
        <f t="shared" si="17"/>
        <v>45465.618055555555</v>
      </c>
      <c r="K55" s="660" t="str">
        <f t="shared" ref="K55:K56" si="20">IF($M$55-J55&lt;0, "-" &amp; TEXT(ABS($M$55-J55),"[hh]:mm:ss"), TEXT($M$55-J55,"[hh]:mm:ss"))</f>
        <v>00:10:00</v>
      </c>
      <c r="L55" s="1640">
        <v>45465.625</v>
      </c>
      <c r="M55" s="1609">
        <v>45465.625</v>
      </c>
    </row>
    <row r="56" spans="1:13" s="104" customFormat="1" ht="20.399999999999999" thickTop="1" thickBot="1" x14ac:dyDescent="0.5">
      <c r="A56" s="1583"/>
      <c r="B56" s="1608"/>
      <c r="C56" s="1698"/>
      <c r="D56" s="82" t="s">
        <v>1997</v>
      </c>
      <c r="E56" s="1514">
        <v>45465.285416666666</v>
      </c>
      <c r="F56" s="1514">
        <v>45465.309027777781</v>
      </c>
      <c r="G56" s="1514"/>
      <c r="H56" s="1514"/>
      <c r="I56" s="656"/>
      <c r="J56" s="1481">
        <f t="shared" si="17"/>
        <v>45465.618750000001</v>
      </c>
      <c r="K56" s="1534" t="str">
        <f t="shared" si="20"/>
        <v>00:09:00</v>
      </c>
      <c r="L56" s="1583"/>
      <c r="M56" s="1624"/>
    </row>
    <row r="57" spans="1:13" s="104" customFormat="1" ht="20.399999999999999" collapsed="1" thickTop="1" thickBot="1" x14ac:dyDescent="0.5">
      <c r="A57" s="1707" t="s">
        <v>971</v>
      </c>
      <c r="B57" s="1621" t="s">
        <v>52</v>
      </c>
      <c r="C57" s="1611" t="s">
        <v>780</v>
      </c>
      <c r="D57" s="587" t="s">
        <v>2198</v>
      </c>
      <c r="E57" s="1496">
        <v>45591.040972222225</v>
      </c>
      <c r="F57" s="1496">
        <v>45591.052777777775</v>
      </c>
      <c r="G57" s="1496"/>
      <c r="H57" s="1496"/>
      <c r="I57" s="594"/>
      <c r="J57" s="1504">
        <f>E57+TIME(8,0,0)</f>
        <v>45591.374305555561</v>
      </c>
      <c r="K57" s="659" t="str">
        <f t="shared" ref="K57:K59" si="21">IF($M$57-J57&lt;0, "-" &amp; TEXT(ABS($M$57-J57),"[hh]:mm:ss"), TEXT($M$57-J57,"[hh]:mm:ss"))</f>
        <v>00:10:00</v>
      </c>
      <c r="L57" s="1585">
        <v>45591.383333333331</v>
      </c>
      <c r="M57" s="1590">
        <v>45591.381249999999</v>
      </c>
    </row>
    <row r="58" spans="1:13" s="104" customFormat="1" ht="19.8" thickTop="1" x14ac:dyDescent="0.45">
      <c r="A58" s="1638"/>
      <c r="B58" s="1615"/>
      <c r="C58" s="1617"/>
      <c r="D58" s="156" t="s">
        <v>2199</v>
      </c>
      <c r="E58" s="81">
        <v>45591.041666666664</v>
      </c>
      <c r="F58" s="81">
        <v>45591.056250000001</v>
      </c>
      <c r="G58" s="81"/>
      <c r="H58" s="81"/>
      <c r="I58" s="593"/>
      <c r="J58" s="1497">
        <f>E58+TIME(8,0,0)</f>
        <v>45591.375</v>
      </c>
      <c r="K58" s="660" t="str">
        <f t="shared" si="21"/>
        <v>00:09:00</v>
      </c>
      <c r="L58" s="1638"/>
      <c r="M58" s="1635"/>
    </row>
    <row r="59" spans="1:13" s="104" customFormat="1" ht="19.8" thickBot="1" x14ac:dyDescent="0.5">
      <c r="A59" s="1583"/>
      <c r="B59" s="1608"/>
      <c r="C59" s="634" t="s">
        <v>3262</v>
      </c>
      <c r="D59" s="82" t="s">
        <v>2200</v>
      </c>
      <c r="E59" s="1514">
        <v>45591.043055555558</v>
      </c>
      <c r="F59" s="1514">
        <v>45591.05972222222</v>
      </c>
      <c r="G59" s="1514"/>
      <c r="H59" s="1514"/>
      <c r="I59" s="595"/>
      <c r="J59" s="1514">
        <f>E59+TIME(8,0,0)</f>
        <v>45591.376388888893</v>
      </c>
      <c r="K59" s="661" t="str">
        <f t="shared" si="21"/>
        <v>00:07:00</v>
      </c>
      <c r="L59" s="1583"/>
      <c r="M59" s="1624"/>
    </row>
    <row r="60" spans="1:13" s="104" customFormat="1" ht="20.399999999999999" thickTop="1" thickBot="1" x14ac:dyDescent="0.5">
      <c r="A60" s="1581" t="s">
        <v>41</v>
      </c>
      <c r="B60" s="1677" t="s">
        <v>52</v>
      </c>
      <c r="C60" s="638"/>
      <c r="D60" s="315"/>
      <c r="E60" s="570"/>
      <c r="F60" s="570"/>
      <c r="G60" s="406"/>
      <c r="H60" s="406"/>
      <c r="I60" s="606"/>
      <c r="J60" s="1493">
        <f t="shared" ref="J60:J62" si="22">E60+TIME(8,0,0)</f>
        <v>0.33333333333333331</v>
      </c>
      <c r="K60" s="674" t="str">
        <f>IF($M$60-J60&lt;0, "-" &amp; TEXT(ABS($M$60-J60),"[hh]:mm:ss"), TEXT($M$60-J60,"[hh]:mm:ss"))</f>
        <v>-08:00:00</v>
      </c>
      <c r="L60" s="1603"/>
      <c r="M60" s="1606"/>
    </row>
    <row r="61" spans="1:13" s="104" customFormat="1" ht="19.8" thickTop="1" x14ac:dyDescent="0.45">
      <c r="A61" s="1712"/>
      <c r="B61" s="1599"/>
      <c r="C61" s="694"/>
      <c r="D61" s="315"/>
      <c r="E61" s="590"/>
      <c r="F61" s="590"/>
      <c r="G61" s="513"/>
      <c r="H61" s="513"/>
      <c r="I61" s="601"/>
      <c r="J61" s="590">
        <f t="shared" si="22"/>
        <v>0.33333333333333331</v>
      </c>
      <c r="K61" s="668" t="str">
        <f t="shared" ref="K61:K62" si="23">IF($M$60-J61&lt;0, "-" &amp; TEXT(ABS($M$60-J61),"[hh]:mm:ss"), TEXT($M$60-J61,"[hh]:mm:ss"))</f>
        <v>-08:00:00</v>
      </c>
      <c r="L61" s="1712"/>
      <c r="M61" s="1670"/>
    </row>
    <row r="62" spans="1:13" s="104" customFormat="1" ht="19.8" thickBot="1" x14ac:dyDescent="0.5">
      <c r="A62" s="1581"/>
      <c r="B62" s="1600"/>
      <c r="C62" s="644"/>
      <c r="D62" s="315"/>
      <c r="E62" s="590"/>
      <c r="F62" s="590"/>
      <c r="G62" s="1495"/>
      <c r="H62" s="1495"/>
      <c r="I62" s="608"/>
      <c r="J62" s="1495">
        <f t="shared" si="22"/>
        <v>0.33333333333333331</v>
      </c>
      <c r="K62" s="676" t="str">
        <f t="shared" si="23"/>
        <v>-08:00:00</v>
      </c>
      <c r="L62" s="1581"/>
      <c r="M62" s="1650"/>
    </row>
    <row r="63" spans="1:13" s="85" customFormat="1" ht="20.399999999999999" thickTop="1" thickBot="1" x14ac:dyDescent="0.5">
      <c r="A63" s="314"/>
      <c r="B63" s="314"/>
      <c r="C63" s="635"/>
      <c r="D63" s="90"/>
      <c r="E63" s="90"/>
      <c r="F63" s="90"/>
      <c r="G63" s="90"/>
      <c r="H63" s="90"/>
      <c r="I63" s="598"/>
      <c r="J63" s="87"/>
      <c r="K63" s="665"/>
      <c r="L63" s="314"/>
      <c r="M63" s="623"/>
    </row>
    <row r="64" spans="1:13" ht="20.399999999999999" thickTop="1" thickBot="1" x14ac:dyDescent="0.5">
      <c r="A64" s="1488" t="s">
        <v>41</v>
      </c>
      <c r="B64" s="1479" t="s">
        <v>71</v>
      </c>
      <c r="C64" s="1524" t="s">
        <v>782</v>
      </c>
      <c r="D64" s="78"/>
      <c r="E64" s="79">
        <v>44686.104166666664</v>
      </c>
      <c r="F64" s="79">
        <v>44686.127083333333</v>
      </c>
      <c r="G64" s="79"/>
      <c r="H64" s="79"/>
      <c r="I64" s="592"/>
      <c r="J64" s="1472">
        <f t="shared" ref="J64:J69" si="24">E64+TIME(8,0,0)</f>
        <v>44686.4375</v>
      </c>
      <c r="K64" s="662" t="str">
        <f>IF($M$64-J64&lt;0, "-" &amp; TEXT(ABS($M$64-J64),"[hh]:mm:ss"), TEXT($M$64-J64,"[hh]:mm:ss"))</f>
        <v>00:08:00</v>
      </c>
      <c r="L64" s="79">
        <v>0</v>
      </c>
      <c r="M64" s="1471">
        <v>44686.443055555559</v>
      </c>
    </row>
    <row r="65" spans="1:13" ht="20.399999999999999" thickTop="1" thickBot="1" x14ac:dyDescent="0.5">
      <c r="A65" s="1582" t="s">
        <v>41</v>
      </c>
      <c r="B65" s="1608" t="s">
        <v>71</v>
      </c>
      <c r="C65" s="1531" t="s">
        <v>3263</v>
      </c>
      <c r="D65" s="157"/>
      <c r="E65" s="1496">
        <v>44757.946527777778</v>
      </c>
      <c r="F65" s="1496">
        <v>44757.963194444441</v>
      </c>
      <c r="G65" s="1496"/>
      <c r="H65" s="1496"/>
      <c r="I65" s="594"/>
      <c r="J65" s="1504">
        <f t="shared" si="24"/>
        <v>44758.279861111114</v>
      </c>
      <c r="K65" s="659" t="str">
        <f t="shared" ref="K65:K66" si="25">IF($M$65-J65&lt;0, "-" &amp; TEXT(ABS($M$65-J65),"[hh]:mm:ss"), TEXT($M$65-J65,"[hh]:mm:ss"))</f>
        <v>00:14:00</v>
      </c>
      <c r="L65" s="1640">
        <v>44758.284722222219</v>
      </c>
      <c r="M65" s="1609">
        <v>44758.289583333331</v>
      </c>
    </row>
    <row r="66" spans="1:13" ht="20.399999999999999" thickTop="1" thickBot="1" x14ac:dyDescent="0.5">
      <c r="A66" s="1586"/>
      <c r="B66" s="1639"/>
      <c r="C66" s="634" t="s">
        <v>3264</v>
      </c>
      <c r="D66" s="158"/>
      <c r="E66" s="1514">
        <v>44757.947916666664</v>
      </c>
      <c r="F66" s="1514">
        <v>44757.968055555553</v>
      </c>
      <c r="G66" s="1514"/>
      <c r="H66" s="1514"/>
      <c r="I66" s="595"/>
      <c r="J66" s="1514">
        <f t="shared" si="24"/>
        <v>44758.28125</v>
      </c>
      <c r="K66" s="661" t="str">
        <f t="shared" si="25"/>
        <v>00:12:00</v>
      </c>
      <c r="L66" s="1586"/>
      <c r="M66" s="1610"/>
    </row>
    <row r="67" spans="1:13" ht="20.399999999999999" thickTop="1" thickBot="1" x14ac:dyDescent="0.5">
      <c r="A67" s="1582" t="s">
        <v>41</v>
      </c>
      <c r="B67" s="1608" t="s">
        <v>71</v>
      </c>
      <c r="C67" s="1508" t="s">
        <v>3263</v>
      </c>
      <c r="D67" s="159" t="s">
        <v>3246</v>
      </c>
      <c r="E67" s="83">
        <v>44846.947222222225</v>
      </c>
      <c r="F67" s="83">
        <v>44846.974305555559</v>
      </c>
      <c r="G67" s="83"/>
      <c r="H67" s="83"/>
      <c r="I67" s="593"/>
      <c r="J67" s="1504">
        <f t="shared" si="24"/>
        <v>44847.280555555561</v>
      </c>
      <c r="K67" s="660" t="str">
        <f t="shared" ref="K67:K68" si="26">IF($M$67-J67&lt;0, "-" &amp; TEXT(ABS($M$67-J67),"[hh]:mm:ss"), TEXT($M$67-J67,"[hh]:mm:ss"))</f>
        <v>00:09:00</v>
      </c>
      <c r="L67" s="1585">
        <v>44847.291666666664</v>
      </c>
      <c r="M67" s="1590">
        <v>44847.286805555559</v>
      </c>
    </row>
    <row r="68" spans="1:13" ht="20.399999999999999" thickTop="1" thickBot="1" x14ac:dyDescent="0.5">
      <c r="A68" s="1586"/>
      <c r="B68" s="1639"/>
      <c r="C68" s="634" t="s">
        <v>3264</v>
      </c>
      <c r="D68" s="158" t="s">
        <v>3247</v>
      </c>
      <c r="E68" s="1514">
        <v>44846.948611111111</v>
      </c>
      <c r="F68" s="1514">
        <v>44846.980555555558</v>
      </c>
      <c r="G68" s="1514"/>
      <c r="H68" s="1514"/>
      <c r="I68" s="595"/>
      <c r="J68" s="1514">
        <f t="shared" si="24"/>
        <v>44847.281944444447</v>
      </c>
      <c r="K68" s="661" t="str">
        <f t="shared" si="26"/>
        <v>00:07:00</v>
      </c>
      <c r="L68" s="1586"/>
      <c r="M68" s="1610"/>
    </row>
    <row r="69" spans="1:13" ht="20.399999999999999" collapsed="1" thickTop="1" thickBot="1" x14ac:dyDescent="0.5">
      <c r="A69" s="1488" t="s">
        <v>41</v>
      </c>
      <c r="B69" s="1479" t="s">
        <v>71</v>
      </c>
      <c r="C69" s="636" t="s">
        <v>3263</v>
      </c>
      <c r="D69" s="89" t="s">
        <v>3245</v>
      </c>
      <c r="E69" s="1472">
        <v>45146.947222222225</v>
      </c>
      <c r="F69" s="1472">
        <v>45146.974305555559</v>
      </c>
      <c r="G69" s="1472"/>
      <c r="H69" s="1472"/>
      <c r="I69" s="592"/>
      <c r="J69" s="1472">
        <f t="shared" si="24"/>
        <v>45147.280555555561</v>
      </c>
      <c r="K69" s="662" t="str">
        <f>IF($M$69-J69&lt;0, "-" &amp; TEXT(ABS($M$69-J69),"[hh]:mm:ss"), TEXT($M$69-J69,"[hh]:mm:ss"))</f>
        <v>00:09:00</v>
      </c>
      <c r="L69" s="1472">
        <v>45147.286805555559</v>
      </c>
      <c r="M69" s="1471">
        <v>45147.286805555559</v>
      </c>
    </row>
    <row r="70" spans="1:13" s="85" customFormat="1" ht="20.399999999999999" thickTop="1" thickBot="1" x14ac:dyDescent="0.5">
      <c r="A70" s="314"/>
      <c r="B70" s="314"/>
      <c r="C70" s="633"/>
      <c r="D70" s="84"/>
      <c r="E70" s="84"/>
      <c r="F70" s="84"/>
      <c r="G70" s="84"/>
      <c r="H70" s="84"/>
      <c r="I70" s="599"/>
      <c r="J70" s="90"/>
      <c r="K70" s="666"/>
      <c r="L70" s="314"/>
      <c r="M70" s="623"/>
    </row>
    <row r="71" spans="1:13" s="104" customFormat="1" ht="20.399999999999999" thickTop="1" thickBot="1" x14ac:dyDescent="0.5">
      <c r="A71" s="1520" t="s">
        <v>979</v>
      </c>
      <c r="B71" s="1608" t="s">
        <v>9</v>
      </c>
      <c r="C71" s="1611" t="s">
        <v>784</v>
      </c>
      <c r="D71" s="1504" t="s">
        <v>1662</v>
      </c>
      <c r="E71" s="83">
        <v>43463.328472222223</v>
      </c>
      <c r="F71" s="83">
        <v>43463.35</v>
      </c>
      <c r="G71" s="83"/>
      <c r="H71" s="83"/>
      <c r="I71" s="593"/>
      <c r="J71" s="1504">
        <f t="shared" ref="J71:J86" si="27">E71+TIME(8,0,0)</f>
        <v>43463.661805555559</v>
      </c>
      <c r="K71" s="660" t="str">
        <f>IF($M$71-J71&lt;0, "-" &amp; TEXT(ABS($M$71-J71),"[hh]:mm:ss"), TEXT($M$71-J71,"[hh]:mm:ss"))</f>
        <v>00:07:00</v>
      </c>
      <c r="L71" s="1585">
        <v>43463.666666666664</v>
      </c>
      <c r="M71" s="1590">
        <v>43463.666666666664</v>
      </c>
    </row>
    <row r="72" spans="1:13" s="104" customFormat="1" ht="20.399999999999999" thickTop="1" thickBot="1" x14ac:dyDescent="0.5">
      <c r="A72" s="1470" t="s">
        <v>3158</v>
      </c>
      <c r="B72" s="1608"/>
      <c r="C72" s="1612"/>
      <c r="D72" s="1481" t="s">
        <v>1661</v>
      </c>
      <c r="E72" s="1514">
        <v>43463.328472222223</v>
      </c>
      <c r="F72" s="1514">
        <v>43463.353472222225</v>
      </c>
      <c r="G72" s="1514"/>
      <c r="H72" s="1514"/>
      <c r="I72" s="656"/>
      <c r="J72" s="1481">
        <f t="shared" si="27"/>
        <v>43463.661805555559</v>
      </c>
      <c r="K72" s="1534" t="str">
        <f>IF($M$71-J72&lt;0, "-" &amp; TEXT(ABS($M$71-J72),"[hh]:mm:ss"), TEXT($M$71-J72,"[hh]:mm:ss"))</f>
        <v>00:07:00</v>
      </c>
      <c r="L72" s="1583"/>
      <c r="M72" s="1624"/>
    </row>
    <row r="73" spans="1:13" ht="20.399999999999999" thickTop="1" thickBot="1" x14ac:dyDescent="0.5">
      <c r="A73" s="80" t="s">
        <v>83</v>
      </c>
      <c r="B73" s="1479" t="s">
        <v>9</v>
      </c>
      <c r="C73" s="1524" t="s">
        <v>784</v>
      </c>
      <c r="D73" s="78"/>
      <c r="E73" s="79">
        <v>44824.962500000001</v>
      </c>
      <c r="F73" s="79">
        <v>44824.982638888891</v>
      </c>
      <c r="G73" s="79"/>
      <c r="H73" s="79"/>
      <c r="I73" s="592"/>
      <c r="J73" s="1472">
        <f>E73+TIME(8,0,0)</f>
        <v>44825.295833333337</v>
      </c>
      <c r="K73" s="662" t="str">
        <f>IF($M$73-J73&lt;0, "-" &amp; TEXT(ABS($M$73-J73),"[hh]:mm:ss"), TEXT($M$73-J73,"[hh]:mm:ss"))</f>
        <v>00:09:00</v>
      </c>
      <c r="L73" s="79">
        <v>44825.302083333336</v>
      </c>
      <c r="M73" s="1471">
        <v>44825.302083333336</v>
      </c>
    </row>
    <row r="74" spans="1:13" ht="20.399999999999999" thickTop="1" thickBot="1" x14ac:dyDescent="0.5">
      <c r="A74" s="80" t="s">
        <v>83</v>
      </c>
      <c r="B74" s="1479" t="s">
        <v>9</v>
      </c>
      <c r="C74" s="1524" t="s">
        <v>784</v>
      </c>
      <c r="D74" s="78"/>
      <c r="E74" s="79">
        <v>44842.980555555558</v>
      </c>
      <c r="F74" s="79">
        <v>44842.999305555553</v>
      </c>
      <c r="G74" s="79"/>
      <c r="H74" s="79"/>
      <c r="I74" s="592"/>
      <c r="J74" s="1472">
        <f>E74+TIME(8,0,0)</f>
        <v>44843.313888888893</v>
      </c>
      <c r="K74" s="662" t="str">
        <f>IF($M$74-J74&lt;0, "-" &amp; TEXT(ABS($M$74-J74),"[hh]:mm:ss"), TEXT($M$74-J74,"[hh]:mm:ss"))</f>
        <v>00:11:00</v>
      </c>
      <c r="L74" s="79">
        <v>44843.319444444445</v>
      </c>
      <c r="M74" s="1471">
        <v>44843.321527777778</v>
      </c>
    </row>
    <row r="75" spans="1:13" ht="20.399999999999999" thickTop="1" thickBot="1" x14ac:dyDescent="0.5">
      <c r="A75" s="1488" t="s">
        <v>83</v>
      </c>
      <c r="B75" s="1479" t="s">
        <v>9</v>
      </c>
      <c r="C75" s="1524" t="s">
        <v>784</v>
      </c>
      <c r="D75" s="78"/>
      <c r="E75" s="79">
        <v>44863.036111111112</v>
      </c>
      <c r="F75" s="79">
        <v>44863.052083333336</v>
      </c>
      <c r="G75" s="79"/>
      <c r="H75" s="79"/>
      <c r="I75" s="592"/>
      <c r="J75" s="1472">
        <f>E75+TIME(8,0,0)</f>
        <v>44863.369444444448</v>
      </c>
      <c r="K75" s="662" t="str">
        <f>IF($M$75-J75&lt;0, "-" &amp; TEXT(ABS($M$75-J75),"[hh]:mm:ss"), TEXT($M$75-J75,"[hh]:mm:ss"))</f>
        <v>00:09:00</v>
      </c>
      <c r="L75" s="79">
        <v>44863.375</v>
      </c>
      <c r="M75" s="1471">
        <v>44863.375694444447</v>
      </c>
    </row>
    <row r="76" spans="1:13" ht="20.399999999999999" thickTop="1" thickBot="1" x14ac:dyDescent="0.5">
      <c r="A76" s="1583" t="s">
        <v>83</v>
      </c>
      <c r="B76" s="1608" t="s">
        <v>9</v>
      </c>
      <c r="C76" s="1653" t="s">
        <v>784</v>
      </c>
      <c r="D76" s="1587"/>
      <c r="E76" s="83">
        <v>44939.286111111112</v>
      </c>
      <c r="F76" s="83">
        <v>44939.319444444445</v>
      </c>
      <c r="G76" s="83"/>
      <c r="H76" s="83"/>
      <c r="I76" s="593"/>
      <c r="J76" s="1504">
        <f>E76+TIME(8,0,0)</f>
        <v>44939.619444444448</v>
      </c>
      <c r="K76" s="660" t="str">
        <f>IF($M$76-J76&lt;0, "-" &amp; TEXT(ABS($M$76-J76),"[hh]:mm:ss"), TEXT($M$76-J76,"[hh]:mm:ss"))</f>
        <v>00:08:00</v>
      </c>
      <c r="L76" s="1585">
        <v>44939.631944444445</v>
      </c>
      <c r="M76" s="1590">
        <v>44939.625</v>
      </c>
    </row>
    <row r="77" spans="1:13" ht="20.399999999999999" thickTop="1" thickBot="1" x14ac:dyDescent="0.5">
      <c r="A77" s="1586"/>
      <c r="B77" s="1639"/>
      <c r="C77" s="1654"/>
      <c r="D77" s="1585"/>
      <c r="E77" s="1514">
        <v>44939.286111111112</v>
      </c>
      <c r="F77" s="1514">
        <v>44939.324305555558</v>
      </c>
      <c r="G77" s="1514"/>
      <c r="H77" s="1514"/>
      <c r="I77" s="656"/>
      <c r="J77" s="1481">
        <f>E77+TIME(8,0,0)</f>
        <v>44939.619444444448</v>
      </c>
      <c r="K77" s="1534" t="str">
        <f>IF($M$76-J77&lt;0, "-" &amp; TEXT(ABS($M$76-J77),"[hh]:mm:ss"), TEXT($M$76-J77,"[hh]:mm:ss"))</f>
        <v>00:08:00</v>
      </c>
      <c r="L77" s="1586"/>
      <c r="M77" s="1610"/>
    </row>
    <row r="78" spans="1:13" s="104" customFormat="1" ht="20.399999999999999" thickTop="1" thickBot="1" x14ac:dyDescent="0.5">
      <c r="A78" s="1488" t="s">
        <v>83</v>
      </c>
      <c r="B78" s="1479" t="s">
        <v>9</v>
      </c>
      <c r="C78" s="1524" t="s">
        <v>784</v>
      </c>
      <c r="D78" s="78" t="s">
        <v>1239</v>
      </c>
      <c r="E78" s="79">
        <v>45214.031944444447</v>
      </c>
      <c r="F78" s="79">
        <v>45214.052083333336</v>
      </c>
      <c r="G78" s="79"/>
      <c r="H78" s="79"/>
      <c r="I78" s="592"/>
      <c r="J78" s="1472">
        <f t="shared" ref="J78" si="28">E78+TIME(8,0,0)</f>
        <v>45214.365277777782</v>
      </c>
      <c r="K78" s="662" t="str">
        <f>IF($M$78-J78&lt;0, "-" &amp; TEXT(ABS($M$78-J78),"[hh]:mm:ss"), TEXT($M$78-J78,"[hh]:mm:ss"))</f>
        <v>00:08:00</v>
      </c>
      <c r="L78" s="79">
        <v>45214.371527777781</v>
      </c>
      <c r="M78" s="1471">
        <v>45214.370833333334</v>
      </c>
    </row>
    <row r="79" spans="1:13" s="104" customFormat="1" ht="20.399999999999999" thickTop="1" thickBot="1" x14ac:dyDescent="0.5">
      <c r="A79" s="1488" t="s">
        <v>83</v>
      </c>
      <c r="B79" s="1479" t="s">
        <v>9</v>
      </c>
      <c r="C79" s="1524" t="s">
        <v>784</v>
      </c>
      <c r="D79" s="78" t="s">
        <v>1782</v>
      </c>
      <c r="E79" s="79">
        <v>45397.168749999997</v>
      </c>
      <c r="F79" s="79">
        <v>45397.186111111114</v>
      </c>
      <c r="G79" s="79"/>
      <c r="H79" s="79"/>
      <c r="I79" s="592"/>
      <c r="J79" s="1472">
        <f>E79+TIME(8,0,0)</f>
        <v>45397.502083333333</v>
      </c>
      <c r="K79" s="662" t="str">
        <f>IF($M$79-J79&lt;0, "-" &amp; TEXT(ABS($M$79-J79),"[hh]:mm:ss"), TEXT($M$79-J79,"[hh]:mm:ss"))</f>
        <v>00:09:00</v>
      </c>
      <c r="L79" s="79">
        <v>45397.506944444445</v>
      </c>
      <c r="M79" s="1471">
        <v>45397.508333333331</v>
      </c>
    </row>
    <row r="80" spans="1:13" ht="20.399999999999999" thickTop="1" thickBot="1" x14ac:dyDescent="0.5">
      <c r="A80" s="1583" t="s">
        <v>979</v>
      </c>
      <c r="B80" s="1608" t="s">
        <v>1184</v>
      </c>
      <c r="C80" s="1653" t="s">
        <v>784</v>
      </c>
      <c r="D80" s="1504" t="s">
        <v>2134</v>
      </c>
      <c r="E80" s="83">
        <v>45562.431944444441</v>
      </c>
      <c r="F80" s="83">
        <v>45562.465277777781</v>
      </c>
      <c r="G80" s="83"/>
      <c r="H80" s="83"/>
      <c r="I80" s="593"/>
      <c r="J80" s="1504">
        <f>E80+TIME(8,0,0)</f>
        <v>45562.765277777777</v>
      </c>
      <c r="K80" s="660" t="str">
        <f>IF($M$80-J80&lt;0, "-" &amp; TEXT(ABS($M$80-J80),"[hh]:mm:ss"), TEXT($M$80-J80,"[hh]:mm:ss"))</f>
        <v>00:08:00</v>
      </c>
      <c r="L80" s="1585">
        <v>45562.770833333336</v>
      </c>
      <c r="M80" s="1590">
        <v>45562.770833333336</v>
      </c>
    </row>
    <row r="81" spans="1:13" ht="20.399999999999999" thickTop="1" thickBot="1" x14ac:dyDescent="0.5">
      <c r="A81" s="1583"/>
      <c r="B81" s="1608"/>
      <c r="C81" s="1698"/>
      <c r="D81" s="1481" t="s">
        <v>2144</v>
      </c>
      <c r="E81" s="1514">
        <v>45562.431944444441</v>
      </c>
      <c r="F81" s="1514">
        <v>45562.470138888886</v>
      </c>
      <c r="G81" s="1514"/>
      <c r="H81" s="1514"/>
      <c r="I81" s="656"/>
      <c r="J81" s="1481">
        <f>E81+TIME(8,0,0)</f>
        <v>45562.765277777777</v>
      </c>
      <c r="K81" s="1534" t="str">
        <f>IF($M$80-J81&lt;0, "-" &amp; TEXT(ABS($M$80-J81),"[hh]:mm:ss"), TEXT($M$80-J81,"[hh]:mm:ss"))</f>
        <v>00:08:00</v>
      </c>
      <c r="L81" s="1583"/>
      <c r="M81" s="1624"/>
    </row>
    <row r="82" spans="1:13" s="104" customFormat="1" ht="20.399999999999999" thickTop="1" thickBot="1" x14ac:dyDescent="0.5">
      <c r="A82" s="1707" t="s">
        <v>1290</v>
      </c>
      <c r="B82" s="1608" t="s">
        <v>9</v>
      </c>
      <c r="C82" s="1485" t="s">
        <v>784</v>
      </c>
      <c r="D82" s="1504" t="s">
        <v>1637</v>
      </c>
      <c r="E82" s="83">
        <v>45372.22152777778</v>
      </c>
      <c r="F82" s="83">
        <v>45372.244444444441</v>
      </c>
      <c r="G82" s="83"/>
      <c r="H82" s="83"/>
      <c r="I82" s="593"/>
      <c r="J82" s="1504">
        <f t="shared" si="27"/>
        <v>45372.554861111115</v>
      </c>
      <c r="K82" s="660" t="str">
        <f>IF($M$82-J82&lt;0, "-" &amp; TEXT(ABS($M$82-J82),"[hh]:mm:ss"), TEXT($M$82-J82,"[hh]:mm:ss"))</f>
        <v>00:08:00</v>
      </c>
      <c r="L82" s="1585">
        <v>45372.5625</v>
      </c>
      <c r="M82" s="1590">
        <v>45372.560416666667</v>
      </c>
    </row>
    <row r="83" spans="1:13" s="104" customFormat="1" ht="20.399999999999999" thickTop="1" thickBot="1" x14ac:dyDescent="0.5">
      <c r="A83" s="1583"/>
      <c r="B83" s="1608"/>
      <c r="C83" s="637" t="s">
        <v>3265</v>
      </c>
      <c r="D83" s="1481" t="s">
        <v>1638</v>
      </c>
      <c r="E83" s="1514">
        <v>45372.222222222219</v>
      </c>
      <c r="F83" s="1514">
        <v>45372.247916666667</v>
      </c>
      <c r="G83" s="1514"/>
      <c r="H83" s="1514"/>
      <c r="I83" s="656"/>
      <c r="J83" s="1481">
        <f t="shared" si="27"/>
        <v>45372.555555555555</v>
      </c>
      <c r="K83" s="660" t="str">
        <f>IF($M$82-J83&lt;0, "-" &amp; TEXT(ABS($M$82-J83),"[hh]:mm:ss"), TEXT($M$82-J83,"[hh]:mm:ss"))</f>
        <v>00:07:00</v>
      </c>
      <c r="L83" s="1583"/>
      <c r="M83" s="1624"/>
    </row>
    <row r="84" spans="1:13" s="104" customFormat="1" ht="19.8" thickTop="1" x14ac:dyDescent="0.45">
      <c r="A84" s="1710" t="s">
        <v>1290</v>
      </c>
      <c r="B84" s="1607" t="s">
        <v>1184</v>
      </c>
      <c r="C84" s="1531" t="s">
        <v>784</v>
      </c>
      <c r="D84" s="587" t="s">
        <v>2498</v>
      </c>
      <c r="E84" s="1504">
        <v>45638.297222222223</v>
      </c>
      <c r="F84" s="1504">
        <v>45638.414583333331</v>
      </c>
      <c r="G84" s="1504"/>
      <c r="H84" s="1504"/>
      <c r="I84" s="594"/>
      <c r="J84" s="1504">
        <f t="shared" si="27"/>
        <v>45638.630555555559</v>
      </c>
      <c r="K84" s="659" t="str">
        <f>IF($M$84-J84&lt;0, "-" &amp; TEXT(ABS($M$84-J84),"[hh]:mm:ss"), TEXT($M$84-J84,"[hh]:mm:ss"))</f>
        <v>00:09:00</v>
      </c>
      <c r="L84" s="1587">
        <v>45638.638888888891</v>
      </c>
      <c r="M84" s="1588">
        <v>45638.636805555558</v>
      </c>
    </row>
    <row r="85" spans="1:13" s="104" customFormat="1" x14ac:dyDescent="0.45">
      <c r="A85" s="1666"/>
      <c r="B85" s="1615"/>
      <c r="C85" s="1613" t="s">
        <v>797</v>
      </c>
      <c r="D85" s="319" t="s">
        <v>2499</v>
      </c>
      <c r="E85" s="1530">
        <v>45638.300694444442</v>
      </c>
      <c r="F85" s="1530">
        <v>45638.423611111109</v>
      </c>
      <c r="G85" s="1530"/>
      <c r="H85" s="1530"/>
      <c r="I85" s="596"/>
      <c r="J85" s="1530">
        <f t="shared" si="27"/>
        <v>45638.634027777778</v>
      </c>
      <c r="K85" s="663" t="str">
        <f t="shared" ref="K85:K86" si="29">IF($M$84-J85&lt;0, "-" &amp; TEXT(ABS($M$84-J85),"[hh]:mm:ss"), TEXT($M$84-J85,"[hh]:mm:ss"))</f>
        <v>00:04:00</v>
      </c>
      <c r="L85" s="1591"/>
      <c r="M85" s="1589"/>
    </row>
    <row r="86" spans="1:13" s="104" customFormat="1" ht="19.8" thickBot="1" x14ac:dyDescent="0.5">
      <c r="A86" s="1660"/>
      <c r="B86" s="1608"/>
      <c r="C86" s="1612"/>
      <c r="D86" s="86" t="s">
        <v>2483</v>
      </c>
      <c r="E86" s="1481">
        <v>45638.166666666664</v>
      </c>
      <c r="F86" s="1481">
        <v>45638.416666666664</v>
      </c>
      <c r="G86" s="1481"/>
      <c r="H86" s="1481"/>
      <c r="I86" s="656"/>
      <c r="J86" s="1481">
        <f t="shared" si="27"/>
        <v>45638.5</v>
      </c>
      <c r="K86" s="1534" t="str">
        <f t="shared" si="29"/>
        <v>03:17:00</v>
      </c>
      <c r="L86" s="1585"/>
      <c r="M86" s="1590"/>
    </row>
    <row r="87" spans="1:13" s="104" customFormat="1" ht="20.399999999999999" thickTop="1" thickBot="1" x14ac:dyDescent="0.5">
      <c r="A87" s="1488" t="s">
        <v>83</v>
      </c>
      <c r="B87" s="1479" t="s">
        <v>9</v>
      </c>
      <c r="C87" s="1524" t="s">
        <v>784</v>
      </c>
      <c r="D87" s="78" t="s">
        <v>2560</v>
      </c>
      <c r="E87" s="79">
        <v>45674.165972222225</v>
      </c>
      <c r="F87" s="79">
        <v>45674.181250000001</v>
      </c>
      <c r="G87" s="79"/>
      <c r="H87" s="79"/>
      <c r="I87" s="592"/>
      <c r="J87" s="1472">
        <f t="shared" ref="J87:J88" si="30">E87+TIME(8,0,0)</f>
        <v>45674.499305555561</v>
      </c>
      <c r="K87" s="662" t="str">
        <f>IF($M$87-J87&lt;0, "-" &amp; TEXT(ABS($M$87-J87),"[hh]:mm:ss"), TEXT($M$87-J87,"[hh]:mm:ss"))</f>
        <v>00:08:00</v>
      </c>
      <c r="L87" s="79">
        <v>45674.505555555559</v>
      </c>
      <c r="M87" s="1471">
        <v>45674.504861111112</v>
      </c>
    </row>
    <row r="88" spans="1:13" s="104" customFormat="1" ht="20.399999999999999" thickTop="1" thickBot="1" x14ac:dyDescent="0.5">
      <c r="A88" s="1488" t="s">
        <v>979</v>
      </c>
      <c r="B88" s="1479" t="s">
        <v>9</v>
      </c>
      <c r="C88" s="1524" t="s">
        <v>784</v>
      </c>
      <c r="D88" s="78" t="s">
        <v>2671</v>
      </c>
      <c r="E88" s="79">
        <v>45731.168749999997</v>
      </c>
      <c r="F88" s="79">
        <v>45731.18472222222</v>
      </c>
      <c r="G88" s="79"/>
      <c r="H88" s="79"/>
      <c r="I88" s="592"/>
      <c r="J88" s="1472">
        <f t="shared" si="30"/>
        <v>45731.502083333333</v>
      </c>
      <c r="K88" s="662" t="str">
        <f>IF($M$88-J88&lt;0, "-" &amp; TEXT(ABS($M$88-J88),"[hh]:mm:ss"), TEXT($M$88-J88,"[hh]:mm:ss"))</f>
        <v>00:08:00</v>
      </c>
      <c r="L88" s="79">
        <v>45731.508333333331</v>
      </c>
      <c r="M88" s="1471">
        <v>45731.507638888892</v>
      </c>
    </row>
    <row r="89" spans="1:13" s="104" customFormat="1" ht="20.399999999999999" thickTop="1" thickBot="1" x14ac:dyDescent="0.5">
      <c r="A89" s="481" t="s">
        <v>979</v>
      </c>
      <c r="B89" s="1479" t="s">
        <v>9</v>
      </c>
      <c r="C89" s="1524" t="s">
        <v>784</v>
      </c>
      <c r="D89" s="1472" t="s">
        <v>2722</v>
      </c>
      <c r="E89" s="1472">
        <v>45748.161111111112</v>
      </c>
      <c r="F89" s="1472">
        <v>45748.186805555553</v>
      </c>
      <c r="G89" s="1472"/>
      <c r="H89" s="1472"/>
      <c r="I89" s="592"/>
      <c r="J89" s="1472">
        <f>E89+TIME(8,0,0)</f>
        <v>45748.494444444448</v>
      </c>
      <c r="K89" s="662" t="str">
        <f>IF($M$89-J89&lt;0, "-" &amp; TEXT(ABS($M$89-J89),"[hh]:mm:ss"), TEXT($M$89-J89,"[hh]:mm:ss"))</f>
        <v>00:08:00</v>
      </c>
      <c r="L89" s="1472">
        <v>45748.5</v>
      </c>
      <c r="M89" s="1471">
        <v>45748.5</v>
      </c>
    </row>
    <row r="90" spans="1:13" s="104" customFormat="1" ht="20.399999999999999" thickTop="1" thickBot="1" x14ac:dyDescent="0.5">
      <c r="A90" s="481" t="s">
        <v>979</v>
      </c>
      <c r="B90" s="1479" t="s">
        <v>9</v>
      </c>
      <c r="C90" s="1524" t="s">
        <v>784</v>
      </c>
      <c r="D90" s="1472" t="s">
        <v>2806</v>
      </c>
      <c r="E90" s="1472">
        <v>45791.168749999997</v>
      </c>
      <c r="F90" s="1472">
        <v>45791.222916666666</v>
      </c>
      <c r="G90" s="1472"/>
      <c r="H90" s="1472"/>
      <c r="I90" s="592"/>
      <c r="J90" s="1472">
        <f>E90+TIME(8,0,0)</f>
        <v>45791.502083333333</v>
      </c>
      <c r="K90" s="662" t="str">
        <f>IF($M$90-J90&lt;0, "-" &amp; TEXT(ABS($M$90-J90),"[hh]:mm:ss"), TEXT($M$90-J90,"[hh]:mm:ss"))</f>
        <v>00:09:00</v>
      </c>
      <c r="L90" s="1472">
        <v>45791.507638888892</v>
      </c>
      <c r="M90" s="1471">
        <v>45791.508333333331</v>
      </c>
    </row>
    <row r="91" spans="1:13" s="104" customFormat="1" ht="20.399999999999999" thickTop="1" thickBot="1" x14ac:dyDescent="0.5">
      <c r="A91" s="481" t="s">
        <v>979</v>
      </c>
      <c r="B91" s="1479" t="s">
        <v>9</v>
      </c>
      <c r="C91" s="1524" t="s">
        <v>784</v>
      </c>
      <c r="D91" s="1472" t="s">
        <v>2862</v>
      </c>
      <c r="E91" s="1472">
        <v>45822.324999999997</v>
      </c>
      <c r="F91" s="1472">
        <v>45822.348611111112</v>
      </c>
      <c r="G91" s="1472"/>
      <c r="H91" s="1472"/>
      <c r="I91" s="592"/>
      <c r="J91" s="1472">
        <f>E91+TIME(8,0,0)</f>
        <v>45822.658333333333</v>
      </c>
      <c r="K91" s="662" t="str">
        <f>IF($M$91-J91&lt;0, "-" &amp; TEXT(ABS($M$91-J91),"[hh]:mm:ss"), TEXT($M$91-J91,"[hh]:mm:ss"))</f>
        <v>00:08:00</v>
      </c>
      <c r="L91" s="1472">
        <v>45822.664583333331</v>
      </c>
      <c r="M91" s="1471">
        <v>45822.663888888892</v>
      </c>
    </row>
    <row r="92" spans="1:13" s="104" customFormat="1" ht="20.399999999999999" collapsed="1" thickTop="1" thickBot="1" x14ac:dyDescent="0.5">
      <c r="A92" s="481" t="s">
        <v>979</v>
      </c>
      <c r="B92" s="1479" t="s">
        <v>9</v>
      </c>
      <c r="C92" s="1524" t="s">
        <v>784</v>
      </c>
      <c r="D92" s="1472" t="s">
        <v>3043</v>
      </c>
      <c r="E92" s="1472">
        <v>45943.409722222219</v>
      </c>
      <c r="F92" s="1472">
        <v>45943.434027777781</v>
      </c>
      <c r="G92" s="1472"/>
      <c r="H92" s="1472"/>
      <c r="I92" s="592"/>
      <c r="J92" s="1472">
        <f>E92+TIME(8,0,0)</f>
        <v>45943.743055555555</v>
      </c>
      <c r="K92" s="662" t="str">
        <f>IF($M$92-J92&lt;0, "-" &amp; TEXT(ABS($M$92-J92),"[hh]:mm:ss"), TEXT($M$92-J92,"[hh]:mm:ss"))</f>
        <v>00:10:00</v>
      </c>
      <c r="L92" s="1472">
        <v>45943.748611111114</v>
      </c>
      <c r="M92" s="1471">
        <v>45943.75</v>
      </c>
    </row>
    <row r="93" spans="1:13" s="104" customFormat="1" ht="20.399999999999999" collapsed="1" thickTop="1" thickBot="1" x14ac:dyDescent="0.5">
      <c r="A93" s="1160" t="s">
        <v>979</v>
      </c>
      <c r="B93" s="1517" t="s">
        <v>9</v>
      </c>
      <c r="C93" s="1161" t="s">
        <v>784</v>
      </c>
      <c r="D93" s="1509"/>
      <c r="E93" s="1509"/>
      <c r="F93" s="1509"/>
      <c r="G93" s="1509"/>
      <c r="H93" s="1509"/>
      <c r="I93" s="1158"/>
      <c r="J93" s="1509">
        <f>E93+TIME(8,0,0)</f>
        <v>0.33333333333333331</v>
      </c>
      <c r="K93" s="1159" t="str">
        <f>IF($M$93-J93&lt;0, "-" &amp; TEXT(ABS($M$93-J93),"[hh]:mm:ss"), TEXT($M$93-J93,"[hh]:mm:ss"))</f>
        <v>-08:00:00</v>
      </c>
      <c r="L93" s="1509"/>
      <c r="M93" s="1532"/>
    </row>
    <row r="94" spans="1:13" s="85" customFormat="1" ht="20.399999999999999" thickTop="1" thickBot="1" x14ac:dyDescent="0.5">
      <c r="A94" s="314"/>
      <c r="B94" s="314"/>
      <c r="C94" s="635"/>
      <c r="D94" s="90"/>
      <c r="E94" s="90"/>
      <c r="F94" s="90"/>
      <c r="G94" s="90"/>
      <c r="H94" s="90"/>
      <c r="I94" s="599"/>
      <c r="J94" s="90"/>
      <c r="K94" s="666"/>
      <c r="L94" s="314"/>
      <c r="M94" s="623"/>
    </row>
    <row r="95" spans="1:13" ht="20.399999999999999" thickTop="1" thickBot="1" x14ac:dyDescent="0.5">
      <c r="A95" s="1582" t="s">
        <v>83</v>
      </c>
      <c r="B95" s="1621" t="s">
        <v>52</v>
      </c>
      <c r="C95" s="1653" t="s">
        <v>780</v>
      </c>
      <c r="D95" s="1587"/>
      <c r="E95" s="83">
        <v>44735.09097222222</v>
      </c>
      <c r="F95" s="83">
        <v>44735.104861111111</v>
      </c>
      <c r="G95" s="83"/>
      <c r="H95" s="83"/>
      <c r="I95" s="593"/>
      <c r="J95" s="1504">
        <v>44735.424305555556</v>
      </c>
      <c r="K95" s="660" t="str">
        <f>IF($M$95-J95&lt;0, "-" &amp; TEXT(ABS($M$95-J95),"[hh]:mm:ss"), TEXT($M$95-J95,"[hh]:mm:ss"))</f>
        <v>00:11:00</v>
      </c>
      <c r="L95" s="1640">
        <v>0</v>
      </c>
      <c r="M95" s="1609">
        <v>44735.431944444441</v>
      </c>
    </row>
    <row r="96" spans="1:13" ht="20.399999999999999" thickTop="1" thickBot="1" x14ac:dyDescent="0.5">
      <c r="A96" s="1586"/>
      <c r="B96" s="1639"/>
      <c r="C96" s="1654"/>
      <c r="D96" s="1585"/>
      <c r="E96" s="1514">
        <v>44735.092361111114</v>
      </c>
      <c r="F96" s="1514">
        <v>44735.106944444444</v>
      </c>
      <c r="G96" s="1514"/>
      <c r="H96" s="1514"/>
      <c r="I96" s="595"/>
      <c r="J96" s="1514">
        <v>44735.425694444442</v>
      </c>
      <c r="K96" s="661" t="str">
        <f>IF($M$95-J96&lt;0, "-" &amp; TEXT(ABS($M$95-J96),"[hh]:mm:ss"), TEXT($M$95-J96,"[hh]:mm:ss"))</f>
        <v>00:09:00</v>
      </c>
      <c r="L96" s="1586"/>
      <c r="M96" s="1610"/>
    </row>
    <row r="97" spans="1:13" ht="20.399999999999999" thickTop="1" thickBot="1" x14ac:dyDescent="0.5">
      <c r="A97" s="1582" t="s">
        <v>83</v>
      </c>
      <c r="B97" s="1621" t="s">
        <v>52</v>
      </c>
      <c r="C97" s="1693" t="s">
        <v>780</v>
      </c>
      <c r="D97" s="1587"/>
      <c r="E97" s="83">
        <v>44792.726388888892</v>
      </c>
      <c r="F97" s="83">
        <v>44792.740277777775</v>
      </c>
      <c r="G97" s="83"/>
      <c r="H97" s="83"/>
      <c r="I97" s="593"/>
      <c r="J97" s="1504">
        <v>44793.05972222222</v>
      </c>
      <c r="K97" s="660" t="str">
        <f>IF($M$97-J97&lt;0, "-" &amp; TEXT(ABS($M$97-J97),"[hh]:mm:ss"), TEXT($M$97-J97,"[hh]:mm:ss"))</f>
        <v>00:11:00</v>
      </c>
      <c r="L97" s="1640">
        <v>44793.0625</v>
      </c>
      <c r="M97" s="1609">
        <v>44793.067361111112</v>
      </c>
    </row>
    <row r="98" spans="1:13" ht="20.399999999999999" thickTop="1" thickBot="1" x14ac:dyDescent="0.5">
      <c r="A98" s="1586"/>
      <c r="B98" s="1639"/>
      <c r="C98" s="1654"/>
      <c r="D98" s="1585"/>
      <c r="E98" s="1514">
        <v>44792.727777777778</v>
      </c>
      <c r="F98" s="1514">
        <v>44792.743750000001</v>
      </c>
      <c r="G98" s="1514"/>
      <c r="H98" s="1514"/>
      <c r="I98" s="595"/>
      <c r="J98" s="1514">
        <v>44793.061111111114</v>
      </c>
      <c r="K98" s="661" t="str">
        <f>IF($M$97-J98&lt;0, "-" &amp; TEXT(ABS($M$97-J98),"[hh]:mm:ss"), TEXT($M$97-J98,"[hh]:mm:ss"))</f>
        <v>00:09:00</v>
      </c>
      <c r="L98" s="1586"/>
      <c r="M98" s="1610"/>
    </row>
    <row r="99" spans="1:13" ht="20.399999999999999" thickTop="1" thickBot="1" x14ac:dyDescent="0.5">
      <c r="A99" s="1582" t="s">
        <v>83</v>
      </c>
      <c r="B99" s="1621" t="s">
        <v>52</v>
      </c>
      <c r="C99" s="1653" t="s">
        <v>798</v>
      </c>
      <c r="D99" s="1587"/>
      <c r="E99" s="83">
        <v>44810.17291666667</v>
      </c>
      <c r="F99" s="83">
        <v>44810.186805555553</v>
      </c>
      <c r="G99" s="83"/>
      <c r="H99" s="83"/>
      <c r="I99" s="593"/>
      <c r="J99" s="1504">
        <v>44810.506249999999</v>
      </c>
      <c r="K99" s="660" t="str">
        <f>IF($M$99-J99&lt;0, "-" &amp; TEXT(ABS($M$99-J99),"[hh]:mm:ss"), TEXT($M$99-J99,"[hh]:mm:ss"))</f>
        <v>00:10:00</v>
      </c>
      <c r="L99" s="1640">
        <v>44810.510416666664</v>
      </c>
      <c r="M99" s="1609">
        <v>44810.513194444444</v>
      </c>
    </row>
    <row r="100" spans="1:13" ht="20.399999999999999" thickTop="1" thickBot="1" x14ac:dyDescent="0.5">
      <c r="A100" s="1586"/>
      <c r="B100" s="1639"/>
      <c r="C100" s="1654"/>
      <c r="D100" s="1585"/>
      <c r="E100" s="1514">
        <v>44810.174305555556</v>
      </c>
      <c r="F100" s="1514">
        <v>44810.19027777778</v>
      </c>
      <c r="G100" s="1514"/>
      <c r="H100" s="1514"/>
      <c r="I100" s="595"/>
      <c r="J100" s="1497">
        <v>44810.507638888892</v>
      </c>
      <c r="K100" s="661" t="str">
        <f>IF($M$99-J100&lt;0, "-" &amp; TEXT(ABS($M$99-J100),"[hh]:mm:ss"), TEXT($M$99-J100,"[hh]:mm:ss"))</f>
        <v>00:08:00</v>
      </c>
      <c r="L100" s="1586"/>
      <c r="M100" s="1610"/>
    </row>
    <row r="101" spans="1:13" ht="20.399999999999999" thickTop="1" thickBot="1" x14ac:dyDescent="0.5">
      <c r="A101" s="1582" t="s">
        <v>83</v>
      </c>
      <c r="B101" s="1621" t="s">
        <v>52</v>
      </c>
      <c r="C101" s="1653" t="s">
        <v>780</v>
      </c>
      <c r="D101" s="1587"/>
      <c r="E101" s="83">
        <v>44830.5625</v>
      </c>
      <c r="F101" s="1504">
        <v>44830.574999999997</v>
      </c>
      <c r="G101" s="83"/>
      <c r="H101" s="83"/>
      <c r="I101" s="593"/>
      <c r="J101" s="1504">
        <f>E101+TIME(8,0,0)</f>
        <v>44830.895833333336</v>
      </c>
      <c r="K101" s="660" t="str">
        <f>IF($M$101-J101&lt;0, "-" &amp; TEXT(ABS($M$101-J101),"[hh]:mm:ss"), TEXT($M$101-J101,"[hh]:mm:ss"))</f>
        <v>00:08:00</v>
      </c>
      <c r="L101" s="1640">
        <v>44830.902777777781</v>
      </c>
      <c r="M101" s="1609">
        <v>44830.901388888888</v>
      </c>
    </row>
    <row r="102" spans="1:13" ht="20.399999999999999" thickTop="1" thickBot="1" x14ac:dyDescent="0.5">
      <c r="A102" s="1586"/>
      <c r="B102" s="1639"/>
      <c r="C102" s="1654"/>
      <c r="D102" s="1585"/>
      <c r="E102" s="1514">
        <v>44830.568055555559</v>
      </c>
      <c r="F102" s="1514">
        <v>44830.578472222223</v>
      </c>
      <c r="G102" s="1514"/>
      <c r="H102" s="1514"/>
      <c r="I102" s="595"/>
      <c r="J102" s="1514">
        <f>E102+TIME(8,0,0)</f>
        <v>44830.901388888895</v>
      </c>
      <c r="K102" s="661" t="str">
        <f>IF($M$101-J102&lt;0, "-" &amp; TEXT(ABS($M$101-J102),"[hh]:mm:ss"), TEXT($M$101-J102,"[hh]:mm:ss"))</f>
        <v>-00:00:00</v>
      </c>
      <c r="L102" s="1586"/>
      <c r="M102" s="1610"/>
    </row>
    <row r="103" spans="1:13" ht="20.399999999999999" thickTop="1" thickBot="1" x14ac:dyDescent="0.5">
      <c r="A103" s="1582" t="s">
        <v>83</v>
      </c>
      <c r="B103" s="1621" t="s">
        <v>52</v>
      </c>
      <c r="C103" s="1653" t="s">
        <v>780</v>
      </c>
      <c r="D103" s="1587"/>
      <c r="E103" s="83">
        <v>44848.793055555558</v>
      </c>
      <c r="F103" s="83">
        <v>44848.806944444441</v>
      </c>
      <c r="G103" s="83"/>
      <c r="H103" s="83"/>
      <c r="I103" s="593"/>
      <c r="J103" s="1504">
        <v>44849.126388888886</v>
      </c>
      <c r="K103" s="660" t="str">
        <f>IF($M$103-J103&lt;0, "-" &amp; TEXT(ABS($M$103-J103),"[hh]:mm:ss"), TEXT($M$103-J103,"[hh]:mm:ss"))</f>
        <v>00:10:00</v>
      </c>
      <c r="L103" s="1640">
        <v>44849.131944444445</v>
      </c>
      <c r="M103" s="1609">
        <v>44849.133333333331</v>
      </c>
    </row>
    <row r="104" spans="1:13" ht="20.399999999999999" thickTop="1" thickBot="1" x14ac:dyDescent="0.5">
      <c r="A104" s="1586"/>
      <c r="B104" s="1639"/>
      <c r="C104" s="1654"/>
      <c r="D104" s="1585"/>
      <c r="E104" s="1514">
        <v>44848.794444444444</v>
      </c>
      <c r="F104" s="1514">
        <v>44848.810416666667</v>
      </c>
      <c r="G104" s="1514"/>
      <c r="H104" s="1514"/>
      <c r="I104" s="595"/>
      <c r="J104" s="1514">
        <v>44849.12777777778</v>
      </c>
      <c r="K104" s="661" t="str">
        <f>IF($M$103-J104&lt;0, "-" &amp; TEXT(ABS($M$103-J104),"[hh]:mm:ss"), TEXT($M$103-J104,"[hh]:mm:ss"))</f>
        <v>00:08:00</v>
      </c>
      <c r="L104" s="1586"/>
      <c r="M104" s="1610"/>
    </row>
    <row r="105" spans="1:13" ht="20.399999999999999" thickTop="1" thickBot="1" x14ac:dyDescent="0.5">
      <c r="A105" s="1582" t="s">
        <v>83</v>
      </c>
      <c r="B105" s="1621" t="s">
        <v>52</v>
      </c>
      <c r="C105" s="1653" t="s">
        <v>780</v>
      </c>
      <c r="D105" s="1587"/>
      <c r="E105" s="83">
        <v>44892.506944444445</v>
      </c>
      <c r="F105" s="83">
        <v>44892.524305555555</v>
      </c>
      <c r="G105" s="83"/>
      <c r="H105" s="83"/>
      <c r="I105" s="593"/>
      <c r="J105" s="1504">
        <v>44892.840277777781</v>
      </c>
      <c r="K105" s="660" t="str">
        <f>IF($M$105-J105&lt;0, "-" &amp; TEXT(ABS($M$105-J105),"[hh]:mm:ss"), TEXT($M$105-J105,"[hh]:mm:ss"))</f>
        <v>00:13:00</v>
      </c>
      <c r="L105" s="1585">
        <v>44892.847222222219</v>
      </c>
      <c r="M105" s="1590">
        <v>44892.849305555559</v>
      </c>
    </row>
    <row r="106" spans="1:13" ht="20.399999999999999" thickTop="1" thickBot="1" x14ac:dyDescent="0.5">
      <c r="A106" s="1586"/>
      <c r="B106" s="1639"/>
      <c r="C106" s="1654"/>
      <c r="D106" s="1585"/>
      <c r="E106" s="1514">
        <v>44892.508333333331</v>
      </c>
      <c r="F106" s="1514">
        <v>44892.526388888888</v>
      </c>
      <c r="G106" s="1514"/>
      <c r="H106" s="1514"/>
      <c r="I106" s="595"/>
      <c r="J106" s="1514">
        <v>44892.841666666667</v>
      </c>
      <c r="K106" s="661" t="str">
        <f>IF($M$105-J106&lt;0, "-" &amp; TEXT(ABS($M$105-J106),"[hh]:mm:ss"), TEXT($M$105-J106,"[hh]:mm:ss"))</f>
        <v>00:11:00</v>
      </c>
      <c r="L106" s="1586"/>
      <c r="M106" s="1610"/>
    </row>
    <row r="107" spans="1:13" ht="20.399999999999999" thickTop="1" thickBot="1" x14ac:dyDescent="0.5">
      <c r="A107" s="1583" t="s">
        <v>83</v>
      </c>
      <c r="B107" s="1608" t="s">
        <v>52</v>
      </c>
      <c r="C107" s="1612" t="s">
        <v>780</v>
      </c>
      <c r="D107" s="1587"/>
      <c r="E107" s="83">
        <v>44909.760416666664</v>
      </c>
      <c r="F107" s="83">
        <v>44909.774305555555</v>
      </c>
      <c r="G107" s="83"/>
      <c r="H107" s="83"/>
      <c r="I107" s="593"/>
      <c r="J107" s="1504">
        <v>44910.09375</v>
      </c>
      <c r="K107" s="660" t="str">
        <f>IF($M$107-J107&lt;0, "-" &amp; TEXT(ABS($M$107-J107),"[hh]:mm:ss"), TEXT($M$107-J107,"[hh]:mm:ss"))</f>
        <v>00:10:00</v>
      </c>
      <c r="L107" s="1585">
        <v>44910.099305555559</v>
      </c>
      <c r="M107" s="1590">
        <v>44910.100694444445</v>
      </c>
    </row>
    <row r="108" spans="1:13" ht="20.399999999999999" thickTop="1" thickBot="1" x14ac:dyDescent="0.5">
      <c r="A108" s="1586"/>
      <c r="B108" s="1639"/>
      <c r="C108" s="1654"/>
      <c r="D108" s="1585"/>
      <c r="E108" s="1514">
        <v>44909.761805555558</v>
      </c>
      <c r="F108" s="1514">
        <v>44909.776388888888</v>
      </c>
      <c r="G108" s="1514"/>
      <c r="H108" s="1514"/>
      <c r="I108" s="595"/>
      <c r="J108" s="1514">
        <v>44910.095138888886</v>
      </c>
      <c r="K108" s="661" t="str">
        <f>IF($M$107-J108&lt;0, "-" &amp; TEXT(ABS($M$107-J108),"[hh]:mm:ss"), TEXT($M$107-J108,"[hh]:mm:ss"))</f>
        <v>00:08:00</v>
      </c>
      <c r="L108" s="1586"/>
      <c r="M108" s="1610"/>
    </row>
    <row r="109" spans="1:13" s="85" customFormat="1" ht="20.399999999999999" thickTop="1" thickBot="1" x14ac:dyDescent="0.5">
      <c r="A109" s="1583" t="s">
        <v>979</v>
      </c>
      <c r="B109" s="1608" t="s">
        <v>52</v>
      </c>
      <c r="C109" s="1611" t="s">
        <v>780</v>
      </c>
      <c r="D109" s="1504" t="s">
        <v>1417</v>
      </c>
      <c r="E109" s="83">
        <v>45133.827777777777</v>
      </c>
      <c r="F109" s="83">
        <v>45133.842361111114</v>
      </c>
      <c r="G109" s="83"/>
      <c r="H109" s="83"/>
      <c r="I109" s="593"/>
      <c r="J109" s="1504">
        <v>45134.161111111112</v>
      </c>
      <c r="K109" s="660" t="str">
        <f>IF($M$109-J109&lt;0, "-" &amp; TEXT(ABS($M$109-J109),"[hh]:mm:ss"), TEXT($M$109-J109,"[hh]:mm:ss"))</f>
        <v>00:10:00</v>
      </c>
      <c r="L109" s="1585">
        <v>45134.168055555558</v>
      </c>
      <c r="M109" s="1590">
        <v>45134.168055555558</v>
      </c>
    </row>
    <row r="110" spans="1:13" ht="20.399999999999999" thickTop="1" thickBot="1" x14ac:dyDescent="0.5">
      <c r="A110" s="1583"/>
      <c r="B110" s="1608"/>
      <c r="C110" s="1612"/>
      <c r="D110" s="86" t="s">
        <v>1038</v>
      </c>
      <c r="E110" s="1514">
        <v>45133.82916666667</v>
      </c>
      <c r="F110" s="1514">
        <v>45133.845138888886</v>
      </c>
      <c r="G110" s="1514"/>
      <c r="H110" s="1514"/>
      <c r="I110" s="595"/>
      <c r="J110" s="1514">
        <v>45134.162499999999</v>
      </c>
      <c r="K110" s="660" t="str">
        <f>IF($M$109-J110&lt;0, "-" &amp; TEXT(ABS($M$109-J110),"[hh]:mm:ss"), TEXT($M$109-J110,"[hh]:mm:ss"))</f>
        <v>00:08:00</v>
      </c>
      <c r="L110" s="1583"/>
      <c r="M110" s="1624"/>
    </row>
    <row r="111" spans="1:13" ht="20.399999999999999" thickTop="1" thickBot="1" x14ac:dyDescent="0.5">
      <c r="A111" s="1470" t="s">
        <v>979</v>
      </c>
      <c r="B111" s="1480" t="s">
        <v>52</v>
      </c>
      <c r="C111" s="1491" t="s">
        <v>780</v>
      </c>
      <c r="D111" s="1504" t="s">
        <v>1418</v>
      </c>
      <c r="E111" s="1472">
        <v>45169.311111111114</v>
      </c>
      <c r="F111" s="1472">
        <v>45169.326388888891</v>
      </c>
      <c r="G111" s="1472"/>
      <c r="H111" s="1472"/>
      <c r="I111" s="592"/>
      <c r="J111" s="1472">
        <f t="shared" ref="J111:J126" si="31">E111+TIME(8,0,0)</f>
        <v>45169.64444444445</v>
      </c>
      <c r="K111" s="662" t="str">
        <f>IF($M$111-J111&lt;0, "-" &amp; TEXT(ABS($M$111-J111),"[hh]:mm:ss"), TEXT($M$111-J111,"[hh]:mm:ss"))</f>
        <v>00:08:00</v>
      </c>
      <c r="L111" s="1481">
        <v>45169.65</v>
      </c>
      <c r="M111" s="1482">
        <v>45169.65</v>
      </c>
    </row>
    <row r="112" spans="1:13" s="104" customFormat="1" ht="20.399999999999999" thickTop="1" thickBot="1" x14ac:dyDescent="0.5">
      <c r="A112" s="1470" t="s">
        <v>979</v>
      </c>
      <c r="B112" s="1480" t="s">
        <v>52</v>
      </c>
      <c r="C112" s="1491" t="s">
        <v>780</v>
      </c>
      <c r="D112" s="1504" t="s">
        <v>1224</v>
      </c>
      <c r="E112" s="1472">
        <v>45186.170138888891</v>
      </c>
      <c r="F112" s="1472">
        <v>45186.185416666667</v>
      </c>
      <c r="G112" s="1472"/>
      <c r="H112" s="1472"/>
      <c r="I112" s="592"/>
      <c r="J112" s="1472">
        <f t="shared" si="31"/>
        <v>45186.503472222226</v>
      </c>
      <c r="K112" s="662" t="str">
        <f>IF($M$112-J112&lt;0, "-" &amp; TEXT(ABS($M$112-J112),"[hh]:mm:ss"), TEXT($M$112-J112,"[hh]:mm:ss"))</f>
        <v>00:08:00</v>
      </c>
      <c r="L112" s="1481">
        <v>45186.509027777778</v>
      </c>
      <c r="M112" s="1482">
        <v>45186.509027777778</v>
      </c>
    </row>
    <row r="113" spans="1:13" s="85" customFormat="1" ht="20.399999999999999" thickTop="1" thickBot="1" x14ac:dyDescent="0.5">
      <c r="A113" s="1583" t="s">
        <v>979</v>
      </c>
      <c r="B113" s="1608" t="s">
        <v>52</v>
      </c>
      <c r="C113" s="1611" t="s">
        <v>780</v>
      </c>
      <c r="D113" s="1504" t="s">
        <v>1234</v>
      </c>
      <c r="E113" s="1497">
        <v>45204.009722222225</v>
      </c>
      <c r="F113" s="1497">
        <v>45204.023611111108</v>
      </c>
      <c r="G113" s="1497"/>
      <c r="H113" s="1497"/>
      <c r="I113" s="593"/>
      <c r="J113" s="1497">
        <f t="shared" si="31"/>
        <v>45204.343055555561</v>
      </c>
      <c r="K113" s="660" t="str">
        <f>IF($M$113-J113&lt;0, "-" &amp; TEXT(ABS($M$113-J113),"[hh]:mm:ss"), TEXT($M$113-J113,"[hh]:mm:ss"))</f>
        <v>00:10:00</v>
      </c>
      <c r="L113" s="1585">
        <v>45204.35</v>
      </c>
      <c r="M113" s="1590">
        <v>45204.35</v>
      </c>
    </row>
    <row r="114" spans="1:13" s="104" customFormat="1" ht="20.399999999999999" thickTop="1" thickBot="1" x14ac:dyDescent="0.5">
      <c r="A114" s="1583"/>
      <c r="B114" s="1608"/>
      <c r="C114" s="1612"/>
      <c r="D114" s="86" t="s">
        <v>1233</v>
      </c>
      <c r="E114" s="1514">
        <v>45204.011111111111</v>
      </c>
      <c r="F114" s="1514">
        <v>45204.026388888888</v>
      </c>
      <c r="G114" s="1514"/>
      <c r="H114" s="1514"/>
      <c r="I114" s="595"/>
      <c r="J114" s="1514">
        <f t="shared" si="31"/>
        <v>45204.344444444447</v>
      </c>
      <c r="K114" s="661" t="str">
        <f>IF($M$113-J114&lt;0, "-" &amp; TEXT(ABS($M$113-J114),"[hh]:mm:ss"), TEXT($M$113-J114,"[hh]:mm:ss"))</f>
        <v>00:08:00</v>
      </c>
      <c r="L114" s="1583"/>
      <c r="M114" s="1624"/>
    </row>
    <row r="115" spans="1:13" s="85" customFormat="1" ht="20.399999999999999" thickTop="1" thickBot="1" x14ac:dyDescent="0.5">
      <c r="A115" s="1583" t="s">
        <v>979</v>
      </c>
      <c r="B115" s="1608" t="s">
        <v>52</v>
      </c>
      <c r="C115" s="1611" t="s">
        <v>780</v>
      </c>
      <c r="D115" s="1504" t="s">
        <v>1243</v>
      </c>
      <c r="E115" s="83">
        <v>45222.828472222223</v>
      </c>
      <c r="F115" s="83">
        <v>45222.839583333334</v>
      </c>
      <c r="G115" s="83"/>
      <c r="H115" s="83"/>
      <c r="I115" s="593"/>
      <c r="J115" s="1504">
        <f t="shared" si="31"/>
        <v>45223.161805555559</v>
      </c>
      <c r="K115" s="660" t="str">
        <f>IF($M$115-J115&lt;0, "-" &amp; TEXT(ABS($M$115-J115),"[hh]:mm:ss"), TEXT($M$115-J115,"[hh]:mm:ss"))</f>
        <v>00:10:00</v>
      </c>
      <c r="L115" s="1585">
        <v>45223.166666666664</v>
      </c>
      <c r="M115" s="1590">
        <v>45223.168749999997</v>
      </c>
    </row>
    <row r="116" spans="1:13" s="104" customFormat="1" ht="20.399999999999999" thickTop="1" thickBot="1" x14ac:dyDescent="0.5">
      <c r="A116" s="1583"/>
      <c r="B116" s="1608"/>
      <c r="C116" s="1612"/>
      <c r="D116" s="86" t="s">
        <v>1244</v>
      </c>
      <c r="E116" s="1514">
        <v>45222.829861111109</v>
      </c>
      <c r="F116" s="1514">
        <v>45222.845833333333</v>
      </c>
      <c r="G116" s="1514"/>
      <c r="H116" s="1514"/>
      <c r="I116" s="595"/>
      <c r="J116" s="1514">
        <f t="shared" si="31"/>
        <v>45223.163194444445</v>
      </c>
      <c r="K116" s="661" t="str">
        <f>IF($M$115-J116&lt;0, "-" &amp; TEXT(ABS($M$115-J116),"[hh]:mm:ss"), TEXT($M$115-J116,"[hh]:mm:ss"))</f>
        <v>00:08:00</v>
      </c>
      <c r="L116" s="1583"/>
      <c r="M116" s="1624"/>
    </row>
    <row r="117" spans="1:13" ht="19.8" thickTop="1" x14ac:dyDescent="0.45">
      <c r="A117" s="1710" t="s">
        <v>1290</v>
      </c>
      <c r="B117" s="1607" t="s">
        <v>1257</v>
      </c>
      <c r="C117" s="1531" t="s">
        <v>3264</v>
      </c>
      <c r="D117" s="587" t="s">
        <v>1276</v>
      </c>
      <c r="E117" s="1504">
        <v>45253.411111111112</v>
      </c>
      <c r="F117" s="1504">
        <v>45253.427083333336</v>
      </c>
      <c r="G117" s="1504"/>
      <c r="H117" s="1504"/>
      <c r="I117" s="594"/>
      <c r="J117" s="1504">
        <f t="shared" si="31"/>
        <v>45253.744444444448</v>
      </c>
      <c r="K117" s="659" t="str">
        <f>IF($M$117-J117&lt;0, "-" &amp; TEXT(ABS($M$117-J117),"[hh]:mm:ss"), TEXT($M$117-J117,"[hh]:mm:ss"))</f>
        <v>00:08:04</v>
      </c>
      <c r="L117" s="1587">
        <v>45253.756944444445</v>
      </c>
      <c r="M117" s="1588">
        <v>45253.7500462963</v>
      </c>
    </row>
    <row r="118" spans="1:13" x14ac:dyDescent="0.45">
      <c r="A118" s="1666"/>
      <c r="B118" s="1615"/>
      <c r="C118" s="1512" t="s">
        <v>795</v>
      </c>
      <c r="D118" s="319" t="s">
        <v>1277</v>
      </c>
      <c r="E118" s="1530">
        <v>45253.411805555559</v>
      </c>
      <c r="F118" s="1530">
        <v>45253.430555555555</v>
      </c>
      <c r="G118" s="1530"/>
      <c r="H118" s="1530"/>
      <c r="I118" s="596"/>
      <c r="J118" s="1530">
        <f t="shared" si="31"/>
        <v>45253.745138888895</v>
      </c>
      <c r="K118" s="663" t="str">
        <f t="shared" ref="K118:K120" si="32">IF($M$117-J118&lt;0, "-" &amp; TEXT(ABS($M$117-J118),"[hh]:mm:ss"), TEXT($M$117-J118,"[hh]:mm:ss"))</f>
        <v>00:07:04</v>
      </c>
      <c r="L118" s="1591"/>
      <c r="M118" s="1589"/>
    </row>
    <row r="119" spans="1:13" x14ac:dyDescent="0.45">
      <c r="A119" s="1666"/>
      <c r="B119" s="1615"/>
      <c r="C119" s="1512" t="s">
        <v>797</v>
      </c>
      <c r="D119" s="319" t="s">
        <v>1278</v>
      </c>
      <c r="E119" s="1530">
        <v>45253.414583333331</v>
      </c>
      <c r="F119" s="1530">
        <v>45253.442361111112</v>
      </c>
      <c r="G119" s="1530"/>
      <c r="H119" s="1530"/>
      <c r="I119" s="596"/>
      <c r="J119" s="1530">
        <f t="shared" si="31"/>
        <v>45253.747916666667</v>
      </c>
      <c r="K119" s="663" t="str">
        <f t="shared" si="32"/>
        <v>00:03:04</v>
      </c>
      <c r="L119" s="1591"/>
      <c r="M119" s="1589"/>
    </row>
    <row r="120" spans="1:13" ht="19.8" thickBot="1" x14ac:dyDescent="0.5">
      <c r="A120" s="1660"/>
      <c r="B120" s="1608"/>
      <c r="C120" s="1489" t="s">
        <v>1280</v>
      </c>
      <c r="D120" s="1514" t="s">
        <v>1279</v>
      </c>
      <c r="E120" s="1514">
        <v>45253.375</v>
      </c>
      <c r="F120" s="1514">
        <v>45253.458333333336</v>
      </c>
      <c r="G120" s="1514"/>
      <c r="H120" s="1514"/>
      <c r="I120" s="595"/>
      <c r="J120" s="1514">
        <f t="shared" si="31"/>
        <v>45253.708333333336</v>
      </c>
      <c r="K120" s="661" t="str">
        <f t="shared" si="32"/>
        <v>01:00:04</v>
      </c>
      <c r="L120" s="1585"/>
      <c r="M120" s="1590"/>
    </row>
    <row r="121" spans="1:13" s="85" customFormat="1" ht="20.399999999999999" thickTop="1" thickBot="1" x14ac:dyDescent="0.5">
      <c r="A121" s="1583" t="s">
        <v>979</v>
      </c>
      <c r="B121" s="1608" t="s">
        <v>52</v>
      </c>
      <c r="C121" s="1611" t="s">
        <v>780</v>
      </c>
      <c r="D121" s="1497" t="s">
        <v>1313</v>
      </c>
      <c r="E121" s="1497">
        <v>45270.074999999997</v>
      </c>
      <c r="F121" s="1497">
        <v>45270.088888888888</v>
      </c>
      <c r="G121" s="1497"/>
      <c r="H121" s="1497"/>
      <c r="I121" s="593"/>
      <c r="J121" s="1497">
        <f t="shared" si="31"/>
        <v>45270.408333333333</v>
      </c>
      <c r="K121" s="660" t="str">
        <f>IF($M$121-J121&lt;0, "-" &amp; TEXT(ABS($M$121-J121),"[hh]:mm:ss"), TEXT($M$121-J121,"[hh]:mm:ss"))</f>
        <v>00:10:00</v>
      </c>
      <c r="L121" s="1585">
        <v>45270.413888888892</v>
      </c>
      <c r="M121" s="1590">
        <v>45270.415277777778</v>
      </c>
    </row>
    <row r="122" spans="1:13" s="104" customFormat="1" ht="20.399999999999999" thickTop="1" thickBot="1" x14ac:dyDescent="0.5">
      <c r="A122" s="1583"/>
      <c r="B122" s="1608"/>
      <c r="C122" s="1612"/>
      <c r="D122" s="86" t="s">
        <v>1314</v>
      </c>
      <c r="E122" s="1514">
        <v>45270.075694444444</v>
      </c>
      <c r="F122" s="1514">
        <v>45270.092361111114</v>
      </c>
      <c r="G122" s="1514"/>
      <c r="H122" s="1514"/>
      <c r="I122" s="595"/>
      <c r="J122" s="1514">
        <f t="shared" si="31"/>
        <v>45270.40902777778</v>
      </c>
      <c r="K122" s="661" t="str">
        <f>IF($M$121-J122&lt;0, "-" &amp; TEXT(ABS($M$121-J122),"[hh]:mm:ss"), TEXT($M$121-J122,"[hh]:mm:ss"))</f>
        <v>00:09:00</v>
      </c>
      <c r="L122" s="1583"/>
      <c r="M122" s="1624"/>
    </row>
    <row r="123" spans="1:13" s="104" customFormat="1" ht="20.399999999999999" thickTop="1" thickBot="1" x14ac:dyDescent="0.5">
      <c r="A123" s="1582" t="s">
        <v>979</v>
      </c>
      <c r="B123" s="1621" t="s">
        <v>52</v>
      </c>
      <c r="C123" s="1523" t="s">
        <v>780</v>
      </c>
      <c r="D123" s="1497" t="s">
        <v>1745</v>
      </c>
      <c r="E123" s="83">
        <v>45384.949305555558</v>
      </c>
      <c r="F123" s="83">
        <v>45384.966666666667</v>
      </c>
      <c r="G123" s="83"/>
      <c r="H123" s="83"/>
      <c r="I123" s="593"/>
      <c r="J123" s="1530">
        <f t="shared" si="31"/>
        <v>45385.282638888893</v>
      </c>
      <c r="K123" s="660" t="str">
        <f>IF($M$123-J123&lt;0, "-" &amp; TEXT(ABS($M$123-J123),"[hh]:mm:ss"), TEXT($M$123-J123,"[hh]:mm:ss"))</f>
        <v>00:09:00</v>
      </c>
      <c r="L123" s="1640">
        <v>45385.288194444445</v>
      </c>
      <c r="M123" s="1609">
        <v>45385.288888888892</v>
      </c>
    </row>
    <row r="124" spans="1:13" s="104" customFormat="1" ht="20.399999999999999" thickTop="1" thickBot="1" x14ac:dyDescent="0.5">
      <c r="A124" s="1583"/>
      <c r="B124" s="1608"/>
      <c r="C124" s="1474" t="s">
        <v>795</v>
      </c>
      <c r="D124" s="82" t="s">
        <v>1746</v>
      </c>
      <c r="E124" s="1514">
        <v>45384.95</v>
      </c>
      <c r="F124" s="1514">
        <v>45384.970833333333</v>
      </c>
      <c r="G124" s="1514"/>
      <c r="H124" s="1514"/>
      <c r="I124" s="656"/>
      <c r="J124" s="1481">
        <f t="shared" si="31"/>
        <v>45385.283333333333</v>
      </c>
      <c r="K124" s="1534" t="str">
        <f>IF($M$123-J124&lt;0, "-" &amp; TEXT(ABS($M$123-J124),"[hh]:mm:ss"), TEXT($M$123-J124,"[hh]:mm:ss"))</f>
        <v>00:08:00</v>
      </c>
      <c r="L124" s="1583"/>
      <c r="M124" s="1624"/>
    </row>
    <row r="125" spans="1:13" s="85" customFormat="1" ht="20.399999999999999" thickTop="1" thickBot="1" x14ac:dyDescent="0.5">
      <c r="A125" s="1583" t="s">
        <v>979</v>
      </c>
      <c r="B125" s="1608" t="s">
        <v>52</v>
      </c>
      <c r="C125" s="1611" t="s">
        <v>780</v>
      </c>
      <c r="D125" s="1504" t="s">
        <v>1810</v>
      </c>
      <c r="E125" s="83">
        <v>45402.981944444444</v>
      </c>
      <c r="F125" s="83">
        <v>45402.996527777781</v>
      </c>
      <c r="G125" s="83"/>
      <c r="H125" s="83"/>
      <c r="I125" s="593"/>
      <c r="J125" s="1504">
        <f t="shared" si="31"/>
        <v>45403.31527777778</v>
      </c>
      <c r="K125" s="660" t="str">
        <f>IF($M$125-J125&lt;0, "-" &amp; TEXT(ABS($M$125-J125),"[hh]:mm:ss"), TEXT($M$125-J125,"[hh]:mm:ss"))</f>
        <v>00:11:00</v>
      </c>
      <c r="L125" s="1585">
        <v>45403.322222222225</v>
      </c>
      <c r="M125" s="1590">
        <v>45403.322916666664</v>
      </c>
    </row>
    <row r="126" spans="1:13" s="104" customFormat="1" ht="20.399999999999999" thickTop="1" thickBot="1" x14ac:dyDescent="0.5">
      <c r="A126" s="1583"/>
      <c r="B126" s="1608"/>
      <c r="C126" s="1612"/>
      <c r="D126" s="86" t="s">
        <v>1811</v>
      </c>
      <c r="E126" s="1514">
        <v>45402.982638888891</v>
      </c>
      <c r="F126" s="1514">
        <v>45402.999305555553</v>
      </c>
      <c r="G126" s="1514"/>
      <c r="H126" s="1514"/>
      <c r="I126" s="595"/>
      <c r="J126" s="1514">
        <f t="shared" si="31"/>
        <v>45403.315972222226</v>
      </c>
      <c r="K126" s="661" t="str">
        <f>IF($M$125-J126&lt;0, "-" &amp; TEXT(ABS($M$125-J126),"[hh]:mm:ss"), TEXT($M$125-J126,"[hh]:mm:ss"))</f>
        <v>00:10:00</v>
      </c>
      <c r="L126" s="1583"/>
      <c r="M126" s="1624"/>
    </row>
    <row r="127" spans="1:13" s="104" customFormat="1" ht="20.399999999999999" collapsed="1" thickTop="1" thickBot="1" x14ac:dyDescent="0.5">
      <c r="A127" s="1582" t="s">
        <v>979</v>
      </c>
      <c r="B127" s="1621" t="s">
        <v>52</v>
      </c>
      <c r="C127" s="1711" t="s">
        <v>780</v>
      </c>
      <c r="D127" s="1497" t="s">
        <v>3017</v>
      </c>
      <c r="E127" s="83">
        <v>45929.118055555555</v>
      </c>
      <c r="F127" s="83">
        <v>45929.142361111109</v>
      </c>
      <c r="G127" s="83"/>
      <c r="H127" s="83"/>
      <c r="I127" s="593"/>
      <c r="J127" s="1530">
        <f t="shared" ref="J127:J129" si="33">E127+TIME(8,0,0)</f>
        <v>45929.451388888891</v>
      </c>
      <c r="K127" s="660" t="str">
        <f>IF($M$127-J127&lt;0, "-" &amp; TEXT(ABS($M$127-J127),"[hh]:mm:ss"), TEXT($M$127-J127,"[hh]:mm:ss"))</f>
        <v>00:10:00</v>
      </c>
      <c r="L127" s="1640">
        <v>45929.459027777775</v>
      </c>
      <c r="M127" s="1609">
        <v>45929.458333333336</v>
      </c>
    </row>
    <row r="128" spans="1:13" s="104" customFormat="1" ht="20.399999999999999" thickTop="1" thickBot="1" x14ac:dyDescent="0.5">
      <c r="A128" s="1583"/>
      <c r="B128" s="1608"/>
      <c r="C128" s="1662"/>
      <c r="D128" s="1530" t="s">
        <v>3018</v>
      </c>
      <c r="E128" s="1530">
        <v>45929.119444444441</v>
      </c>
      <c r="F128" s="1530">
        <v>45929.145138888889</v>
      </c>
      <c r="G128" s="1530"/>
      <c r="H128" s="1530"/>
      <c r="I128" s="596"/>
      <c r="J128" s="1530">
        <f t="shared" ref="J128" si="34">E128+TIME(8,0,0)</f>
        <v>45929.452777777777</v>
      </c>
      <c r="K128" s="663" t="str">
        <f t="shared" ref="K128:K129" si="35">IF($M$127-J128&lt;0, "-" &amp; TEXT(ABS($M$127-J128),"[hh]:mm:ss"), TEXT($M$127-J128,"[hh]:mm:ss"))</f>
        <v>00:08:00</v>
      </c>
      <c r="L128" s="1585"/>
      <c r="M128" s="1590"/>
    </row>
    <row r="129" spans="1:13" s="104" customFormat="1" ht="20.399999999999999" thickTop="1" thickBot="1" x14ac:dyDescent="0.5">
      <c r="A129" s="1583"/>
      <c r="B129" s="1608"/>
      <c r="C129" s="1474" t="s">
        <v>795</v>
      </c>
      <c r="D129" s="86" t="s">
        <v>3019</v>
      </c>
      <c r="E129" s="1481">
        <v>45929.120138888888</v>
      </c>
      <c r="F129" s="1481">
        <v>45929.146527777775</v>
      </c>
      <c r="G129" s="1481"/>
      <c r="H129" s="1481"/>
      <c r="I129" s="656"/>
      <c r="J129" s="1481">
        <f t="shared" si="33"/>
        <v>45929.453472222223</v>
      </c>
      <c r="K129" s="1534" t="str">
        <f t="shared" si="35"/>
        <v>00:07:00</v>
      </c>
      <c r="L129" s="1583"/>
      <c r="M129" s="1624"/>
    </row>
    <row r="130" spans="1:13" s="104" customFormat="1" ht="20.399999999999999" collapsed="1" thickTop="1" thickBot="1" x14ac:dyDescent="0.5">
      <c r="A130" s="1582" t="s">
        <v>979</v>
      </c>
      <c r="B130" s="1621" t="s">
        <v>52</v>
      </c>
      <c r="C130" s="1522" t="s">
        <v>780</v>
      </c>
      <c r="D130" s="1497" t="s">
        <v>3414</v>
      </c>
      <c r="E130" s="83">
        <v>46093.934027777781</v>
      </c>
      <c r="F130" s="83">
        <v>46093.948611111111</v>
      </c>
      <c r="G130" s="83"/>
      <c r="H130" s="83"/>
      <c r="I130" s="593"/>
      <c r="J130" s="1530">
        <f t="shared" ref="J130:J134" si="36">E130+TIME(8,0,0)</f>
        <v>46094.267361111117</v>
      </c>
      <c r="K130" s="660" t="str">
        <f>IF($M$130-J130&lt;0, "-" &amp; TEXT(ABS($M$130-J130),"[hh]:mm:ss"), TEXT($M$130-J130,"[hh]:mm:ss"))</f>
        <v>00:08:00</v>
      </c>
      <c r="L130" s="1640">
        <v>46094.272916666669</v>
      </c>
      <c r="M130" s="1609">
        <v>46094.272916666669</v>
      </c>
    </row>
    <row r="131" spans="1:13" s="104" customFormat="1" ht="20.399999999999999" thickTop="1" thickBot="1" x14ac:dyDescent="0.5">
      <c r="A131" s="1583"/>
      <c r="B131" s="1608"/>
      <c r="C131" s="1474" t="s">
        <v>795</v>
      </c>
      <c r="D131" s="86" t="s">
        <v>3415</v>
      </c>
      <c r="E131" s="1481">
        <v>46093.93472222222</v>
      </c>
      <c r="F131" s="1481">
        <v>46093.95208333333</v>
      </c>
      <c r="G131" s="1481"/>
      <c r="H131" s="1481"/>
      <c r="I131" s="656"/>
      <c r="J131" s="1481">
        <f t="shared" si="36"/>
        <v>46094.268055555556</v>
      </c>
      <c r="K131" s="1534" t="str">
        <f t="shared" ref="K131" si="37">IF($M$130-J131&lt;0, "-" &amp; TEXT(ABS($M$130-J131),"[hh]:mm:ss"), TEXT($M$130-J131,"[hh]:mm:ss"))</f>
        <v>00:07:00</v>
      </c>
      <c r="L131" s="1583"/>
      <c r="M131" s="1624"/>
    </row>
    <row r="132" spans="1:13" s="104" customFormat="1" ht="20.399999999999999" thickTop="1" thickBot="1" x14ac:dyDescent="0.5">
      <c r="A132" s="1583" t="s">
        <v>979</v>
      </c>
      <c r="B132" s="1621" t="s">
        <v>52</v>
      </c>
      <c r="C132" s="1485" t="s">
        <v>780</v>
      </c>
      <c r="D132" s="588" t="s">
        <v>3521</v>
      </c>
      <c r="E132" s="83">
        <v>46136.267361111109</v>
      </c>
      <c r="F132" s="83">
        <v>46136.281944444447</v>
      </c>
      <c r="G132" s="1496"/>
      <c r="H132" s="1496"/>
      <c r="I132" s="594"/>
      <c r="J132" s="1504">
        <f t="shared" si="36"/>
        <v>46136.600694444445</v>
      </c>
      <c r="K132" s="659" t="str">
        <f>IF($M$132-J132&lt;0, "-" &amp; TEXT(ABS($M$132-J132),"[hh]:mm:ss"), TEXT($M$132-J132,"[hh]:mm:ss"))</f>
        <v>00:10:00</v>
      </c>
      <c r="L132" s="1585">
        <v>46136.607638888891</v>
      </c>
      <c r="M132" s="1590">
        <v>46136.607638888891</v>
      </c>
    </row>
    <row r="133" spans="1:13" s="104" customFormat="1" ht="19.8" thickTop="1" x14ac:dyDescent="0.45">
      <c r="A133" s="1638"/>
      <c r="B133" s="1615"/>
      <c r="C133" s="631" t="s">
        <v>3264</v>
      </c>
      <c r="D133" s="588" t="s">
        <v>3522</v>
      </c>
      <c r="E133" s="1497">
        <v>46136.268750000003</v>
      </c>
      <c r="F133" s="1497">
        <v>46136.284722222219</v>
      </c>
      <c r="G133" s="81"/>
      <c r="H133" s="81"/>
      <c r="I133" s="593"/>
      <c r="J133" s="1497">
        <f t="shared" si="36"/>
        <v>46136.602083333339</v>
      </c>
      <c r="K133" s="660" t="str">
        <f t="shared" ref="K133:K134" si="38">IF($M$132-J133&lt;0, "-" &amp; TEXT(ABS($M$132-J133),"[hh]:mm:ss"), TEXT($M$132-J133,"[hh]:mm:ss"))</f>
        <v>00:08:00</v>
      </c>
      <c r="L133" s="1638"/>
      <c r="M133" s="1635"/>
    </row>
    <row r="134" spans="1:13" s="104" customFormat="1" ht="19.8" thickBot="1" x14ac:dyDescent="0.5">
      <c r="A134" s="1583"/>
      <c r="B134" s="1608"/>
      <c r="C134" s="1512" t="s">
        <v>3273</v>
      </c>
      <c r="D134" s="588" t="s">
        <v>3525</v>
      </c>
      <c r="E134" s="1497">
        <v>46136.269444444442</v>
      </c>
      <c r="F134" s="1497">
        <v>46136.288888888892</v>
      </c>
      <c r="G134" s="1514"/>
      <c r="H134" s="1514"/>
      <c r="I134" s="595"/>
      <c r="J134" s="1514">
        <f t="shared" si="36"/>
        <v>46136.602777777778</v>
      </c>
      <c r="K134" s="661" t="str">
        <f t="shared" si="38"/>
        <v>00:07:00</v>
      </c>
      <c r="L134" s="1583"/>
      <c r="M134" s="1624"/>
    </row>
    <row r="135" spans="1:13" s="104" customFormat="1" ht="20.399999999999999" thickTop="1" thickBot="1" x14ac:dyDescent="0.5">
      <c r="A135" s="1583" t="s">
        <v>979</v>
      </c>
      <c r="B135" s="1621" t="s">
        <v>52</v>
      </c>
      <c r="C135" s="1485" t="s">
        <v>1001</v>
      </c>
      <c r="D135" s="588" t="s">
        <v>3664</v>
      </c>
      <c r="E135" s="83">
        <v>46172.747916666667</v>
      </c>
      <c r="F135" s="83">
        <v>46172.761805555558</v>
      </c>
      <c r="G135" s="1496"/>
      <c r="H135" s="1496"/>
      <c r="I135" s="594"/>
      <c r="J135" s="1504">
        <f t="shared" ref="J135:J136" si="39">E135+TIME(8,0,0)</f>
        <v>46173.081250000003</v>
      </c>
      <c r="K135" s="659" t="str">
        <f>IF($M$135-J135&lt;0, "-" &amp; TEXT(ABS($M$135-J135),"[hh]:mm:ss"), TEXT($M$135-J135,"[hh]:mm:ss"))</f>
        <v>00:10:00</v>
      </c>
      <c r="L135" s="1585">
        <v>46173.088194444441</v>
      </c>
      <c r="M135" s="1590">
        <v>46173.088194444441</v>
      </c>
    </row>
    <row r="136" spans="1:13" s="104" customFormat="1" ht="20.399999999999999" thickTop="1" thickBot="1" x14ac:dyDescent="0.5">
      <c r="A136" s="1583"/>
      <c r="B136" s="1608"/>
      <c r="C136" s="1512" t="s">
        <v>3665</v>
      </c>
      <c r="D136" s="588" t="s">
        <v>3666</v>
      </c>
      <c r="E136" s="1497">
        <v>46172.75</v>
      </c>
      <c r="F136" s="1497">
        <v>46172.768055555556</v>
      </c>
      <c r="G136" s="1514"/>
      <c r="H136" s="1514"/>
      <c r="I136" s="595"/>
      <c r="J136" s="1514">
        <f t="shared" si="39"/>
        <v>46173.083333333336</v>
      </c>
      <c r="K136" s="661" t="str">
        <f t="shared" ref="K136" si="40">IF($M$135-J136&lt;0, "-" &amp; TEXT(ABS($M$135-J136),"[hh]:mm:ss"), TEXT($M$135-J136,"[hh]:mm:ss"))</f>
        <v>00:07:00</v>
      </c>
      <c r="L136" s="1583"/>
      <c r="M136" s="1624"/>
    </row>
    <row r="137" spans="1:13" ht="20.399999999999999" thickTop="1" thickBot="1" x14ac:dyDescent="0.5">
      <c r="A137" s="314"/>
      <c r="B137" s="314"/>
      <c r="C137" s="633"/>
      <c r="D137" s="84"/>
      <c r="E137" s="84"/>
      <c r="F137" s="84"/>
      <c r="G137" s="84"/>
      <c r="H137" s="90"/>
      <c r="I137" s="597"/>
      <c r="J137" s="84"/>
      <c r="K137" s="664"/>
      <c r="L137" s="314"/>
      <c r="M137" s="623"/>
    </row>
    <row r="138" spans="1:13" ht="20.399999999999999" thickTop="1" thickBot="1" x14ac:dyDescent="0.5">
      <c r="A138" s="1488" t="s">
        <v>83</v>
      </c>
      <c r="B138" s="1479" t="s">
        <v>71</v>
      </c>
      <c r="C138" s="1489" t="s">
        <v>782</v>
      </c>
      <c r="D138" s="588"/>
      <c r="E138" s="83">
        <v>44797.120138888888</v>
      </c>
      <c r="F138" s="83">
        <v>44797.146527777775</v>
      </c>
      <c r="G138" s="83"/>
      <c r="H138" s="83"/>
      <c r="I138" s="600"/>
      <c r="J138" s="1472">
        <f t="shared" ref="J138:J146" si="41">E138+TIME(8,0,0)</f>
        <v>44797.453472222223</v>
      </c>
      <c r="K138" s="667" t="str">
        <f>IF($M$138-J138&lt;0, "-" &amp; TEXT(ABS($M$138-J138),"[hh]:mm:ss"), TEXT($M$138-J138,"[hh]:mm:ss"))</f>
        <v>00:08:00</v>
      </c>
      <c r="L138" s="1472">
        <v>44797.461805555555</v>
      </c>
      <c r="M138" s="1471">
        <v>44797.459027777775</v>
      </c>
    </row>
    <row r="139" spans="1:13" ht="20.399999999999999" thickTop="1" thickBot="1" x14ac:dyDescent="0.5">
      <c r="A139" s="1582" t="s">
        <v>83</v>
      </c>
      <c r="B139" s="1621" t="s">
        <v>71</v>
      </c>
      <c r="C139" s="1485" t="s">
        <v>784</v>
      </c>
      <c r="D139" s="587"/>
      <c r="E139" s="1496">
        <v>44903.765277777777</v>
      </c>
      <c r="F139" s="1496">
        <v>44903.795138888891</v>
      </c>
      <c r="G139" s="1496"/>
      <c r="H139" s="1496"/>
      <c r="I139" s="594"/>
      <c r="J139" s="1504">
        <f t="shared" si="41"/>
        <v>44904.098611111112</v>
      </c>
      <c r="K139" s="659" t="str">
        <f>IF($M$139-J139&lt;0, "-" &amp; TEXT(ABS($M$139-J139),"[hh]:mm:ss"), TEXT($M$139-J139,"[hh]:mm:ss"))</f>
        <v>00:09:00</v>
      </c>
      <c r="L139" s="1640">
        <v>44904.111111111109</v>
      </c>
      <c r="M139" s="1609">
        <v>44904.104861111111</v>
      </c>
    </row>
    <row r="140" spans="1:13" ht="20.399999999999999" thickTop="1" thickBot="1" x14ac:dyDescent="0.5">
      <c r="A140" s="1586"/>
      <c r="B140" s="1639"/>
      <c r="C140" s="1484" t="s">
        <v>780</v>
      </c>
      <c r="D140" s="86"/>
      <c r="E140" s="1481">
        <v>44903.765277777777</v>
      </c>
      <c r="F140" s="1481">
        <v>44903.799305555556</v>
      </c>
      <c r="G140" s="1481"/>
      <c r="H140" s="1481"/>
      <c r="I140" s="656"/>
      <c r="J140" s="1514">
        <f t="shared" si="41"/>
        <v>44904.098611111112</v>
      </c>
      <c r="K140" s="1534" t="str">
        <f>IF($M$139-J140&lt;0, "-" &amp; TEXT(ABS($M$139-J140),"[hh]:mm:ss"), TEXT($M$139-J140,"[hh]:mm:ss"))</f>
        <v>00:09:00</v>
      </c>
      <c r="L140" s="1586"/>
      <c r="M140" s="1610"/>
    </row>
    <row r="141" spans="1:13" ht="20.399999999999999" thickTop="1" thickBot="1" x14ac:dyDescent="0.5">
      <c r="A141" s="1582" t="s">
        <v>83</v>
      </c>
      <c r="B141" s="1621" t="s">
        <v>71</v>
      </c>
      <c r="C141" s="1485" t="s">
        <v>799</v>
      </c>
      <c r="D141" s="587"/>
      <c r="E141" s="1496">
        <v>44941.12777777778</v>
      </c>
      <c r="F141" s="1496">
        <v>44941.152083333334</v>
      </c>
      <c r="G141" s="1496"/>
      <c r="H141" s="1496"/>
      <c r="I141" s="594"/>
      <c r="J141" s="1504">
        <f t="shared" si="41"/>
        <v>44941.461111111115</v>
      </c>
      <c r="K141" s="659" t="str">
        <f>IF($M$141-J141&lt;0, "-" &amp; TEXT(ABS($M$141-J141),"[hh]:mm:ss"), TEXT($M$141-J141,"[hh]:mm:ss"))</f>
        <v>00:10:00</v>
      </c>
      <c r="L141" s="1640">
        <v>44941.472222222219</v>
      </c>
      <c r="M141" s="1609">
        <v>44941.468055555553</v>
      </c>
    </row>
    <row r="142" spans="1:13" ht="19.8" thickTop="1" x14ac:dyDescent="0.45">
      <c r="A142" s="1671"/>
      <c r="B142" s="1655"/>
      <c r="C142" s="1489" t="s">
        <v>784</v>
      </c>
      <c r="D142" s="588"/>
      <c r="E142" s="83">
        <v>44941.129166666666</v>
      </c>
      <c r="F142" s="83">
        <v>44941.155555555553</v>
      </c>
      <c r="G142" s="83"/>
      <c r="H142" s="83"/>
      <c r="I142" s="593"/>
      <c r="J142" s="1530">
        <f t="shared" si="41"/>
        <v>44941.462500000001</v>
      </c>
      <c r="K142" s="660" t="str">
        <f t="shared" ref="K142:K143" si="42">IF($M$141-J142&lt;0, "-" &amp; TEXT(ABS($M$141-J142),"[hh]:mm:ss"), TEXT($M$141-J142,"[hh]:mm:ss"))</f>
        <v>00:08:00</v>
      </c>
      <c r="L142" s="1671"/>
      <c r="M142" s="1652"/>
    </row>
    <row r="143" spans="1:13" ht="19.8" thickBot="1" x14ac:dyDescent="0.5">
      <c r="A143" s="1586"/>
      <c r="B143" s="1639"/>
      <c r="C143" s="634" t="s">
        <v>3266</v>
      </c>
      <c r="D143" s="158"/>
      <c r="E143" s="1514">
        <v>44941.129166666666</v>
      </c>
      <c r="F143" s="1514">
        <v>44941.159722222219</v>
      </c>
      <c r="G143" s="1514"/>
      <c r="H143" s="1514"/>
      <c r="I143" s="656"/>
      <c r="J143" s="1481">
        <f t="shared" si="41"/>
        <v>44941.462500000001</v>
      </c>
      <c r="K143" s="1534" t="str">
        <f t="shared" si="42"/>
        <v>00:08:00</v>
      </c>
      <c r="L143" s="1586"/>
      <c r="M143" s="1610"/>
    </row>
    <row r="144" spans="1:13" ht="20.399999999999999" thickTop="1" thickBot="1" x14ac:dyDescent="0.5">
      <c r="A144" s="80" t="s">
        <v>83</v>
      </c>
      <c r="B144" s="1479" t="s">
        <v>71</v>
      </c>
      <c r="C144" s="1524" t="s">
        <v>782</v>
      </c>
      <c r="D144" s="78"/>
      <c r="E144" s="79">
        <v>45015.446527777778</v>
      </c>
      <c r="F144" s="79">
        <v>45015.476388888892</v>
      </c>
      <c r="G144" s="79"/>
      <c r="H144" s="79"/>
      <c r="I144" s="592"/>
      <c r="J144" s="1472">
        <f t="shared" si="41"/>
        <v>45015.779861111114</v>
      </c>
      <c r="K144" s="662" t="str">
        <f>IF($M$144-J144&lt;0, "-" &amp; TEXT(ABS($M$144-J144),"[hh]:mm:ss"), TEXT($M$144-J144,"[hh]:mm:ss"))</f>
        <v>00:07:00</v>
      </c>
      <c r="L144" s="79">
        <v>45015.791666666664</v>
      </c>
      <c r="M144" s="1471">
        <v>45015.784722222219</v>
      </c>
    </row>
    <row r="145" spans="1:13" ht="20.399999999999999" thickTop="1" thickBot="1" x14ac:dyDescent="0.5">
      <c r="A145" s="1488" t="s">
        <v>979</v>
      </c>
      <c r="B145" s="1479" t="s">
        <v>71</v>
      </c>
      <c r="C145" s="1524" t="s">
        <v>983</v>
      </c>
      <c r="D145" s="78"/>
      <c r="E145" s="1472">
        <v>45092.224305555559</v>
      </c>
      <c r="F145" s="1472">
        <v>45092.253472222219</v>
      </c>
      <c r="G145" s="1472"/>
      <c r="H145" s="1472"/>
      <c r="I145" s="592"/>
      <c r="J145" s="1472">
        <f t="shared" si="41"/>
        <v>45092.557638888895</v>
      </c>
      <c r="K145" s="662" t="str">
        <f>IF($M$145-J145&lt;0, "-" &amp; TEXT(ABS($M$145-J145),"[hh]:mm:ss"), TEXT($M$145-J145,"[hh]:mm:ss"))</f>
        <v>00:07:00</v>
      </c>
      <c r="L145" s="1472">
        <v>45092.567361111112</v>
      </c>
      <c r="M145" s="1471">
        <v>45092.5625</v>
      </c>
    </row>
    <row r="146" spans="1:13" ht="20.399999999999999" thickTop="1" thickBot="1" x14ac:dyDescent="0.5">
      <c r="A146" s="1583" t="s">
        <v>979</v>
      </c>
      <c r="B146" s="1608" t="s">
        <v>71</v>
      </c>
      <c r="C146" s="1508" t="s">
        <v>3263</v>
      </c>
      <c r="D146" s="588" t="s">
        <v>1004</v>
      </c>
      <c r="E146" s="83">
        <v>45130.111805555556</v>
      </c>
      <c r="F146" s="83">
        <v>45130.138888888891</v>
      </c>
      <c r="G146" s="83"/>
      <c r="H146" s="83"/>
      <c r="I146" s="593"/>
      <c r="J146" s="1504">
        <f t="shared" si="41"/>
        <v>45130.445138888892</v>
      </c>
      <c r="K146" s="660" t="str">
        <f>IF($M$146-J146&lt;0, "-" &amp; TEXT(ABS($M$146-J146),"[hh]:mm:ss"), TEXT($M$146-J146,"[hh]:mm:ss"))</f>
        <v>00:09:00</v>
      </c>
      <c r="L146" s="1585">
        <v>45130.451388888891</v>
      </c>
      <c r="M146" s="1590">
        <v>45130.451388888891</v>
      </c>
    </row>
    <row r="147" spans="1:13" ht="20.399999999999999" thickTop="1" thickBot="1" x14ac:dyDescent="0.5">
      <c r="A147" s="1583"/>
      <c r="B147" s="1608"/>
      <c r="C147" s="1474" t="s">
        <v>983</v>
      </c>
      <c r="D147" s="82" t="s">
        <v>1005</v>
      </c>
      <c r="E147" s="1514">
        <v>45130.111805555556</v>
      </c>
      <c r="F147" s="1514">
        <v>45130.143750000003</v>
      </c>
      <c r="G147" s="1514"/>
      <c r="H147" s="1514"/>
      <c r="I147" s="595"/>
      <c r="J147" s="1514">
        <f t="shared" ref="J147:J153" si="43">E147+TIME(8,0,0)</f>
        <v>45130.445138888892</v>
      </c>
      <c r="K147" s="661" t="str">
        <f>IF($M$146-J147&lt;0, "-" &amp; TEXT(ABS($M$146-J147),"[hh]:mm:ss"), TEXT($M$146-J147,"[hh]:mm:ss"))</f>
        <v>00:09:00</v>
      </c>
      <c r="L147" s="1583"/>
      <c r="M147" s="1624"/>
    </row>
    <row r="148" spans="1:13" s="104" customFormat="1" ht="20.399999999999999" thickTop="1" thickBot="1" x14ac:dyDescent="0.5">
      <c r="A148" s="1583" t="s">
        <v>979</v>
      </c>
      <c r="B148" s="1608" t="s">
        <v>71</v>
      </c>
      <c r="C148" s="1508" t="s">
        <v>3263</v>
      </c>
      <c r="D148" s="588" t="s">
        <v>1936</v>
      </c>
      <c r="E148" s="83">
        <v>45432.12222222222</v>
      </c>
      <c r="F148" s="83">
        <v>45432.156944444447</v>
      </c>
      <c r="G148" s="83"/>
      <c r="H148" s="83"/>
      <c r="I148" s="593"/>
      <c r="J148" s="1504">
        <f t="shared" si="43"/>
        <v>45432.455555555556</v>
      </c>
      <c r="K148" s="660" t="str">
        <f>IF($M$148-J148&lt;0, "-" &amp; TEXT(ABS($M$148-J148),"[hh]:mm:ss"), TEXT($M$148-J148,"[hh]:mm:ss"))</f>
        <v>00:10:00</v>
      </c>
      <c r="L148" s="1640">
        <v>45432.461805555555</v>
      </c>
      <c r="M148" s="1590">
        <v>45432.462500000001</v>
      </c>
    </row>
    <row r="149" spans="1:13" s="104" customFormat="1" ht="20.399999999999999" thickTop="1" thickBot="1" x14ac:dyDescent="0.5">
      <c r="A149" s="1583"/>
      <c r="B149" s="1608"/>
      <c r="C149" s="1474" t="s">
        <v>983</v>
      </c>
      <c r="D149" s="82" t="s">
        <v>1937</v>
      </c>
      <c r="E149" s="1514">
        <v>45432.122916666667</v>
      </c>
      <c r="F149" s="1514">
        <v>45432.160416666666</v>
      </c>
      <c r="G149" s="1514"/>
      <c r="H149" s="1514"/>
      <c r="I149" s="595"/>
      <c r="J149" s="1514">
        <f t="shared" si="43"/>
        <v>45432.456250000003</v>
      </c>
      <c r="K149" s="661" t="str">
        <f>IF($M$148-J149&lt;0, "-" &amp; TEXT(ABS($M$148-J149),"[hh]:mm:ss"), TEXT($M$148-J149,"[hh]:mm:ss"))</f>
        <v>00:09:00</v>
      </c>
      <c r="L149" s="1583"/>
      <c r="M149" s="1624"/>
    </row>
    <row r="150" spans="1:13" s="104" customFormat="1" ht="20.399999999999999" thickTop="1" thickBot="1" x14ac:dyDescent="0.5">
      <c r="A150" s="1582" t="s">
        <v>979</v>
      </c>
      <c r="B150" s="1608" t="s">
        <v>71</v>
      </c>
      <c r="C150" s="1508" t="s">
        <v>3263</v>
      </c>
      <c r="D150" s="159" t="s">
        <v>2109</v>
      </c>
      <c r="E150" s="1497">
        <v>45555.167361111111</v>
      </c>
      <c r="F150" s="1497">
        <v>45555.18472222222</v>
      </c>
      <c r="G150" s="1497"/>
      <c r="H150" s="1497"/>
      <c r="I150" s="593"/>
      <c r="J150" s="1497">
        <f t="shared" si="43"/>
        <v>45555.500694444447</v>
      </c>
      <c r="K150" s="660" t="str">
        <f>IF($M$150-J150&lt;0, "-" &amp; TEXT(ABS($M$150-J150),"[hh]:mm:ss"), TEXT($M$150-J150,"[hh]:mm:ss"))</f>
        <v>00:10:00</v>
      </c>
      <c r="L150" s="1585">
        <v>45555.506944444445</v>
      </c>
      <c r="M150" s="1590">
        <v>45555.507638888892</v>
      </c>
    </row>
    <row r="151" spans="1:13" s="104" customFormat="1" ht="20.399999999999999" thickTop="1" thickBot="1" x14ac:dyDescent="0.5">
      <c r="A151" s="1583"/>
      <c r="B151" s="1608"/>
      <c r="C151" s="634" t="s">
        <v>782</v>
      </c>
      <c r="D151" s="158" t="s">
        <v>2110</v>
      </c>
      <c r="E151" s="1514">
        <v>45555.168055555558</v>
      </c>
      <c r="F151" s="1514">
        <v>45555.188194444447</v>
      </c>
      <c r="G151" s="1514"/>
      <c r="H151" s="1514"/>
      <c r="I151" s="595"/>
      <c r="J151" s="1514">
        <f t="shared" si="43"/>
        <v>45555.501388888893</v>
      </c>
      <c r="K151" s="661" t="str">
        <f>IF($M$150-J151&lt;0, "-" &amp; TEXT(ABS($M$150-J151),"[hh]:mm:ss"), TEXT($M$150-J151,"[hh]:mm:ss"))</f>
        <v>00:09:00</v>
      </c>
      <c r="L151" s="1583"/>
      <c r="M151" s="1624"/>
    </row>
    <row r="152" spans="1:13" s="104" customFormat="1" ht="20.399999999999999" collapsed="1" thickTop="1" thickBot="1" x14ac:dyDescent="0.5">
      <c r="A152" s="1582" t="s">
        <v>979</v>
      </c>
      <c r="B152" s="1608" t="s">
        <v>71</v>
      </c>
      <c r="C152" s="1508" t="s">
        <v>3263</v>
      </c>
      <c r="D152" s="159" t="s">
        <v>2511</v>
      </c>
      <c r="E152" s="1497">
        <v>45642.779166666667</v>
      </c>
      <c r="F152" s="1497">
        <v>45642.798611111109</v>
      </c>
      <c r="G152" s="1497"/>
      <c r="H152" s="1497"/>
      <c r="I152" s="593"/>
      <c r="J152" s="1497">
        <f t="shared" si="43"/>
        <v>45643.112500000003</v>
      </c>
      <c r="K152" s="660" t="str">
        <f>IF($M$152-J152&lt;0, "-" &amp; TEXT(ABS($M$152-J152),"[hh]:mm:ss"), TEXT($M$152-J152,"[hh]:mm:ss"))</f>
        <v>00:08:00</v>
      </c>
      <c r="L152" s="1585">
        <v>45643.119444444441</v>
      </c>
      <c r="M152" s="1590">
        <v>45643.118055555555</v>
      </c>
    </row>
    <row r="153" spans="1:13" s="104" customFormat="1" ht="20.399999999999999" thickTop="1" thickBot="1" x14ac:dyDescent="0.5">
      <c r="A153" s="1583"/>
      <c r="B153" s="1608"/>
      <c r="C153" s="634" t="s">
        <v>782</v>
      </c>
      <c r="D153" s="158" t="s">
        <v>2512</v>
      </c>
      <c r="E153" s="1514">
        <v>45642.779861111114</v>
      </c>
      <c r="F153" s="1514">
        <v>45642.802083333336</v>
      </c>
      <c r="G153" s="1514"/>
      <c r="H153" s="1514"/>
      <c r="I153" s="595"/>
      <c r="J153" s="1514">
        <f t="shared" si="43"/>
        <v>45643.11319444445</v>
      </c>
      <c r="K153" s="661" t="str">
        <f>IF($M$152-J153&lt;0, "-" &amp; TEXT(ABS($M$152-J153),"[hh]:mm:ss"), TEXT($M$152-J153,"[hh]:mm:ss"))</f>
        <v>00:07:00</v>
      </c>
      <c r="L153" s="1583"/>
      <c r="M153" s="1624"/>
    </row>
    <row r="154" spans="1:13" s="104" customFormat="1" ht="20.399999999999999" thickTop="1" thickBot="1" x14ac:dyDescent="0.5">
      <c r="A154" s="1620" t="s">
        <v>979</v>
      </c>
      <c r="B154" s="1621" t="s">
        <v>71</v>
      </c>
      <c r="C154" s="1531" t="s">
        <v>3263</v>
      </c>
      <c r="D154" s="587" t="s">
        <v>3442</v>
      </c>
      <c r="E154" s="1504">
        <v>46106.946527777778</v>
      </c>
      <c r="F154" s="1504">
        <v>46106.961805555555</v>
      </c>
      <c r="G154" s="1504"/>
      <c r="H154" s="1504"/>
      <c r="I154" s="594"/>
      <c r="J154" s="1504">
        <f t="shared" ref="J154:J155" si="44">E154+TIME(8,0,0)</f>
        <v>46107.279861111114</v>
      </c>
      <c r="K154" s="659" t="str">
        <f>IF($M$154-J154&lt;0, "-" &amp; TEXT(ABS($M$154-J154),"[hh]:mm:ss"), TEXT($M$154-J154,"[hh]:mm:ss"))</f>
        <v>00:08:00</v>
      </c>
      <c r="L154" s="1622">
        <v>46107.286111111112</v>
      </c>
      <c r="M154" s="1623">
        <v>46107.285416666666</v>
      </c>
    </row>
    <row r="155" spans="1:13" s="104" customFormat="1" ht="20.399999999999999" thickTop="1" thickBot="1" x14ac:dyDescent="0.5">
      <c r="A155" s="1583"/>
      <c r="B155" s="1608"/>
      <c r="C155" s="634" t="s">
        <v>3271</v>
      </c>
      <c r="D155" s="82" t="s">
        <v>3443</v>
      </c>
      <c r="E155" s="1514">
        <v>46106.947222222225</v>
      </c>
      <c r="F155" s="1514">
        <v>46106.965277777781</v>
      </c>
      <c r="G155" s="1514"/>
      <c r="H155" s="1514"/>
      <c r="I155" s="595"/>
      <c r="J155" s="1514">
        <f t="shared" si="44"/>
        <v>46107.280555555561</v>
      </c>
      <c r="K155" s="661" t="str">
        <f>IF($M$154-J155&lt;0, "-" &amp; TEXT(ABS($M$154-J155),"[hh]:mm:ss"), TEXT($M$154-J155,"[hh]:mm:ss"))</f>
        <v>00:07:00</v>
      </c>
      <c r="L155" s="1585"/>
      <c r="M155" s="1590"/>
    </row>
    <row r="156" spans="1:13" s="85" customFormat="1" ht="20.399999999999999" thickTop="1" thickBot="1" x14ac:dyDescent="0.5">
      <c r="A156" s="314"/>
      <c r="B156" s="314"/>
      <c r="C156" s="633"/>
      <c r="D156" s="84"/>
      <c r="E156" s="84"/>
      <c r="F156" s="84"/>
      <c r="G156" s="84"/>
      <c r="H156" s="84"/>
      <c r="I156" s="597"/>
      <c r="J156" s="84"/>
      <c r="K156" s="664"/>
      <c r="L156" s="314"/>
      <c r="M156" s="623"/>
    </row>
    <row r="157" spans="1:13" ht="19.8" thickBot="1" x14ac:dyDescent="0.5">
      <c r="A157" s="1637" t="s">
        <v>138</v>
      </c>
      <c r="B157" s="1621" t="s">
        <v>9</v>
      </c>
      <c r="C157" s="631" t="s">
        <v>3267</v>
      </c>
      <c r="D157" s="156"/>
      <c r="E157" s="81">
        <v>44717.106944444444</v>
      </c>
      <c r="F157" s="81">
        <v>44717.134722222225</v>
      </c>
      <c r="G157" s="81"/>
      <c r="H157" s="81"/>
      <c r="I157" s="593"/>
      <c r="J157" s="1497">
        <f t="shared" ref="J157:J169" si="45">E157+TIME(8,0,0)</f>
        <v>44717.44027777778</v>
      </c>
      <c r="K157" s="660" t="str">
        <f>IF($M$157-J157&lt;0, "-" &amp; TEXT(ABS($M$157-J157),"[hh]:mm:ss"), TEXT($M$157-J157,"[hh]:mm:ss"))</f>
        <v>00:10:10</v>
      </c>
      <c r="L157" s="1664">
        <v>44717.447222222225</v>
      </c>
      <c r="M157" s="1634">
        <v>44717.447337962964</v>
      </c>
    </row>
    <row r="158" spans="1:13" ht="19.8" thickTop="1" x14ac:dyDescent="0.45">
      <c r="A158" s="1663"/>
      <c r="B158" s="1655"/>
      <c r="C158" s="1512" t="s">
        <v>790</v>
      </c>
      <c r="D158" s="319"/>
      <c r="E158" s="1530">
        <v>44717.106944444444</v>
      </c>
      <c r="F158" s="1530">
        <v>44717.136111111111</v>
      </c>
      <c r="G158" s="1530"/>
      <c r="H158" s="1530"/>
      <c r="I158" s="596"/>
      <c r="J158" s="1530">
        <f t="shared" si="45"/>
        <v>44717.44027777778</v>
      </c>
      <c r="K158" s="663" t="str">
        <f t="shared" ref="K158:K160" si="46">IF($M$157-J158&lt;0, "-" &amp; TEXT(ABS($M$157-J158),"[hh]:mm:ss"), TEXT($M$157-J158,"[hh]:mm:ss"))</f>
        <v>00:10:10</v>
      </c>
      <c r="L158" s="1663"/>
      <c r="M158" s="1652"/>
    </row>
    <row r="159" spans="1:13" x14ac:dyDescent="0.45">
      <c r="A159" s="1663"/>
      <c r="B159" s="1655"/>
      <c r="C159" s="1489" t="s">
        <v>784</v>
      </c>
      <c r="D159" s="588"/>
      <c r="E159" s="1497">
        <v>44717.109027777777</v>
      </c>
      <c r="F159" s="1497">
        <v>44717.121527777781</v>
      </c>
      <c r="G159" s="1497"/>
      <c r="H159" s="1497"/>
      <c r="I159" s="593"/>
      <c r="J159" s="1497">
        <f>E159+TIME(8,0,0)</f>
        <v>44717.442361111112</v>
      </c>
      <c r="K159" s="660" t="str">
        <f t="shared" si="46"/>
        <v>00:07:10</v>
      </c>
      <c r="L159" s="1663"/>
      <c r="M159" s="1652"/>
    </row>
    <row r="160" spans="1:13" ht="19.8" thickBot="1" x14ac:dyDescent="0.5">
      <c r="A160" s="1586"/>
      <c r="B160" s="1639"/>
      <c r="C160" s="634" t="s">
        <v>3268</v>
      </c>
      <c r="D160" s="158"/>
      <c r="E160" s="1514">
        <v>44717.172222222223</v>
      </c>
      <c r="F160" s="1514">
        <v>44717.200694444444</v>
      </c>
      <c r="G160" s="1514"/>
      <c r="H160" s="1514"/>
      <c r="I160" s="656"/>
      <c r="J160" s="1481">
        <f t="shared" si="45"/>
        <v>44717.505555555559</v>
      </c>
      <c r="K160" s="1534" t="str">
        <f t="shared" si="46"/>
        <v>-01:23:50</v>
      </c>
      <c r="L160" s="1586"/>
      <c r="M160" s="1610"/>
    </row>
    <row r="161" spans="1:13" ht="20.399999999999999" thickTop="1" thickBot="1" x14ac:dyDescent="0.5">
      <c r="A161" s="1582" t="s">
        <v>138</v>
      </c>
      <c r="B161" s="1621" t="s">
        <v>9</v>
      </c>
      <c r="C161" s="1653" t="s">
        <v>784</v>
      </c>
      <c r="D161" s="1587"/>
      <c r="E161" s="1496">
        <v>44777.661111111112</v>
      </c>
      <c r="F161" s="1496">
        <v>44777.736111111109</v>
      </c>
      <c r="G161" s="1496"/>
      <c r="H161" s="1496"/>
      <c r="I161" s="594"/>
      <c r="J161" s="1504">
        <f t="shared" si="45"/>
        <v>44777.994444444448</v>
      </c>
      <c r="K161" s="659" t="str">
        <f>IF($M$161-J161&lt;0, "-" &amp; TEXT(ABS($M$161-J161),"[hh]:mm:ss"), TEXT($M$161-J161,"[hh]:mm:ss"))</f>
        <v>00:36:00</v>
      </c>
      <c r="L161" s="1640">
        <v>44778.020833333336</v>
      </c>
      <c r="M161" s="1609">
        <v>44778.019444444442</v>
      </c>
    </row>
    <row r="162" spans="1:13" ht="19.8" thickTop="1" x14ac:dyDescent="0.45">
      <c r="A162" s="1671"/>
      <c r="B162" s="1655"/>
      <c r="C162" s="1690"/>
      <c r="D162" s="1591"/>
      <c r="E162" s="81">
        <v>44777.661111111112</v>
      </c>
      <c r="F162" s="81">
        <v>44777.736111111109</v>
      </c>
      <c r="G162" s="81"/>
      <c r="H162" s="81"/>
      <c r="I162" s="593"/>
      <c r="J162" s="1497">
        <f t="shared" si="45"/>
        <v>44777.994444444448</v>
      </c>
      <c r="K162" s="660" t="str">
        <f t="shared" ref="K162:K163" si="47">IF($M$161-J162&lt;0, "-" &amp; TEXT(ABS($M$161-J162),"[hh]:mm:ss"), TEXT($M$161-J162,"[hh]:mm:ss"))</f>
        <v>00:36:00</v>
      </c>
      <c r="L162" s="1671"/>
      <c r="M162" s="1652"/>
    </row>
    <row r="163" spans="1:13" ht="19.8" thickBot="1" x14ac:dyDescent="0.5">
      <c r="A163" s="1586"/>
      <c r="B163" s="1639"/>
      <c r="C163" s="1654"/>
      <c r="D163" s="1585"/>
      <c r="E163" s="1514">
        <v>44777.661805555559</v>
      </c>
      <c r="F163" s="1514">
        <v>44777.740972222222</v>
      </c>
      <c r="G163" s="1514"/>
      <c r="H163" s="1514"/>
      <c r="I163" s="595"/>
      <c r="J163" s="1514">
        <f t="shared" si="45"/>
        <v>44777.995138888895</v>
      </c>
      <c r="K163" s="661" t="str">
        <f t="shared" si="47"/>
        <v>00:35:00</v>
      </c>
      <c r="L163" s="1586"/>
      <c r="M163" s="1610"/>
    </row>
    <row r="164" spans="1:13" ht="20.399999999999999" thickTop="1" thickBot="1" x14ac:dyDescent="0.5">
      <c r="A164" s="1582" t="s">
        <v>138</v>
      </c>
      <c r="B164" s="1621" t="s">
        <v>9</v>
      </c>
      <c r="C164" s="1531" t="s">
        <v>3269</v>
      </c>
      <c r="D164" s="157"/>
      <c r="E164" s="1496">
        <v>44894.623611111114</v>
      </c>
      <c r="F164" s="1496">
        <v>44894.652083333334</v>
      </c>
      <c r="G164" s="1496"/>
      <c r="H164" s="1496"/>
      <c r="I164" s="594"/>
      <c r="J164" s="1504">
        <f t="shared" si="45"/>
        <v>44894.95694444445</v>
      </c>
      <c r="K164" s="659" t="str">
        <f>IF($M$164-J164&lt;0, "-" &amp; TEXT(ABS($M$164-J164),"[hh]:mm:ss"), TEXT($M$164-J164,"[hh]:mm:ss"))</f>
        <v>00:10:17</v>
      </c>
      <c r="L164" s="1640">
        <v>44894.963888888888</v>
      </c>
      <c r="M164" s="1609">
        <v>44894.964085648149</v>
      </c>
    </row>
    <row r="165" spans="1:13" ht="19.8" thickTop="1" x14ac:dyDescent="0.45">
      <c r="A165" s="1671"/>
      <c r="B165" s="1655"/>
      <c r="C165" s="1489" t="s">
        <v>790</v>
      </c>
      <c r="D165" s="588"/>
      <c r="E165" s="83">
        <v>44894.623611111114</v>
      </c>
      <c r="F165" s="83">
        <v>44894.65347222222</v>
      </c>
      <c r="G165" s="83"/>
      <c r="H165" s="83"/>
      <c r="I165" s="593"/>
      <c r="J165" s="1497">
        <f t="shared" si="45"/>
        <v>44894.95694444445</v>
      </c>
      <c r="K165" s="660" t="str">
        <f t="shared" ref="K165:K166" si="48">IF($M$164-J165&lt;0, "-" &amp; TEXT(ABS($M$164-J165),"[hh]:mm:ss"), TEXT($M$164-J165,"[hh]:mm:ss"))</f>
        <v>00:10:17</v>
      </c>
      <c r="L165" s="1671"/>
      <c r="M165" s="1652"/>
    </row>
    <row r="166" spans="1:13" s="85" customFormat="1" ht="19.8" thickBot="1" x14ac:dyDescent="0.5">
      <c r="A166" s="1586"/>
      <c r="B166" s="1639"/>
      <c r="C166" s="634" t="s">
        <v>3270</v>
      </c>
      <c r="D166" s="158"/>
      <c r="E166" s="1514">
        <v>44894.688888888886</v>
      </c>
      <c r="F166" s="1514">
        <v>44894.718055555553</v>
      </c>
      <c r="G166" s="1514"/>
      <c r="H166" s="1514"/>
      <c r="I166" s="656"/>
      <c r="J166" s="1514">
        <f t="shared" si="45"/>
        <v>44895.022222222222</v>
      </c>
      <c r="K166" s="1534" t="str">
        <f t="shared" si="48"/>
        <v>-01:23:43</v>
      </c>
      <c r="L166" s="1586"/>
      <c r="M166" s="1610"/>
    </row>
    <row r="167" spans="1:13" ht="19.8" thickTop="1" x14ac:dyDescent="0.45">
      <c r="A167" s="1618" t="s">
        <v>138</v>
      </c>
      <c r="B167" s="1607" t="s">
        <v>9</v>
      </c>
      <c r="C167" s="1531" t="s">
        <v>3269</v>
      </c>
      <c r="D167" s="157"/>
      <c r="E167" s="1504">
        <v>45076.056250000001</v>
      </c>
      <c r="F167" s="1504">
        <v>45076.084027777775</v>
      </c>
      <c r="G167" s="1504"/>
      <c r="H167" s="1504"/>
      <c r="I167" s="594"/>
      <c r="J167" s="1504">
        <f t="shared" si="45"/>
        <v>45076.389583333337</v>
      </c>
      <c r="K167" s="659" t="str">
        <f>IF($M$167-J167&lt;0, "-" &amp; TEXT(ABS($M$167-J167),"[hh]:mm:ss"), TEXT($M$167-J167,"[hh]:mm:ss"))</f>
        <v>00:10:13</v>
      </c>
      <c r="L167" s="1587">
        <v>45076.396643518521</v>
      </c>
      <c r="M167" s="1588">
        <v>45076.396678240744</v>
      </c>
    </row>
    <row r="168" spans="1:13" x14ac:dyDescent="0.45">
      <c r="A168" s="1619"/>
      <c r="B168" s="1615"/>
      <c r="C168" s="1512" t="s">
        <v>1409</v>
      </c>
      <c r="D168" s="319"/>
      <c r="E168" s="1530">
        <v>45076.056250000001</v>
      </c>
      <c r="F168" s="1530">
        <v>45076.085416666669</v>
      </c>
      <c r="G168" s="1530"/>
      <c r="H168" s="1530"/>
      <c r="I168" s="596"/>
      <c r="J168" s="1530">
        <f t="shared" si="45"/>
        <v>45076.389583333337</v>
      </c>
      <c r="K168" s="663" t="str">
        <f t="shared" ref="K168:K169" si="49">IF($M$167-J168&lt;0, "-" &amp; TEXT(ABS($M$167-J168),"[hh]:mm:ss"), TEXT($M$167-J168,"[hh]:mm:ss"))</f>
        <v>00:10:13</v>
      </c>
      <c r="L168" s="1591"/>
      <c r="M168" s="1589"/>
    </row>
    <row r="169" spans="1:13" ht="19.8" thickBot="1" x14ac:dyDescent="0.5">
      <c r="A169" s="1583"/>
      <c r="B169" s="1608"/>
      <c r="C169" s="1484" t="s">
        <v>975</v>
      </c>
      <c r="D169" s="86"/>
      <c r="E169" s="1481">
        <v>45076.056250000001</v>
      </c>
      <c r="F169" s="1481">
        <v>45076.07708333333</v>
      </c>
      <c r="G169" s="1481"/>
      <c r="H169" s="1481"/>
      <c r="I169" s="656"/>
      <c r="J169" s="1481">
        <f t="shared" si="45"/>
        <v>45076.389583333337</v>
      </c>
      <c r="K169" s="1534" t="str">
        <f t="shared" si="49"/>
        <v>00:10:13</v>
      </c>
      <c r="L169" s="1585"/>
      <c r="M169" s="1590"/>
    </row>
    <row r="170" spans="1:13" s="104" customFormat="1" ht="19.8" thickTop="1" x14ac:dyDescent="0.45">
      <c r="A170" s="1618" t="s">
        <v>138</v>
      </c>
      <c r="B170" s="1607" t="s">
        <v>9</v>
      </c>
      <c r="C170" s="1531" t="s">
        <v>3269</v>
      </c>
      <c r="D170" s="157"/>
      <c r="E170" s="1504">
        <v>45225.12777777778</v>
      </c>
      <c r="F170" s="1504">
        <v>45225.155555555553</v>
      </c>
      <c r="G170" s="1504"/>
      <c r="H170" s="1504"/>
      <c r="I170" s="594"/>
      <c r="J170" s="1504">
        <f t="shared" ref="J170:J177" si="50">E170+TIME(8,0,0)</f>
        <v>45225.461111111115</v>
      </c>
      <c r="K170" s="659" t="str">
        <f>IF($M$170-J170&lt;0, "-" &amp; TEXT(ABS($M$170-J170),"[hh]:mm:ss"), TEXT($M$170-J170,"[hh]:mm:ss"))</f>
        <v>00:01:25</v>
      </c>
      <c r="L170" s="1587">
        <v>45225.462094907409</v>
      </c>
      <c r="M170" s="1588">
        <v>45225.462094907409</v>
      </c>
    </row>
    <row r="171" spans="1:13" s="104" customFormat="1" ht="19.8" thickBot="1" x14ac:dyDescent="0.5">
      <c r="A171" s="1583"/>
      <c r="B171" s="1608"/>
      <c r="C171" s="1474" t="s">
        <v>974</v>
      </c>
      <c r="D171" s="82"/>
      <c r="E171" s="1514">
        <v>45225.12777777778</v>
      </c>
      <c r="F171" s="1514">
        <v>45225.156944444447</v>
      </c>
      <c r="G171" s="1514"/>
      <c r="H171" s="1514"/>
      <c r="I171" s="595"/>
      <c r="J171" s="1514">
        <f t="shared" si="50"/>
        <v>45225.461111111115</v>
      </c>
      <c r="K171" s="661" t="str">
        <f>IF($M$170-J171&lt;0, "-" &amp; TEXT(ABS($M$170-J171),"[hh]:mm:ss"), TEXT($M$170-J171,"[hh]:mm:ss"))</f>
        <v>00:01:25</v>
      </c>
      <c r="L171" s="1585"/>
      <c r="M171" s="1590"/>
    </row>
    <row r="172" spans="1:13" s="104" customFormat="1" ht="20.399999999999999" thickTop="1" thickBot="1" x14ac:dyDescent="0.5">
      <c r="A172" s="1582" t="s">
        <v>138</v>
      </c>
      <c r="B172" s="1621" t="s">
        <v>9</v>
      </c>
      <c r="C172" s="1653" t="s">
        <v>784</v>
      </c>
      <c r="D172" s="1504" t="s">
        <v>1331</v>
      </c>
      <c r="E172" s="1496">
        <v>45274.584027777775</v>
      </c>
      <c r="F172" s="1496">
        <v>45274.715277777781</v>
      </c>
      <c r="G172" s="1496"/>
      <c r="H172" s="1496"/>
      <c r="I172" s="594"/>
      <c r="J172" s="1504">
        <f t="shared" si="50"/>
        <v>45274.917361111111</v>
      </c>
      <c r="K172" s="659" t="str">
        <f>IF($M$172-J172&lt;0, "-" &amp; TEXT(ABS($M$172-J172),"[hh]:mm:ss"), TEXT($M$172-J172,"[hh]:mm:ss"))</f>
        <v>00:09:00</v>
      </c>
      <c r="L172" s="1640">
        <v>45274.961111111108</v>
      </c>
      <c r="M172" s="1609">
        <v>45274.923611111109</v>
      </c>
    </row>
    <row r="173" spans="1:13" s="104" customFormat="1" ht="20.399999999999999" thickTop="1" thickBot="1" x14ac:dyDescent="0.5">
      <c r="A173" s="1583"/>
      <c r="B173" s="1608"/>
      <c r="C173" s="1698"/>
      <c r="D173" s="1481" t="s">
        <v>1332</v>
      </c>
      <c r="E173" s="1514">
        <v>45274.584027777775</v>
      </c>
      <c r="F173" s="1514">
        <v>45274.718055555553</v>
      </c>
      <c r="G173" s="1514"/>
      <c r="H173" s="1514"/>
      <c r="I173" s="595"/>
      <c r="J173" s="1514">
        <f t="shared" si="50"/>
        <v>45274.917361111111</v>
      </c>
      <c r="K173" s="661" t="str">
        <f>IF($M$172-J173&lt;0, "-" &amp; TEXT(ABS($M$172-J173),"[hh]:mm:ss"), TEXT($M$172-J173,"[hh]:mm:ss"))</f>
        <v>00:09:00</v>
      </c>
      <c r="L173" s="1583"/>
      <c r="M173" s="1624"/>
    </row>
    <row r="174" spans="1:13" s="104" customFormat="1" ht="19.8" thickTop="1" x14ac:dyDescent="0.45">
      <c r="A174" s="1618" t="s">
        <v>138</v>
      </c>
      <c r="B174" s="1607" t="s">
        <v>9</v>
      </c>
      <c r="C174" s="1531" t="s">
        <v>3269</v>
      </c>
      <c r="D174" s="157" t="s">
        <v>1817</v>
      </c>
      <c r="E174" s="1504">
        <v>45407.53402777778</v>
      </c>
      <c r="F174" s="1504">
        <v>45407.561805555553</v>
      </c>
      <c r="G174" s="1504"/>
      <c r="H174" s="1504"/>
      <c r="I174" s="594"/>
      <c r="J174" s="1504">
        <f t="shared" si="50"/>
        <v>45407.867361111115</v>
      </c>
      <c r="K174" s="659" t="str">
        <f>IF($M$174-J174&lt;0, "-" &amp; TEXT(ABS($M$174-J174),"[hh]:mm:ss"), TEXT($M$174-J174,"[hh]:mm:ss"))</f>
        <v>00:10:00</v>
      </c>
      <c r="L174" s="1587">
        <v>45407.874305555553</v>
      </c>
      <c r="M174" s="1588">
        <v>45407.874305555553</v>
      </c>
    </row>
    <row r="175" spans="1:13" s="104" customFormat="1" ht="19.8" thickBot="1" x14ac:dyDescent="0.5">
      <c r="A175" s="1583"/>
      <c r="B175" s="1608"/>
      <c r="C175" s="1474" t="s">
        <v>974</v>
      </c>
      <c r="D175" s="82" t="s">
        <v>1818</v>
      </c>
      <c r="E175" s="1514">
        <v>45407.53402777778</v>
      </c>
      <c r="F175" s="1514">
        <v>45407.563194444447</v>
      </c>
      <c r="G175" s="1514"/>
      <c r="H175" s="1514"/>
      <c r="I175" s="595"/>
      <c r="J175" s="1514">
        <f t="shared" si="50"/>
        <v>45407.867361111115</v>
      </c>
      <c r="K175" s="661" t="str">
        <f>IF($M$174-J175&lt;0, "-" &amp; TEXT(ABS($M$174-J175),"[hh]:mm:ss"), TEXT($M$174-J175,"[hh]:mm:ss"))</f>
        <v>00:10:00</v>
      </c>
      <c r="L175" s="1585"/>
      <c r="M175" s="1590"/>
    </row>
    <row r="176" spans="1:13" s="104" customFormat="1" ht="19.8" thickTop="1" x14ac:dyDescent="0.45">
      <c r="A176" s="1618" t="s">
        <v>138</v>
      </c>
      <c r="B176" s="1607" t="s">
        <v>9</v>
      </c>
      <c r="C176" s="1531" t="s">
        <v>3269</v>
      </c>
      <c r="D176" s="157" t="s">
        <v>2204</v>
      </c>
      <c r="E176" s="1504">
        <v>45594.845138888886</v>
      </c>
      <c r="F176" s="1504">
        <v>45594.872916666667</v>
      </c>
      <c r="G176" s="1504"/>
      <c r="H176" s="1504"/>
      <c r="I176" s="594"/>
      <c r="J176" s="1504">
        <f t="shared" si="50"/>
        <v>45595.178472222222</v>
      </c>
      <c r="K176" s="659" t="str">
        <f>IF($M$176-J176&lt;0, "-" &amp; TEXT(ABS($M$176-J176),"[hh]:mm:ss"), TEXT($M$176-J176,"[hh]:mm:ss"))</f>
        <v>00:10:34</v>
      </c>
      <c r="L176" s="1587">
        <v>45595.185416666667</v>
      </c>
      <c r="M176" s="1588">
        <v>45595.185810185183</v>
      </c>
    </row>
    <row r="177" spans="1:13" s="104" customFormat="1" ht="19.8" thickBot="1" x14ac:dyDescent="0.5">
      <c r="A177" s="1583"/>
      <c r="B177" s="1608"/>
      <c r="C177" s="1474" t="s">
        <v>2203</v>
      </c>
      <c r="D177" s="82" t="s">
        <v>2205</v>
      </c>
      <c r="E177" s="1514">
        <v>45594.845138888886</v>
      </c>
      <c r="F177" s="1514">
        <v>45594.874305555553</v>
      </c>
      <c r="G177" s="1514"/>
      <c r="H177" s="1514"/>
      <c r="I177" s="595"/>
      <c r="J177" s="1514">
        <f t="shared" si="50"/>
        <v>45595.178472222222</v>
      </c>
      <c r="K177" s="661" t="str">
        <f>IF($M$176-J177&lt;0, "-" &amp; TEXT(ABS($M$176-J177),"[hh]:mm:ss"), TEXT($M$176-J177,"[hh]:mm:ss"))</f>
        <v>00:10:34</v>
      </c>
      <c r="L177" s="1585"/>
      <c r="M177" s="1590"/>
    </row>
    <row r="178" spans="1:13" s="104" customFormat="1" ht="19.8" thickTop="1" x14ac:dyDescent="0.45">
      <c r="A178" s="1618" t="s">
        <v>138</v>
      </c>
      <c r="B178" s="1607" t="s">
        <v>9</v>
      </c>
      <c r="C178" s="1531" t="s">
        <v>3269</v>
      </c>
      <c r="D178" s="157" t="s">
        <v>2750</v>
      </c>
      <c r="E178" s="1504">
        <v>45771.379861111112</v>
      </c>
      <c r="F178" s="1504">
        <v>45771.407638888886</v>
      </c>
      <c r="G178" s="1504"/>
      <c r="H178" s="1504"/>
      <c r="I178" s="594"/>
      <c r="J178" s="1504">
        <f t="shared" ref="J178:J179" si="51">E178+TIME(8,0,0)</f>
        <v>45771.713194444448</v>
      </c>
      <c r="K178" s="659" t="str">
        <f>IF($M$178-J178&lt;0, "-" &amp; TEXT(ABS($M$178-J178),"[hh]:mm:ss"), TEXT($M$178-J178,"[hh]:mm:ss"))</f>
        <v>00:10:31</v>
      </c>
      <c r="L178" s="1587">
        <v>45771.720138888886</v>
      </c>
      <c r="M178" s="1588">
        <v>45771.720497685186</v>
      </c>
    </row>
    <row r="179" spans="1:13" s="104" customFormat="1" ht="19.8" thickBot="1" x14ac:dyDescent="0.5">
      <c r="A179" s="1583"/>
      <c r="B179" s="1608"/>
      <c r="C179" s="1474" t="s">
        <v>2203</v>
      </c>
      <c r="D179" s="82" t="s">
        <v>2751</v>
      </c>
      <c r="E179" s="1514">
        <v>45771.379861111112</v>
      </c>
      <c r="F179" s="1514">
        <v>45771.40902777778</v>
      </c>
      <c r="G179" s="1514"/>
      <c r="H179" s="1514"/>
      <c r="I179" s="595"/>
      <c r="J179" s="1514">
        <f t="shared" si="51"/>
        <v>45771.713194444448</v>
      </c>
      <c r="K179" s="661" t="str">
        <f>IF($M$178-J179&lt;0, "-" &amp; TEXT(ABS($M$178-J179),"[hh]:mm:ss"), TEXT($M$178-J179,"[hh]:mm:ss"))</f>
        <v>00:10:31</v>
      </c>
      <c r="L179" s="1585"/>
      <c r="M179" s="1590"/>
    </row>
    <row r="180" spans="1:13" s="104" customFormat="1" ht="19.8" thickTop="1" x14ac:dyDescent="0.45">
      <c r="A180" s="1618" t="s">
        <v>138</v>
      </c>
      <c r="B180" s="1607" t="s">
        <v>9</v>
      </c>
      <c r="C180" s="1531" t="s">
        <v>3269</v>
      </c>
      <c r="D180" s="157" t="s">
        <v>3063</v>
      </c>
      <c r="E180" s="1504">
        <v>45961.648611111108</v>
      </c>
      <c r="F180" s="1504">
        <v>45961.676388888889</v>
      </c>
      <c r="G180" s="1504"/>
      <c r="H180" s="1504"/>
      <c r="I180" s="594"/>
      <c r="J180" s="1504">
        <f t="shared" ref="J180:J181" si="52">E180+TIME(8,0,0)</f>
        <v>45961.981944444444</v>
      </c>
      <c r="K180" s="659" t="str">
        <f>IF($M$180-J180&lt;0, "-" &amp; TEXT(ABS($M$180-J180),"[hh]:mm:ss"), TEXT($M$180-J180,"[hh]:mm:ss"))</f>
        <v>00:10:00</v>
      </c>
      <c r="L180" s="1587">
        <v>45961.988888888889</v>
      </c>
      <c r="M180" s="1588">
        <v>45961.988888888889</v>
      </c>
    </row>
    <row r="181" spans="1:13" s="104" customFormat="1" ht="19.8" thickBot="1" x14ac:dyDescent="0.5">
      <c r="A181" s="1583"/>
      <c r="B181" s="1608"/>
      <c r="C181" s="1474" t="s">
        <v>2203</v>
      </c>
      <c r="D181" s="82" t="s">
        <v>3064</v>
      </c>
      <c r="E181" s="1514">
        <v>45961.648611111108</v>
      </c>
      <c r="F181" s="1514">
        <v>45961.677777777775</v>
      </c>
      <c r="G181" s="1514"/>
      <c r="H181" s="1514"/>
      <c r="I181" s="595"/>
      <c r="J181" s="1514">
        <f t="shared" si="52"/>
        <v>45961.981944444444</v>
      </c>
      <c r="K181" s="661" t="str">
        <f>IF($M$180-J181&lt;0, "-" &amp; TEXT(ABS($M$180-J181),"[hh]:mm:ss"), TEXT($M$180-J181,"[hh]:mm:ss"))</f>
        <v>00:10:00</v>
      </c>
      <c r="L181" s="1585"/>
      <c r="M181" s="1590"/>
    </row>
    <row r="182" spans="1:13" ht="19.8" collapsed="1" thickTop="1" x14ac:dyDescent="0.45">
      <c r="A182" s="1618" t="s">
        <v>138</v>
      </c>
      <c r="B182" s="1607" t="s">
        <v>9</v>
      </c>
      <c r="C182" s="1531" t="s">
        <v>3269</v>
      </c>
      <c r="D182" s="157" t="s">
        <v>3182</v>
      </c>
      <c r="E182" s="1504">
        <v>45986.167361111111</v>
      </c>
      <c r="F182" s="1504">
        <v>45986.195138888892</v>
      </c>
      <c r="G182" s="1504"/>
      <c r="H182" s="1504"/>
      <c r="I182" s="594"/>
      <c r="J182" s="1504">
        <f t="shared" ref="J182:J183" si="53">E182+TIME(8,0,0)</f>
        <v>45986.500694444447</v>
      </c>
      <c r="K182" s="659" t="str">
        <f>IF($M$182-J182&lt;0, "-" &amp; TEXT(ABS($M$182-J182),"[hh]:mm:ss"), TEXT($M$182-J182,"[hh]:mm:ss"))</f>
        <v>00:10:00</v>
      </c>
      <c r="L182" s="1587">
        <v>45986.507638888892</v>
      </c>
      <c r="M182" s="1588">
        <v>45986.507638888892</v>
      </c>
    </row>
    <row r="183" spans="1:13" s="104" customFormat="1" ht="19.8" thickBot="1" x14ac:dyDescent="0.5">
      <c r="A183" s="1583"/>
      <c r="B183" s="1608"/>
      <c r="C183" s="1474" t="s">
        <v>2203</v>
      </c>
      <c r="D183" s="82" t="s">
        <v>3183</v>
      </c>
      <c r="E183" s="1514">
        <v>45986.167361111111</v>
      </c>
      <c r="F183" s="1514">
        <v>45986.196527777778</v>
      </c>
      <c r="G183" s="1514"/>
      <c r="H183" s="1514"/>
      <c r="I183" s="595"/>
      <c r="J183" s="1514">
        <f t="shared" si="53"/>
        <v>45986.500694444447</v>
      </c>
      <c r="K183" s="661" t="str">
        <f>IF($M$182-J183&lt;0, "-" &amp; TEXT(ABS($M$182-J183),"[hh]:mm:ss"), TEXT($M$182-J183,"[hh]:mm:ss"))</f>
        <v>00:10:00</v>
      </c>
      <c r="L183" s="1585"/>
      <c r="M183" s="1590"/>
    </row>
    <row r="184" spans="1:13" s="104" customFormat="1" ht="22.8" customHeight="1" collapsed="1" thickTop="1" x14ac:dyDescent="0.45">
      <c r="A184" s="1618" t="s">
        <v>138</v>
      </c>
      <c r="B184" s="1607" t="s">
        <v>9</v>
      </c>
      <c r="C184" s="1708" t="s">
        <v>978</v>
      </c>
      <c r="D184" s="157" t="s">
        <v>3392</v>
      </c>
      <c r="E184" s="1504">
        <v>46060.158333333333</v>
      </c>
      <c r="F184" s="1504">
        <v>46060.171527777777</v>
      </c>
      <c r="G184" s="1504"/>
      <c r="H184" s="1504"/>
      <c r="I184" s="594"/>
      <c r="J184" s="1504">
        <f t="shared" ref="J184:J185" si="54">E184+TIME(8,0,0)</f>
        <v>46060.491666666669</v>
      </c>
      <c r="K184" s="659" t="str">
        <f>IF($M$184-J184&lt;0, "-" &amp; TEXT(ABS($M$184-J184),"[hh]:mm:ss"), TEXT($M$184-J184,"[hh]:mm:ss"))</f>
        <v>00:09:00</v>
      </c>
      <c r="L184" s="1587">
        <v>46060.497916666667</v>
      </c>
      <c r="M184" s="1588">
        <v>46060.497916666667</v>
      </c>
    </row>
    <row r="185" spans="1:13" s="104" customFormat="1" ht="19.8" thickBot="1" x14ac:dyDescent="0.5">
      <c r="A185" s="1583"/>
      <c r="B185" s="1608"/>
      <c r="C185" s="1709"/>
      <c r="D185" s="82" t="s">
        <v>3393</v>
      </c>
      <c r="E185" s="1514">
        <v>46060.15902777778</v>
      </c>
      <c r="F185" s="1514">
        <v>46060.173611111109</v>
      </c>
      <c r="G185" s="1514"/>
      <c r="H185" s="1514"/>
      <c r="I185" s="595"/>
      <c r="J185" s="1514">
        <f t="shared" si="54"/>
        <v>46060.492361111115</v>
      </c>
      <c r="K185" s="661" t="str">
        <f>IF($M$184-J185&lt;0, "-" &amp; TEXT(ABS($M$184-J185),"[hh]:mm:ss"), TEXT($M$184-J185,"[hh]:mm:ss"))</f>
        <v>00:08:00</v>
      </c>
      <c r="L185" s="1585"/>
      <c r="M185" s="1590"/>
    </row>
    <row r="186" spans="1:13" s="104" customFormat="1" ht="22.8" customHeight="1" collapsed="1" thickTop="1" x14ac:dyDescent="0.45">
      <c r="A186" s="1618" t="s">
        <v>138</v>
      </c>
      <c r="B186" s="1607" t="s">
        <v>9</v>
      </c>
      <c r="C186" s="983" t="s">
        <v>3604</v>
      </c>
      <c r="D186" s="157" t="s">
        <v>3605</v>
      </c>
      <c r="E186" s="1504">
        <v>46166.623611111114</v>
      </c>
      <c r="F186" s="1504">
        <v>46166.651388888888</v>
      </c>
      <c r="G186" s="1504"/>
      <c r="H186" s="1504"/>
      <c r="I186" s="594"/>
      <c r="J186" s="1504">
        <f t="shared" ref="J186:J187" si="55">E186+TIME(8,0,0)</f>
        <v>46166.95694444445</v>
      </c>
      <c r="K186" s="659" t="str">
        <f>IF($M$186-J186&lt;0, "-" &amp; TEXT(ABS($M$186-J186),"[hh]:mm:ss"), TEXT($M$186-J186,"[hh]:mm:ss"))</f>
        <v>00:10:00</v>
      </c>
      <c r="L186" s="1587">
        <v>46166.963888888888</v>
      </c>
      <c r="M186" s="1588">
        <v>46166.963888888888</v>
      </c>
    </row>
    <row r="187" spans="1:13" s="104" customFormat="1" ht="19.8" thickBot="1" x14ac:dyDescent="0.5">
      <c r="A187" s="1583"/>
      <c r="B187" s="1608"/>
      <c r="C187" s="1529" t="s">
        <v>1409</v>
      </c>
      <c r="D187" s="82" t="s">
        <v>3606</v>
      </c>
      <c r="E187" s="1514">
        <v>46166.623611111114</v>
      </c>
      <c r="F187" s="1514">
        <v>46166.652777777781</v>
      </c>
      <c r="G187" s="1514"/>
      <c r="H187" s="1514"/>
      <c r="I187" s="595"/>
      <c r="J187" s="1514">
        <f t="shared" si="55"/>
        <v>46166.95694444445</v>
      </c>
      <c r="K187" s="661" t="str">
        <f>IF($M$186-J187&lt;0, "-" &amp; TEXT(ABS($M$186-J187),"[hh]:mm:ss"), TEXT($M$186-J187,"[hh]:mm:ss"))</f>
        <v>00:10:00</v>
      </c>
      <c r="L187" s="1585"/>
      <c r="M187" s="1590"/>
    </row>
    <row r="188" spans="1:13" s="104" customFormat="1" ht="20.399999999999999" thickTop="1" thickBot="1" x14ac:dyDescent="0.5">
      <c r="A188" s="314"/>
      <c r="B188" s="314"/>
      <c r="C188" s="633"/>
      <c r="D188" s="84"/>
      <c r="E188" s="84"/>
      <c r="F188" s="84"/>
      <c r="G188" s="84"/>
      <c r="H188" s="84"/>
      <c r="I188" s="597"/>
      <c r="J188" s="84"/>
      <c r="K188" s="664"/>
      <c r="L188" s="132"/>
      <c r="M188" s="623"/>
    </row>
    <row r="189" spans="1:13" s="104" customFormat="1" ht="20.399999999999999" thickTop="1" thickBot="1" x14ac:dyDescent="0.5">
      <c r="A189" s="1707" t="s">
        <v>1809</v>
      </c>
      <c r="B189" s="1621" t="s">
        <v>52</v>
      </c>
      <c r="C189" s="1485" t="s">
        <v>780</v>
      </c>
      <c r="D189" s="588" t="s">
        <v>1393</v>
      </c>
      <c r="E189" s="1497">
        <v>45286.129166666666</v>
      </c>
      <c r="F189" s="1497">
        <v>45286.15347222222</v>
      </c>
      <c r="G189" s="1497"/>
      <c r="H189" s="1497"/>
      <c r="I189" s="593"/>
      <c r="J189" s="1497">
        <f t="shared" ref="J189:J211" si="56">E189+TIME(8,0,0)</f>
        <v>45286.462500000001</v>
      </c>
      <c r="K189" s="660" t="str">
        <f t="shared" ref="K189:K194" si="57">IF($M$189-J189&lt;0, "-" &amp; TEXT(ABS($M$189-J189),"[hh]:mm:ss"), TEXT($M$189-J189,"[hh]:mm:ss"))</f>
        <v>00:20:00</v>
      </c>
      <c r="L189" s="1585">
        <v>45286.469444444447</v>
      </c>
      <c r="M189" s="1590">
        <v>45286.476388888892</v>
      </c>
    </row>
    <row r="190" spans="1:13" s="104" customFormat="1" ht="20.399999999999999" thickTop="1" thickBot="1" x14ac:dyDescent="0.5">
      <c r="A190" s="1583"/>
      <c r="B190" s="1608"/>
      <c r="C190" s="631" t="s">
        <v>3264</v>
      </c>
      <c r="D190" s="319" t="s">
        <v>1394</v>
      </c>
      <c r="E190" s="1530">
        <v>45286.129861111112</v>
      </c>
      <c r="F190" s="1530">
        <v>45286.15625</v>
      </c>
      <c r="G190" s="1530"/>
      <c r="H190" s="1530"/>
      <c r="I190" s="596"/>
      <c r="J190" s="1530">
        <f t="shared" si="56"/>
        <v>45286.463194444448</v>
      </c>
      <c r="K190" s="663" t="str">
        <f t="shared" si="57"/>
        <v>00:19:00</v>
      </c>
      <c r="L190" s="1585"/>
      <c r="M190" s="1590"/>
    </row>
    <row r="191" spans="1:13" s="104" customFormat="1" ht="20.399999999999999" thickTop="1" thickBot="1" x14ac:dyDescent="0.5">
      <c r="A191" s="1583"/>
      <c r="B191" s="1608"/>
      <c r="C191" s="1512" t="s">
        <v>781</v>
      </c>
      <c r="D191" s="319" t="s">
        <v>1395</v>
      </c>
      <c r="E191" s="1530">
        <v>45286.131249999999</v>
      </c>
      <c r="F191" s="1530">
        <v>45286.160416666666</v>
      </c>
      <c r="G191" s="1530"/>
      <c r="H191" s="1530"/>
      <c r="I191" s="596"/>
      <c r="J191" s="1530">
        <f t="shared" si="56"/>
        <v>45286.464583333334</v>
      </c>
      <c r="K191" s="663" t="str">
        <f t="shared" si="57"/>
        <v>00:17:00</v>
      </c>
      <c r="L191" s="1585"/>
      <c r="M191" s="1590"/>
    </row>
    <row r="192" spans="1:13" s="104" customFormat="1" ht="20.399999999999999" thickTop="1" thickBot="1" x14ac:dyDescent="0.5">
      <c r="A192" s="1583"/>
      <c r="B192" s="1608"/>
      <c r="C192" s="1704" t="s">
        <v>1280</v>
      </c>
      <c r="D192" s="588" t="s">
        <v>1405</v>
      </c>
      <c r="E192" s="1530">
        <v>45286.125</v>
      </c>
      <c r="F192" s="1530">
        <v>45286.166666666664</v>
      </c>
      <c r="G192" s="1530"/>
      <c r="H192" s="1530"/>
      <c r="I192" s="593"/>
      <c r="J192" s="1497">
        <f t="shared" si="56"/>
        <v>45286.458333333336</v>
      </c>
      <c r="K192" s="660" t="str">
        <f t="shared" si="57"/>
        <v>00:26:00</v>
      </c>
      <c r="L192" s="1585"/>
      <c r="M192" s="1590"/>
    </row>
    <row r="193" spans="1:13" s="85" customFormat="1" ht="20.399999999999999" thickTop="1" thickBot="1" x14ac:dyDescent="0.5">
      <c r="A193" s="1583"/>
      <c r="B193" s="1608"/>
      <c r="C193" s="1662"/>
      <c r="D193" s="588" t="s">
        <v>1420</v>
      </c>
      <c r="E193" s="1530">
        <v>45286.125</v>
      </c>
      <c r="F193" s="1530">
        <v>45286.166666666664</v>
      </c>
      <c r="G193" s="1530"/>
      <c r="H193" s="1530"/>
      <c r="I193" s="593"/>
      <c r="J193" s="1497">
        <f t="shared" si="56"/>
        <v>45286.458333333336</v>
      </c>
      <c r="K193" s="660" t="str">
        <f t="shared" si="57"/>
        <v>00:26:00</v>
      </c>
      <c r="L193" s="1585"/>
      <c r="M193" s="1590"/>
    </row>
    <row r="194" spans="1:13" s="104" customFormat="1" ht="20.399999999999999" thickTop="1" thickBot="1" x14ac:dyDescent="0.5">
      <c r="A194" s="1583"/>
      <c r="B194" s="1608"/>
      <c r="C194" s="1484" t="s">
        <v>801</v>
      </c>
      <c r="D194" s="86" t="s">
        <v>1401</v>
      </c>
      <c r="E194" s="1481">
        <v>45286.132638888892</v>
      </c>
      <c r="F194" s="1481">
        <v>45286.159722222219</v>
      </c>
      <c r="G194" s="1481"/>
      <c r="H194" s="1481"/>
      <c r="I194" s="656"/>
      <c r="J194" s="1481">
        <f t="shared" si="56"/>
        <v>45286.465972222228</v>
      </c>
      <c r="K194" s="1534" t="str">
        <f t="shared" si="57"/>
        <v>00:15:00</v>
      </c>
      <c r="L194" s="1583"/>
      <c r="M194" s="1624"/>
    </row>
    <row r="195" spans="1:13" s="104" customFormat="1" ht="19.8" thickTop="1" x14ac:dyDescent="0.45">
      <c r="A195" s="1691" t="s">
        <v>1809</v>
      </c>
      <c r="B195" s="1607" t="s">
        <v>52</v>
      </c>
      <c r="C195" s="1508" t="s">
        <v>780</v>
      </c>
      <c r="D195" s="1530" t="s">
        <v>2118</v>
      </c>
      <c r="E195" s="1530">
        <v>45554.037499999999</v>
      </c>
      <c r="F195" s="1530">
        <v>45554.0625</v>
      </c>
      <c r="G195" s="1530"/>
      <c r="H195" s="1530"/>
      <c r="I195" s="596"/>
      <c r="J195" s="1530">
        <f t="shared" si="56"/>
        <v>45554.370833333334</v>
      </c>
      <c r="K195" s="663" t="str">
        <f t="shared" ref="K195:K200" si="58">IF($M$195-J195&lt;0, "-" &amp; TEXT(ABS($M$195-J195),"[hh]:mm:ss"), TEXT($M$195-J195,"[hh]:mm:ss"))</f>
        <v>00:20:00</v>
      </c>
      <c r="L195" s="1587">
        <v>45554.37777777778</v>
      </c>
      <c r="M195" s="1588">
        <v>45554.384722222225</v>
      </c>
    </row>
    <row r="196" spans="1:13" s="104" customFormat="1" x14ac:dyDescent="0.45">
      <c r="A196" s="1619"/>
      <c r="B196" s="1615"/>
      <c r="C196" s="1508" t="s">
        <v>3264</v>
      </c>
      <c r="D196" s="1530" t="s">
        <v>2120</v>
      </c>
      <c r="E196" s="1530">
        <v>45554.038194444445</v>
      </c>
      <c r="F196" s="1530">
        <v>45554.06527777778</v>
      </c>
      <c r="G196" s="1530"/>
      <c r="H196" s="1530"/>
      <c r="I196" s="596"/>
      <c r="J196" s="1530">
        <f t="shared" si="56"/>
        <v>45554.371527777781</v>
      </c>
      <c r="K196" s="663" t="str">
        <f t="shared" si="58"/>
        <v>00:19:00</v>
      </c>
      <c r="L196" s="1591"/>
      <c r="M196" s="1589"/>
    </row>
    <row r="197" spans="1:13" s="104" customFormat="1" x14ac:dyDescent="0.45">
      <c r="A197" s="1619"/>
      <c r="B197" s="1615"/>
      <c r="C197" s="631" t="s">
        <v>781</v>
      </c>
      <c r="D197" s="103" t="s">
        <v>2119</v>
      </c>
      <c r="E197" s="1530">
        <v>45554.039583333331</v>
      </c>
      <c r="F197" s="1530">
        <v>45554.070138888892</v>
      </c>
      <c r="G197" s="1530"/>
      <c r="H197" s="1530"/>
      <c r="I197" s="596"/>
      <c r="J197" s="1530">
        <f t="shared" si="56"/>
        <v>45554.372916666667</v>
      </c>
      <c r="K197" s="663" t="str">
        <f t="shared" si="58"/>
        <v>00:17:00</v>
      </c>
      <c r="L197" s="1591"/>
      <c r="M197" s="1589"/>
    </row>
    <row r="198" spans="1:13" s="104" customFormat="1" x14ac:dyDescent="0.45">
      <c r="A198" s="1619"/>
      <c r="B198" s="1615"/>
      <c r="C198" s="1489" t="s">
        <v>1407</v>
      </c>
      <c r="D198" s="1497" t="s">
        <v>2117</v>
      </c>
      <c r="E198" s="1497">
        <v>45554.041666666664</v>
      </c>
      <c r="F198" s="1497">
        <v>45554.0625</v>
      </c>
      <c r="G198" s="1497"/>
      <c r="H198" s="1497"/>
      <c r="I198" s="593"/>
      <c r="J198" s="1497">
        <f t="shared" si="56"/>
        <v>45554.375</v>
      </c>
      <c r="K198" s="660" t="str">
        <f t="shared" si="58"/>
        <v>00:14:00</v>
      </c>
      <c r="L198" s="1591"/>
      <c r="M198" s="1589"/>
    </row>
    <row r="199" spans="1:13" x14ac:dyDescent="0.45">
      <c r="A199" s="1619"/>
      <c r="B199" s="1615"/>
      <c r="C199" s="1613" t="s">
        <v>801</v>
      </c>
      <c r="D199" s="1530" t="s">
        <v>2125</v>
      </c>
      <c r="E199" s="1530">
        <v>45554.040277777778</v>
      </c>
      <c r="F199" s="1530">
        <v>45554.068055555559</v>
      </c>
      <c r="G199" s="1530"/>
      <c r="H199" s="1530"/>
      <c r="I199" s="596"/>
      <c r="J199" s="1530">
        <f t="shared" si="56"/>
        <v>45554.373611111114</v>
      </c>
      <c r="K199" s="663" t="str">
        <f t="shared" si="58"/>
        <v>00:16:00</v>
      </c>
      <c r="L199" s="1591"/>
      <c r="M199" s="1589"/>
    </row>
    <row r="200" spans="1:13" ht="19.8" thickBot="1" x14ac:dyDescent="0.5">
      <c r="A200" s="1583"/>
      <c r="B200" s="1608"/>
      <c r="C200" s="1612"/>
      <c r="D200" s="1481" t="s">
        <v>2095</v>
      </c>
      <c r="E200" s="1481">
        <v>45554</v>
      </c>
      <c r="F200" s="1481">
        <v>45554.25</v>
      </c>
      <c r="G200" s="1481"/>
      <c r="H200" s="1481"/>
      <c r="I200" s="656"/>
      <c r="J200" s="1481">
        <f t="shared" si="56"/>
        <v>45554.333333333336</v>
      </c>
      <c r="K200" s="1534" t="str">
        <f t="shared" si="58"/>
        <v>01:14:00</v>
      </c>
      <c r="L200" s="1585"/>
      <c r="M200" s="1590"/>
    </row>
    <row r="201" spans="1:13" ht="20.399999999999999" thickTop="1" thickBot="1" x14ac:dyDescent="0.5">
      <c r="A201" s="1582" t="s">
        <v>105</v>
      </c>
      <c r="B201" s="1621" t="s">
        <v>52</v>
      </c>
      <c r="C201" s="1485" t="s">
        <v>780</v>
      </c>
      <c r="D201" s="587"/>
      <c r="E201" s="1496">
        <v>44666.494444444441</v>
      </c>
      <c r="F201" s="1496">
        <v>44666.520833333336</v>
      </c>
      <c r="G201" s="1496"/>
      <c r="H201" s="1496"/>
      <c r="I201" s="594"/>
      <c r="J201" s="1504">
        <f t="shared" si="56"/>
        <v>44666.827777777777</v>
      </c>
      <c r="K201" s="659" t="str">
        <f t="shared" ref="K201:K203" si="59">IF($M$201-J201&lt;0, "-" &amp; TEXT(ABS($M$201-J201),"[hh]:mm:ss"), TEXT($M$201-J201,"[hh]:mm:ss"))</f>
        <v>00:08:00</v>
      </c>
      <c r="L201" s="1640">
        <v>0</v>
      </c>
      <c r="M201" s="1623">
        <v>44666.833333333336</v>
      </c>
    </row>
    <row r="202" spans="1:13" ht="19.8" thickTop="1" x14ac:dyDescent="0.45">
      <c r="A202" s="1671"/>
      <c r="B202" s="1655"/>
      <c r="C202" s="631" t="s">
        <v>3262</v>
      </c>
      <c r="D202" s="156"/>
      <c r="E202" s="81">
        <v>44666.495833333334</v>
      </c>
      <c r="F202" s="81">
        <v>44666.520833333336</v>
      </c>
      <c r="G202" s="81"/>
      <c r="H202" s="81"/>
      <c r="I202" s="593"/>
      <c r="J202" s="1497">
        <f t="shared" si="56"/>
        <v>44666.82916666667</v>
      </c>
      <c r="K202" s="660" t="str">
        <f t="shared" si="59"/>
        <v>00:06:00</v>
      </c>
      <c r="L202" s="1671"/>
      <c r="M202" s="1652"/>
    </row>
    <row r="203" spans="1:13" ht="19.8" thickBot="1" x14ac:dyDescent="0.5">
      <c r="A203" s="1586"/>
      <c r="B203" s="1639"/>
      <c r="C203" s="1484" t="s">
        <v>788</v>
      </c>
      <c r="D203" s="86"/>
      <c r="E203" s="1481">
        <v>44666.503472222219</v>
      </c>
      <c r="F203" s="1481">
        <v>44666.524305555555</v>
      </c>
      <c r="G203" s="1481"/>
      <c r="H203" s="1481"/>
      <c r="I203" s="656"/>
      <c r="J203" s="1514">
        <f t="shared" si="56"/>
        <v>44666.836805555555</v>
      </c>
      <c r="K203" s="1534" t="str">
        <f t="shared" si="59"/>
        <v>-00:05:00</v>
      </c>
      <c r="L203" s="1586"/>
      <c r="M203" s="1610"/>
    </row>
    <row r="204" spans="1:13" ht="20.399999999999999" thickTop="1" thickBot="1" x14ac:dyDescent="0.5">
      <c r="A204" s="1582" t="s">
        <v>105</v>
      </c>
      <c r="B204" s="1621" t="s">
        <v>52</v>
      </c>
      <c r="C204" s="1661" t="s">
        <v>780</v>
      </c>
      <c r="D204" s="1587"/>
      <c r="E204" s="1496">
        <v>44754.679861111108</v>
      </c>
      <c r="F204" s="1496">
        <v>44754.711111111108</v>
      </c>
      <c r="G204" s="1496"/>
      <c r="H204" s="1496"/>
      <c r="I204" s="594"/>
      <c r="J204" s="1504">
        <f t="shared" si="56"/>
        <v>44755.013194444444</v>
      </c>
      <c r="K204" s="659" t="str">
        <f t="shared" ref="K204:K207" si="60">IF($M$204-J204&lt;0, "-" &amp; TEXT(ABS($M$204-J204),"[hh]:mm:ss"), TEXT($M$204-J204,"[hh]:mm:ss"))</f>
        <v>00:11:00</v>
      </c>
      <c r="L204" s="1640">
        <v>44755.020833333336</v>
      </c>
      <c r="M204" s="1609">
        <v>44755.020833333336</v>
      </c>
    </row>
    <row r="205" spans="1:13" ht="19.8" thickTop="1" x14ac:dyDescent="0.45">
      <c r="A205" s="1671"/>
      <c r="B205" s="1655"/>
      <c r="C205" s="1686"/>
      <c r="D205" s="1684"/>
      <c r="E205" s="81">
        <v>44754.680555555555</v>
      </c>
      <c r="F205" s="81">
        <v>44754.711111111108</v>
      </c>
      <c r="G205" s="81"/>
      <c r="H205" s="81"/>
      <c r="I205" s="593"/>
      <c r="J205" s="1497">
        <f t="shared" si="56"/>
        <v>44755.013888888891</v>
      </c>
      <c r="K205" s="660" t="str">
        <f t="shared" si="60"/>
        <v>00:10:00</v>
      </c>
      <c r="L205" s="1671"/>
      <c r="M205" s="1652"/>
    </row>
    <row r="206" spans="1:13" x14ac:dyDescent="0.45">
      <c r="A206" s="1671"/>
      <c r="B206" s="1655"/>
      <c r="C206" s="631" t="s">
        <v>3262</v>
      </c>
      <c r="D206" s="156"/>
      <c r="E206" s="81">
        <v>44754.681944444441</v>
      </c>
      <c r="F206" s="81">
        <v>44754.711111111108</v>
      </c>
      <c r="G206" s="81"/>
      <c r="H206" s="81"/>
      <c r="I206" s="593"/>
      <c r="J206" s="1497">
        <f t="shared" si="56"/>
        <v>44755.015277777777</v>
      </c>
      <c r="K206" s="660" t="str">
        <f t="shared" si="60"/>
        <v>00:08:00</v>
      </c>
      <c r="L206" s="1671"/>
      <c r="M206" s="1652"/>
    </row>
    <row r="207" spans="1:13" ht="19.8" thickBot="1" x14ac:dyDescent="0.5">
      <c r="A207" s="1586"/>
      <c r="B207" s="1639"/>
      <c r="C207" s="1474" t="s">
        <v>793</v>
      </c>
      <c r="D207" s="82"/>
      <c r="E207" s="1514">
        <v>44754.69027777778</v>
      </c>
      <c r="F207" s="1514">
        <v>44754.742361111108</v>
      </c>
      <c r="G207" s="1514"/>
      <c r="H207" s="1514"/>
      <c r="I207" s="595"/>
      <c r="J207" s="1514">
        <f t="shared" si="56"/>
        <v>44755.023611111115</v>
      </c>
      <c r="K207" s="661" t="str">
        <f t="shared" si="60"/>
        <v>-00:04:00</v>
      </c>
      <c r="L207" s="1586"/>
      <c r="M207" s="1610"/>
    </row>
    <row r="208" spans="1:13" ht="19.8" thickTop="1" x14ac:dyDescent="0.45">
      <c r="A208" s="1637" t="s">
        <v>105</v>
      </c>
      <c r="B208" s="1658" t="s">
        <v>52</v>
      </c>
      <c r="C208" s="1661" t="s">
        <v>780</v>
      </c>
      <c r="D208" s="1587"/>
      <c r="E208" s="1496">
        <v>44870.486111111109</v>
      </c>
      <c r="F208" s="1496">
        <v>44870.510416666664</v>
      </c>
      <c r="G208" s="1496"/>
      <c r="H208" s="1496"/>
      <c r="I208" s="594"/>
      <c r="J208" s="1504">
        <f t="shared" si="56"/>
        <v>44870.819444444445</v>
      </c>
      <c r="K208" s="659" t="str">
        <f t="shared" ref="K208:K211" si="61">IF($M$208-J208&lt;0, "-" &amp; TEXT(ABS($M$208-J208),"[hh]:mm:ss"), TEXT($M$208-J208,"[hh]:mm:ss"))</f>
        <v>00:10:00</v>
      </c>
      <c r="L208" s="1664">
        <v>44870.826388888891</v>
      </c>
      <c r="M208" s="1634">
        <v>44870.826388888891</v>
      </c>
    </row>
    <row r="209" spans="1:13" x14ac:dyDescent="0.45">
      <c r="A209" s="1663"/>
      <c r="B209" s="1655"/>
      <c r="C209" s="1686"/>
      <c r="D209" s="1684"/>
      <c r="E209" s="81">
        <v>44870.487500000003</v>
      </c>
      <c r="F209" s="81">
        <v>44870.513194444444</v>
      </c>
      <c r="G209" s="81"/>
      <c r="H209" s="81"/>
      <c r="I209" s="593"/>
      <c r="J209" s="1497">
        <f t="shared" si="56"/>
        <v>44870.820833333339</v>
      </c>
      <c r="K209" s="660" t="str">
        <f t="shared" si="61"/>
        <v>00:08:00</v>
      </c>
      <c r="L209" s="1663"/>
      <c r="M209" s="1652"/>
    </row>
    <row r="210" spans="1:13" x14ac:dyDescent="0.45">
      <c r="A210" s="1663"/>
      <c r="B210" s="1655"/>
      <c r="C210" s="631" t="s">
        <v>3262</v>
      </c>
      <c r="D210" s="156"/>
      <c r="E210" s="81">
        <v>44870.488194444442</v>
      </c>
      <c r="F210" s="81">
        <v>44870.513194444444</v>
      </c>
      <c r="G210" s="81"/>
      <c r="H210" s="81"/>
      <c r="I210" s="593"/>
      <c r="J210" s="1497">
        <f t="shared" si="56"/>
        <v>44870.821527777778</v>
      </c>
      <c r="K210" s="660" t="str">
        <f t="shared" si="61"/>
        <v>00:07:00</v>
      </c>
      <c r="L210" s="1663"/>
      <c r="M210" s="1652"/>
    </row>
    <row r="211" spans="1:13" ht="19.8" thickBot="1" x14ac:dyDescent="0.5">
      <c r="A211" s="1586"/>
      <c r="B211" s="1639"/>
      <c r="C211" s="1474" t="s">
        <v>788</v>
      </c>
      <c r="D211" s="82"/>
      <c r="E211" s="1514">
        <v>44870.496527777781</v>
      </c>
      <c r="F211" s="1514">
        <v>44870.67291666667</v>
      </c>
      <c r="G211" s="1514"/>
      <c r="H211" s="1514"/>
      <c r="I211" s="656"/>
      <c r="J211" s="1481">
        <f t="shared" si="56"/>
        <v>44870.829861111117</v>
      </c>
      <c r="K211" s="1534" t="str">
        <f t="shared" si="61"/>
        <v>-00:05:00</v>
      </c>
      <c r="L211" s="1586"/>
      <c r="M211" s="1610"/>
    </row>
    <row r="212" spans="1:13" ht="20.399999999999999" thickTop="1" thickBot="1" x14ac:dyDescent="0.5">
      <c r="A212" s="1582" t="s">
        <v>105</v>
      </c>
      <c r="B212" s="1621" t="s">
        <v>52</v>
      </c>
      <c r="C212" s="1661" t="s">
        <v>780</v>
      </c>
      <c r="D212" s="1587"/>
      <c r="E212" s="83">
        <v>44980.48541666667</v>
      </c>
      <c r="F212" s="83">
        <v>44980.495833333334</v>
      </c>
      <c r="G212" s="83"/>
      <c r="H212" s="83"/>
      <c r="I212" s="593"/>
      <c r="J212" s="1504">
        <f t="shared" ref="J212:J228" si="62">E212+TIME(8,0,0)</f>
        <v>44980.818750000006</v>
      </c>
      <c r="K212" s="660" t="str">
        <f t="shared" ref="K212:K215" si="63">IF($M$212-J212&lt;0, "-" &amp; TEXT(ABS($M$212-J212),"[hh]:mm:ss"), TEXT($M$212-J212,"[hh]:mm:ss"))</f>
        <v>00:10:00</v>
      </c>
      <c r="L212" s="1640">
        <v>44980.822916666664</v>
      </c>
      <c r="M212" s="1609">
        <v>44980.825694444444</v>
      </c>
    </row>
    <row r="213" spans="1:13" ht="19.8" thickTop="1" x14ac:dyDescent="0.45">
      <c r="A213" s="1671"/>
      <c r="B213" s="1655"/>
      <c r="C213" s="1686"/>
      <c r="D213" s="1684"/>
      <c r="E213" s="83">
        <v>44980.486805555556</v>
      </c>
      <c r="F213" s="83">
        <v>44980.49722222222</v>
      </c>
      <c r="G213" s="83"/>
      <c r="H213" s="83"/>
      <c r="I213" s="593"/>
      <c r="J213" s="1530">
        <f t="shared" si="62"/>
        <v>44980.820138888892</v>
      </c>
      <c r="K213" s="660" t="str">
        <f t="shared" si="63"/>
        <v>00:08:00</v>
      </c>
      <c r="L213" s="1671"/>
      <c r="M213" s="1652"/>
    </row>
    <row r="214" spans="1:13" x14ac:dyDescent="0.45">
      <c r="A214" s="1671"/>
      <c r="B214" s="1655"/>
      <c r="C214" s="1508" t="s">
        <v>3262</v>
      </c>
      <c r="D214" s="159"/>
      <c r="E214" s="83">
        <v>44980.487500000003</v>
      </c>
      <c r="F214" s="83">
        <v>44980.498611111114</v>
      </c>
      <c r="G214" s="83"/>
      <c r="H214" s="83"/>
      <c r="I214" s="593"/>
      <c r="J214" s="1530">
        <f t="shared" si="62"/>
        <v>44980.820833333339</v>
      </c>
      <c r="K214" s="660" t="str">
        <f t="shared" si="63"/>
        <v>00:07:00</v>
      </c>
      <c r="L214" s="1671"/>
      <c r="M214" s="1652"/>
    </row>
    <row r="215" spans="1:13" ht="19.8" thickBot="1" x14ac:dyDescent="0.5">
      <c r="A215" s="1586"/>
      <c r="B215" s="1639"/>
      <c r="C215" s="1474" t="s">
        <v>788</v>
      </c>
      <c r="D215" s="82"/>
      <c r="E215" s="1514">
        <v>44980.488888888889</v>
      </c>
      <c r="F215" s="1514">
        <v>44980.584722222222</v>
      </c>
      <c r="G215" s="1514"/>
      <c r="H215" s="1514"/>
      <c r="I215" s="656"/>
      <c r="J215" s="1481">
        <f t="shared" si="62"/>
        <v>44980.822222222225</v>
      </c>
      <c r="K215" s="1534" t="str">
        <f t="shared" si="63"/>
        <v>00:05:00</v>
      </c>
      <c r="L215" s="1586"/>
      <c r="M215" s="1610"/>
    </row>
    <row r="216" spans="1:13" ht="20.399999999999999" thickTop="1" thickBot="1" x14ac:dyDescent="0.5">
      <c r="A216" s="1582" t="s">
        <v>105</v>
      </c>
      <c r="B216" s="1621" t="s">
        <v>52</v>
      </c>
      <c r="C216" s="1702" t="s">
        <v>780</v>
      </c>
      <c r="D216" s="1705"/>
      <c r="E216" s="1496">
        <v>45002.349305555559</v>
      </c>
      <c r="F216" s="1496">
        <v>45002.387499999997</v>
      </c>
      <c r="G216" s="1496"/>
      <c r="H216" s="1496"/>
      <c r="I216" s="594"/>
      <c r="J216" s="1504">
        <f t="shared" si="62"/>
        <v>45002.682638888895</v>
      </c>
      <c r="K216" s="659" t="str">
        <f t="shared" ref="K216:K219" si="64">IF($M$216-J216&lt;0, "-" &amp; TEXT(ABS($M$216-J216),"[hh]:mm:ss"), TEXT($M$216-J216,"[hh]:mm:ss"))</f>
        <v>00:10:00</v>
      </c>
      <c r="L216" s="1640">
        <v>45002.695138888892</v>
      </c>
      <c r="M216" s="1609">
        <v>45002.689583333333</v>
      </c>
    </row>
    <row r="217" spans="1:13" ht="19.8" thickTop="1" x14ac:dyDescent="0.45">
      <c r="A217" s="1671"/>
      <c r="B217" s="1655"/>
      <c r="C217" s="1686"/>
      <c r="D217" s="1706"/>
      <c r="E217" s="81">
        <v>45002.350694444445</v>
      </c>
      <c r="F217" s="81">
        <v>45002.390277777777</v>
      </c>
      <c r="G217" s="81"/>
      <c r="H217" s="81"/>
      <c r="I217" s="596"/>
      <c r="J217" s="1530">
        <f t="shared" si="62"/>
        <v>45002.684027777781</v>
      </c>
      <c r="K217" s="663" t="str">
        <f t="shared" si="64"/>
        <v>00:08:00</v>
      </c>
      <c r="L217" s="1671"/>
      <c r="M217" s="1652"/>
    </row>
    <row r="218" spans="1:13" x14ac:dyDescent="0.45">
      <c r="A218" s="1671"/>
      <c r="B218" s="1655"/>
      <c r="C218" s="631" t="s">
        <v>3262</v>
      </c>
      <c r="D218" s="156"/>
      <c r="E218" s="81">
        <v>45002.351388888892</v>
      </c>
      <c r="F218" s="81">
        <v>45002.390277777777</v>
      </c>
      <c r="G218" s="81"/>
      <c r="H218" s="81"/>
      <c r="I218" s="596"/>
      <c r="J218" s="1530">
        <f t="shared" si="62"/>
        <v>45002.684722222228</v>
      </c>
      <c r="K218" s="663" t="str">
        <f t="shared" si="64"/>
        <v>00:07:00</v>
      </c>
      <c r="L218" s="1671"/>
      <c r="M218" s="1652"/>
    </row>
    <row r="219" spans="1:13" ht="19.8" thickBot="1" x14ac:dyDescent="0.5">
      <c r="A219" s="1586"/>
      <c r="B219" s="1639"/>
      <c r="C219" s="1474" t="s">
        <v>788</v>
      </c>
      <c r="D219" s="82"/>
      <c r="E219" s="1514">
        <v>45002.352777777778</v>
      </c>
      <c r="F219" s="1514">
        <v>45002.394444444442</v>
      </c>
      <c r="G219" s="1514"/>
      <c r="H219" s="1514"/>
      <c r="I219" s="656"/>
      <c r="J219" s="1481">
        <f t="shared" si="62"/>
        <v>45002.686111111114</v>
      </c>
      <c r="K219" s="1534" t="str">
        <f t="shared" si="64"/>
        <v>00:05:00</v>
      </c>
      <c r="L219" s="1586"/>
      <c r="M219" s="1610"/>
    </row>
    <row r="220" spans="1:13" ht="19.8" thickTop="1" x14ac:dyDescent="0.45">
      <c r="A220" s="1637" t="s">
        <v>990</v>
      </c>
      <c r="B220" s="1658" t="s">
        <v>52</v>
      </c>
      <c r="C220" s="1611" t="s">
        <v>780</v>
      </c>
      <c r="D220" s="587"/>
      <c r="E220" s="1504">
        <v>45063.11041666667</v>
      </c>
      <c r="F220" s="1504">
        <v>45063.147916666669</v>
      </c>
      <c r="G220" s="1504"/>
      <c r="H220" s="1504"/>
      <c r="I220" s="594"/>
      <c r="J220" s="1504">
        <f t="shared" si="62"/>
        <v>45063.443750000006</v>
      </c>
      <c r="K220" s="659" t="str">
        <f t="shared" ref="K220:K223" si="65">IF($M$220-J220&lt;0, "-" &amp; TEXT(ABS($M$220-J220),"[hh]:mm:ss"), TEXT($M$220-J220,"[hh]:mm:ss"))</f>
        <v>00:10:00</v>
      </c>
      <c r="L220" s="1664">
        <v>45063.458333333336</v>
      </c>
      <c r="M220" s="1634">
        <v>45063.450694444444</v>
      </c>
    </row>
    <row r="221" spans="1:13" x14ac:dyDescent="0.45">
      <c r="A221" s="1699"/>
      <c r="B221" s="1703"/>
      <c r="C221" s="1617"/>
      <c r="D221" s="319"/>
      <c r="E221" s="1530">
        <v>45063.111805555556</v>
      </c>
      <c r="F221" s="1530">
        <v>45063.161111111112</v>
      </c>
      <c r="G221" s="1530"/>
      <c r="H221" s="1530"/>
      <c r="I221" s="596"/>
      <c r="J221" s="1530">
        <f t="shared" si="62"/>
        <v>45063.445138888892</v>
      </c>
      <c r="K221" s="663" t="str">
        <f t="shared" si="65"/>
        <v>00:08:00</v>
      </c>
      <c r="L221" s="1700"/>
      <c r="M221" s="1731"/>
    </row>
    <row r="222" spans="1:13" s="85" customFormat="1" x14ac:dyDescent="0.45">
      <c r="A222" s="1699"/>
      <c r="B222" s="1703"/>
      <c r="C222" s="631" t="s">
        <v>3254</v>
      </c>
      <c r="D222" s="156"/>
      <c r="E222" s="1530">
        <v>45063.112500000003</v>
      </c>
      <c r="F222" s="1530">
        <v>45063.154861111114</v>
      </c>
      <c r="G222" s="1530"/>
      <c r="H222" s="1530"/>
      <c r="I222" s="596"/>
      <c r="J222" s="1530">
        <f t="shared" si="62"/>
        <v>45063.445833333339</v>
      </c>
      <c r="K222" s="663" t="str">
        <f t="shared" si="65"/>
        <v>00:07:00</v>
      </c>
      <c r="L222" s="1700"/>
      <c r="M222" s="1731"/>
    </row>
    <row r="223" spans="1:13" ht="19.8" thickBot="1" x14ac:dyDescent="0.5">
      <c r="A223" s="1633"/>
      <c r="B223" s="1616"/>
      <c r="C223" s="1474" t="s">
        <v>788</v>
      </c>
      <c r="D223" s="82"/>
      <c r="E223" s="1514">
        <v>45063.113888888889</v>
      </c>
      <c r="F223" s="1514">
        <v>45063.154861111114</v>
      </c>
      <c r="G223" s="1514"/>
      <c r="H223" s="1514"/>
      <c r="I223" s="595"/>
      <c r="J223" s="1514">
        <f t="shared" si="62"/>
        <v>45063.447222222225</v>
      </c>
      <c r="K223" s="661" t="str">
        <f t="shared" si="65"/>
        <v>00:05:00</v>
      </c>
      <c r="L223" s="1701"/>
      <c r="M223" s="1730"/>
    </row>
    <row r="224" spans="1:13" ht="19.8" thickTop="1" x14ac:dyDescent="0.45">
      <c r="A224" s="1618" t="s">
        <v>990</v>
      </c>
      <c r="B224" s="1607" t="s">
        <v>52</v>
      </c>
      <c r="C224" s="1617" t="s">
        <v>780</v>
      </c>
      <c r="D224" s="1497" t="s">
        <v>1419</v>
      </c>
      <c r="E224" s="1497">
        <v>45150.698611111111</v>
      </c>
      <c r="F224" s="1497">
        <v>45150.753472222219</v>
      </c>
      <c r="G224" s="1497"/>
      <c r="H224" s="1497"/>
      <c r="I224" s="593"/>
      <c r="J224" s="1497">
        <f t="shared" si="62"/>
        <v>45151.031944444447</v>
      </c>
      <c r="K224" s="660" t="str">
        <f t="shared" ref="K224:K228" si="66">IF($M$224-J224&lt;0, "-" &amp; TEXT(ABS($M$224-J224),"[hh]:mm:ss"), TEXT($M$224-J224,"[hh]:mm:ss"))</f>
        <v>00:40:00</v>
      </c>
      <c r="L224" s="1587">
        <v>45151.038194444445</v>
      </c>
      <c r="M224" s="1588">
        <v>45151.05972222222</v>
      </c>
    </row>
    <row r="225" spans="1:13" x14ac:dyDescent="0.45">
      <c r="A225" s="1619"/>
      <c r="B225" s="1615"/>
      <c r="C225" s="1685"/>
      <c r="D225" s="1530" t="s">
        <v>1174</v>
      </c>
      <c r="E225" s="1530">
        <v>45150.7</v>
      </c>
      <c r="F225" s="1530">
        <v>45150.756944444445</v>
      </c>
      <c r="G225" s="1530"/>
      <c r="H225" s="1530"/>
      <c r="I225" s="596"/>
      <c r="J225" s="1530">
        <f t="shared" si="62"/>
        <v>45151.033333333333</v>
      </c>
      <c r="K225" s="663" t="str">
        <f t="shared" si="66"/>
        <v>00:38:00</v>
      </c>
      <c r="L225" s="1591"/>
      <c r="M225" s="1589"/>
    </row>
    <row r="226" spans="1:13" x14ac:dyDescent="0.45">
      <c r="A226" s="1619"/>
      <c r="B226" s="1615"/>
      <c r="C226" s="631" t="s">
        <v>3262</v>
      </c>
      <c r="D226" s="103" t="s">
        <v>1175</v>
      </c>
      <c r="E226" s="1530">
        <v>45150.700694444444</v>
      </c>
      <c r="F226" s="1530">
        <v>45150.760416666664</v>
      </c>
      <c r="G226" s="1530"/>
      <c r="H226" s="1530"/>
      <c r="I226" s="596"/>
      <c r="J226" s="1530">
        <f t="shared" si="62"/>
        <v>45151.03402777778</v>
      </c>
      <c r="K226" s="663" t="str">
        <f t="shared" si="66"/>
        <v>00:37:00</v>
      </c>
      <c r="L226" s="1591"/>
      <c r="M226" s="1589"/>
    </row>
    <row r="227" spans="1:13" s="85" customFormat="1" x14ac:dyDescent="0.45">
      <c r="A227" s="1619"/>
      <c r="B227" s="1615"/>
      <c r="C227" s="1512" t="s">
        <v>1171</v>
      </c>
      <c r="D227" s="1530" t="s">
        <v>1177</v>
      </c>
      <c r="E227" s="1530">
        <v>45150.70208333333</v>
      </c>
      <c r="F227" s="1530">
        <v>45150.760416666664</v>
      </c>
      <c r="G227" s="1530"/>
      <c r="H227" s="1530"/>
      <c r="I227" s="596"/>
      <c r="J227" s="1530">
        <f t="shared" si="62"/>
        <v>45151.035416666666</v>
      </c>
      <c r="K227" s="663" t="str">
        <f t="shared" si="66"/>
        <v>00:35:00</v>
      </c>
      <c r="L227" s="1591"/>
      <c r="M227" s="1589"/>
    </row>
    <row r="228" spans="1:13" s="104" customFormat="1" ht="19.8" thickBot="1" x14ac:dyDescent="0.5">
      <c r="A228" s="1583"/>
      <c r="B228" s="1608"/>
      <c r="C228" s="1484" t="s">
        <v>989</v>
      </c>
      <c r="D228" s="1481" t="s">
        <v>1176</v>
      </c>
      <c r="E228" s="1481">
        <v>45150.70208333333</v>
      </c>
      <c r="F228" s="1481">
        <v>45150.760416666664</v>
      </c>
      <c r="G228" s="1481"/>
      <c r="H228" s="1481"/>
      <c r="I228" s="656"/>
      <c r="J228" s="1481">
        <f t="shared" si="62"/>
        <v>45151.035416666666</v>
      </c>
      <c r="K228" s="1534" t="str">
        <f t="shared" si="66"/>
        <v>00:35:00</v>
      </c>
      <c r="L228" s="1585"/>
      <c r="M228" s="1590"/>
    </row>
    <row r="229" spans="1:13" s="104" customFormat="1" ht="19.8" thickTop="1" x14ac:dyDescent="0.45">
      <c r="A229" s="1618" t="s">
        <v>990</v>
      </c>
      <c r="B229" s="1607" t="s">
        <v>52</v>
      </c>
      <c r="C229" s="1617" t="s">
        <v>780</v>
      </c>
      <c r="D229" s="1497" t="s">
        <v>1254</v>
      </c>
      <c r="E229" s="1497">
        <v>45239.467361111114</v>
      </c>
      <c r="F229" s="1497">
        <v>45239.561111111114</v>
      </c>
      <c r="G229" s="1497"/>
      <c r="H229" s="1497"/>
      <c r="I229" s="593"/>
      <c r="J229" s="1497">
        <f t="shared" ref="J229:J236" si="67">E229+TIME(8,0,0)</f>
        <v>45239.80069444445</v>
      </c>
      <c r="K229" s="660" t="str">
        <f t="shared" ref="K229:K232" si="68">IF($M$229-J229&lt;0, "-" &amp; TEXT(ABS($M$229-J229),"[hh]:mm:ss"), TEXT($M$229-J229,"[hh]:mm:ss"))</f>
        <v>00:10:00</v>
      </c>
      <c r="L229" s="1587">
        <v>45239.807638888888</v>
      </c>
      <c r="M229" s="1588">
        <v>45239.807638888888</v>
      </c>
    </row>
    <row r="230" spans="1:13" s="104" customFormat="1" x14ac:dyDescent="0.45">
      <c r="A230" s="1619"/>
      <c r="B230" s="1615"/>
      <c r="C230" s="1685"/>
      <c r="D230" s="1530" t="s">
        <v>1255</v>
      </c>
      <c r="E230" s="1530">
        <v>45239.46875</v>
      </c>
      <c r="F230" s="1530">
        <v>45239.563888888886</v>
      </c>
      <c r="G230" s="1530"/>
      <c r="H230" s="1530"/>
      <c r="I230" s="596"/>
      <c r="J230" s="1530">
        <f t="shared" si="67"/>
        <v>45239.802083333336</v>
      </c>
      <c r="K230" s="663" t="str">
        <f t="shared" si="68"/>
        <v>00:08:00</v>
      </c>
      <c r="L230" s="1591"/>
      <c r="M230" s="1589"/>
    </row>
    <row r="231" spans="1:13" s="85" customFormat="1" x14ac:dyDescent="0.45">
      <c r="A231" s="1619"/>
      <c r="B231" s="1615"/>
      <c r="C231" s="631" t="s">
        <v>3262</v>
      </c>
      <c r="D231" s="103" t="s">
        <v>1256</v>
      </c>
      <c r="E231" s="1530">
        <v>45239.469444444447</v>
      </c>
      <c r="F231" s="1530">
        <v>45239.568055555559</v>
      </c>
      <c r="G231" s="1530"/>
      <c r="H231" s="1530"/>
      <c r="I231" s="596"/>
      <c r="J231" s="1530">
        <f t="shared" si="67"/>
        <v>45239.802777777782</v>
      </c>
      <c r="K231" s="663" t="str">
        <f t="shared" si="68"/>
        <v>00:07:00</v>
      </c>
      <c r="L231" s="1591"/>
      <c r="M231" s="1589"/>
    </row>
    <row r="232" spans="1:13" s="104" customFormat="1" ht="19.8" thickBot="1" x14ac:dyDescent="0.5">
      <c r="A232" s="1583"/>
      <c r="B232" s="1608"/>
      <c r="C232" s="1484" t="s">
        <v>989</v>
      </c>
      <c r="D232" s="1481" t="s">
        <v>1258</v>
      </c>
      <c r="E232" s="1481">
        <v>45239.470833333333</v>
      </c>
      <c r="F232" s="1481">
        <v>45239.568055555559</v>
      </c>
      <c r="G232" s="1481"/>
      <c r="H232" s="1481"/>
      <c r="I232" s="656"/>
      <c r="J232" s="1481">
        <f t="shared" si="67"/>
        <v>45239.804166666669</v>
      </c>
      <c r="K232" s="1534" t="str">
        <f t="shared" si="68"/>
        <v>00:05:00</v>
      </c>
      <c r="L232" s="1585"/>
      <c r="M232" s="1590"/>
    </row>
    <row r="233" spans="1:13" s="104" customFormat="1" ht="19.8" thickTop="1" x14ac:dyDescent="0.45">
      <c r="A233" s="1618" t="s">
        <v>990</v>
      </c>
      <c r="B233" s="1607" t="s">
        <v>52</v>
      </c>
      <c r="C233" s="1611" t="s">
        <v>780</v>
      </c>
      <c r="D233" s="1497" t="s">
        <v>1623</v>
      </c>
      <c r="E233" s="1497">
        <v>45351.536805555559</v>
      </c>
      <c r="F233" s="1497">
        <v>45351.557638888888</v>
      </c>
      <c r="G233" s="1497"/>
      <c r="H233" s="1497"/>
      <c r="I233" s="593"/>
      <c r="J233" s="1497">
        <f t="shared" si="67"/>
        <v>45351.870138888895</v>
      </c>
      <c r="K233" s="660" t="str">
        <f t="shared" ref="K233:K237" si="69">IF($M$233-J233&lt;0, "-" &amp; TEXT(ABS($M$233-J233),"[hh]:mm:ss"), TEXT($M$233-J233,"[hh]:mm:ss"))</f>
        <v>00:10:00</v>
      </c>
      <c r="L233" s="1587">
        <v>45351.877083333333</v>
      </c>
      <c r="M233" s="1588">
        <v>45351.877083333333</v>
      </c>
    </row>
    <row r="234" spans="1:13" s="104" customFormat="1" x14ac:dyDescent="0.45">
      <c r="A234" s="1619"/>
      <c r="B234" s="1615"/>
      <c r="C234" s="1617"/>
      <c r="D234" s="1530" t="s">
        <v>1624</v>
      </c>
      <c r="E234" s="1530">
        <v>45351.537499999999</v>
      </c>
      <c r="F234" s="1530">
        <v>45351.561111111114</v>
      </c>
      <c r="G234" s="1530"/>
      <c r="H234" s="1530"/>
      <c r="I234" s="596"/>
      <c r="J234" s="1530">
        <f t="shared" si="67"/>
        <v>45351.870833333334</v>
      </c>
      <c r="K234" s="663" t="str">
        <f t="shared" si="69"/>
        <v>00:09:00</v>
      </c>
      <c r="L234" s="1591"/>
      <c r="M234" s="1589"/>
    </row>
    <row r="235" spans="1:13" s="104" customFormat="1" x14ac:dyDescent="0.45">
      <c r="A235" s="1619"/>
      <c r="B235" s="1615"/>
      <c r="C235" s="631" t="s">
        <v>3262</v>
      </c>
      <c r="D235" s="103" t="s">
        <v>1625</v>
      </c>
      <c r="E235" s="1530">
        <v>45351.538888888892</v>
      </c>
      <c r="F235" s="1530">
        <v>45351.564583333333</v>
      </c>
      <c r="G235" s="1530"/>
      <c r="H235" s="1530"/>
      <c r="I235" s="596"/>
      <c r="J235" s="1530">
        <f t="shared" si="67"/>
        <v>45351.872222222228</v>
      </c>
      <c r="K235" s="663" t="str">
        <f t="shared" si="69"/>
        <v>00:07:00</v>
      </c>
      <c r="L235" s="1591"/>
      <c r="M235" s="1589"/>
    </row>
    <row r="236" spans="1:13" x14ac:dyDescent="0.45">
      <c r="A236" s="1619"/>
      <c r="B236" s="1615"/>
      <c r="C236" s="1613" t="s">
        <v>788</v>
      </c>
      <c r="D236" s="1530" t="s">
        <v>1628</v>
      </c>
      <c r="E236" s="1530">
        <v>45351.540277777778</v>
      </c>
      <c r="F236" s="1530">
        <v>45351.637499999997</v>
      </c>
      <c r="G236" s="1530"/>
      <c r="H236" s="1530"/>
      <c r="I236" s="596"/>
      <c r="J236" s="1530">
        <f t="shared" si="67"/>
        <v>45351.873611111114</v>
      </c>
      <c r="K236" s="663" t="str">
        <f t="shared" si="69"/>
        <v>00:05:00</v>
      </c>
      <c r="L236" s="1591"/>
      <c r="M236" s="1589"/>
    </row>
    <row r="237" spans="1:13" ht="19.8" thickBot="1" x14ac:dyDescent="0.5">
      <c r="A237" s="1583"/>
      <c r="B237" s="1608"/>
      <c r="C237" s="1612"/>
      <c r="D237" s="1481" t="s">
        <v>1579</v>
      </c>
      <c r="E237" s="1481">
        <v>45351.5</v>
      </c>
      <c r="F237" s="1481">
        <v>45351.666666666664</v>
      </c>
      <c r="G237" s="1481"/>
      <c r="H237" s="1481"/>
      <c r="I237" s="656"/>
      <c r="J237" s="1481">
        <f t="shared" ref="J237" si="70">E237+TIME(8,0,0)</f>
        <v>45351.833333333336</v>
      </c>
      <c r="K237" s="1534" t="str">
        <f t="shared" si="69"/>
        <v>01:03:00</v>
      </c>
      <c r="L237" s="1585"/>
      <c r="M237" s="1590"/>
    </row>
    <row r="238" spans="1:13" s="85" customFormat="1" ht="20.399999999999999" thickTop="1" thickBot="1" x14ac:dyDescent="0.5">
      <c r="A238" s="1583" t="s">
        <v>105</v>
      </c>
      <c r="B238" s="1608" t="s">
        <v>52</v>
      </c>
      <c r="C238" s="1485" t="s">
        <v>781</v>
      </c>
      <c r="D238" s="588"/>
      <c r="E238" s="83">
        <v>44924.189583333333</v>
      </c>
      <c r="F238" s="83">
        <v>44924.213888888888</v>
      </c>
      <c r="G238" s="83"/>
      <c r="H238" s="83"/>
      <c r="I238" s="593"/>
      <c r="J238" s="1504">
        <f>E238+TIME(8,0,0)</f>
        <v>44924.522916666669</v>
      </c>
      <c r="K238" s="660" t="str">
        <f t="shared" ref="K238:K239" si="71">IF($M$238-J238&lt;0, "-" &amp; TEXT(ABS($M$238-J238),"[hh]:mm:ss"), TEXT($M$238-J238,"[hh]:mm:ss"))</f>
        <v>00:10:00</v>
      </c>
      <c r="L238" s="1585">
        <v>44924.53125</v>
      </c>
      <c r="M238" s="1590">
        <v>44924.529861111114</v>
      </c>
    </row>
    <row r="239" spans="1:13" s="104" customFormat="1" ht="20.399999999999999" thickTop="1" thickBot="1" x14ac:dyDescent="0.5">
      <c r="A239" s="1586"/>
      <c r="B239" s="1639"/>
      <c r="C239" s="1484" t="s">
        <v>801</v>
      </c>
      <c r="D239" s="86"/>
      <c r="E239" s="1514">
        <v>44924.189583333333</v>
      </c>
      <c r="F239" s="1514">
        <v>44924.215277777781</v>
      </c>
      <c r="G239" s="1514"/>
      <c r="H239" s="1514"/>
      <c r="I239" s="656"/>
      <c r="J239" s="1481">
        <f>E239+TIME(8,0,0)</f>
        <v>44924.522916666669</v>
      </c>
      <c r="K239" s="1534" t="str">
        <f t="shared" si="71"/>
        <v>00:10:00</v>
      </c>
      <c r="L239" s="1586"/>
      <c r="M239" s="1610"/>
    </row>
    <row r="240" spans="1:13" s="104" customFormat="1" ht="19.8" thickTop="1" x14ac:dyDescent="0.45">
      <c r="A240" s="1618" t="s">
        <v>990</v>
      </c>
      <c r="B240" s="1607" t="s">
        <v>52</v>
      </c>
      <c r="C240" s="1485" t="s">
        <v>780</v>
      </c>
      <c r="D240" s="1497" t="s">
        <v>1906</v>
      </c>
      <c r="E240" s="1497">
        <v>45421.064583333333</v>
      </c>
      <c r="F240" s="1497">
        <v>45421.093055555553</v>
      </c>
      <c r="G240" s="1497"/>
      <c r="H240" s="1497"/>
      <c r="I240" s="593"/>
      <c r="J240" s="1497">
        <f t="shared" ref="J240:J261" si="72">E240+TIME(8,0,0)</f>
        <v>45421.397916666669</v>
      </c>
      <c r="K240" s="660" t="str">
        <f t="shared" ref="K240:K245" si="73">IF($M$240-J240&lt;0, "-" &amp; TEXT(ABS($M$240-J240),"[hh]:mm:ss"), TEXT($M$240-J240,"[hh]:mm:ss"))</f>
        <v>00:10:00</v>
      </c>
      <c r="L240" s="1587">
        <v>45421.404861111114</v>
      </c>
      <c r="M240" s="1588">
        <v>45421.404861111114</v>
      </c>
    </row>
    <row r="241" spans="1:13" s="104" customFormat="1" x14ac:dyDescent="0.45">
      <c r="A241" s="1619"/>
      <c r="B241" s="1615"/>
      <c r="C241" s="1508" t="s">
        <v>3264</v>
      </c>
      <c r="D241" s="1530" t="s">
        <v>1907</v>
      </c>
      <c r="E241" s="1530">
        <v>45421.06527777778</v>
      </c>
      <c r="F241" s="1530">
        <v>45421.095833333333</v>
      </c>
      <c r="G241" s="1530"/>
      <c r="H241" s="1530"/>
      <c r="I241" s="596"/>
      <c r="J241" s="1530">
        <f t="shared" si="72"/>
        <v>45421.398611111115</v>
      </c>
      <c r="K241" s="663" t="str">
        <f t="shared" si="73"/>
        <v>00:09:00</v>
      </c>
      <c r="L241" s="1591"/>
      <c r="M241" s="1589"/>
    </row>
    <row r="242" spans="1:13" s="104" customFormat="1" x14ac:dyDescent="0.45">
      <c r="A242" s="1619"/>
      <c r="B242" s="1615"/>
      <c r="C242" s="631" t="s">
        <v>781</v>
      </c>
      <c r="D242" s="103" t="s">
        <v>1908</v>
      </c>
      <c r="E242" s="1530">
        <v>45421.067361111112</v>
      </c>
      <c r="F242" s="1530">
        <v>45421.100694444445</v>
      </c>
      <c r="G242" s="1530"/>
      <c r="H242" s="1530"/>
      <c r="I242" s="596"/>
      <c r="J242" s="1530">
        <f t="shared" si="72"/>
        <v>45421.400694444448</v>
      </c>
      <c r="K242" s="663" t="str">
        <f t="shared" si="73"/>
        <v>00:06:00</v>
      </c>
      <c r="L242" s="1591"/>
      <c r="M242" s="1589"/>
    </row>
    <row r="243" spans="1:13" s="104" customFormat="1" x14ac:dyDescent="0.45">
      <c r="A243" s="1619"/>
      <c r="B243" s="1615"/>
      <c r="C243" s="1613" t="s">
        <v>801</v>
      </c>
      <c r="D243" s="1530" t="s">
        <v>1919</v>
      </c>
      <c r="E243" s="1530">
        <v>45421.067361111112</v>
      </c>
      <c r="F243" s="1530">
        <v>45421.099305555559</v>
      </c>
      <c r="G243" s="1530"/>
      <c r="H243" s="1530"/>
      <c r="I243" s="596"/>
      <c r="J243" s="1530">
        <f t="shared" si="72"/>
        <v>45421.400694444448</v>
      </c>
      <c r="K243" s="663" t="str">
        <f t="shared" si="73"/>
        <v>00:06:00</v>
      </c>
      <c r="L243" s="1591"/>
      <c r="M243" s="1589"/>
    </row>
    <row r="244" spans="1:13" s="104" customFormat="1" x14ac:dyDescent="0.45">
      <c r="A244" s="1619"/>
      <c r="B244" s="1615"/>
      <c r="C244" s="1651"/>
      <c r="D244" s="1530" t="s">
        <v>1920</v>
      </c>
      <c r="E244" s="1530">
        <v>45421.041666666664</v>
      </c>
      <c r="F244" s="1530">
        <v>45421.107638888891</v>
      </c>
      <c r="G244" s="1530"/>
      <c r="H244" s="1530"/>
      <c r="I244" s="596"/>
      <c r="J244" s="1530">
        <f>E244+TIME(8,0,0)</f>
        <v>45421.375</v>
      </c>
      <c r="K244" s="663" t="str">
        <f t="shared" si="73"/>
        <v>00:43:00</v>
      </c>
      <c r="L244" s="1591"/>
      <c r="M244" s="1589"/>
    </row>
    <row r="245" spans="1:13" s="104" customFormat="1" ht="19.8" thickBot="1" x14ac:dyDescent="0.5">
      <c r="A245" s="1583"/>
      <c r="B245" s="1608"/>
      <c r="C245" s="1612"/>
      <c r="D245" s="1481" t="s">
        <v>1783</v>
      </c>
      <c r="E245" s="1481">
        <v>45421.041666666664</v>
      </c>
      <c r="F245" s="1481">
        <v>45421.291666666664</v>
      </c>
      <c r="G245" s="1481"/>
      <c r="H245" s="1481"/>
      <c r="I245" s="656"/>
      <c r="J245" s="1481">
        <f t="shared" si="72"/>
        <v>45421.375</v>
      </c>
      <c r="K245" s="1534" t="str">
        <f t="shared" si="73"/>
        <v>00:43:00</v>
      </c>
      <c r="L245" s="1585"/>
      <c r="M245" s="1590"/>
    </row>
    <row r="246" spans="1:13" s="104" customFormat="1" ht="20.399999999999999" thickTop="1" thickBot="1" x14ac:dyDescent="0.5">
      <c r="A246" s="1583" t="s">
        <v>105</v>
      </c>
      <c r="B246" s="1608" t="s">
        <v>52</v>
      </c>
      <c r="C246" s="1485" t="s">
        <v>780</v>
      </c>
      <c r="D246" s="588" t="s">
        <v>2472</v>
      </c>
      <c r="E246" s="83">
        <v>45629.240277777775</v>
      </c>
      <c r="F246" s="83">
        <v>45629.26458333333</v>
      </c>
      <c r="G246" s="83"/>
      <c r="H246" s="83"/>
      <c r="I246" s="593"/>
      <c r="J246" s="1504">
        <f t="shared" si="72"/>
        <v>45629.573611111111</v>
      </c>
      <c r="K246" s="660" t="str">
        <f t="shared" ref="K246:K250" si="74">IF($M$246-J246&lt;0, "-" &amp; TEXT(ABS($M$246-J246),"[hh]:mm:ss"), TEXT($M$246-J246,"[hh]:mm:ss"))</f>
        <v>00:10:00</v>
      </c>
      <c r="L246" s="1585">
        <v>45629.580555555556</v>
      </c>
      <c r="M246" s="1590">
        <v>45629.580555555556</v>
      </c>
    </row>
    <row r="247" spans="1:13" s="104" customFormat="1" ht="20.399999999999999" thickTop="1" thickBot="1" x14ac:dyDescent="0.5">
      <c r="A247" s="1583"/>
      <c r="B247" s="1608"/>
      <c r="C247" s="631" t="s">
        <v>3264</v>
      </c>
      <c r="D247" s="588" t="s">
        <v>2473</v>
      </c>
      <c r="E247" s="1497">
        <v>45629.240972222222</v>
      </c>
      <c r="F247" s="1497">
        <v>45629.267361111109</v>
      </c>
      <c r="G247" s="1497"/>
      <c r="H247" s="1497"/>
      <c r="I247" s="593"/>
      <c r="J247" s="1497">
        <f>E247+TIME(8,0,0)</f>
        <v>45629.574305555558</v>
      </c>
      <c r="K247" s="660" t="str">
        <f t="shared" si="74"/>
        <v>00:09:00</v>
      </c>
      <c r="L247" s="1585"/>
      <c r="M247" s="1590"/>
    </row>
    <row r="248" spans="1:13" s="104" customFormat="1" ht="20.399999999999999" thickTop="1" thickBot="1" x14ac:dyDescent="0.5">
      <c r="A248" s="1583"/>
      <c r="B248" s="1608"/>
      <c r="C248" s="1512" t="s">
        <v>781</v>
      </c>
      <c r="D248" s="588" t="s">
        <v>2474</v>
      </c>
      <c r="E248" s="1497">
        <v>45629.243750000001</v>
      </c>
      <c r="F248" s="1497">
        <v>45629.272222222222</v>
      </c>
      <c r="G248" s="1497"/>
      <c r="H248" s="1497"/>
      <c r="I248" s="593"/>
      <c r="J248" s="1497">
        <f>E248+TIME(8,0,0)</f>
        <v>45629.577083333337</v>
      </c>
      <c r="K248" s="660" t="str">
        <f t="shared" si="74"/>
        <v>00:05:00</v>
      </c>
      <c r="L248" s="1585"/>
      <c r="M248" s="1590"/>
    </row>
    <row r="249" spans="1:13" s="85" customFormat="1" ht="20.399999999999999" thickTop="1" thickBot="1" x14ac:dyDescent="0.5">
      <c r="A249" s="1583"/>
      <c r="B249" s="1608"/>
      <c r="C249" s="1613" t="s">
        <v>801</v>
      </c>
      <c r="D249" s="1530" t="s">
        <v>2476</v>
      </c>
      <c r="E249" s="1530">
        <v>45629.243750000001</v>
      </c>
      <c r="F249" s="1530">
        <v>45629.270833333336</v>
      </c>
      <c r="G249" s="1530"/>
      <c r="H249" s="1530"/>
      <c r="I249" s="596"/>
      <c r="J249" s="1530">
        <f>E249+TIME(8,0,0)</f>
        <v>45629.577083333337</v>
      </c>
      <c r="K249" s="663" t="str">
        <f t="shared" si="74"/>
        <v>00:05:00</v>
      </c>
      <c r="L249" s="1585"/>
      <c r="M249" s="1590"/>
    </row>
    <row r="250" spans="1:13" s="104" customFormat="1" ht="20.399999999999999" thickTop="1" thickBot="1" x14ac:dyDescent="0.5">
      <c r="A250" s="1583"/>
      <c r="B250" s="1608"/>
      <c r="C250" s="1612"/>
      <c r="D250" s="86" t="s">
        <v>2438</v>
      </c>
      <c r="E250" s="1481">
        <v>45629.125</v>
      </c>
      <c r="F250" s="1481">
        <v>45629.333333333336</v>
      </c>
      <c r="G250" s="1481"/>
      <c r="H250" s="1481"/>
      <c r="I250" s="656"/>
      <c r="J250" s="1481">
        <f t="shared" si="72"/>
        <v>45629.458333333336</v>
      </c>
      <c r="K250" s="1534" t="str">
        <f t="shared" si="74"/>
        <v>02:56:00</v>
      </c>
      <c r="L250" s="1583"/>
      <c r="M250" s="1624"/>
    </row>
    <row r="251" spans="1:13" s="104" customFormat="1" ht="19.8" thickTop="1" x14ac:dyDescent="0.45">
      <c r="A251" s="1618" t="s">
        <v>990</v>
      </c>
      <c r="B251" s="1607" t="s">
        <v>52</v>
      </c>
      <c r="C251" s="1531" t="s">
        <v>3264</v>
      </c>
      <c r="D251" s="1497" t="s">
        <v>3179</v>
      </c>
      <c r="E251" s="1497">
        <v>45982.449305555558</v>
      </c>
      <c r="F251" s="1497">
        <v>45982.474305555559</v>
      </c>
      <c r="G251" s="1497"/>
      <c r="H251" s="1497"/>
      <c r="I251" s="593"/>
      <c r="J251" s="1497">
        <f t="shared" ref="J251:J256" si="75">E251+TIME(8,0,0)</f>
        <v>45982.782638888893</v>
      </c>
      <c r="K251" s="660" t="str">
        <f t="shared" ref="K251:K256" si="76">IF($M$251-J251&lt;0, "-" &amp; TEXT(ABS($M$251-J251),"[hh]:mm:ss"), TEXT($M$251-J251,"[hh]:mm:ss"))</f>
        <v>00:08:00</v>
      </c>
      <c r="L251" s="1587">
        <v>45982.789583333331</v>
      </c>
      <c r="M251" s="1588">
        <v>45982.788194444445</v>
      </c>
    </row>
    <row r="252" spans="1:13" s="104" customFormat="1" x14ac:dyDescent="0.45">
      <c r="A252" s="1619"/>
      <c r="B252" s="1615"/>
      <c r="C252" s="1489" t="s">
        <v>2840</v>
      </c>
      <c r="D252" s="103" t="s">
        <v>3180</v>
      </c>
      <c r="E252" s="1530">
        <v>45982.449305555558</v>
      </c>
      <c r="F252" s="1530">
        <v>45982.474999999999</v>
      </c>
      <c r="G252" s="1530"/>
      <c r="H252" s="1530"/>
      <c r="I252" s="596"/>
      <c r="J252" s="1530">
        <f t="shared" si="75"/>
        <v>45982.782638888893</v>
      </c>
      <c r="K252" s="663" t="str">
        <f t="shared" si="76"/>
        <v>00:08:00</v>
      </c>
      <c r="L252" s="1591"/>
      <c r="M252" s="1589"/>
    </row>
    <row r="253" spans="1:13" s="104" customFormat="1" x14ac:dyDescent="0.45">
      <c r="A253" s="1619"/>
      <c r="B253" s="1615"/>
      <c r="C253" s="631" t="s">
        <v>2047</v>
      </c>
      <c r="D253" s="103" t="s">
        <v>3181</v>
      </c>
      <c r="E253" s="1530">
        <v>45982.451388888891</v>
      </c>
      <c r="F253" s="1530">
        <v>45982.477083333331</v>
      </c>
      <c r="G253" s="1530"/>
      <c r="H253" s="1530"/>
      <c r="I253" s="596"/>
      <c r="J253" s="1530">
        <f t="shared" si="75"/>
        <v>45982.784722222226</v>
      </c>
      <c r="K253" s="663" t="str">
        <f t="shared" si="76"/>
        <v>00:05:00</v>
      </c>
      <c r="L253" s="1591"/>
      <c r="M253" s="1589"/>
    </row>
    <row r="254" spans="1:13" s="104" customFormat="1" x14ac:dyDescent="0.45">
      <c r="A254" s="1619"/>
      <c r="B254" s="1615"/>
      <c r="C254" s="1533" t="s">
        <v>1280</v>
      </c>
      <c r="D254" s="103" t="s">
        <v>3188</v>
      </c>
      <c r="E254" s="1530">
        <v>45982.454861111109</v>
      </c>
      <c r="F254" s="1530">
        <v>45982.46875</v>
      </c>
      <c r="G254" s="1530"/>
      <c r="H254" s="1530"/>
      <c r="I254" s="596"/>
      <c r="J254" s="1530">
        <f t="shared" ref="J254" si="77">E254+TIME(8,0,0)</f>
        <v>45982.788194444445</v>
      </c>
      <c r="K254" s="663" t="str">
        <f t="shared" si="76"/>
        <v>00:00:00</v>
      </c>
      <c r="L254" s="1591"/>
      <c r="M254" s="1589"/>
    </row>
    <row r="255" spans="1:13" s="85" customFormat="1" x14ac:dyDescent="0.45">
      <c r="A255" s="1619"/>
      <c r="B255" s="1615"/>
      <c r="C255" s="1613" t="s">
        <v>3027</v>
      </c>
      <c r="D255" s="1530" t="s">
        <v>3184</v>
      </c>
      <c r="E255" s="1530">
        <v>45982.451388888891</v>
      </c>
      <c r="F255" s="1530">
        <v>45982.480555555558</v>
      </c>
      <c r="G255" s="1530"/>
      <c r="H255" s="1530"/>
      <c r="I255" s="596"/>
      <c r="J255" s="1530">
        <f t="shared" si="75"/>
        <v>45982.784722222226</v>
      </c>
      <c r="K255" s="663" t="str">
        <f t="shared" si="76"/>
        <v>00:05:00</v>
      </c>
      <c r="L255" s="1591"/>
      <c r="M255" s="1589"/>
    </row>
    <row r="256" spans="1:13" s="104" customFormat="1" ht="19.8" thickBot="1" x14ac:dyDescent="0.5">
      <c r="A256" s="1583"/>
      <c r="B256" s="1608"/>
      <c r="C256" s="1612"/>
      <c r="D256" s="1481" t="s">
        <v>3143</v>
      </c>
      <c r="E256" s="1481">
        <v>45982.416666666664</v>
      </c>
      <c r="F256" s="1481">
        <v>45982.583333333336</v>
      </c>
      <c r="G256" s="1481"/>
      <c r="H256" s="1481"/>
      <c r="I256" s="656"/>
      <c r="J256" s="1481">
        <f t="shared" si="75"/>
        <v>45982.75</v>
      </c>
      <c r="K256" s="1534" t="str">
        <f t="shared" si="76"/>
        <v>00:55:00</v>
      </c>
      <c r="L256" s="1585"/>
      <c r="M256" s="1590"/>
    </row>
    <row r="257" spans="1:13" s="104" customFormat="1" ht="19.8" thickTop="1" x14ac:dyDescent="0.45">
      <c r="A257" s="1618" t="s">
        <v>990</v>
      </c>
      <c r="B257" s="1607" t="s">
        <v>52</v>
      </c>
      <c r="C257" s="1611" t="s">
        <v>780</v>
      </c>
      <c r="D257" s="1497" t="s">
        <v>2048</v>
      </c>
      <c r="E257" s="1497">
        <v>45505.544444444444</v>
      </c>
      <c r="F257" s="1497">
        <v>45505.568749999999</v>
      </c>
      <c r="G257" s="1497"/>
      <c r="H257" s="1497"/>
      <c r="I257" s="593"/>
      <c r="J257" s="1497">
        <f t="shared" si="72"/>
        <v>45505.87777777778</v>
      </c>
      <c r="K257" s="660" t="str">
        <f t="shared" ref="K257:K261" si="78">IF($M$257-J257&lt;0, "-" &amp; TEXT(ABS($M$257-J257),"[hh]:mm:ss"), TEXT($M$257-J257,"[hh]:mm:ss"))</f>
        <v>00:10:00</v>
      </c>
      <c r="L257" s="1587">
        <v>45505.884722222225</v>
      </c>
      <c r="M257" s="1588">
        <v>45505.884722222225</v>
      </c>
    </row>
    <row r="258" spans="1:13" s="104" customFormat="1" x14ac:dyDescent="0.45">
      <c r="A258" s="1619"/>
      <c r="B258" s="1615"/>
      <c r="C258" s="1617"/>
      <c r="D258" s="1530" t="s">
        <v>2049</v>
      </c>
      <c r="E258" s="1530">
        <v>45505.545138888891</v>
      </c>
      <c r="F258" s="1530">
        <v>45505.572222222225</v>
      </c>
      <c r="G258" s="1530"/>
      <c r="H258" s="1530"/>
      <c r="I258" s="596"/>
      <c r="J258" s="1530">
        <f t="shared" si="72"/>
        <v>45505.878472222226</v>
      </c>
      <c r="K258" s="663" t="str">
        <f t="shared" si="78"/>
        <v>00:09:00</v>
      </c>
      <c r="L258" s="1591"/>
      <c r="M258" s="1589"/>
    </row>
    <row r="259" spans="1:13" s="104" customFormat="1" x14ac:dyDescent="0.45">
      <c r="A259" s="1619"/>
      <c r="B259" s="1615"/>
      <c r="C259" s="631" t="s">
        <v>3262</v>
      </c>
      <c r="D259" s="103" t="s">
        <v>2050</v>
      </c>
      <c r="E259" s="1530">
        <v>45505.54583333333</v>
      </c>
      <c r="F259" s="1530">
        <v>45505.575694444444</v>
      </c>
      <c r="G259" s="1530"/>
      <c r="H259" s="1530"/>
      <c r="I259" s="596"/>
      <c r="J259" s="1530">
        <f t="shared" si="72"/>
        <v>45505.879166666666</v>
      </c>
      <c r="K259" s="663" t="str">
        <f t="shared" si="78"/>
        <v>00:08:00</v>
      </c>
      <c r="L259" s="1591"/>
      <c r="M259" s="1589"/>
    </row>
    <row r="260" spans="1:13" s="85" customFormat="1" x14ac:dyDescent="0.45">
      <c r="A260" s="1619"/>
      <c r="B260" s="1615"/>
      <c r="C260" s="1613" t="s">
        <v>788</v>
      </c>
      <c r="D260" s="1530" t="s">
        <v>2053</v>
      </c>
      <c r="E260" s="1530">
        <v>45505.547222222223</v>
      </c>
      <c r="F260" s="1530">
        <v>45505.645138888889</v>
      </c>
      <c r="G260" s="1530"/>
      <c r="H260" s="1530"/>
      <c r="I260" s="596"/>
      <c r="J260" s="1530">
        <f t="shared" si="72"/>
        <v>45505.880555555559</v>
      </c>
      <c r="K260" s="663" t="str">
        <f t="shared" si="78"/>
        <v>00:06:00</v>
      </c>
      <c r="L260" s="1591"/>
      <c r="M260" s="1589"/>
    </row>
    <row r="261" spans="1:13" s="104" customFormat="1" ht="19.8" thickBot="1" x14ac:dyDescent="0.5">
      <c r="A261" s="1583"/>
      <c r="B261" s="1608"/>
      <c r="C261" s="1612"/>
      <c r="D261" s="1481" t="s">
        <v>2043</v>
      </c>
      <c r="E261" s="1481">
        <v>45505.5</v>
      </c>
      <c r="F261" s="1481">
        <v>45505.666666666664</v>
      </c>
      <c r="G261" s="1481"/>
      <c r="H261" s="1481"/>
      <c r="I261" s="656"/>
      <c r="J261" s="1481">
        <f t="shared" si="72"/>
        <v>45505.833333333336</v>
      </c>
      <c r="K261" s="1534" t="str">
        <f t="shared" si="78"/>
        <v>01:14:00</v>
      </c>
      <c r="L261" s="1585"/>
      <c r="M261" s="1590"/>
    </row>
    <row r="262" spans="1:13" s="104" customFormat="1" ht="19.8" thickTop="1" x14ac:dyDescent="0.45">
      <c r="A262" s="1618" t="s">
        <v>990</v>
      </c>
      <c r="B262" s="1607" t="s">
        <v>52</v>
      </c>
      <c r="C262" s="1611" t="s">
        <v>780</v>
      </c>
      <c r="D262" s="1497" t="s">
        <v>2174</v>
      </c>
      <c r="E262" s="1497">
        <v>45575.569444444445</v>
      </c>
      <c r="F262" s="1497">
        <v>45575.591666666667</v>
      </c>
      <c r="G262" s="1497"/>
      <c r="H262" s="1497"/>
      <c r="I262" s="593"/>
      <c r="J262" s="1497">
        <f t="shared" ref="J262:J294" si="79">E262+TIME(8,0,0)</f>
        <v>45575.902777777781</v>
      </c>
      <c r="K262" s="660" t="str">
        <f t="shared" ref="K262:K266" si="80">IF($M$262-J262&lt;0, "-" &amp; TEXT(ABS($M$262-J262),"[hh]:mm:ss"), TEXT($M$262-J262,"[hh]:mm:ss"))</f>
        <v>00:10:00</v>
      </c>
      <c r="L262" s="1587">
        <v>45575.909722222219</v>
      </c>
      <c r="M262" s="1588">
        <v>45575.909722222219</v>
      </c>
    </row>
    <row r="263" spans="1:13" s="104" customFormat="1" x14ac:dyDescent="0.45">
      <c r="A263" s="1619"/>
      <c r="B263" s="1615"/>
      <c r="C263" s="1617"/>
      <c r="D263" s="1530" t="s">
        <v>2175</v>
      </c>
      <c r="E263" s="1530">
        <v>45575.570138888892</v>
      </c>
      <c r="F263" s="1530">
        <v>45575.595138888886</v>
      </c>
      <c r="G263" s="1530"/>
      <c r="H263" s="1530"/>
      <c r="I263" s="596"/>
      <c r="J263" s="1530">
        <f t="shared" si="79"/>
        <v>45575.903472222228</v>
      </c>
      <c r="K263" s="663" t="str">
        <f t="shared" si="80"/>
        <v>00:09:00</v>
      </c>
      <c r="L263" s="1591"/>
      <c r="M263" s="1589"/>
    </row>
    <row r="264" spans="1:13" s="104" customFormat="1" x14ac:dyDescent="0.45">
      <c r="A264" s="1619"/>
      <c r="B264" s="1615"/>
      <c r="C264" s="631" t="s">
        <v>3262</v>
      </c>
      <c r="D264" s="103" t="s">
        <v>2178</v>
      </c>
      <c r="E264" s="1530">
        <v>45575.571527777778</v>
      </c>
      <c r="F264" s="1530">
        <v>45575.598611111112</v>
      </c>
      <c r="G264" s="1530"/>
      <c r="H264" s="1530"/>
      <c r="I264" s="596"/>
      <c r="J264" s="1530">
        <f t="shared" si="79"/>
        <v>45575.904861111114</v>
      </c>
      <c r="K264" s="663" t="str">
        <f t="shared" si="80"/>
        <v>00:07:00</v>
      </c>
      <c r="L264" s="1591"/>
      <c r="M264" s="1589"/>
    </row>
    <row r="265" spans="1:13" s="85" customFormat="1" x14ac:dyDescent="0.45">
      <c r="A265" s="1619"/>
      <c r="B265" s="1615"/>
      <c r="C265" s="1613" t="s">
        <v>788</v>
      </c>
      <c r="D265" s="1530" t="s">
        <v>2180</v>
      </c>
      <c r="E265" s="1530">
        <v>45575.572222222225</v>
      </c>
      <c r="F265" s="1530">
        <v>45575.640277777777</v>
      </c>
      <c r="G265" s="1530"/>
      <c r="H265" s="1530"/>
      <c r="I265" s="596"/>
      <c r="J265" s="1530">
        <f t="shared" si="79"/>
        <v>45575.905555555561</v>
      </c>
      <c r="K265" s="663" t="str">
        <f t="shared" si="80"/>
        <v>00:06:00</v>
      </c>
      <c r="L265" s="1591"/>
      <c r="M265" s="1589"/>
    </row>
    <row r="266" spans="1:13" s="104" customFormat="1" ht="19.8" thickBot="1" x14ac:dyDescent="0.5">
      <c r="A266" s="1583"/>
      <c r="B266" s="1608"/>
      <c r="C266" s="1612"/>
      <c r="D266" s="1481" t="s">
        <v>2112</v>
      </c>
      <c r="E266" s="1481">
        <v>45575.5</v>
      </c>
      <c r="F266" s="1481">
        <v>45575.666666666664</v>
      </c>
      <c r="G266" s="1481"/>
      <c r="H266" s="1481"/>
      <c r="I266" s="656"/>
      <c r="J266" s="1481">
        <f t="shared" si="79"/>
        <v>45575.833333333336</v>
      </c>
      <c r="K266" s="1534" t="str">
        <f t="shared" si="80"/>
        <v>01:50:00</v>
      </c>
      <c r="L266" s="1585"/>
      <c r="M266" s="1590"/>
    </row>
    <row r="267" spans="1:13" s="104" customFormat="1" ht="19.8" thickTop="1" x14ac:dyDescent="0.45">
      <c r="A267" s="1618" t="s">
        <v>990</v>
      </c>
      <c r="B267" s="1607" t="s">
        <v>52</v>
      </c>
      <c r="C267" s="1491" t="s">
        <v>780</v>
      </c>
      <c r="D267" s="1497" t="s">
        <v>2521</v>
      </c>
      <c r="E267" s="1497">
        <v>45646.627083333333</v>
      </c>
      <c r="F267" s="1497">
        <v>45646.667361111111</v>
      </c>
      <c r="G267" s="1497"/>
      <c r="H267" s="1497"/>
      <c r="I267" s="593"/>
      <c r="J267" s="1497">
        <f t="shared" si="79"/>
        <v>45646.960416666669</v>
      </c>
      <c r="K267" s="660">
        <f>IF($M$267-J267&lt;0, "-" &amp; TEXT(ABS($M$267-J267),"mm:ss"), $M$267-J267)</f>
        <v>6.2499999985448085E-3</v>
      </c>
      <c r="L267" s="1587">
        <v>45646.966666666667</v>
      </c>
      <c r="M267" s="1588">
        <v>45646.966666666667</v>
      </c>
    </row>
    <row r="268" spans="1:13" s="104" customFormat="1" x14ac:dyDescent="0.45">
      <c r="A268" s="1619"/>
      <c r="B268" s="1615"/>
      <c r="C268" s="631" t="s">
        <v>3262</v>
      </c>
      <c r="D268" s="103" t="s">
        <v>2522</v>
      </c>
      <c r="E268" s="1530">
        <v>45646.628472222219</v>
      </c>
      <c r="F268" s="1530">
        <v>45646.668749999997</v>
      </c>
      <c r="G268" s="1530"/>
      <c r="H268" s="1530"/>
      <c r="I268" s="596"/>
      <c r="J268" s="1530">
        <f t="shared" si="79"/>
        <v>45646.961805555555</v>
      </c>
      <c r="K268" s="663" t="str">
        <f t="shared" ref="K268:K270" si="81">IF($M$267-J268&lt;0, "-" &amp; TEXT(ABS($M$267-J268),"[hh]:mm:ss"), TEXT($M$267-J268,"[hh]:mm:ss"))</f>
        <v>00:07:00</v>
      </c>
      <c r="L268" s="1591"/>
      <c r="M268" s="1589"/>
    </row>
    <row r="269" spans="1:13" s="85" customFormat="1" x14ac:dyDescent="0.45">
      <c r="A269" s="1619"/>
      <c r="B269" s="1615"/>
      <c r="C269" s="1613" t="s">
        <v>788</v>
      </c>
      <c r="D269" s="1530" t="s">
        <v>2524</v>
      </c>
      <c r="E269" s="1530">
        <v>45646.629861111112</v>
      </c>
      <c r="F269" s="1530">
        <v>45646.674305555556</v>
      </c>
      <c r="G269" s="1530"/>
      <c r="H269" s="1530"/>
      <c r="I269" s="596"/>
      <c r="J269" s="1530">
        <f t="shared" si="79"/>
        <v>45646.963194444448</v>
      </c>
      <c r="K269" s="663" t="str">
        <f t="shared" si="81"/>
        <v>00:05:00</v>
      </c>
      <c r="L269" s="1591"/>
      <c r="M269" s="1589"/>
    </row>
    <row r="270" spans="1:13" s="104" customFormat="1" ht="19.8" thickBot="1" x14ac:dyDescent="0.5">
      <c r="A270" s="1583"/>
      <c r="B270" s="1608"/>
      <c r="C270" s="1612"/>
      <c r="D270" s="1481" t="s">
        <v>2494</v>
      </c>
      <c r="E270" s="1481">
        <v>45646.583333333336</v>
      </c>
      <c r="F270" s="1481">
        <v>45648.833333333336</v>
      </c>
      <c r="G270" s="1481"/>
      <c r="H270" s="1481"/>
      <c r="I270" s="656"/>
      <c r="J270" s="1481">
        <f t="shared" si="79"/>
        <v>45646.916666666672</v>
      </c>
      <c r="K270" s="1534" t="str">
        <f t="shared" si="81"/>
        <v>01:12:00</v>
      </c>
      <c r="L270" s="1585"/>
      <c r="M270" s="1590"/>
    </row>
    <row r="271" spans="1:13" s="104" customFormat="1" ht="19.8" thickTop="1" x14ac:dyDescent="0.45">
      <c r="A271" s="1618" t="s">
        <v>990</v>
      </c>
      <c r="B271" s="1607" t="s">
        <v>52</v>
      </c>
      <c r="C271" s="1491" t="s">
        <v>780</v>
      </c>
      <c r="D271" s="1497" t="s">
        <v>2544</v>
      </c>
      <c r="E271" s="1497">
        <v>45663.82708333333</v>
      </c>
      <c r="F271" s="1497">
        <v>45663.85</v>
      </c>
      <c r="G271" s="1497"/>
      <c r="H271" s="1497"/>
      <c r="I271" s="593"/>
      <c r="J271" s="1497">
        <f t="shared" si="79"/>
        <v>45664.160416666666</v>
      </c>
      <c r="K271" s="660" t="str">
        <f t="shared" ref="K271:K274" si="82">IF($M$271-J271&lt;0, "-" &amp; TEXT(ABS($M$271-J271),"[hh]:mm:ss"), TEXT($M$271-J271,"[hh]:mm:ss"))</f>
        <v>00:09:00</v>
      </c>
      <c r="L271" s="1587">
        <v>45664.166666666664</v>
      </c>
      <c r="M271" s="1588">
        <v>45664.166666666664</v>
      </c>
    </row>
    <row r="272" spans="1:13" s="104" customFormat="1" x14ac:dyDescent="0.45">
      <c r="A272" s="1619"/>
      <c r="B272" s="1615"/>
      <c r="C272" s="631" t="s">
        <v>3262</v>
      </c>
      <c r="D272" s="103" t="s">
        <v>2543</v>
      </c>
      <c r="E272" s="1530">
        <v>45663.828472222223</v>
      </c>
      <c r="F272" s="1530">
        <v>45663.851388888892</v>
      </c>
      <c r="G272" s="1530"/>
      <c r="H272" s="1530"/>
      <c r="I272" s="596"/>
      <c r="J272" s="1530">
        <f t="shared" si="79"/>
        <v>45664.161805555559</v>
      </c>
      <c r="K272" s="663" t="str">
        <f t="shared" si="82"/>
        <v>00:07:00</v>
      </c>
      <c r="L272" s="1591"/>
      <c r="M272" s="1589"/>
    </row>
    <row r="273" spans="1:13" s="85" customFormat="1" x14ac:dyDescent="0.45">
      <c r="A273" s="1619"/>
      <c r="B273" s="1615"/>
      <c r="C273" s="1613" t="s">
        <v>788</v>
      </c>
      <c r="D273" s="1530" t="s">
        <v>2545</v>
      </c>
      <c r="E273" s="1530">
        <v>45663.829861111109</v>
      </c>
      <c r="F273" s="1530">
        <v>45663.856944444444</v>
      </c>
      <c r="G273" s="1530"/>
      <c r="H273" s="1530"/>
      <c r="I273" s="596"/>
      <c r="J273" s="1530">
        <f t="shared" si="79"/>
        <v>45664.163194444445</v>
      </c>
      <c r="K273" s="663" t="str">
        <f t="shared" si="82"/>
        <v>00:05:00</v>
      </c>
      <c r="L273" s="1591"/>
      <c r="M273" s="1589"/>
    </row>
    <row r="274" spans="1:13" s="104" customFormat="1" ht="19.8" thickBot="1" x14ac:dyDescent="0.5">
      <c r="A274" s="1583"/>
      <c r="B274" s="1608"/>
      <c r="C274" s="1612"/>
      <c r="D274" s="1481" t="s">
        <v>2535</v>
      </c>
      <c r="E274" s="1481">
        <v>45663.791666666664</v>
      </c>
      <c r="F274" s="1481">
        <v>45663.958333333336</v>
      </c>
      <c r="G274" s="1481"/>
      <c r="H274" s="1481"/>
      <c r="I274" s="656"/>
      <c r="J274" s="1481">
        <f t="shared" si="79"/>
        <v>45664.125</v>
      </c>
      <c r="K274" s="1534" t="str">
        <f t="shared" si="82"/>
        <v>01:00:00</v>
      </c>
      <c r="L274" s="1585"/>
      <c r="M274" s="1590"/>
    </row>
    <row r="275" spans="1:13" s="104" customFormat="1" ht="19.8" thickTop="1" x14ac:dyDescent="0.45">
      <c r="A275" s="1618" t="s">
        <v>990</v>
      </c>
      <c r="B275" s="1607" t="s">
        <v>52</v>
      </c>
      <c r="C275" s="1681" t="s">
        <v>780</v>
      </c>
      <c r="D275" s="1497" t="s">
        <v>2571</v>
      </c>
      <c r="E275" s="1497">
        <v>45680.640277777777</v>
      </c>
      <c r="F275" s="1497">
        <v>45680.678472222222</v>
      </c>
      <c r="G275" s="1497"/>
      <c r="H275" s="1497"/>
      <c r="I275" s="593"/>
      <c r="J275" s="1497">
        <f t="shared" si="79"/>
        <v>45680.973611111112</v>
      </c>
      <c r="K275" s="660" t="str">
        <f t="shared" ref="K275:K279" si="83">IF($M$275-J275&lt;0, "-" &amp; TEXT(ABS($M$275-J275),"[hh]:mm:ss"), TEXT($M$275-J275,"[hh]:mm:ss"))</f>
        <v>00:10:00</v>
      </c>
      <c r="L275" s="1587">
        <v>45680.980555555558</v>
      </c>
      <c r="M275" s="1588">
        <v>45680.980555555558</v>
      </c>
    </row>
    <row r="276" spans="1:13" s="104" customFormat="1" x14ac:dyDescent="0.45">
      <c r="A276" s="1619"/>
      <c r="B276" s="1615"/>
      <c r="C276" s="1683"/>
      <c r="D276" s="103" t="s">
        <v>2572</v>
      </c>
      <c r="E276" s="1530">
        <v>45680.64166666667</v>
      </c>
      <c r="F276" s="1530">
        <v>45680.681250000001</v>
      </c>
      <c r="G276" s="1530"/>
      <c r="H276" s="1530"/>
      <c r="I276" s="596"/>
      <c r="J276" s="1530">
        <f t="shared" si="79"/>
        <v>45680.975000000006</v>
      </c>
      <c r="K276" s="663" t="str">
        <f t="shared" si="83"/>
        <v>00:08:00</v>
      </c>
      <c r="L276" s="1591"/>
      <c r="M276" s="1589"/>
    </row>
    <row r="277" spans="1:13" s="104" customFormat="1" x14ac:dyDescent="0.45">
      <c r="A277" s="1619"/>
      <c r="B277" s="1615"/>
      <c r="C277" s="1510" t="s">
        <v>3262</v>
      </c>
      <c r="D277" s="103" t="s">
        <v>2573</v>
      </c>
      <c r="E277" s="1530">
        <v>45680.642361111109</v>
      </c>
      <c r="F277" s="1530">
        <v>45680.682638888888</v>
      </c>
      <c r="G277" s="1530"/>
      <c r="H277" s="1530"/>
      <c r="I277" s="596"/>
      <c r="J277" s="1530">
        <f t="shared" si="79"/>
        <v>45680.975694444445</v>
      </c>
      <c r="K277" s="663" t="str">
        <f t="shared" si="83"/>
        <v>00:07:00</v>
      </c>
      <c r="L277" s="1591"/>
      <c r="M277" s="1589"/>
    </row>
    <row r="278" spans="1:13" s="85" customFormat="1" x14ac:dyDescent="0.45">
      <c r="A278" s="1619"/>
      <c r="B278" s="1615"/>
      <c r="C278" s="1613" t="s">
        <v>788</v>
      </c>
      <c r="D278" s="1530" t="s">
        <v>2576</v>
      </c>
      <c r="E278" s="1530">
        <v>45680.643750000003</v>
      </c>
      <c r="F278" s="1530">
        <v>45680.6875</v>
      </c>
      <c r="G278" s="1530"/>
      <c r="H278" s="1530"/>
      <c r="I278" s="596"/>
      <c r="J278" s="1530">
        <f t="shared" si="79"/>
        <v>45680.977083333339</v>
      </c>
      <c r="K278" s="663" t="str">
        <f t="shared" si="83"/>
        <v>00:05:00</v>
      </c>
      <c r="L278" s="1591"/>
      <c r="M278" s="1589"/>
    </row>
    <row r="279" spans="1:13" s="104" customFormat="1" ht="19.8" thickBot="1" x14ac:dyDescent="0.5">
      <c r="A279" s="1583"/>
      <c r="B279" s="1608"/>
      <c r="C279" s="1612"/>
      <c r="D279" s="1481" t="s">
        <v>2536</v>
      </c>
      <c r="E279" s="1481">
        <v>45680.583333333336</v>
      </c>
      <c r="F279" s="1481">
        <v>45680.833333333336</v>
      </c>
      <c r="G279" s="1481"/>
      <c r="H279" s="1481"/>
      <c r="I279" s="656"/>
      <c r="J279" s="1481">
        <f t="shared" si="79"/>
        <v>45680.916666666672</v>
      </c>
      <c r="K279" s="1534" t="str">
        <f t="shared" si="83"/>
        <v>01:32:00</v>
      </c>
      <c r="L279" s="1585"/>
      <c r="M279" s="1590"/>
    </row>
    <row r="280" spans="1:13" s="104" customFormat="1" ht="19.8" thickTop="1" x14ac:dyDescent="0.45">
      <c r="A280" s="1618" t="s">
        <v>990</v>
      </c>
      <c r="B280" s="1607" t="s">
        <v>52</v>
      </c>
      <c r="C280" s="1611" t="s">
        <v>780</v>
      </c>
      <c r="D280" s="1497" t="s">
        <v>2607</v>
      </c>
      <c r="E280" s="1497">
        <v>45710.500694444447</v>
      </c>
      <c r="F280" s="1497">
        <v>45710.525000000001</v>
      </c>
      <c r="G280" s="1497"/>
      <c r="H280" s="1497"/>
      <c r="I280" s="593"/>
      <c r="J280" s="1497">
        <f t="shared" si="79"/>
        <v>45710.834027777782</v>
      </c>
      <c r="K280" s="660" t="str">
        <f t="shared" ref="K280:K284" si="84">IF($M$280-J280&lt;0, "-" &amp; TEXT(ABS($M$280-J280),"[hh]:mm:ss"), TEXT($M$280-J280,"[hh]:mm:ss"))</f>
        <v>00:10:00</v>
      </c>
      <c r="L280" s="1587">
        <v>45710.84097222222</v>
      </c>
      <c r="M280" s="1588">
        <v>45710.84097222222</v>
      </c>
    </row>
    <row r="281" spans="1:13" s="104" customFormat="1" x14ac:dyDescent="0.45">
      <c r="A281" s="1619"/>
      <c r="B281" s="1615"/>
      <c r="C281" s="1617"/>
      <c r="D281" s="103" t="s">
        <v>2608</v>
      </c>
      <c r="E281" s="1530">
        <v>45710.502083333333</v>
      </c>
      <c r="F281" s="1530">
        <v>45710.527777777781</v>
      </c>
      <c r="G281" s="1530"/>
      <c r="H281" s="1530"/>
      <c r="I281" s="596"/>
      <c r="J281" s="1530">
        <f t="shared" si="79"/>
        <v>45710.835416666669</v>
      </c>
      <c r="K281" s="663" t="str">
        <f t="shared" si="84"/>
        <v>00:08:00</v>
      </c>
      <c r="L281" s="1591"/>
      <c r="M281" s="1589"/>
    </row>
    <row r="282" spans="1:13" s="104" customFormat="1" x14ac:dyDescent="0.45">
      <c r="A282" s="1619"/>
      <c r="B282" s="1615"/>
      <c r="C282" s="1533" t="s">
        <v>3262</v>
      </c>
      <c r="D282" s="103" t="s">
        <v>2609</v>
      </c>
      <c r="E282" s="1530">
        <v>45710.50277777778</v>
      </c>
      <c r="F282" s="1530">
        <v>45710.53125</v>
      </c>
      <c r="G282" s="1530"/>
      <c r="H282" s="1530"/>
      <c r="I282" s="596"/>
      <c r="J282" s="1530">
        <f t="shared" si="79"/>
        <v>45710.836111111115</v>
      </c>
      <c r="K282" s="663" t="str">
        <f t="shared" si="84"/>
        <v>00:07:00</v>
      </c>
      <c r="L282" s="1591"/>
      <c r="M282" s="1589"/>
    </row>
    <row r="283" spans="1:13" s="85" customFormat="1" x14ac:dyDescent="0.45">
      <c r="A283" s="1619"/>
      <c r="B283" s="1615"/>
      <c r="C283" s="1613" t="s">
        <v>788</v>
      </c>
      <c r="D283" s="1530" t="s">
        <v>2612</v>
      </c>
      <c r="E283" s="1530">
        <v>45710.504166666666</v>
      </c>
      <c r="F283" s="1530">
        <v>45710.601388888892</v>
      </c>
      <c r="G283" s="1530"/>
      <c r="H283" s="1530"/>
      <c r="I283" s="596"/>
      <c r="J283" s="1530">
        <f t="shared" si="79"/>
        <v>45710.837500000001</v>
      </c>
      <c r="K283" s="663" t="str">
        <f t="shared" si="84"/>
        <v>00:05:00</v>
      </c>
      <c r="L283" s="1591"/>
      <c r="M283" s="1589"/>
    </row>
    <row r="284" spans="1:13" s="104" customFormat="1" ht="19.8" thickBot="1" x14ac:dyDescent="0.5">
      <c r="A284" s="1583"/>
      <c r="B284" s="1608"/>
      <c r="C284" s="1612"/>
      <c r="D284" s="1481" t="s">
        <v>2583</v>
      </c>
      <c r="E284" s="1481">
        <v>45710</v>
      </c>
      <c r="F284" s="1481">
        <v>45710.999305555553</v>
      </c>
      <c r="G284" s="1481"/>
      <c r="H284" s="1481"/>
      <c r="I284" s="656"/>
      <c r="J284" s="1481">
        <f t="shared" si="79"/>
        <v>45710.333333333336</v>
      </c>
      <c r="K284" s="1534" t="str">
        <f t="shared" si="84"/>
        <v>12:11:00</v>
      </c>
      <c r="L284" s="1585"/>
      <c r="M284" s="1590"/>
    </row>
    <row r="285" spans="1:13" s="104" customFormat="1" ht="19.8" thickTop="1" x14ac:dyDescent="0.45">
      <c r="A285" s="1618" t="s">
        <v>990</v>
      </c>
      <c r="B285" s="1607" t="s">
        <v>52</v>
      </c>
      <c r="C285" s="1611" t="s">
        <v>780</v>
      </c>
      <c r="D285" s="1497" t="s">
        <v>2651</v>
      </c>
      <c r="E285" s="1497">
        <v>45725.713194444441</v>
      </c>
      <c r="F285" s="1497">
        <v>45725.737500000003</v>
      </c>
      <c r="G285" s="1497"/>
      <c r="H285" s="1497"/>
      <c r="I285" s="593"/>
      <c r="J285" s="1497">
        <f t="shared" si="79"/>
        <v>45726.046527777777</v>
      </c>
      <c r="K285" s="660" t="str">
        <f t="shared" ref="K285:K289" si="85">IF($M$285-J285&lt;0, "-" &amp; TEXT(ABS($M$285-J285),"[hh]:mm:ss"), TEXT($M$285-J285,"[hh]:mm:ss"))</f>
        <v>00:10:00</v>
      </c>
      <c r="L285" s="1587">
        <v>45726.053472222222</v>
      </c>
      <c r="M285" s="1588">
        <v>45726.053472222222</v>
      </c>
    </row>
    <row r="286" spans="1:13" s="104" customFormat="1" x14ac:dyDescent="0.45">
      <c r="A286" s="1619"/>
      <c r="B286" s="1615"/>
      <c r="C286" s="1617"/>
      <c r="D286" s="1530" t="s">
        <v>2649</v>
      </c>
      <c r="E286" s="1530">
        <v>45725.714583333334</v>
      </c>
      <c r="F286" s="1530">
        <v>45725.740277777775</v>
      </c>
      <c r="G286" s="1530"/>
      <c r="H286" s="1530"/>
      <c r="I286" s="596"/>
      <c r="J286" s="1530">
        <f t="shared" si="79"/>
        <v>45726.04791666667</v>
      </c>
      <c r="K286" s="663" t="str">
        <f t="shared" si="85"/>
        <v>00:08:00</v>
      </c>
      <c r="L286" s="1591"/>
      <c r="M286" s="1589"/>
    </row>
    <row r="287" spans="1:13" s="104" customFormat="1" x14ac:dyDescent="0.45">
      <c r="A287" s="1619"/>
      <c r="B287" s="1615"/>
      <c r="C287" s="1533" t="s">
        <v>3262</v>
      </c>
      <c r="D287" s="1530" t="s">
        <v>2650</v>
      </c>
      <c r="E287" s="1530">
        <v>45725.715277777781</v>
      </c>
      <c r="F287" s="1530">
        <v>45725.741666666669</v>
      </c>
      <c r="G287" s="1530"/>
      <c r="H287" s="1530"/>
      <c r="I287" s="596"/>
      <c r="J287" s="1530">
        <f t="shared" si="79"/>
        <v>45726.048611111117</v>
      </c>
      <c r="K287" s="663" t="str">
        <f t="shared" si="85"/>
        <v>00:07:00</v>
      </c>
      <c r="L287" s="1591"/>
      <c r="M287" s="1589"/>
    </row>
    <row r="288" spans="1:13" s="85" customFormat="1" x14ac:dyDescent="0.45">
      <c r="A288" s="1619"/>
      <c r="B288" s="1615"/>
      <c r="C288" s="1613" t="s">
        <v>788</v>
      </c>
      <c r="D288" s="1530" t="s">
        <v>2655</v>
      </c>
      <c r="E288" s="1530">
        <v>45725.716666666667</v>
      </c>
      <c r="F288" s="1530">
        <v>45725.774305555555</v>
      </c>
      <c r="G288" s="1530"/>
      <c r="H288" s="1530"/>
      <c r="I288" s="596"/>
      <c r="J288" s="1530">
        <f t="shared" si="79"/>
        <v>45726.05</v>
      </c>
      <c r="K288" s="663" t="str">
        <f t="shared" si="85"/>
        <v>00:05:00</v>
      </c>
      <c r="L288" s="1591"/>
      <c r="M288" s="1589"/>
    </row>
    <row r="289" spans="1:13" s="104" customFormat="1" ht="19.8" thickBot="1" x14ac:dyDescent="0.5">
      <c r="A289" s="1583"/>
      <c r="B289" s="1608"/>
      <c r="C289" s="1612"/>
      <c r="D289" s="1481" t="s">
        <v>2622</v>
      </c>
      <c r="E289" s="1481">
        <v>45725.666666666664</v>
      </c>
      <c r="F289" s="1481">
        <v>45725.833333333336</v>
      </c>
      <c r="G289" s="1481"/>
      <c r="H289" s="1481"/>
      <c r="I289" s="656"/>
      <c r="J289" s="1481">
        <f t="shared" si="79"/>
        <v>45726</v>
      </c>
      <c r="K289" s="1534" t="str">
        <f t="shared" si="85"/>
        <v>01:17:00</v>
      </c>
      <c r="L289" s="1585"/>
      <c r="M289" s="1590"/>
    </row>
    <row r="290" spans="1:13" s="104" customFormat="1" ht="19.8" thickTop="1" x14ac:dyDescent="0.45">
      <c r="A290" s="1618" t="s">
        <v>990</v>
      </c>
      <c r="B290" s="1607" t="s">
        <v>52</v>
      </c>
      <c r="C290" s="1611" t="s">
        <v>780</v>
      </c>
      <c r="D290" s="1497" t="s">
        <v>2697</v>
      </c>
      <c r="E290" s="1497">
        <v>45742.65625</v>
      </c>
      <c r="F290" s="1497">
        <v>45742.680555555555</v>
      </c>
      <c r="G290" s="1497"/>
      <c r="H290" s="1497"/>
      <c r="I290" s="593"/>
      <c r="J290" s="1497">
        <f t="shared" si="79"/>
        <v>45742.989583333336</v>
      </c>
      <c r="K290" s="660" t="str">
        <f t="shared" ref="K290:K294" si="86">IF($M$290-J290&lt;0, "-" &amp; TEXT(ABS($M$290-J290),"[hh]:mm:ss"), TEXT($M$290-J290,"[hh]:mm:ss"))</f>
        <v>00:10:00</v>
      </c>
      <c r="L290" s="1587">
        <v>45742.996527777781</v>
      </c>
      <c r="M290" s="1588">
        <v>45742.996527777781</v>
      </c>
    </row>
    <row r="291" spans="1:13" s="104" customFormat="1" x14ac:dyDescent="0.45">
      <c r="A291" s="1619"/>
      <c r="B291" s="1615"/>
      <c r="C291" s="1617"/>
      <c r="D291" s="103" t="s">
        <v>2698</v>
      </c>
      <c r="E291" s="1530">
        <v>45742.657638888886</v>
      </c>
      <c r="F291" s="1530">
        <v>45742.683333333334</v>
      </c>
      <c r="G291" s="1530"/>
      <c r="H291" s="1530"/>
      <c r="I291" s="596"/>
      <c r="J291" s="1530">
        <f t="shared" si="79"/>
        <v>45742.990972222222</v>
      </c>
      <c r="K291" s="663" t="str">
        <f t="shared" si="86"/>
        <v>00:08:00</v>
      </c>
      <c r="L291" s="1591"/>
      <c r="M291" s="1589"/>
    </row>
    <row r="292" spans="1:13" s="104" customFormat="1" x14ac:dyDescent="0.45">
      <c r="A292" s="1619"/>
      <c r="B292" s="1615"/>
      <c r="C292" s="1533" t="s">
        <v>3262</v>
      </c>
      <c r="D292" s="103" t="s">
        <v>2699</v>
      </c>
      <c r="E292" s="1530">
        <v>45742.658333333333</v>
      </c>
      <c r="F292" s="1530">
        <v>45742.68472222222</v>
      </c>
      <c r="G292" s="1530"/>
      <c r="H292" s="1530"/>
      <c r="I292" s="596"/>
      <c r="J292" s="1530">
        <f t="shared" si="79"/>
        <v>45742.991666666669</v>
      </c>
      <c r="K292" s="663" t="str">
        <f t="shared" si="86"/>
        <v>00:07:00</v>
      </c>
      <c r="L292" s="1591"/>
      <c r="M292" s="1589"/>
    </row>
    <row r="293" spans="1:13" s="85" customFormat="1" x14ac:dyDescent="0.45">
      <c r="A293" s="1619"/>
      <c r="B293" s="1615"/>
      <c r="C293" s="1613" t="s">
        <v>788</v>
      </c>
      <c r="D293" s="1530" t="s">
        <v>2711</v>
      </c>
      <c r="E293" s="1530">
        <v>45742.659722222219</v>
      </c>
      <c r="F293" s="1530">
        <v>45742.72152777778</v>
      </c>
      <c r="G293" s="1530"/>
      <c r="H293" s="1530"/>
      <c r="I293" s="596"/>
      <c r="J293" s="1530">
        <f t="shared" si="79"/>
        <v>45742.993055555555</v>
      </c>
      <c r="K293" s="663" t="str">
        <f t="shared" si="86"/>
        <v>00:05:00</v>
      </c>
      <c r="L293" s="1591"/>
      <c r="M293" s="1589"/>
    </row>
    <row r="294" spans="1:13" s="104" customFormat="1" ht="19.8" thickBot="1" x14ac:dyDescent="0.5">
      <c r="A294" s="1583"/>
      <c r="B294" s="1608"/>
      <c r="C294" s="1612"/>
      <c r="D294" s="1481" t="s">
        <v>2623</v>
      </c>
      <c r="E294" s="1481">
        <v>45742.625</v>
      </c>
      <c r="F294" s="1481">
        <v>45742.791666666664</v>
      </c>
      <c r="G294" s="1481"/>
      <c r="H294" s="1481"/>
      <c r="I294" s="656"/>
      <c r="J294" s="1481">
        <f t="shared" si="79"/>
        <v>45742.958333333336</v>
      </c>
      <c r="K294" s="1534" t="str">
        <f t="shared" si="86"/>
        <v>00:55:00</v>
      </c>
      <c r="L294" s="1585"/>
      <c r="M294" s="1590"/>
    </row>
    <row r="295" spans="1:13" s="104" customFormat="1" ht="19.8" thickTop="1" x14ac:dyDescent="0.45">
      <c r="A295" s="1618" t="s">
        <v>990</v>
      </c>
      <c r="B295" s="1607" t="s">
        <v>52</v>
      </c>
      <c r="C295" s="1611" t="s">
        <v>780</v>
      </c>
      <c r="D295" s="1497" t="s">
        <v>2744</v>
      </c>
      <c r="E295" s="1497">
        <v>45757.692361111112</v>
      </c>
      <c r="F295" s="1497">
        <v>45757.716666666667</v>
      </c>
      <c r="G295" s="1497"/>
      <c r="H295" s="1497"/>
      <c r="I295" s="593"/>
      <c r="J295" s="1497">
        <f t="shared" ref="J295:J299" si="87">E295+TIME(8,0,0)</f>
        <v>45758.025694444448</v>
      </c>
      <c r="K295" s="660" t="str">
        <f t="shared" ref="K295:K299" si="88">IF($M$295-J295&lt;0, "-" &amp; TEXT(ABS($M$295-J295),"[hh]:mm:ss"), TEXT($M$295-J295,"[hh]:mm:ss"))</f>
        <v>00:10:00</v>
      </c>
      <c r="L295" s="1587">
        <v>45758.032638888886</v>
      </c>
      <c r="M295" s="1588">
        <v>45758.032638888886</v>
      </c>
    </row>
    <row r="296" spans="1:13" s="104" customFormat="1" x14ac:dyDescent="0.45">
      <c r="A296" s="1619"/>
      <c r="B296" s="1615"/>
      <c r="C296" s="1617"/>
      <c r="D296" s="103" t="s">
        <v>2745</v>
      </c>
      <c r="E296" s="1530">
        <v>45757.693749999999</v>
      </c>
      <c r="F296" s="1530">
        <v>45757.719444444447</v>
      </c>
      <c r="G296" s="1530"/>
      <c r="H296" s="1530"/>
      <c r="I296" s="596"/>
      <c r="J296" s="1530">
        <f t="shared" si="87"/>
        <v>45758.027083333334</v>
      </c>
      <c r="K296" s="663" t="str">
        <f t="shared" si="88"/>
        <v>00:08:00</v>
      </c>
      <c r="L296" s="1591"/>
      <c r="M296" s="1589"/>
    </row>
    <row r="297" spans="1:13" s="104" customFormat="1" x14ac:dyDescent="0.45">
      <c r="A297" s="1619"/>
      <c r="B297" s="1615"/>
      <c r="C297" s="1533" t="s">
        <v>3262</v>
      </c>
      <c r="D297" s="103" t="s">
        <v>2746</v>
      </c>
      <c r="E297" s="1530">
        <v>45757.694444444445</v>
      </c>
      <c r="F297" s="1530">
        <v>45757.720833333333</v>
      </c>
      <c r="G297" s="1530"/>
      <c r="H297" s="1530"/>
      <c r="I297" s="596"/>
      <c r="J297" s="1530">
        <f t="shared" si="87"/>
        <v>45758.027777777781</v>
      </c>
      <c r="K297" s="663" t="str">
        <f t="shared" si="88"/>
        <v>00:07:00</v>
      </c>
      <c r="L297" s="1591"/>
      <c r="M297" s="1589"/>
    </row>
    <row r="298" spans="1:13" s="85" customFormat="1" x14ac:dyDescent="0.45">
      <c r="A298" s="1619"/>
      <c r="B298" s="1615"/>
      <c r="C298" s="1613" t="s">
        <v>788</v>
      </c>
      <c r="D298" s="1530" t="s">
        <v>2747</v>
      </c>
      <c r="E298" s="1530">
        <v>45757.695833333331</v>
      </c>
      <c r="F298" s="1530">
        <v>45757.753472222219</v>
      </c>
      <c r="G298" s="1530"/>
      <c r="H298" s="1530"/>
      <c r="I298" s="596"/>
      <c r="J298" s="1530">
        <f t="shared" si="87"/>
        <v>45758.029166666667</v>
      </c>
      <c r="K298" s="663" t="str">
        <f t="shared" si="88"/>
        <v>00:05:00</v>
      </c>
      <c r="L298" s="1591"/>
      <c r="M298" s="1589"/>
    </row>
    <row r="299" spans="1:13" s="104" customFormat="1" ht="19.8" thickBot="1" x14ac:dyDescent="0.5">
      <c r="A299" s="1583"/>
      <c r="B299" s="1608"/>
      <c r="C299" s="1612"/>
      <c r="D299" s="1481" t="s">
        <v>2690</v>
      </c>
      <c r="E299" s="1481">
        <v>45757.666666666664</v>
      </c>
      <c r="F299" s="1481">
        <v>45757.791666666664</v>
      </c>
      <c r="G299" s="1481"/>
      <c r="H299" s="1481"/>
      <c r="I299" s="656"/>
      <c r="J299" s="1481">
        <f t="shared" si="87"/>
        <v>45758</v>
      </c>
      <c r="K299" s="1534" t="str">
        <f t="shared" si="88"/>
        <v>00:47:00</v>
      </c>
      <c r="L299" s="1585"/>
      <c r="M299" s="1590"/>
    </row>
    <row r="300" spans="1:13" s="104" customFormat="1" ht="19.8" thickTop="1" x14ac:dyDescent="0.45">
      <c r="A300" s="1618" t="s">
        <v>990</v>
      </c>
      <c r="B300" s="1607" t="s">
        <v>52</v>
      </c>
      <c r="C300" s="1611" t="s">
        <v>780</v>
      </c>
      <c r="D300" s="1497" t="s">
        <v>2765</v>
      </c>
      <c r="E300" s="1497">
        <v>45774.655555555553</v>
      </c>
      <c r="F300" s="1497">
        <v>45774.679861111108</v>
      </c>
      <c r="G300" s="1497"/>
      <c r="H300" s="1497"/>
      <c r="I300" s="593"/>
      <c r="J300" s="1497">
        <f t="shared" ref="J300:J304" si="89">E300+TIME(8,0,0)</f>
        <v>45774.988888888889</v>
      </c>
      <c r="K300" s="660" t="str">
        <f t="shared" ref="K300:K304" si="90">IF($M$300-J300&lt;0, "-" &amp; TEXT(ABS($M$300-J300),"[hh]:mm:ss"), TEXT($M$300-J300,"[hh]:mm:ss"))</f>
        <v>00:10:00</v>
      </c>
      <c r="L300" s="1587">
        <v>45774.995833333334</v>
      </c>
      <c r="M300" s="1588">
        <v>45774.995833333334</v>
      </c>
    </row>
    <row r="301" spans="1:13" s="104" customFormat="1" x14ac:dyDescent="0.45">
      <c r="A301" s="1619"/>
      <c r="B301" s="1615"/>
      <c r="C301" s="1617"/>
      <c r="D301" s="103" t="s">
        <v>2766</v>
      </c>
      <c r="E301" s="1530">
        <v>45774.656944444447</v>
      </c>
      <c r="F301" s="1530">
        <v>45774.682638888888</v>
      </c>
      <c r="G301" s="1530"/>
      <c r="H301" s="1530"/>
      <c r="I301" s="596"/>
      <c r="J301" s="1530">
        <f t="shared" si="89"/>
        <v>45774.990277777782</v>
      </c>
      <c r="K301" s="663" t="str">
        <f t="shared" si="90"/>
        <v>00:08:00</v>
      </c>
      <c r="L301" s="1591"/>
      <c r="M301" s="1589"/>
    </row>
    <row r="302" spans="1:13" s="104" customFormat="1" x14ac:dyDescent="0.45">
      <c r="A302" s="1619"/>
      <c r="B302" s="1615"/>
      <c r="C302" s="1533" t="s">
        <v>3262</v>
      </c>
      <c r="D302" s="103" t="s">
        <v>2768</v>
      </c>
      <c r="E302" s="1530">
        <v>45774.657638888886</v>
      </c>
      <c r="F302" s="1530">
        <v>45774.684027777781</v>
      </c>
      <c r="G302" s="1530"/>
      <c r="H302" s="1530"/>
      <c r="I302" s="596"/>
      <c r="J302" s="1530">
        <f t="shared" si="89"/>
        <v>45774.990972222222</v>
      </c>
      <c r="K302" s="663" t="str">
        <f t="shared" si="90"/>
        <v>00:07:00</v>
      </c>
      <c r="L302" s="1591"/>
      <c r="M302" s="1589"/>
    </row>
    <row r="303" spans="1:13" s="85" customFormat="1" x14ac:dyDescent="0.45">
      <c r="A303" s="1619"/>
      <c r="B303" s="1615"/>
      <c r="C303" s="1613" t="s">
        <v>788</v>
      </c>
      <c r="D303" s="1530" t="s">
        <v>2770</v>
      </c>
      <c r="E303" s="1530">
        <v>45774.65902777778</v>
      </c>
      <c r="F303" s="1530">
        <v>45774.713194444441</v>
      </c>
      <c r="G303" s="1530"/>
      <c r="H303" s="1530"/>
      <c r="I303" s="596"/>
      <c r="J303" s="1530">
        <f t="shared" si="89"/>
        <v>45774.992361111115</v>
      </c>
      <c r="K303" s="663" t="str">
        <f t="shared" si="90"/>
        <v>00:05:00</v>
      </c>
      <c r="L303" s="1591"/>
      <c r="M303" s="1589"/>
    </row>
    <row r="304" spans="1:13" s="104" customFormat="1" ht="19.8" thickBot="1" x14ac:dyDescent="0.5">
      <c r="A304" s="1583"/>
      <c r="B304" s="1608"/>
      <c r="C304" s="1612"/>
      <c r="D304" s="1481" t="s">
        <v>2740</v>
      </c>
      <c r="E304" s="1481">
        <v>45774.625</v>
      </c>
      <c r="F304" s="1481">
        <v>45774.791666666664</v>
      </c>
      <c r="G304" s="1481"/>
      <c r="H304" s="1481"/>
      <c r="I304" s="656"/>
      <c r="J304" s="1481">
        <f t="shared" si="89"/>
        <v>45774.958333333336</v>
      </c>
      <c r="K304" s="1534" t="str">
        <f t="shared" si="90"/>
        <v>00:54:00</v>
      </c>
      <c r="L304" s="1585"/>
      <c r="M304" s="1590"/>
    </row>
    <row r="305" spans="1:13" s="104" customFormat="1" ht="19.8" thickTop="1" x14ac:dyDescent="0.45">
      <c r="A305" s="1618" t="s">
        <v>990</v>
      </c>
      <c r="B305" s="1607" t="s">
        <v>52</v>
      </c>
      <c r="C305" s="1611" t="s">
        <v>780</v>
      </c>
      <c r="D305" s="1497" t="s">
        <v>2858</v>
      </c>
      <c r="E305" s="1497">
        <v>45828.518750000003</v>
      </c>
      <c r="F305" s="1497">
        <v>45828.543055555558</v>
      </c>
      <c r="G305" s="1497"/>
      <c r="H305" s="1497"/>
      <c r="I305" s="593"/>
      <c r="J305" s="1497">
        <f t="shared" ref="J305:J309" si="91">E305+TIME(8,0,0)</f>
        <v>45828.852083333339</v>
      </c>
      <c r="K305" s="660" t="str">
        <f t="shared" ref="K305:K309" si="92">IF($M$305-J305&lt;0, "-" &amp; TEXT(ABS($M$305-J305),"[hh]:mm:ss"), TEXT($M$305-J305,"[hh]:mm:ss"))</f>
        <v>00:10:00</v>
      </c>
      <c r="L305" s="1587">
        <v>45828.859027777777</v>
      </c>
      <c r="M305" s="1588">
        <v>45828.859027777777</v>
      </c>
    </row>
    <row r="306" spans="1:13" s="104" customFormat="1" x14ac:dyDescent="0.45">
      <c r="A306" s="1619"/>
      <c r="B306" s="1615"/>
      <c r="C306" s="1617"/>
      <c r="D306" s="103" t="s">
        <v>2859</v>
      </c>
      <c r="E306" s="1530">
        <v>45828.520138888889</v>
      </c>
      <c r="F306" s="1530">
        <v>45828.54583333333</v>
      </c>
      <c r="G306" s="1530"/>
      <c r="H306" s="1530"/>
      <c r="I306" s="596"/>
      <c r="J306" s="1530">
        <f t="shared" si="91"/>
        <v>45828.853472222225</v>
      </c>
      <c r="K306" s="663" t="str">
        <f t="shared" si="92"/>
        <v>00:08:00</v>
      </c>
      <c r="L306" s="1591"/>
      <c r="M306" s="1589"/>
    </row>
    <row r="307" spans="1:13" s="104" customFormat="1" x14ac:dyDescent="0.45">
      <c r="A307" s="1619"/>
      <c r="B307" s="1615"/>
      <c r="C307" s="1533" t="s">
        <v>3262</v>
      </c>
      <c r="D307" s="103" t="s">
        <v>2861</v>
      </c>
      <c r="E307" s="1530">
        <v>45828.520833333336</v>
      </c>
      <c r="F307" s="1530">
        <v>45828.549305555556</v>
      </c>
      <c r="G307" s="1530"/>
      <c r="H307" s="1530"/>
      <c r="I307" s="596"/>
      <c r="J307" s="1530">
        <f t="shared" si="91"/>
        <v>45828.854166666672</v>
      </c>
      <c r="K307" s="663" t="str">
        <f t="shared" si="92"/>
        <v>00:07:00</v>
      </c>
      <c r="L307" s="1591"/>
      <c r="M307" s="1589"/>
    </row>
    <row r="308" spans="1:13" s="85" customFormat="1" x14ac:dyDescent="0.45">
      <c r="A308" s="1619"/>
      <c r="B308" s="1615"/>
      <c r="C308" s="1613" t="s">
        <v>788</v>
      </c>
      <c r="D308" s="1530" t="s">
        <v>2863</v>
      </c>
      <c r="E308" s="1530">
        <v>45828.522222222222</v>
      </c>
      <c r="F308" s="1530">
        <v>45828.619444444441</v>
      </c>
      <c r="G308" s="1530"/>
      <c r="H308" s="1530"/>
      <c r="I308" s="596"/>
      <c r="J308" s="1530">
        <f t="shared" si="91"/>
        <v>45828.855555555558</v>
      </c>
      <c r="K308" s="663" t="str">
        <f t="shared" si="92"/>
        <v>00:05:00</v>
      </c>
      <c r="L308" s="1591"/>
      <c r="M308" s="1589"/>
    </row>
    <row r="309" spans="1:13" s="104" customFormat="1" ht="19.8" thickBot="1" x14ac:dyDescent="0.5">
      <c r="A309" s="1583"/>
      <c r="B309" s="1608"/>
      <c r="C309" s="1612"/>
      <c r="D309" s="1481" t="s">
        <v>2856</v>
      </c>
      <c r="E309" s="1481">
        <v>45828.5</v>
      </c>
      <c r="F309" s="1481">
        <v>45828.663194444445</v>
      </c>
      <c r="G309" s="1481"/>
      <c r="H309" s="1481"/>
      <c r="I309" s="656"/>
      <c r="J309" s="1481">
        <f t="shared" si="91"/>
        <v>45828.833333333336</v>
      </c>
      <c r="K309" s="1534" t="str">
        <f t="shared" si="92"/>
        <v>00:37:00</v>
      </c>
      <c r="L309" s="1585"/>
      <c r="M309" s="1590"/>
    </row>
    <row r="310" spans="1:13" s="104" customFormat="1" ht="19.8" thickTop="1" x14ac:dyDescent="0.45">
      <c r="A310" s="1618" t="s">
        <v>990</v>
      </c>
      <c r="B310" s="1607" t="s">
        <v>52</v>
      </c>
      <c r="C310" s="1485" t="s">
        <v>1001</v>
      </c>
      <c r="D310" s="1497" t="s">
        <v>3248</v>
      </c>
      <c r="E310" s="1497">
        <v>45442.502083333333</v>
      </c>
      <c r="F310" s="1497">
        <v>45442.536111111112</v>
      </c>
      <c r="G310" s="1497"/>
      <c r="H310" s="1497"/>
      <c r="I310" s="593"/>
      <c r="J310" s="1497">
        <f>E310+TIME(8,0,0)</f>
        <v>45442.835416666669</v>
      </c>
      <c r="K310" s="660" t="str">
        <f t="shared" ref="K310:K314" si="93">IF($M$310-J310&lt;0, "-" &amp; TEXT(ABS($M$310-J310),"[hh]:mm:ss"), TEXT($M$310-J310,"[hh]:mm:ss"))</f>
        <v>00:09:00</v>
      </c>
      <c r="L310" s="1587">
        <v>45442.841666666667</v>
      </c>
      <c r="M310" s="1588">
        <v>45442.841666666667</v>
      </c>
    </row>
    <row r="311" spans="1:13" s="104" customFormat="1" x14ac:dyDescent="0.45">
      <c r="A311" s="1619"/>
      <c r="B311" s="1615"/>
      <c r="C311" s="1489" t="s">
        <v>2840</v>
      </c>
      <c r="D311" s="1530" t="s">
        <v>3249</v>
      </c>
      <c r="E311" s="1530">
        <v>45442.502083333333</v>
      </c>
      <c r="F311" s="1530">
        <v>45442.536111111112</v>
      </c>
      <c r="G311" s="1530"/>
      <c r="H311" s="1530"/>
      <c r="I311" s="596"/>
      <c r="J311" s="1530">
        <f>E311+TIME(8,0,0)</f>
        <v>45442.835416666669</v>
      </c>
      <c r="K311" s="663" t="str">
        <f t="shared" si="93"/>
        <v>00:09:00</v>
      </c>
      <c r="L311" s="1591"/>
      <c r="M311" s="1589"/>
    </row>
    <row r="312" spans="1:13" s="104" customFormat="1" x14ac:dyDescent="0.45">
      <c r="A312" s="1619"/>
      <c r="B312" s="1615"/>
      <c r="C312" s="631" t="s">
        <v>3262</v>
      </c>
      <c r="D312" s="103" t="s">
        <v>1946</v>
      </c>
      <c r="E312" s="1530">
        <v>45442.503472222219</v>
      </c>
      <c r="F312" s="1530">
        <v>45442.539583333331</v>
      </c>
      <c r="G312" s="1530"/>
      <c r="H312" s="1530"/>
      <c r="I312" s="596"/>
      <c r="J312" s="1530">
        <f>E312+TIME(8,0,0)</f>
        <v>45442.836805555555</v>
      </c>
      <c r="K312" s="663" t="str">
        <f t="shared" si="93"/>
        <v>00:07:00</v>
      </c>
      <c r="L312" s="1591"/>
      <c r="M312" s="1589"/>
    </row>
    <row r="313" spans="1:13" s="85" customFormat="1" x14ac:dyDescent="0.45">
      <c r="A313" s="1619"/>
      <c r="B313" s="1615"/>
      <c r="C313" s="1613" t="s">
        <v>788</v>
      </c>
      <c r="D313" s="1530" t="s">
        <v>1969</v>
      </c>
      <c r="E313" s="1530">
        <v>45442.504861111112</v>
      </c>
      <c r="F313" s="1530">
        <v>45442.640277777777</v>
      </c>
      <c r="G313" s="1530"/>
      <c r="H313" s="1530"/>
      <c r="I313" s="596"/>
      <c r="J313" s="1530">
        <f>E313+TIME(8,0,0)</f>
        <v>45442.838194444448</v>
      </c>
      <c r="K313" s="663" t="str">
        <f t="shared" si="93"/>
        <v>00:05:00</v>
      </c>
      <c r="L313" s="1591"/>
      <c r="M313" s="1589"/>
    </row>
    <row r="314" spans="1:13" s="104" customFormat="1" ht="19.8" thickBot="1" x14ac:dyDescent="0.5">
      <c r="A314" s="1583"/>
      <c r="B314" s="1608"/>
      <c r="C314" s="1612"/>
      <c r="D314" s="1481" t="s">
        <v>1914</v>
      </c>
      <c r="E314" s="1481">
        <v>45442.5</v>
      </c>
      <c r="F314" s="1481">
        <v>45442.665972222225</v>
      </c>
      <c r="G314" s="1481"/>
      <c r="H314" s="1481"/>
      <c r="I314" s="656"/>
      <c r="J314" s="1481">
        <f>E314+TIME(8,0,0)</f>
        <v>45442.833333333336</v>
      </c>
      <c r="K314" s="1534" t="str">
        <f t="shared" si="93"/>
        <v>00:12:00</v>
      </c>
      <c r="L314" s="1585"/>
      <c r="M314" s="1590"/>
    </row>
    <row r="315" spans="1:13" s="104" customFormat="1" ht="19.8" thickTop="1" x14ac:dyDescent="0.45">
      <c r="A315" s="1618" t="s">
        <v>990</v>
      </c>
      <c r="B315" s="1607" t="s">
        <v>52</v>
      </c>
      <c r="C315" s="1485" t="s">
        <v>780</v>
      </c>
      <c r="D315" s="1497" t="s">
        <v>2837</v>
      </c>
      <c r="E315" s="1497">
        <v>45805.723611111112</v>
      </c>
      <c r="F315" s="1497">
        <v>45805.738888888889</v>
      </c>
      <c r="G315" s="1497"/>
      <c r="H315" s="1497"/>
      <c r="I315" s="593"/>
      <c r="J315" s="1497">
        <f t="shared" ref="J315:J319" si="94">E315+TIME(8,0,0)</f>
        <v>45806.056944444448</v>
      </c>
      <c r="K315" s="660" t="str">
        <f t="shared" ref="K315:K319" si="95">IF($M$315-J315&lt;0, "-" &amp; TEXT(ABS($M$315-J315),"[hh]:mm:ss"), TEXT($M$315-J315,"[hh]:mm:ss"))</f>
        <v>00:09:00</v>
      </c>
      <c r="L315" s="1587">
        <v>45806.0625</v>
      </c>
      <c r="M315" s="1588">
        <v>45806.063194444447</v>
      </c>
    </row>
    <row r="316" spans="1:13" s="104" customFormat="1" x14ac:dyDescent="0.45">
      <c r="A316" s="1619"/>
      <c r="B316" s="1615"/>
      <c r="C316" s="1489" t="s">
        <v>2840</v>
      </c>
      <c r="D316" s="103" t="s">
        <v>2838</v>
      </c>
      <c r="E316" s="1530">
        <v>45805.723611111112</v>
      </c>
      <c r="F316" s="1530">
        <v>45805.738888888889</v>
      </c>
      <c r="G316" s="1530"/>
      <c r="H316" s="1530"/>
      <c r="I316" s="596"/>
      <c r="J316" s="1530">
        <f t="shared" si="94"/>
        <v>45806.056944444448</v>
      </c>
      <c r="K316" s="663" t="str">
        <f t="shared" si="95"/>
        <v>00:09:00</v>
      </c>
      <c r="L316" s="1591"/>
      <c r="M316" s="1589"/>
    </row>
    <row r="317" spans="1:13" s="104" customFormat="1" x14ac:dyDescent="0.45">
      <c r="A317" s="1619"/>
      <c r="B317" s="1615"/>
      <c r="C317" s="1533" t="s">
        <v>3262</v>
      </c>
      <c r="D317" s="103" t="s">
        <v>2839</v>
      </c>
      <c r="E317" s="1530">
        <v>45805.724305555559</v>
      </c>
      <c r="F317" s="1530">
        <v>45805.742361111108</v>
      </c>
      <c r="G317" s="1530"/>
      <c r="H317" s="1530"/>
      <c r="I317" s="596"/>
      <c r="J317" s="1530">
        <f t="shared" si="94"/>
        <v>45806.057638888895</v>
      </c>
      <c r="K317" s="663" t="str">
        <f t="shared" si="95"/>
        <v>00:08:00</v>
      </c>
      <c r="L317" s="1591"/>
      <c r="M317" s="1589"/>
    </row>
    <row r="318" spans="1:13" s="85" customFormat="1" x14ac:dyDescent="0.45">
      <c r="A318" s="1619"/>
      <c r="B318" s="1615"/>
      <c r="C318" s="1613" t="s">
        <v>788</v>
      </c>
      <c r="D318" s="1530" t="s">
        <v>2843</v>
      </c>
      <c r="E318" s="1530">
        <v>45805.725694444445</v>
      </c>
      <c r="F318" s="1530">
        <v>45805.742361111108</v>
      </c>
      <c r="G318" s="1530"/>
      <c r="H318" s="1530"/>
      <c r="I318" s="596"/>
      <c r="J318" s="1530">
        <f t="shared" si="94"/>
        <v>45806.059027777781</v>
      </c>
      <c r="K318" s="663" t="str">
        <f t="shared" si="95"/>
        <v>00:06:00</v>
      </c>
      <c r="L318" s="1591"/>
      <c r="M318" s="1589"/>
    </row>
    <row r="319" spans="1:13" s="85" customFormat="1" ht="19.8" thickBot="1" x14ac:dyDescent="0.5">
      <c r="A319" s="1583"/>
      <c r="B319" s="1608"/>
      <c r="C319" s="1612"/>
      <c r="D319" s="1481" t="s">
        <v>2807</v>
      </c>
      <c r="E319" s="1481">
        <v>45805.666666666664</v>
      </c>
      <c r="F319" s="1481">
        <v>45807.833333333336</v>
      </c>
      <c r="G319" s="1481"/>
      <c r="H319" s="1481"/>
      <c r="I319" s="656"/>
      <c r="J319" s="1481">
        <f t="shared" si="94"/>
        <v>45806</v>
      </c>
      <c r="K319" s="1534" t="str">
        <f t="shared" si="95"/>
        <v>01:31:00</v>
      </c>
      <c r="L319" s="1585"/>
      <c r="M319" s="1590"/>
    </row>
    <row r="320" spans="1:13" s="104" customFormat="1" ht="20.399999999999999" thickTop="1" thickBot="1" x14ac:dyDescent="0.5">
      <c r="A320" s="1583" t="s">
        <v>990</v>
      </c>
      <c r="B320" s="1608" t="s">
        <v>52</v>
      </c>
      <c r="C320" s="1485" t="s">
        <v>780</v>
      </c>
      <c r="D320" s="1504" t="s">
        <v>3070</v>
      </c>
      <c r="E320" s="83">
        <v>45956.154861111114</v>
      </c>
      <c r="F320" s="83">
        <v>45956.175694444442</v>
      </c>
      <c r="G320" s="83"/>
      <c r="H320" s="83"/>
      <c r="I320" s="593"/>
      <c r="J320" s="1504">
        <f>E320+TIME(8,0,0)</f>
        <v>45956.48819444445</v>
      </c>
      <c r="K320" s="660" t="str">
        <f t="shared" ref="K320:K322" si="96">IF($M$320-J320&lt;0, "-" &amp; TEXT(ABS($M$320-J320),"[hh]:mm:ss"), TEXT($M$320-J320,"[hh]:mm:ss"))</f>
        <v>00:12:00</v>
      </c>
      <c r="L320" s="1585">
        <v>45956.494444444441</v>
      </c>
      <c r="M320" s="1590">
        <v>45956.496527777781</v>
      </c>
    </row>
    <row r="321" spans="1:13" s="104" customFormat="1" ht="20.399999999999999" thickTop="1" thickBot="1" x14ac:dyDescent="0.5">
      <c r="A321" s="1583"/>
      <c r="B321" s="1608"/>
      <c r="C321" s="1512" t="s">
        <v>3072</v>
      </c>
      <c r="D321" s="319" t="s">
        <v>3078</v>
      </c>
      <c r="E321" s="1530">
        <v>45956.15625</v>
      </c>
      <c r="F321" s="1530">
        <v>45956.180555555555</v>
      </c>
      <c r="G321" s="1530"/>
      <c r="H321" s="1530"/>
      <c r="I321" s="596"/>
      <c r="J321" s="1530">
        <f>E321+TIME(8,0,0)</f>
        <v>45956.489583333336</v>
      </c>
      <c r="K321" s="663" t="str">
        <f t="shared" si="96"/>
        <v>00:10:00</v>
      </c>
      <c r="L321" s="1585"/>
      <c r="M321" s="1590"/>
    </row>
    <row r="322" spans="1:13" s="85" customFormat="1" ht="20.399999999999999" thickTop="1" thickBot="1" x14ac:dyDescent="0.5">
      <c r="A322" s="1583"/>
      <c r="B322" s="1608"/>
      <c r="C322" s="1484" t="s">
        <v>3077</v>
      </c>
      <c r="D322" s="86" t="s">
        <v>3076</v>
      </c>
      <c r="E322" s="1481">
        <v>45956.156944444447</v>
      </c>
      <c r="F322" s="1481">
        <v>45956.179166666669</v>
      </c>
      <c r="G322" s="1481"/>
      <c r="H322" s="1481"/>
      <c r="I322" s="656"/>
      <c r="J322" s="1481">
        <f>E322+TIME(8,0,0)</f>
        <v>45956.490277777782</v>
      </c>
      <c r="K322" s="1534" t="str">
        <f t="shared" si="96"/>
        <v>00:09:00</v>
      </c>
      <c r="L322" s="1583"/>
      <c r="M322" s="1624"/>
    </row>
    <row r="323" spans="1:13" s="104" customFormat="1" ht="19.8" thickTop="1" x14ac:dyDescent="0.45">
      <c r="A323" s="1618" t="s">
        <v>990</v>
      </c>
      <c r="B323" s="1607" t="s">
        <v>52</v>
      </c>
      <c r="C323" s="1485" t="s">
        <v>780</v>
      </c>
      <c r="D323" s="1497" t="s">
        <v>3234</v>
      </c>
      <c r="E323" s="1497">
        <v>46000.625</v>
      </c>
      <c r="F323" s="1497">
        <v>46000.664583333331</v>
      </c>
      <c r="G323" s="1497"/>
      <c r="H323" s="1497"/>
      <c r="I323" s="593"/>
      <c r="J323" s="1497">
        <f t="shared" ref="J323:J326" si="97">E323+TIME(8,0,0)</f>
        <v>46000.958333333336</v>
      </c>
      <c r="K323" s="660" t="str">
        <f t="shared" ref="K323:K326" si="98">IF($M$323-J323&lt;0, "-" &amp; TEXT(ABS($M$323-J323),"[hh]:mm:ss"), TEXT($M$323-J323,"[hh]:mm:ss"))</f>
        <v>00:08:00</v>
      </c>
      <c r="L323" s="1587">
        <v>46000.963888888888</v>
      </c>
      <c r="M323" s="1588">
        <v>46000.963888888888</v>
      </c>
    </row>
    <row r="324" spans="1:13" s="104" customFormat="1" x14ac:dyDescent="0.45">
      <c r="A324" s="1619"/>
      <c r="B324" s="1615"/>
      <c r="C324" s="1533" t="s">
        <v>3262</v>
      </c>
      <c r="D324" s="103" t="s">
        <v>3235</v>
      </c>
      <c r="E324" s="1530">
        <v>46000.625694444447</v>
      </c>
      <c r="F324" s="1530">
        <v>46000.668749999997</v>
      </c>
      <c r="G324" s="1530"/>
      <c r="H324" s="1530"/>
      <c r="I324" s="596"/>
      <c r="J324" s="1530">
        <f t="shared" si="97"/>
        <v>46000.959027777782</v>
      </c>
      <c r="K324" s="663" t="str">
        <f t="shared" si="98"/>
        <v>00:07:00</v>
      </c>
      <c r="L324" s="1591"/>
      <c r="M324" s="1589"/>
    </row>
    <row r="325" spans="1:13" s="85" customFormat="1" x14ac:dyDescent="0.45">
      <c r="A325" s="1619"/>
      <c r="B325" s="1615"/>
      <c r="C325" s="1613" t="s">
        <v>788</v>
      </c>
      <c r="D325" s="1530" t="s">
        <v>3237</v>
      </c>
      <c r="E325" s="1530">
        <v>46000.627083333333</v>
      </c>
      <c r="F325" s="1530">
        <v>46000.668749999997</v>
      </c>
      <c r="G325" s="1530"/>
      <c r="H325" s="1530"/>
      <c r="I325" s="596"/>
      <c r="J325" s="1530">
        <f t="shared" si="97"/>
        <v>46000.960416666669</v>
      </c>
      <c r="K325" s="663" t="str">
        <f t="shared" si="98"/>
        <v>00:05:00</v>
      </c>
      <c r="L325" s="1591"/>
      <c r="M325" s="1589"/>
    </row>
    <row r="326" spans="1:13" s="85" customFormat="1" ht="19.8" thickBot="1" x14ac:dyDescent="0.5">
      <c r="A326" s="1583"/>
      <c r="B326" s="1608"/>
      <c r="C326" s="1612"/>
      <c r="D326" s="1481" t="s">
        <v>3189</v>
      </c>
      <c r="E326" s="1481">
        <v>46000.583333333336</v>
      </c>
      <c r="F326" s="1481">
        <v>46003.75</v>
      </c>
      <c r="G326" s="1481"/>
      <c r="H326" s="1481"/>
      <c r="I326" s="656"/>
      <c r="J326" s="1481">
        <f t="shared" si="97"/>
        <v>46000.916666666672</v>
      </c>
      <c r="K326" s="1534" t="str">
        <f t="shared" si="98"/>
        <v>01:08:00</v>
      </c>
      <c r="L326" s="1585"/>
      <c r="M326" s="1590"/>
    </row>
    <row r="327" spans="1:13" s="104" customFormat="1" ht="19.8" thickTop="1" x14ac:dyDescent="0.45">
      <c r="A327" s="1618" t="s">
        <v>990</v>
      </c>
      <c r="B327" s="1607" t="s">
        <v>52</v>
      </c>
      <c r="C327" s="1485" t="s">
        <v>780</v>
      </c>
      <c r="D327" s="1497" t="s">
        <v>3313</v>
      </c>
      <c r="E327" s="1497">
        <v>46017.666666666664</v>
      </c>
      <c r="F327" s="1497">
        <v>46017.705555555556</v>
      </c>
      <c r="G327" s="1497"/>
      <c r="H327" s="1497"/>
      <c r="I327" s="593"/>
      <c r="J327" s="1497">
        <f t="shared" ref="J327:J330" si="99">E327+TIME(8,0,0)</f>
        <v>46018</v>
      </c>
      <c r="K327" s="660" t="str">
        <f t="shared" ref="K327:K329" si="100">IF($M$327-J327&lt;0, "-" &amp; TEXT(ABS($M$327-J327),"[hh]:mm:ss"), TEXT($M$327-J327,"[hh]:mm:ss"))</f>
        <v>00:07:00</v>
      </c>
      <c r="L327" s="1587">
        <v>46018.005555555559</v>
      </c>
      <c r="M327" s="1588">
        <v>46018.004861111112</v>
      </c>
    </row>
    <row r="328" spans="1:13" s="104" customFormat="1" x14ac:dyDescent="0.45">
      <c r="A328" s="1619"/>
      <c r="B328" s="1615"/>
      <c r="C328" s="1533" t="s">
        <v>3262</v>
      </c>
      <c r="D328" s="103" t="s">
        <v>3314</v>
      </c>
      <c r="E328" s="1530">
        <v>46017.666666666664</v>
      </c>
      <c r="F328" s="1530">
        <v>46017.709722222222</v>
      </c>
      <c r="G328" s="1530"/>
      <c r="H328" s="1530"/>
      <c r="I328" s="596"/>
      <c r="J328" s="1530">
        <f t="shared" si="99"/>
        <v>46018</v>
      </c>
      <c r="K328" s="663" t="str">
        <f t="shared" si="100"/>
        <v>00:07:00</v>
      </c>
      <c r="L328" s="1591"/>
      <c r="M328" s="1589"/>
    </row>
    <row r="329" spans="1:13" s="85" customFormat="1" x14ac:dyDescent="0.45">
      <c r="A329" s="1619"/>
      <c r="B329" s="1615"/>
      <c r="C329" s="1613" t="s">
        <v>788</v>
      </c>
      <c r="D329" s="1530" t="s">
        <v>3315</v>
      </c>
      <c r="E329" s="1530">
        <v>46017.668055555558</v>
      </c>
      <c r="F329" s="1530">
        <v>46017.709722222222</v>
      </c>
      <c r="G329" s="1530"/>
      <c r="H329" s="1530"/>
      <c r="I329" s="596"/>
      <c r="J329" s="1530">
        <f t="shared" si="99"/>
        <v>46018.001388888893</v>
      </c>
      <c r="K329" s="663" t="str">
        <f t="shared" si="100"/>
        <v>00:05:00</v>
      </c>
      <c r="L329" s="1591"/>
      <c r="M329" s="1589"/>
    </row>
    <row r="330" spans="1:13" s="85" customFormat="1" ht="19.8" thickBot="1" x14ac:dyDescent="0.5">
      <c r="A330" s="1583"/>
      <c r="B330" s="1608"/>
      <c r="C330" s="1612"/>
      <c r="D330" s="1481" t="s">
        <v>3295</v>
      </c>
      <c r="E330" s="1481">
        <v>46017.666666666664</v>
      </c>
      <c r="F330" s="1481">
        <v>46017.791666666664</v>
      </c>
      <c r="G330" s="1481"/>
      <c r="H330" s="1481"/>
      <c r="I330" s="656"/>
      <c r="J330" s="1481">
        <f t="shared" si="99"/>
        <v>46018</v>
      </c>
      <c r="K330" s="1534" t="str">
        <f>IF($M$327-J330&lt;0, "-" &amp; TEXT(ABS($M$327-J330),"[hh]:mm:ss"), TEXT($M$327-J330,"[hh]:mm:ss"))</f>
        <v>00:07:00</v>
      </c>
      <c r="L330" s="1585"/>
      <c r="M330" s="1590"/>
    </row>
    <row r="331" spans="1:13" s="104" customFormat="1" ht="19.8" thickTop="1" x14ac:dyDescent="0.45">
      <c r="A331" s="1618" t="s">
        <v>990</v>
      </c>
      <c r="B331" s="1607" t="s">
        <v>52</v>
      </c>
      <c r="C331" s="1485" t="s">
        <v>780</v>
      </c>
      <c r="D331" s="1497" t="s">
        <v>3376</v>
      </c>
      <c r="E331" s="1497">
        <v>46038.699305555558</v>
      </c>
      <c r="F331" s="1497">
        <v>46038.731944444444</v>
      </c>
      <c r="G331" s="1497"/>
      <c r="H331" s="1497"/>
      <c r="I331" s="593"/>
      <c r="J331" s="1497">
        <f t="shared" ref="J331:J335" si="101">E331+TIME(8,0,0)</f>
        <v>46039.032638888893</v>
      </c>
      <c r="K331" s="660" t="str">
        <f>IF($M$331-J331&lt;0, "-" &amp; TEXT(ABS($M$331-J331),"[hh]:mm:ss"), TEXT($M$331-J331,"[hh]:mm:ss"))</f>
        <v>00:08:00</v>
      </c>
      <c r="L331" s="1587">
        <v>46039.038194444445</v>
      </c>
      <c r="M331" s="1588">
        <v>46039.038194444445</v>
      </c>
    </row>
    <row r="332" spans="1:13" s="104" customFormat="1" x14ac:dyDescent="0.45">
      <c r="A332" s="1619"/>
      <c r="B332" s="1615"/>
      <c r="C332" s="1533" t="s">
        <v>3262</v>
      </c>
      <c r="D332" s="103" t="s">
        <v>3377</v>
      </c>
      <c r="E332" s="1530">
        <v>46038.7</v>
      </c>
      <c r="F332" s="1530">
        <v>46038.736111111109</v>
      </c>
      <c r="G332" s="1530"/>
      <c r="H332" s="1530"/>
      <c r="I332" s="596"/>
      <c r="J332" s="1530">
        <f t="shared" si="101"/>
        <v>46039.033333333333</v>
      </c>
      <c r="K332" s="663" t="str">
        <f t="shared" ref="K332:K334" si="102">IF($M$331-J332&lt;0, "-" &amp; TEXT(ABS($M$331-J332),"[hh]:mm:ss"), TEXT($M$331-J332,"[hh]:mm:ss"))</f>
        <v>00:07:00</v>
      </c>
      <c r="L332" s="1591"/>
      <c r="M332" s="1589"/>
    </row>
    <row r="333" spans="1:13" s="85" customFormat="1" x14ac:dyDescent="0.45">
      <c r="A333" s="1619"/>
      <c r="B333" s="1615"/>
      <c r="C333" s="1613" t="s">
        <v>788</v>
      </c>
      <c r="D333" s="1530" t="s">
        <v>3379</v>
      </c>
      <c r="E333" s="1530">
        <v>46038.701388888891</v>
      </c>
      <c r="F333" s="1530">
        <v>46038.738194444442</v>
      </c>
      <c r="G333" s="1530"/>
      <c r="H333" s="1530"/>
      <c r="I333" s="596"/>
      <c r="J333" s="1530">
        <f t="shared" si="101"/>
        <v>46039.034722222226</v>
      </c>
      <c r="K333" s="663" t="str">
        <f t="shared" si="102"/>
        <v>00:05:00</v>
      </c>
      <c r="L333" s="1591"/>
      <c r="M333" s="1589"/>
    </row>
    <row r="334" spans="1:13" s="85" customFormat="1" ht="19.8" thickBot="1" x14ac:dyDescent="0.5">
      <c r="A334" s="1583"/>
      <c r="B334" s="1608"/>
      <c r="C334" s="1612"/>
      <c r="D334" s="1481" t="s">
        <v>3327</v>
      </c>
      <c r="E334" s="1481">
        <v>46038.666666666664</v>
      </c>
      <c r="F334" s="1481">
        <v>46038.791666666664</v>
      </c>
      <c r="G334" s="1481"/>
      <c r="H334" s="1481"/>
      <c r="I334" s="656"/>
      <c r="J334" s="1481">
        <f t="shared" si="101"/>
        <v>46039</v>
      </c>
      <c r="K334" s="1534" t="str">
        <f t="shared" si="102"/>
        <v>00:55:00</v>
      </c>
      <c r="L334" s="1585"/>
      <c r="M334" s="1590"/>
    </row>
    <row r="335" spans="1:13" s="104" customFormat="1" ht="20.399999999999999" thickTop="1" thickBot="1" x14ac:dyDescent="0.5">
      <c r="A335" s="1583" t="s">
        <v>105</v>
      </c>
      <c r="B335" s="1608" t="s">
        <v>52</v>
      </c>
      <c r="C335" s="1485" t="s">
        <v>3708</v>
      </c>
      <c r="D335" s="588" t="s">
        <v>3705</v>
      </c>
      <c r="E335" s="83">
        <v>46189.400694444441</v>
      </c>
      <c r="F335" s="83">
        <v>46189.432638888888</v>
      </c>
      <c r="G335" s="83"/>
      <c r="H335" s="83"/>
      <c r="I335" s="593"/>
      <c r="J335" s="1504">
        <f t="shared" si="101"/>
        <v>46189.734027777777</v>
      </c>
      <c r="K335" s="660" t="str">
        <f>IF($M$335-J335&lt;0, "-" &amp; TEXT(ABS($M$335-J335),"[hh]:mm:ss"), TEXT($M$335-J335,"[hh]:mm:ss"))</f>
        <v>00:08:00</v>
      </c>
      <c r="L335" s="1585">
        <v>46189.739583333336</v>
      </c>
      <c r="M335" s="1590">
        <v>46189.739583333336</v>
      </c>
    </row>
    <row r="336" spans="1:13" s="104" customFormat="1" ht="20.399999999999999" thickTop="1" thickBot="1" x14ac:dyDescent="0.5">
      <c r="A336" s="1583"/>
      <c r="B336" s="1608"/>
      <c r="C336" s="631" t="s">
        <v>2840</v>
      </c>
      <c r="D336" s="588" t="s">
        <v>3706</v>
      </c>
      <c r="E336" s="1497">
        <v>46189.400694444441</v>
      </c>
      <c r="F336" s="1497">
        <v>46189.432638888888</v>
      </c>
      <c r="G336" s="1497"/>
      <c r="H336" s="1497"/>
      <c r="I336" s="593"/>
      <c r="J336" s="1497">
        <f>E336+TIME(8,0,0)</f>
        <v>46189.734027777777</v>
      </c>
      <c r="K336" s="660" t="str">
        <f t="shared" ref="K336:K339" si="103">IF($M$335-J336&lt;0, "-" &amp; TEXT(ABS($M$335-J336),"[hh]:mm:ss"), TEXT($M$335-J336,"[hh]:mm:ss"))</f>
        <v>00:08:00</v>
      </c>
      <c r="L336" s="1585"/>
      <c r="M336" s="1590"/>
    </row>
    <row r="337" spans="1:13" s="104" customFormat="1" ht="20.399999999999999" thickTop="1" thickBot="1" x14ac:dyDescent="0.5">
      <c r="A337" s="1583"/>
      <c r="B337" s="1608"/>
      <c r="C337" s="1512" t="s">
        <v>2047</v>
      </c>
      <c r="D337" s="588" t="s">
        <v>3707</v>
      </c>
      <c r="E337" s="1497">
        <v>46189.402777777781</v>
      </c>
      <c r="F337" s="1497">
        <v>46189.438194444447</v>
      </c>
      <c r="G337" s="1497"/>
      <c r="H337" s="1497"/>
      <c r="I337" s="593"/>
      <c r="J337" s="1497">
        <f>E337+TIME(8,0,0)</f>
        <v>46189.736111111117</v>
      </c>
      <c r="K337" s="660" t="str">
        <f t="shared" si="103"/>
        <v>00:05:00</v>
      </c>
      <c r="L337" s="1585"/>
      <c r="M337" s="1590"/>
    </row>
    <row r="338" spans="1:13" s="85" customFormat="1" ht="20.399999999999999" thickTop="1" thickBot="1" x14ac:dyDescent="0.5">
      <c r="A338" s="1583"/>
      <c r="B338" s="1608"/>
      <c r="C338" s="1613" t="s">
        <v>3027</v>
      </c>
      <c r="D338" s="1530" t="s">
        <v>3715</v>
      </c>
      <c r="E338" s="1530">
        <v>46189.402777777781</v>
      </c>
      <c r="F338" s="1530">
        <v>46189.436805555553</v>
      </c>
      <c r="G338" s="1530"/>
      <c r="H338" s="1530"/>
      <c r="I338" s="596"/>
      <c r="J338" s="1530">
        <f>E338+TIME(8,0,0)</f>
        <v>46189.736111111117</v>
      </c>
      <c r="K338" s="663" t="str">
        <f t="shared" si="103"/>
        <v>00:05:00</v>
      </c>
      <c r="L338" s="1585"/>
      <c r="M338" s="1590"/>
    </row>
    <row r="339" spans="1:13" s="104" customFormat="1" ht="20.399999999999999" thickTop="1" thickBot="1" x14ac:dyDescent="0.5">
      <c r="A339" s="1583"/>
      <c r="B339" s="1608"/>
      <c r="C339" s="1612"/>
      <c r="D339" s="86" t="s">
        <v>3698</v>
      </c>
      <c r="E339" s="1481">
        <v>46189.333333333336</v>
      </c>
      <c r="F339" s="1481">
        <v>46193.5</v>
      </c>
      <c r="G339" s="1481"/>
      <c r="H339" s="1481"/>
      <c r="I339" s="656"/>
      <c r="J339" s="1481">
        <f t="shared" ref="J339:J340" si="104">E339+TIME(8,0,0)</f>
        <v>46189.666666666672</v>
      </c>
      <c r="K339" s="1534" t="str">
        <f t="shared" si="103"/>
        <v>01:45:00</v>
      </c>
      <c r="L339" s="1583"/>
      <c r="M339" s="1624"/>
    </row>
    <row r="340" spans="1:13" s="104" customFormat="1" ht="20.399999999999999" thickTop="1" thickBot="1" x14ac:dyDescent="0.5">
      <c r="A340" s="1581" t="s">
        <v>105</v>
      </c>
      <c r="B340" s="1600" t="s">
        <v>52</v>
      </c>
      <c r="C340" s="638"/>
      <c r="D340" s="315"/>
      <c r="E340" s="570"/>
      <c r="F340" s="570"/>
      <c r="G340" s="570"/>
      <c r="H340" s="570"/>
      <c r="I340" s="601"/>
      <c r="J340" s="1493">
        <f t="shared" si="104"/>
        <v>0.33333333333333331</v>
      </c>
      <c r="K340" s="668" t="str">
        <f>IF($M$340-J340&lt;0, "-" &amp; TEXT(ABS($M$340-J340),"[hh]:mm:ss"), TEXT($M$340-J340,"[hh]:mm:ss"))</f>
        <v>1109436:00:00</v>
      </c>
      <c r="L340" s="1603">
        <v>46226.833333333336</v>
      </c>
      <c r="M340" s="1606">
        <v>46226.833333333336</v>
      </c>
    </row>
    <row r="341" spans="1:13" s="104" customFormat="1" ht="20.399999999999999" thickTop="1" thickBot="1" x14ac:dyDescent="0.5">
      <c r="A341" s="1581"/>
      <c r="B341" s="1600"/>
      <c r="C341" s="1441"/>
      <c r="D341" s="315"/>
      <c r="E341" s="590"/>
      <c r="F341" s="590"/>
      <c r="G341" s="590"/>
      <c r="H341" s="590"/>
      <c r="I341" s="601"/>
      <c r="J341" s="590">
        <f>E341+TIME(8,0,0)</f>
        <v>0.33333333333333331</v>
      </c>
      <c r="K341" s="668" t="str">
        <f t="shared" ref="K341:K344" si="105">IF($M$340-J341&lt;0, "-" &amp; TEXT(ABS($M$340-J341),"[hh]:mm:ss"), TEXT($M$340-J341,"[hh]:mm:ss"))</f>
        <v>1109436:00:00</v>
      </c>
      <c r="L341" s="1603"/>
      <c r="M341" s="1606"/>
    </row>
    <row r="342" spans="1:13" s="104" customFormat="1" ht="20.399999999999999" thickTop="1" thickBot="1" x14ac:dyDescent="0.5">
      <c r="A342" s="1581"/>
      <c r="B342" s="1600"/>
      <c r="C342" s="1440"/>
      <c r="D342" s="315"/>
      <c r="E342" s="590"/>
      <c r="F342" s="590"/>
      <c r="G342" s="590"/>
      <c r="H342" s="590"/>
      <c r="I342" s="601"/>
      <c r="J342" s="590">
        <f>E342+TIME(8,0,0)</f>
        <v>0.33333333333333331</v>
      </c>
      <c r="K342" s="668" t="str">
        <f t="shared" si="105"/>
        <v>1109436:00:00</v>
      </c>
      <c r="L342" s="1603"/>
      <c r="M342" s="1606"/>
    </row>
    <row r="343" spans="1:13" s="85" customFormat="1" ht="20.399999999999999" thickTop="1" thickBot="1" x14ac:dyDescent="0.5">
      <c r="A343" s="1581"/>
      <c r="B343" s="1600"/>
      <c r="C343" s="1754" t="s">
        <v>989</v>
      </c>
      <c r="D343" s="305"/>
      <c r="E343" s="305"/>
      <c r="F343" s="305"/>
      <c r="G343" s="305"/>
      <c r="H343" s="305"/>
      <c r="I343" s="602"/>
      <c r="J343" s="305">
        <f>E343+TIME(8,0,0)</f>
        <v>0.33333333333333331</v>
      </c>
      <c r="K343" s="669" t="str">
        <f t="shared" si="105"/>
        <v>1109436:00:00</v>
      </c>
      <c r="L343" s="1603"/>
      <c r="M343" s="1606"/>
    </row>
    <row r="344" spans="1:13" s="104" customFormat="1" ht="20.399999999999999" thickTop="1" thickBot="1" x14ac:dyDescent="0.5">
      <c r="A344" s="1581"/>
      <c r="B344" s="1600"/>
      <c r="C344" s="1755"/>
      <c r="D344" s="129" t="s">
        <v>3790</v>
      </c>
      <c r="E344" s="1476">
        <v>46226.458333333336</v>
      </c>
      <c r="F344" s="1476">
        <v>46229.583333333336</v>
      </c>
      <c r="G344" s="1476"/>
      <c r="H344" s="1476"/>
      <c r="I344" s="603"/>
      <c r="J344" s="1476">
        <f t="shared" ref="J344" si="106">E344+TIME(8,0,0)</f>
        <v>46226.791666666672</v>
      </c>
      <c r="K344" s="670" t="str">
        <f t="shared" si="105"/>
        <v>01:00:00</v>
      </c>
      <c r="L344" s="1581"/>
      <c r="M344" s="1650"/>
    </row>
    <row r="345" spans="1:13" s="85" customFormat="1" ht="20.399999999999999" thickTop="1" thickBot="1" x14ac:dyDescent="0.5">
      <c r="A345" s="314"/>
      <c r="B345" s="314"/>
      <c r="C345" s="635"/>
      <c r="D345" s="90"/>
      <c r="E345" s="90"/>
      <c r="F345" s="90"/>
      <c r="G345" s="90"/>
      <c r="H345" s="90"/>
      <c r="I345" s="597"/>
      <c r="J345" s="84"/>
      <c r="K345" s="664"/>
      <c r="L345" s="90"/>
      <c r="M345" s="624"/>
    </row>
    <row r="346" spans="1:13" s="104" customFormat="1" ht="19.8" thickTop="1" x14ac:dyDescent="0.45">
      <c r="A346" s="1618" t="s">
        <v>2788</v>
      </c>
      <c r="B346" s="1607" t="s">
        <v>52</v>
      </c>
      <c r="C346" s="1611" t="s">
        <v>780</v>
      </c>
      <c r="D346" s="1497" t="s">
        <v>2797</v>
      </c>
      <c r="E346" s="1497">
        <v>45789.749305555553</v>
      </c>
      <c r="F346" s="1497">
        <v>45789.774305555555</v>
      </c>
      <c r="G346" s="1497"/>
      <c r="H346" s="1497"/>
      <c r="I346" s="593"/>
      <c r="J346" s="1497">
        <f t="shared" ref="J346:J350" si="107">E346+TIME(8,0,0)</f>
        <v>45790.082638888889</v>
      </c>
      <c r="K346" s="660" t="str">
        <f t="shared" ref="K346:K352" si="108">IF($M$346-J346&lt;0, "-" &amp; TEXT(ABS($M$346-J346),"[hh]:mm:ss"), TEXT($M$346-J346,"[hh]:mm:ss"))</f>
        <v>00:10:00</v>
      </c>
      <c r="L346" s="1587">
        <v>45790.089583333334</v>
      </c>
      <c r="M346" s="1588">
        <v>45790.089583333334</v>
      </c>
    </row>
    <row r="347" spans="1:13" s="104" customFormat="1" x14ac:dyDescent="0.45">
      <c r="A347" s="1619"/>
      <c r="B347" s="1615"/>
      <c r="C347" s="1651"/>
      <c r="D347" s="1497" t="s">
        <v>2798</v>
      </c>
      <c r="E347" s="1497">
        <v>45789.750694444447</v>
      </c>
      <c r="F347" s="1497">
        <v>45789.777083333334</v>
      </c>
      <c r="G347" s="1497"/>
      <c r="H347" s="1497"/>
      <c r="I347" s="593"/>
      <c r="J347" s="1497">
        <f t="shared" ref="J347" si="109">E347+TIME(8,0,0)</f>
        <v>45790.084027777782</v>
      </c>
      <c r="K347" s="660" t="str">
        <f t="shared" si="108"/>
        <v>00:08:00</v>
      </c>
      <c r="L347" s="1591"/>
      <c r="M347" s="1589"/>
    </row>
    <row r="348" spans="1:13" s="104" customFormat="1" x14ac:dyDescent="0.45">
      <c r="A348" s="1619"/>
      <c r="B348" s="1615"/>
      <c r="C348" s="1617"/>
      <c r="D348" s="103" t="s">
        <v>2799</v>
      </c>
      <c r="E348" s="1530">
        <v>45789.750694444447</v>
      </c>
      <c r="F348" s="1530">
        <v>45789.777083333334</v>
      </c>
      <c r="G348" s="1530"/>
      <c r="H348" s="1530"/>
      <c r="I348" s="596"/>
      <c r="J348" s="1530">
        <f t="shared" si="107"/>
        <v>45790.084027777782</v>
      </c>
      <c r="K348" s="663" t="str">
        <f t="shared" si="108"/>
        <v>00:08:00</v>
      </c>
      <c r="L348" s="1591"/>
      <c r="M348" s="1589"/>
    </row>
    <row r="349" spans="1:13" s="104" customFormat="1" x14ac:dyDescent="0.45">
      <c r="A349" s="1619"/>
      <c r="B349" s="1615"/>
      <c r="C349" s="1533" t="s">
        <v>3262</v>
      </c>
      <c r="D349" s="103" t="s">
        <v>2800</v>
      </c>
      <c r="E349" s="1530">
        <v>45789.752083333333</v>
      </c>
      <c r="F349" s="1530">
        <v>45789.78125</v>
      </c>
      <c r="G349" s="1530"/>
      <c r="H349" s="1530"/>
      <c r="I349" s="596"/>
      <c r="J349" s="1530">
        <f t="shared" si="107"/>
        <v>45790.085416666669</v>
      </c>
      <c r="K349" s="663" t="str">
        <f t="shared" si="108"/>
        <v>00:06:00</v>
      </c>
      <c r="L349" s="1591"/>
      <c r="M349" s="1589"/>
    </row>
    <row r="350" spans="1:13" s="104" customFormat="1" x14ac:dyDescent="0.45">
      <c r="A350" s="1619"/>
      <c r="B350" s="1615"/>
      <c r="C350" s="1613" t="s">
        <v>788</v>
      </c>
      <c r="D350" s="1530" t="s">
        <v>2803</v>
      </c>
      <c r="E350" s="1530">
        <v>45789.75277777778</v>
      </c>
      <c r="F350" s="1530">
        <v>45789.807638888888</v>
      </c>
      <c r="G350" s="1530"/>
      <c r="H350" s="1530"/>
      <c r="I350" s="596"/>
      <c r="J350" s="1530">
        <f t="shared" si="107"/>
        <v>45790.086111111115</v>
      </c>
      <c r="K350" s="663" t="str">
        <f t="shared" si="108"/>
        <v>00:05:00</v>
      </c>
      <c r="L350" s="1591"/>
      <c r="M350" s="1589"/>
    </row>
    <row r="351" spans="1:13" s="85" customFormat="1" x14ac:dyDescent="0.45">
      <c r="A351" s="1619"/>
      <c r="B351" s="1615"/>
      <c r="C351" s="1617"/>
      <c r="D351" s="1530" t="s">
        <v>2783</v>
      </c>
      <c r="E351" s="1530">
        <v>45789.666666666664</v>
      </c>
      <c r="F351" s="1530">
        <v>45789.833333333336</v>
      </c>
      <c r="G351" s="1530"/>
      <c r="H351" s="1530"/>
      <c r="I351" s="596"/>
      <c r="J351" s="1530">
        <f t="shared" ref="J351:J356" si="110">E351+TIME(8,0,0)</f>
        <v>45790</v>
      </c>
      <c r="K351" s="663" t="str">
        <f t="shared" si="108"/>
        <v>02:09:00</v>
      </c>
      <c r="L351" s="1591"/>
      <c r="M351" s="1589"/>
    </row>
    <row r="352" spans="1:13" s="85" customFormat="1" ht="19.8" thickBot="1" x14ac:dyDescent="0.5">
      <c r="A352" s="1583"/>
      <c r="B352" s="1608"/>
      <c r="C352" s="1484" t="s">
        <v>803</v>
      </c>
      <c r="D352" s="1481" t="s">
        <v>2787</v>
      </c>
      <c r="E352" s="1481">
        <v>45789.666666666664</v>
      </c>
      <c r="F352" s="1481">
        <v>45789.833333333336</v>
      </c>
      <c r="G352" s="1481"/>
      <c r="H352" s="1481"/>
      <c r="I352" s="656"/>
      <c r="J352" s="1481">
        <f t="shared" si="110"/>
        <v>45790</v>
      </c>
      <c r="K352" s="1534" t="str">
        <f t="shared" si="108"/>
        <v>02:09:00</v>
      </c>
      <c r="L352" s="1585"/>
      <c r="M352" s="1590"/>
    </row>
    <row r="353" spans="1:13" s="104" customFormat="1" ht="19.8" thickTop="1" x14ac:dyDescent="0.45">
      <c r="A353" s="1691" t="s">
        <v>2971</v>
      </c>
      <c r="B353" s="1607" t="s">
        <v>52</v>
      </c>
      <c r="C353" s="1611" t="s">
        <v>780</v>
      </c>
      <c r="D353" s="1504" t="s">
        <v>2975</v>
      </c>
      <c r="E353" s="1504">
        <v>45905.101388888892</v>
      </c>
      <c r="F353" s="1504">
        <v>45905.120138888888</v>
      </c>
      <c r="G353" s="1504"/>
      <c r="H353" s="1504"/>
      <c r="I353" s="594"/>
      <c r="J353" s="1504">
        <f t="shared" si="110"/>
        <v>45905.434722222228</v>
      </c>
      <c r="K353" s="659" t="str">
        <f t="shared" ref="K353:K357" si="111">IF($M$353-J353&lt;0, "-" &amp; TEXT(ABS($M$353-J353),"[hh]:mm:ss"), TEXT($M$353-J353,"[hh]:mm:ss"))</f>
        <v>00:08:00</v>
      </c>
      <c r="L353" s="1587">
        <v>45905.44027777778</v>
      </c>
      <c r="M353" s="1588">
        <v>45905.44027777778</v>
      </c>
    </row>
    <row r="354" spans="1:13" s="104" customFormat="1" x14ac:dyDescent="0.45">
      <c r="A354" s="1619"/>
      <c r="B354" s="1615"/>
      <c r="C354" s="1617"/>
      <c r="D354" s="1497" t="s">
        <v>2976</v>
      </c>
      <c r="E354" s="1497">
        <v>45905.101388888892</v>
      </c>
      <c r="F354" s="1497">
        <v>45905.120833333334</v>
      </c>
      <c r="G354" s="1497"/>
      <c r="H354" s="1497"/>
      <c r="I354" s="593"/>
      <c r="J354" s="1497">
        <f t="shared" si="110"/>
        <v>45905.434722222228</v>
      </c>
      <c r="K354" s="660" t="str">
        <f t="shared" si="111"/>
        <v>00:08:00</v>
      </c>
      <c r="L354" s="1591"/>
      <c r="M354" s="1589"/>
    </row>
    <row r="355" spans="1:13" s="104" customFormat="1" x14ac:dyDescent="0.45">
      <c r="A355" s="1619"/>
      <c r="B355" s="1615"/>
      <c r="C355" s="1533" t="s">
        <v>3262</v>
      </c>
      <c r="D355" s="103" t="s">
        <v>2977</v>
      </c>
      <c r="E355" s="1530">
        <v>45905.102777777778</v>
      </c>
      <c r="F355" s="1530">
        <v>45905.122916666667</v>
      </c>
      <c r="G355" s="1530"/>
      <c r="H355" s="1530"/>
      <c r="I355" s="596"/>
      <c r="J355" s="1530">
        <f t="shared" si="110"/>
        <v>45905.436111111114</v>
      </c>
      <c r="K355" s="663" t="str">
        <f t="shared" si="111"/>
        <v>00:06:00</v>
      </c>
      <c r="L355" s="1591"/>
      <c r="M355" s="1589"/>
    </row>
    <row r="356" spans="1:13" s="104" customFormat="1" x14ac:dyDescent="0.45">
      <c r="A356" s="1619"/>
      <c r="B356" s="1615"/>
      <c r="C356" s="1613" t="s">
        <v>788</v>
      </c>
      <c r="D356" s="1530" t="s">
        <v>2984</v>
      </c>
      <c r="E356" s="1530">
        <v>45905.103472222225</v>
      </c>
      <c r="F356" s="1530">
        <v>45905.127083333333</v>
      </c>
      <c r="G356" s="1530"/>
      <c r="H356" s="1530"/>
      <c r="I356" s="596"/>
      <c r="J356" s="1530">
        <f t="shared" si="110"/>
        <v>45905.436805555561</v>
      </c>
      <c r="K356" s="663" t="str">
        <f t="shared" si="111"/>
        <v>00:05:00</v>
      </c>
      <c r="L356" s="1591"/>
      <c r="M356" s="1589"/>
    </row>
    <row r="357" spans="1:13" s="85" customFormat="1" ht="19.8" thickBot="1" x14ac:dyDescent="0.5">
      <c r="A357" s="1583"/>
      <c r="B357" s="1608"/>
      <c r="C357" s="1612"/>
      <c r="D357" s="1514" t="s">
        <v>2965</v>
      </c>
      <c r="E357" s="1514">
        <v>45905</v>
      </c>
      <c r="F357" s="1514">
        <v>45905.999305555553</v>
      </c>
      <c r="G357" s="1514"/>
      <c r="H357" s="1514"/>
      <c r="I357" s="595"/>
      <c r="J357" s="1514">
        <f t="shared" ref="J357" si="112">E357+TIME(8,0,0)</f>
        <v>45905.333333333336</v>
      </c>
      <c r="K357" s="661" t="str">
        <f t="shared" si="111"/>
        <v>02:34:00</v>
      </c>
      <c r="L357" s="1585"/>
      <c r="M357" s="1590"/>
    </row>
    <row r="358" spans="1:13" ht="20.399999999999999" thickTop="1" thickBot="1" x14ac:dyDescent="0.5">
      <c r="A358" s="314"/>
      <c r="B358" s="314"/>
      <c r="C358" s="635"/>
      <c r="D358" s="90"/>
      <c r="E358" s="90"/>
      <c r="F358" s="90"/>
      <c r="G358" s="90"/>
      <c r="H358" s="90"/>
      <c r="I358" s="599"/>
      <c r="J358" s="90"/>
      <c r="K358" s="666"/>
      <c r="L358" s="314"/>
      <c r="M358" s="623"/>
    </row>
    <row r="359" spans="1:13" ht="20.399999999999999" thickTop="1" thickBot="1" x14ac:dyDescent="0.5">
      <c r="A359" s="1582" t="s">
        <v>2032</v>
      </c>
      <c r="B359" s="1621" t="s">
        <v>9</v>
      </c>
      <c r="C359" s="1485" t="s">
        <v>784</v>
      </c>
      <c r="D359" s="587"/>
      <c r="E359" s="1496">
        <v>45032.061111111114</v>
      </c>
      <c r="F359" s="1496">
        <v>45032.07708333333</v>
      </c>
      <c r="G359" s="1496"/>
      <c r="H359" s="1496"/>
      <c r="I359" s="594"/>
      <c r="J359" s="1504">
        <f t="shared" ref="J359:J365" si="113">E359+TIME(8,0,0)</f>
        <v>45032.39444444445</v>
      </c>
      <c r="K359" s="659" t="str">
        <f t="shared" ref="K359:K361" si="114">IF($M$359-J359&lt;0, "-" &amp; TEXT(ABS($M$359-J359),"[hh]:mm:ss"), TEXT($M$359-J359,"[hh]:mm:ss"))</f>
        <v>00:08:00</v>
      </c>
      <c r="L359" s="1640">
        <v>45032.399305555555</v>
      </c>
      <c r="M359" s="1609">
        <v>45032.4</v>
      </c>
    </row>
    <row r="360" spans="1:13" s="104" customFormat="1" ht="19.8" thickTop="1" x14ac:dyDescent="0.45">
      <c r="A360" s="1671"/>
      <c r="B360" s="1655"/>
      <c r="C360" s="631" t="s">
        <v>3265</v>
      </c>
      <c r="D360" s="156"/>
      <c r="E360" s="81">
        <v>45032.061111111114</v>
      </c>
      <c r="F360" s="81">
        <v>45032.080555555556</v>
      </c>
      <c r="G360" s="81"/>
      <c r="H360" s="81"/>
      <c r="I360" s="596"/>
      <c r="J360" s="1530">
        <f t="shared" si="113"/>
        <v>45032.39444444445</v>
      </c>
      <c r="K360" s="663" t="str">
        <f t="shared" si="114"/>
        <v>00:08:00</v>
      </c>
      <c r="L360" s="1671"/>
      <c r="M360" s="1652"/>
    </row>
    <row r="361" spans="1:13" s="104" customFormat="1" ht="19.8" thickBot="1" x14ac:dyDescent="0.5">
      <c r="A361" s="1586"/>
      <c r="B361" s="1639"/>
      <c r="C361" s="1474" t="s">
        <v>803</v>
      </c>
      <c r="D361" s="82"/>
      <c r="E361" s="1514">
        <v>45032.0625</v>
      </c>
      <c r="F361" s="1514">
        <v>45032.081250000003</v>
      </c>
      <c r="G361" s="1514"/>
      <c r="H361" s="1514"/>
      <c r="I361" s="656"/>
      <c r="J361" s="1481">
        <f t="shared" si="113"/>
        <v>45032.395833333336</v>
      </c>
      <c r="K361" s="1534" t="str">
        <f t="shared" si="114"/>
        <v>00:06:00</v>
      </c>
      <c r="L361" s="1586"/>
      <c r="M361" s="1610"/>
    </row>
    <row r="362" spans="1:13" s="85" customFormat="1" ht="20.399999999999999" thickTop="1" thickBot="1" x14ac:dyDescent="0.5">
      <c r="A362" s="1583" t="s">
        <v>2032</v>
      </c>
      <c r="B362" s="1608" t="s">
        <v>1184</v>
      </c>
      <c r="C362" s="1653" t="s">
        <v>784</v>
      </c>
      <c r="D362" s="1504" t="s">
        <v>2844</v>
      </c>
      <c r="E362" s="83">
        <v>45806.168749999997</v>
      </c>
      <c r="F362" s="83">
        <v>45806.188888888886</v>
      </c>
      <c r="G362" s="83"/>
      <c r="H362" s="83"/>
      <c r="I362" s="593"/>
      <c r="J362" s="1504">
        <f t="shared" si="113"/>
        <v>45806.502083333333</v>
      </c>
      <c r="K362" s="660" t="str">
        <f t="shared" ref="K362:K363" si="115">IF($M$362-J362&lt;0, "-" &amp; TEXT(ABS($M$362-J362),"[hh]:mm:ss"), TEXT($M$362-J362,"[hh]:mm:ss"))</f>
        <v>00:09:00</v>
      </c>
      <c r="L362" s="1585">
        <v>45806.508333333331</v>
      </c>
      <c r="M362" s="1590">
        <v>45806.508333333331</v>
      </c>
    </row>
    <row r="363" spans="1:13" s="85" customFormat="1" ht="20.399999999999999" thickTop="1" thickBot="1" x14ac:dyDescent="0.5">
      <c r="A363" s="1583"/>
      <c r="B363" s="1608"/>
      <c r="C363" s="1698"/>
      <c r="D363" s="1481" t="s">
        <v>2845</v>
      </c>
      <c r="E363" s="1514">
        <v>45806.169444444444</v>
      </c>
      <c r="F363" s="1514">
        <v>45806.191666666666</v>
      </c>
      <c r="G363" s="1514"/>
      <c r="H363" s="1514"/>
      <c r="I363" s="656"/>
      <c r="J363" s="1481">
        <f t="shared" si="113"/>
        <v>45806.50277777778</v>
      </c>
      <c r="K363" s="1534" t="str">
        <f t="shared" si="115"/>
        <v>00:08:00</v>
      </c>
      <c r="L363" s="1583"/>
      <c r="M363" s="1624"/>
    </row>
    <row r="364" spans="1:13" s="104" customFormat="1" ht="19.8" collapsed="1" thickTop="1" x14ac:dyDescent="0.45">
      <c r="A364" s="1632" t="s">
        <v>2032</v>
      </c>
      <c r="B364" s="1614" t="s">
        <v>9</v>
      </c>
      <c r="C364" s="639" t="s">
        <v>784</v>
      </c>
      <c r="D364" s="1504" t="s">
        <v>3232</v>
      </c>
      <c r="E364" s="1504">
        <v>46000.147916666669</v>
      </c>
      <c r="F364" s="1504">
        <v>46000.163888888892</v>
      </c>
      <c r="G364" s="1504"/>
      <c r="H364" s="1504"/>
      <c r="I364" s="594"/>
      <c r="J364" s="1504">
        <f t="shared" si="113"/>
        <v>46000.481250000004</v>
      </c>
      <c r="K364" s="659" t="str">
        <f>IF($M$364-J364&lt;0, "-" &amp; TEXT(ABS($M$364-J364),"[hh]:mm:ss"), TEXT($M$364-J364,"[hh]:mm:ss"))</f>
        <v>00:08:00</v>
      </c>
      <c r="L364" s="1587">
        <v>46000.487500000003</v>
      </c>
      <c r="M364" s="1588">
        <v>46000.486805555556</v>
      </c>
    </row>
    <row r="365" spans="1:13" s="104" customFormat="1" ht="19.8" thickBot="1" x14ac:dyDescent="0.5">
      <c r="A365" s="1633"/>
      <c r="B365" s="1616"/>
      <c r="C365" s="632" t="s">
        <v>3278</v>
      </c>
      <c r="D365" s="1481" t="s">
        <v>3274</v>
      </c>
      <c r="E365" s="1481">
        <v>46000.125</v>
      </c>
      <c r="F365" s="1481">
        <v>46000.333333333336</v>
      </c>
      <c r="G365" s="1481"/>
      <c r="H365" s="1481"/>
      <c r="I365" s="656"/>
      <c r="J365" s="1481">
        <f t="shared" si="113"/>
        <v>46000.458333333336</v>
      </c>
      <c r="K365" s="1534" t="str">
        <f>IF($M$364-J365&lt;0, "-" &amp; TEXT(ABS($M$364-J365),"[hh]:mm:ss"), TEXT($M$364-J365,"[hh]:mm:ss"))</f>
        <v>00:41:00</v>
      </c>
      <c r="L365" s="1585"/>
      <c r="M365" s="1590"/>
    </row>
    <row r="366" spans="1:13" s="85" customFormat="1" ht="20.399999999999999" thickTop="1" thickBot="1" x14ac:dyDescent="0.5">
      <c r="A366" s="1583" t="s">
        <v>2032</v>
      </c>
      <c r="B366" s="1608" t="s">
        <v>1184</v>
      </c>
      <c r="C366" s="1680" t="s">
        <v>784</v>
      </c>
      <c r="D366" s="1504" t="s">
        <v>3323</v>
      </c>
      <c r="E366" s="83">
        <v>46021.169444444444</v>
      </c>
      <c r="F366" s="83">
        <v>46021.188888888886</v>
      </c>
      <c r="G366" s="83"/>
      <c r="H366" s="83"/>
      <c r="I366" s="593"/>
      <c r="J366" s="1504">
        <f t="shared" ref="J366:J368" si="116">E366+TIME(8,0,0)</f>
        <v>46021.50277777778</v>
      </c>
      <c r="K366" s="660" t="str">
        <f>IF($M$366-J366&lt;0, "-" &amp; TEXT(ABS($M$366-J366),"[hh]:mm:ss"), TEXT($M$366-J366,"[hh]:mm:ss"))</f>
        <v>00:08:00</v>
      </c>
      <c r="L366" s="1585">
        <v>46021.509027777778</v>
      </c>
      <c r="M366" s="1590">
        <v>46021.508333333331</v>
      </c>
    </row>
    <row r="367" spans="1:13" s="85" customFormat="1" ht="20.399999999999999" thickTop="1" thickBot="1" x14ac:dyDescent="0.5">
      <c r="A367" s="1583"/>
      <c r="B367" s="1608"/>
      <c r="C367" s="1628"/>
      <c r="D367" s="1530" t="s">
        <v>3324</v>
      </c>
      <c r="E367" s="1530">
        <v>46021.170138888891</v>
      </c>
      <c r="F367" s="1530">
        <v>46021.191666666666</v>
      </c>
      <c r="G367" s="1530"/>
      <c r="H367" s="1530"/>
      <c r="I367" s="596"/>
      <c r="J367" s="1530">
        <f t="shared" ref="J367" si="117">E367+TIME(8,0,0)</f>
        <v>46021.503472222226</v>
      </c>
      <c r="K367" s="663" t="str">
        <f>IF($M$366-J367&lt;0, "-" &amp; TEXT(ABS($M$366-J367),"[hh]:mm:ss"), TEXT($M$366-J367,"[hh]:mm:ss"))</f>
        <v>00:07:00</v>
      </c>
      <c r="L367" s="1585"/>
      <c r="M367" s="1590"/>
    </row>
    <row r="368" spans="1:13" s="85" customFormat="1" ht="20.399999999999999" thickTop="1" thickBot="1" x14ac:dyDescent="0.5">
      <c r="A368" s="1583"/>
      <c r="B368" s="1608"/>
      <c r="C368" s="679" t="s">
        <v>3278</v>
      </c>
      <c r="D368" s="1481" t="s">
        <v>3329</v>
      </c>
      <c r="E368" s="1481">
        <v>46021.125</v>
      </c>
      <c r="F368" s="1481">
        <v>46021.375</v>
      </c>
      <c r="G368" s="1481"/>
      <c r="H368" s="1481"/>
      <c r="I368" s="656"/>
      <c r="J368" s="1481">
        <f t="shared" si="116"/>
        <v>46021.458333333336</v>
      </c>
      <c r="K368" s="1534" t="str">
        <f>IF($M$366-J368&lt;0, "-" &amp; TEXT(ABS($M$366-J368),"[hh]:mm:ss"), TEXT($M$366-J368,"[hh]:mm:ss"))</f>
        <v>01:12:00</v>
      </c>
      <c r="L368" s="1583"/>
      <c r="M368" s="1624"/>
    </row>
    <row r="369" spans="1:13" s="85" customFormat="1" ht="20.399999999999999" thickTop="1" thickBot="1" x14ac:dyDescent="0.5">
      <c r="A369" s="1583" t="s">
        <v>2032</v>
      </c>
      <c r="B369" s="1608" t="s">
        <v>1184</v>
      </c>
      <c r="C369" s="1680" t="s">
        <v>784</v>
      </c>
      <c r="D369" s="1504" t="s">
        <v>3758</v>
      </c>
      <c r="E369" s="83">
        <v>46204.984722222223</v>
      </c>
      <c r="F369" s="83">
        <v>46205.004861111112</v>
      </c>
      <c r="G369" s="83"/>
      <c r="H369" s="83"/>
      <c r="I369" s="593"/>
      <c r="J369" s="1504">
        <f t="shared" ref="J369:J370" si="118">E369+TIME(8,0,0)</f>
        <v>46205.318055555559</v>
      </c>
      <c r="K369" s="660" t="str">
        <f>IF($M$369-J369&lt;0, "-" &amp; TEXT(ABS($M$369-J369),"[hh]:mm:ss"), TEXT($M$369-J369,"[hh]:mm:ss"))</f>
        <v>00:08:00</v>
      </c>
      <c r="L369" s="1585">
        <v>46205.323611111111</v>
      </c>
      <c r="M369" s="1590">
        <v>46205.323611111111</v>
      </c>
    </row>
    <row r="370" spans="1:13" s="85" customFormat="1" ht="20.399999999999999" thickTop="1" thickBot="1" x14ac:dyDescent="0.5">
      <c r="A370" s="1583"/>
      <c r="B370" s="1608"/>
      <c r="C370" s="1628"/>
      <c r="D370" s="1530" t="s">
        <v>3759</v>
      </c>
      <c r="E370" s="1530">
        <v>46204.98541666667</v>
      </c>
      <c r="F370" s="1530">
        <v>46205.008333333331</v>
      </c>
      <c r="G370" s="1530"/>
      <c r="H370" s="1530"/>
      <c r="I370" s="596"/>
      <c r="J370" s="1530">
        <f t="shared" si="118"/>
        <v>46205.318750000006</v>
      </c>
      <c r="K370" s="663" t="str">
        <f t="shared" ref="K370" si="119">IF($M$369-J370&lt;0, "-" &amp; TEXT(ABS($M$369-J370),"[hh]:mm:ss"), TEXT($M$369-J370,"[hh]:mm:ss"))</f>
        <v>00:07:00</v>
      </c>
      <c r="L370" s="1585"/>
      <c r="M370" s="1590"/>
    </row>
    <row r="371" spans="1:13" s="85" customFormat="1" ht="20.399999999999999" thickTop="1" thickBot="1" x14ac:dyDescent="0.5">
      <c r="A371" s="1583"/>
      <c r="B371" s="1608"/>
      <c r="C371" s="1435" t="s">
        <v>3779</v>
      </c>
      <c r="D371" s="1497" t="s">
        <v>3780</v>
      </c>
      <c r="E371" s="1497">
        <v>46204.986111111109</v>
      </c>
      <c r="F371" s="1497">
        <v>46205.011111111111</v>
      </c>
      <c r="G371" s="1497"/>
      <c r="H371" s="1497"/>
      <c r="I371" s="593"/>
      <c r="J371" s="1497">
        <f t="shared" ref="J371" si="120">E371+TIME(8,0,0)</f>
        <v>46205.319444444445</v>
      </c>
      <c r="K371" s="660" t="str">
        <f t="shared" ref="K371" si="121">IF($M$369-J371&lt;0, "-" &amp; TEXT(ABS($M$369-J371),"[hh]:mm:ss"), TEXT($M$369-J371,"[hh]:mm:ss"))</f>
        <v>00:06:00</v>
      </c>
      <c r="L371" s="1585"/>
      <c r="M371" s="1590"/>
    </row>
    <row r="372" spans="1:13" s="85" customFormat="1" ht="20.399999999999999" thickTop="1" thickBot="1" x14ac:dyDescent="0.5">
      <c r="A372" s="1583"/>
      <c r="B372" s="1608"/>
      <c r="C372" s="1501" t="s">
        <v>794</v>
      </c>
      <c r="D372" s="1497" t="s">
        <v>3780</v>
      </c>
      <c r="E372" s="1497">
        <v>46204.986111111109</v>
      </c>
      <c r="F372" s="1497">
        <v>46205.011111111111</v>
      </c>
      <c r="G372" s="1497"/>
      <c r="H372" s="1497"/>
      <c r="I372" s="593"/>
      <c r="J372" s="1497">
        <f t="shared" ref="J372" si="122">E372+TIME(8,0,0)</f>
        <v>46205.319444444445</v>
      </c>
      <c r="K372" s="660" t="str">
        <f t="shared" ref="K372" si="123">IF($M$369-J372&lt;0, "-" &amp; TEXT(ABS($M$369-J372),"[hh]:mm:ss"), TEXT($M$369-J372,"[hh]:mm:ss"))</f>
        <v>00:06:00</v>
      </c>
      <c r="L372" s="1585"/>
      <c r="M372" s="1590"/>
    </row>
    <row r="373" spans="1:13" s="85" customFormat="1" ht="20.399999999999999" thickTop="1" thickBot="1" x14ac:dyDescent="0.5">
      <c r="A373" s="1583"/>
      <c r="B373" s="1608"/>
      <c r="C373" s="1436" t="s">
        <v>3777</v>
      </c>
      <c r="D373" s="1530" t="s">
        <v>3778</v>
      </c>
      <c r="E373" s="1530">
        <v>46204.986111111109</v>
      </c>
      <c r="F373" s="1530">
        <v>46205.166666666664</v>
      </c>
      <c r="G373" s="1530"/>
      <c r="H373" s="1530"/>
      <c r="I373" s="596"/>
      <c r="J373" s="1530">
        <f>E373+TIME(8,0,0)</f>
        <v>46205.319444444445</v>
      </c>
      <c r="K373" s="663" t="str">
        <f>IF($M$369-J373&lt;0, "-" &amp; TEXT(ABS($M$369-J373),"[hh]:mm:ss"), TEXT($M$369-J373,"[hh]:mm:ss"))</f>
        <v>00:06:00</v>
      </c>
      <c r="L373" s="1583"/>
      <c r="M373" s="1624"/>
    </row>
    <row r="374" spans="1:13" s="104" customFormat="1" ht="20.399999999999999" thickTop="1" thickBot="1" x14ac:dyDescent="0.5">
      <c r="A374" s="314"/>
      <c r="B374" s="314"/>
      <c r="C374" s="633"/>
      <c r="D374" s="84"/>
      <c r="E374" s="84"/>
      <c r="F374" s="84"/>
      <c r="G374" s="84"/>
      <c r="H374" s="84"/>
      <c r="I374" s="597"/>
      <c r="J374" s="84"/>
      <c r="K374" s="664"/>
      <c r="L374" s="314"/>
      <c r="M374" s="623"/>
    </row>
    <row r="375" spans="1:13" s="104" customFormat="1" ht="19.8" thickTop="1" x14ac:dyDescent="0.45">
      <c r="A375" s="1618" t="s">
        <v>2032</v>
      </c>
      <c r="B375" s="1607" t="s">
        <v>52</v>
      </c>
      <c r="C375" s="1611" t="s">
        <v>780</v>
      </c>
      <c r="D375" s="1504" t="s">
        <v>2062</v>
      </c>
      <c r="E375" s="1504">
        <v>45520.309027777781</v>
      </c>
      <c r="F375" s="1504">
        <v>45520.322916666664</v>
      </c>
      <c r="G375" s="1504"/>
      <c r="H375" s="1504"/>
      <c r="I375" s="594"/>
      <c r="J375" s="1504">
        <f t="shared" ref="J375:J383" si="124">E375+TIME(8,0,0)</f>
        <v>45520.642361111117</v>
      </c>
      <c r="K375" s="659" t="str">
        <f t="shared" ref="K375:K379" si="125">IF($M$375-J375&lt;0, "-" &amp; TEXT(ABS($M$375-J375),"[hh]:mm:ss"), TEXT($M$375-J375,"[hh]:mm:ss"))</f>
        <v>00:10:00</v>
      </c>
      <c r="L375" s="1587">
        <v>45520.649305555555</v>
      </c>
      <c r="M375" s="1588">
        <v>45520.649305555555</v>
      </c>
    </row>
    <row r="376" spans="1:13" s="104" customFormat="1" x14ac:dyDescent="0.45">
      <c r="A376" s="1619"/>
      <c r="B376" s="1615"/>
      <c r="C376" s="1617"/>
      <c r="D376" s="588" t="s">
        <v>2063</v>
      </c>
      <c r="E376" s="1530">
        <v>45520.30972222222</v>
      </c>
      <c r="F376" s="1530">
        <v>45520.32708333333</v>
      </c>
      <c r="G376" s="1530"/>
      <c r="H376" s="1530"/>
      <c r="I376" s="596"/>
      <c r="J376" s="1530">
        <f t="shared" si="124"/>
        <v>45520.643055555556</v>
      </c>
      <c r="K376" s="663" t="str">
        <f t="shared" si="125"/>
        <v>00:09:00</v>
      </c>
      <c r="L376" s="1591"/>
      <c r="M376" s="1589"/>
    </row>
    <row r="377" spans="1:13" s="104" customFormat="1" x14ac:dyDescent="0.45">
      <c r="A377" s="1619"/>
      <c r="B377" s="1615"/>
      <c r="C377" s="1512" t="s">
        <v>795</v>
      </c>
      <c r="D377" s="319" t="s">
        <v>2065</v>
      </c>
      <c r="E377" s="1530">
        <v>45520.310416666667</v>
      </c>
      <c r="F377" s="1530">
        <v>45520.330555555556</v>
      </c>
      <c r="G377" s="1530"/>
      <c r="H377" s="1530"/>
      <c r="I377" s="596"/>
      <c r="J377" s="1530">
        <f t="shared" si="124"/>
        <v>45520.643750000003</v>
      </c>
      <c r="K377" s="663" t="str">
        <f t="shared" si="125"/>
        <v>00:08:00</v>
      </c>
      <c r="L377" s="1591"/>
      <c r="M377" s="1589"/>
    </row>
    <row r="378" spans="1:13" s="85" customFormat="1" x14ac:dyDescent="0.45">
      <c r="A378" s="1619"/>
      <c r="B378" s="1615"/>
      <c r="C378" s="1651" t="s">
        <v>801</v>
      </c>
      <c r="D378" s="1497" t="s">
        <v>2067</v>
      </c>
      <c r="E378" s="1497">
        <v>45520.311805555553</v>
      </c>
      <c r="F378" s="1497">
        <v>45520.332638888889</v>
      </c>
      <c r="G378" s="1497"/>
      <c r="H378" s="1497"/>
      <c r="I378" s="593"/>
      <c r="J378" s="1497">
        <f t="shared" si="124"/>
        <v>45520.645138888889</v>
      </c>
      <c r="K378" s="660" t="str">
        <f t="shared" si="125"/>
        <v>00:06:00</v>
      </c>
      <c r="L378" s="1591"/>
      <c r="M378" s="1589"/>
    </row>
    <row r="379" spans="1:13" s="104" customFormat="1" ht="19.8" thickBot="1" x14ac:dyDescent="0.5">
      <c r="A379" s="1695"/>
      <c r="B379" s="1697"/>
      <c r="C379" s="1733"/>
      <c r="D379" s="1521" t="s">
        <v>2060</v>
      </c>
      <c r="E379" s="1521">
        <v>45520</v>
      </c>
      <c r="F379" s="1521">
        <v>45520.333333333336</v>
      </c>
      <c r="G379" s="1521"/>
      <c r="H379" s="1521"/>
      <c r="I379" s="604"/>
      <c r="J379" s="1521">
        <f t="shared" si="124"/>
        <v>45520.333333333336</v>
      </c>
      <c r="K379" s="671" t="str">
        <f t="shared" si="125"/>
        <v>07:35:00</v>
      </c>
      <c r="L379" s="1732"/>
      <c r="M379" s="1696"/>
    </row>
    <row r="380" spans="1:13" s="104" customFormat="1" x14ac:dyDescent="0.45">
      <c r="A380" s="1694" t="s">
        <v>2032</v>
      </c>
      <c r="B380" s="1735" t="s">
        <v>52</v>
      </c>
      <c r="C380" s="640" t="s">
        <v>3264</v>
      </c>
      <c r="D380" s="185" t="s">
        <v>2088</v>
      </c>
      <c r="E380" s="185">
        <v>45538.050694444442</v>
      </c>
      <c r="F380" s="185">
        <v>45538.065972222219</v>
      </c>
      <c r="G380" s="185"/>
      <c r="H380" s="185"/>
      <c r="I380" s="609"/>
      <c r="J380" s="185">
        <f t="shared" si="124"/>
        <v>45538.384027777778</v>
      </c>
      <c r="K380" s="672" t="str">
        <f>IF($M$380-J380&lt;0, "-" &amp; TEXT(ABS($M$380-J380),"[hh]:mm:ss"), TEXT($M$380-J380,"[hh]:mm:ss"))</f>
        <v>00:09:00</v>
      </c>
      <c r="L380" s="1679">
        <v>45538.390277777777</v>
      </c>
      <c r="M380" s="1687">
        <v>45538.390277777777</v>
      </c>
    </row>
    <row r="381" spans="1:13" s="104" customFormat="1" x14ac:dyDescent="0.45">
      <c r="A381" s="1619"/>
      <c r="B381" s="1615"/>
      <c r="C381" s="631" t="s">
        <v>795</v>
      </c>
      <c r="D381" s="103" t="s">
        <v>2089</v>
      </c>
      <c r="E381" s="1530">
        <v>45538.051388888889</v>
      </c>
      <c r="F381" s="1530">
        <v>45538.069444444445</v>
      </c>
      <c r="G381" s="1530"/>
      <c r="H381" s="1530"/>
      <c r="I381" s="596"/>
      <c r="J381" s="1530">
        <f t="shared" si="124"/>
        <v>45538.384722222225</v>
      </c>
      <c r="K381" s="663" t="str">
        <f>IF($M$380-J381&lt;0, "-" &amp; TEXT(ABS($M$380-J381),"[hh]:mm:ss"), TEXT($M$380-J381,"[hh]:mm:ss"))</f>
        <v>00:08:00</v>
      </c>
      <c r="L381" s="1591"/>
      <c r="M381" s="1589"/>
    </row>
    <row r="382" spans="1:13" s="85" customFormat="1" x14ac:dyDescent="0.45">
      <c r="A382" s="1619"/>
      <c r="B382" s="1615"/>
      <c r="C382" s="1613" t="s">
        <v>801</v>
      </c>
      <c r="D382" s="1530" t="s">
        <v>2094</v>
      </c>
      <c r="E382" s="1530">
        <v>45538.052777777775</v>
      </c>
      <c r="F382" s="1530">
        <v>45538.071527777778</v>
      </c>
      <c r="G382" s="1530"/>
      <c r="H382" s="1530"/>
      <c r="I382" s="596"/>
      <c r="J382" s="1530">
        <f t="shared" si="124"/>
        <v>45538.386111111111</v>
      </c>
      <c r="K382" s="663" t="str">
        <f>IF($M$380-J382&lt;0, "-" &amp; TEXT(ABS($M$380-J382),"[hh]:mm:ss"), TEXT($M$380-J382,"[hh]:mm:ss"))</f>
        <v>00:06:00</v>
      </c>
      <c r="L382" s="1591"/>
      <c r="M382" s="1589"/>
    </row>
    <row r="383" spans="1:13" ht="19.8" thickBot="1" x14ac:dyDescent="0.5">
      <c r="A383" s="1583"/>
      <c r="B383" s="1608"/>
      <c r="C383" s="1612"/>
      <c r="D383" s="1481" t="s">
        <v>2086</v>
      </c>
      <c r="E383" s="1481">
        <v>45538</v>
      </c>
      <c r="F383" s="1481">
        <v>45538.166666666664</v>
      </c>
      <c r="G383" s="1481"/>
      <c r="H383" s="1481"/>
      <c r="I383" s="656"/>
      <c r="J383" s="1481">
        <f t="shared" si="124"/>
        <v>45538.333333333336</v>
      </c>
      <c r="K383" s="1534" t="str">
        <f>IF($M$380-J383&lt;0, "-" &amp; TEXT(ABS($M$380-J383),"[hh]:mm:ss"), TEXT($M$380-J383,"[hh]:mm:ss"))</f>
        <v>01:22:00</v>
      </c>
      <c r="L383" s="1585"/>
      <c r="M383" s="1590"/>
    </row>
    <row r="384" spans="1:13" ht="20.399999999999999" thickTop="1" thickBot="1" x14ac:dyDescent="0.5">
      <c r="A384" s="314"/>
      <c r="B384" s="314"/>
      <c r="C384" s="641"/>
      <c r="D384" s="87"/>
      <c r="E384" s="87"/>
      <c r="F384" s="87"/>
      <c r="G384" s="87"/>
      <c r="H384" s="87"/>
      <c r="I384" s="598"/>
      <c r="J384" s="87"/>
      <c r="K384" s="665"/>
      <c r="L384" s="90"/>
      <c r="M384" s="624"/>
    </row>
    <row r="385" spans="1:13" ht="20.399999999999999" thickTop="1" thickBot="1" x14ac:dyDescent="0.5">
      <c r="A385" s="1582" t="s">
        <v>132</v>
      </c>
      <c r="B385" s="1621" t="s">
        <v>71</v>
      </c>
      <c r="C385" s="1485" t="s">
        <v>782</v>
      </c>
      <c r="D385" s="587"/>
      <c r="E385" s="1496">
        <v>44777.125</v>
      </c>
      <c r="F385" s="1496">
        <v>44777.144444444442</v>
      </c>
      <c r="G385" s="1496"/>
      <c r="H385" s="1496"/>
      <c r="I385" s="594"/>
      <c r="J385" s="1504">
        <f t="shared" ref="J385:J396" si="126">E385+TIME(8,0,0)</f>
        <v>44777.458333333336</v>
      </c>
      <c r="K385" s="659" t="str">
        <f t="shared" ref="K385:K386" si="127">IF($M$385-J385&lt;0, "-" &amp; TEXT(ABS($M$385-J385),"[hh]:mm:ss"), TEXT($M$385-J385,"[hh]:mm:ss"))</f>
        <v>00:08:00</v>
      </c>
      <c r="L385" s="1640">
        <v>44777.465277777781</v>
      </c>
      <c r="M385" s="1609">
        <v>44777.463888888888</v>
      </c>
    </row>
    <row r="386" spans="1:13" s="104" customFormat="1" ht="20.399999999999999" thickTop="1" thickBot="1" x14ac:dyDescent="0.5">
      <c r="A386" s="1586"/>
      <c r="B386" s="1639"/>
      <c r="C386" s="1474" t="s">
        <v>789</v>
      </c>
      <c r="D386" s="82"/>
      <c r="E386" s="1514">
        <v>44777.105555555558</v>
      </c>
      <c r="F386" s="1514">
        <v>44777.166666666664</v>
      </c>
      <c r="G386" s="1514"/>
      <c r="H386" s="1514"/>
      <c r="I386" s="595"/>
      <c r="J386" s="1514">
        <f t="shared" si="126"/>
        <v>44777.438888888893</v>
      </c>
      <c r="K386" s="661" t="str">
        <f t="shared" si="127"/>
        <v>00:36:00</v>
      </c>
      <c r="L386" s="1586"/>
      <c r="M386" s="1610"/>
    </row>
    <row r="387" spans="1:13" s="104" customFormat="1" ht="20.399999999999999" thickTop="1" thickBot="1" x14ac:dyDescent="0.5">
      <c r="A387" s="80" t="s">
        <v>2032</v>
      </c>
      <c r="B387" s="1479" t="s">
        <v>71</v>
      </c>
      <c r="C387" s="1524" t="s">
        <v>783</v>
      </c>
      <c r="D387" s="78"/>
      <c r="E387" s="79">
        <v>44922.292361111111</v>
      </c>
      <c r="F387" s="79">
        <v>44922.361805555556</v>
      </c>
      <c r="G387" s="79"/>
      <c r="H387" s="79"/>
      <c r="I387" s="592"/>
      <c r="J387" s="1472">
        <f t="shared" si="126"/>
        <v>44922.625694444447</v>
      </c>
      <c r="K387" s="662" t="str">
        <f>IF($M$387-J387&lt;0, "-" &amp; TEXT(ABS($M$387-J387),"[hh]:mm:ss"), TEXT($M$387-J387,"[hh]:mm:ss"))</f>
        <v>00:36:00</v>
      </c>
      <c r="L387" s="79">
        <v>44922.645833333336</v>
      </c>
      <c r="M387" s="1471">
        <v>44922.650694444441</v>
      </c>
    </row>
    <row r="388" spans="1:13" s="104" customFormat="1" ht="20.399999999999999" thickTop="1" thickBot="1" x14ac:dyDescent="0.5">
      <c r="A388" s="1620" t="s">
        <v>2032</v>
      </c>
      <c r="B388" s="1621" t="s">
        <v>71</v>
      </c>
      <c r="C388" s="1531" t="s">
        <v>3263</v>
      </c>
      <c r="D388" s="587" t="s">
        <v>2039</v>
      </c>
      <c r="E388" s="1504">
        <v>45492.120833333334</v>
      </c>
      <c r="F388" s="1504">
        <v>45492.154861111114</v>
      </c>
      <c r="G388" s="1504"/>
      <c r="H388" s="1504"/>
      <c r="I388" s="594"/>
      <c r="J388" s="1504">
        <f t="shared" si="126"/>
        <v>45492.45416666667</v>
      </c>
      <c r="K388" s="659" t="str">
        <f t="shared" ref="K388:K393" si="128">IF($M$388-J388&lt;0, "-" &amp; TEXT(ABS($M$388-J388),"[hh]:mm:ss"), TEXT($M$388-J388,"[hh]:mm:ss"))</f>
        <v>00:09:00</v>
      </c>
      <c r="L388" s="1622">
        <v>45492.459722222222</v>
      </c>
      <c r="M388" s="1623">
        <v>45492.460416666669</v>
      </c>
    </row>
    <row r="389" spans="1:13" s="104" customFormat="1" ht="20.399999999999999" thickTop="1" thickBot="1" x14ac:dyDescent="0.5">
      <c r="A389" s="1583"/>
      <c r="B389" s="1608"/>
      <c r="C389" s="631" t="s">
        <v>3271</v>
      </c>
      <c r="D389" s="319" t="s">
        <v>2040</v>
      </c>
      <c r="E389" s="1530">
        <v>45492.121527777781</v>
      </c>
      <c r="F389" s="1530">
        <v>45492.158333333333</v>
      </c>
      <c r="G389" s="1530"/>
      <c r="H389" s="1530"/>
      <c r="I389" s="596"/>
      <c r="J389" s="1530">
        <f t="shared" si="126"/>
        <v>45492.454861111117</v>
      </c>
      <c r="K389" s="663" t="str">
        <f t="shared" si="128"/>
        <v>00:08:00</v>
      </c>
      <c r="L389" s="1585"/>
      <c r="M389" s="1590"/>
    </row>
    <row r="390" spans="1:13" s="104" customFormat="1" ht="20.399999999999999" thickTop="1" thickBot="1" x14ac:dyDescent="0.5">
      <c r="A390" s="1583"/>
      <c r="B390" s="1608"/>
      <c r="C390" s="1512" t="s">
        <v>781</v>
      </c>
      <c r="D390" s="319" t="s">
        <v>2041</v>
      </c>
      <c r="E390" s="1530">
        <v>45492.122916666667</v>
      </c>
      <c r="F390" s="1530">
        <v>45492.158333333333</v>
      </c>
      <c r="G390" s="1530"/>
      <c r="H390" s="1530"/>
      <c r="I390" s="596"/>
      <c r="J390" s="1530">
        <f t="shared" si="126"/>
        <v>45492.456250000003</v>
      </c>
      <c r="K390" s="663" t="str">
        <f t="shared" si="128"/>
        <v>00:06:00</v>
      </c>
      <c r="L390" s="1585"/>
      <c r="M390" s="1590"/>
    </row>
    <row r="391" spans="1:13" s="104" customFormat="1" ht="20.399999999999999" thickTop="1" thickBot="1" x14ac:dyDescent="0.5">
      <c r="A391" s="1583"/>
      <c r="B391" s="1608"/>
      <c r="C391" s="1486" t="s">
        <v>1407</v>
      </c>
      <c r="D391" s="319" t="s">
        <v>2044</v>
      </c>
      <c r="E391" s="1530">
        <v>45492.111111111109</v>
      </c>
      <c r="F391" s="1530">
        <v>45492.166666666664</v>
      </c>
      <c r="G391" s="1530"/>
      <c r="H391" s="1530"/>
      <c r="I391" s="596"/>
      <c r="J391" s="1530">
        <f t="shared" si="126"/>
        <v>45492.444444444445</v>
      </c>
      <c r="K391" s="663" t="str">
        <f t="shared" si="128"/>
        <v>00:23:00</v>
      </c>
      <c r="L391" s="1585"/>
      <c r="M391" s="1590"/>
    </row>
    <row r="392" spans="1:13" s="104" customFormat="1" ht="20.399999999999999" collapsed="1" thickTop="1" thickBot="1" x14ac:dyDescent="0.5">
      <c r="A392" s="1583"/>
      <c r="B392" s="1608"/>
      <c r="C392" s="1613" t="s">
        <v>783</v>
      </c>
      <c r="D392" s="1530" t="s">
        <v>2042</v>
      </c>
      <c r="E392" s="1530">
        <v>45492.122916666667</v>
      </c>
      <c r="F392" s="1530">
        <v>45492.158333333333</v>
      </c>
      <c r="G392" s="1530"/>
      <c r="H392" s="1530"/>
      <c r="I392" s="596"/>
      <c r="J392" s="1530">
        <f t="shared" si="126"/>
        <v>45492.456250000003</v>
      </c>
      <c r="K392" s="663" t="str">
        <f t="shared" si="128"/>
        <v>00:06:00</v>
      </c>
      <c r="L392" s="1585"/>
      <c r="M392" s="1590"/>
    </row>
    <row r="393" spans="1:13" s="104" customFormat="1" ht="20.399999999999999" thickTop="1" thickBot="1" x14ac:dyDescent="0.5">
      <c r="A393" s="1583"/>
      <c r="B393" s="1608"/>
      <c r="C393" s="1612"/>
      <c r="D393" s="82" t="s">
        <v>2001</v>
      </c>
      <c r="E393" s="1514">
        <v>45492.0625</v>
      </c>
      <c r="F393" s="1514">
        <v>45492.354166666664</v>
      </c>
      <c r="G393" s="1514"/>
      <c r="H393" s="1514"/>
      <c r="I393" s="595"/>
      <c r="J393" s="1514">
        <f t="shared" si="126"/>
        <v>45492.395833333336</v>
      </c>
      <c r="K393" s="661" t="str">
        <f t="shared" si="128"/>
        <v>01:33:00</v>
      </c>
      <c r="L393" s="1583"/>
      <c r="M393" s="1624"/>
    </row>
    <row r="394" spans="1:13" s="104" customFormat="1" ht="20.399999999999999" thickTop="1" thickBot="1" x14ac:dyDescent="0.5">
      <c r="A394" s="1583" t="s">
        <v>2032</v>
      </c>
      <c r="B394" s="1608" t="s">
        <v>71</v>
      </c>
      <c r="C394" s="1489" t="s">
        <v>782</v>
      </c>
      <c r="D394" s="588" t="s">
        <v>2219</v>
      </c>
      <c r="E394" s="83">
        <v>45609.94027777778</v>
      </c>
      <c r="F394" s="83">
        <v>45609.963194444441</v>
      </c>
      <c r="G394" s="83"/>
      <c r="H394" s="83"/>
      <c r="I394" s="593"/>
      <c r="J394" s="1504">
        <f t="shared" si="126"/>
        <v>45610.273611111115</v>
      </c>
      <c r="K394" s="660" t="str">
        <f t="shared" ref="K394:K396" si="129">IF($M$394-J394&lt;0, "-" &amp; TEXT(ABS($M$394-J394),"[hh]:mm:ss"), TEXT($M$394-J394,"[hh]:mm:ss"))</f>
        <v>00:08:00</v>
      </c>
      <c r="L394" s="1585">
        <v>45610.279861111114</v>
      </c>
      <c r="M394" s="1590">
        <v>45610.279166666667</v>
      </c>
    </row>
    <row r="395" spans="1:13" ht="20.399999999999999" thickTop="1" thickBot="1" x14ac:dyDescent="0.5">
      <c r="A395" s="1583"/>
      <c r="B395" s="1608"/>
      <c r="C395" s="1613" t="s">
        <v>789</v>
      </c>
      <c r="D395" s="1530" t="s">
        <v>2220</v>
      </c>
      <c r="E395" s="1530">
        <v>45609.92083333333</v>
      </c>
      <c r="F395" s="1530">
        <v>45609.986111111109</v>
      </c>
      <c r="G395" s="1530"/>
      <c r="H395" s="1530"/>
      <c r="I395" s="596"/>
      <c r="J395" s="1530">
        <f t="shared" si="126"/>
        <v>45610.254166666666</v>
      </c>
      <c r="K395" s="663" t="str">
        <f t="shared" si="129"/>
        <v>00:36:00</v>
      </c>
      <c r="L395" s="1585"/>
      <c r="M395" s="1590"/>
    </row>
    <row r="396" spans="1:13" ht="20.399999999999999" thickTop="1" thickBot="1" x14ac:dyDescent="0.5">
      <c r="A396" s="1583"/>
      <c r="B396" s="1608"/>
      <c r="C396" s="1612"/>
      <c r="D396" s="86" t="s">
        <v>2214</v>
      </c>
      <c r="E396" s="1481">
        <v>45609.895833333336</v>
      </c>
      <c r="F396" s="1481">
        <v>45610.104166666664</v>
      </c>
      <c r="G396" s="1481"/>
      <c r="H396" s="1481"/>
      <c r="I396" s="656"/>
      <c r="J396" s="612">
        <f t="shared" si="126"/>
        <v>45610.229166666672</v>
      </c>
      <c r="K396" s="1534" t="str">
        <f t="shared" si="129"/>
        <v>01:12:00</v>
      </c>
      <c r="L396" s="1583"/>
      <c r="M396" s="1624"/>
    </row>
    <row r="397" spans="1:13" s="104" customFormat="1" ht="20.399999999999999" thickTop="1" thickBot="1" x14ac:dyDescent="0.5">
      <c r="A397" s="1583" t="s">
        <v>2032</v>
      </c>
      <c r="B397" s="1608" t="s">
        <v>71</v>
      </c>
      <c r="C397" s="1489" t="s">
        <v>782</v>
      </c>
      <c r="D397" s="588" t="s">
        <v>3291</v>
      </c>
      <c r="E397" s="83">
        <v>46007.131944444445</v>
      </c>
      <c r="F397" s="83">
        <v>46007.152083333334</v>
      </c>
      <c r="G397" s="83"/>
      <c r="H397" s="83"/>
      <c r="I397" s="593"/>
      <c r="J397" s="1504">
        <f>E397+TIME(8,0,0)</f>
        <v>46007.465277777781</v>
      </c>
      <c r="K397" s="660" t="str">
        <f>IF($M$397-J397&lt;0, "-" &amp; TEXT(ABS($M$397-J397),"[hh]:mm:ss"), TEXT($M$397-J397,"[hh]:mm:ss"))</f>
        <v>00:07:00</v>
      </c>
      <c r="L397" s="1585">
        <v>46007.470833333333</v>
      </c>
      <c r="M397" s="1590">
        <v>46007.470138888886</v>
      </c>
    </row>
    <row r="398" spans="1:13" s="104" customFormat="1" ht="20.399999999999999" thickTop="1" thickBot="1" x14ac:dyDescent="0.5">
      <c r="A398" s="1583"/>
      <c r="B398" s="1608"/>
      <c r="C398" s="1503" t="s">
        <v>1280</v>
      </c>
      <c r="D398" s="588" t="s">
        <v>3293</v>
      </c>
      <c r="E398" s="1497">
        <v>46007.09375</v>
      </c>
      <c r="F398" s="1497">
        <v>46007.177083333336</v>
      </c>
      <c r="G398" s="1497"/>
      <c r="H398" s="1497"/>
      <c r="I398" s="593"/>
      <c r="J398" s="1497">
        <f>E398+TIME(8,0,0)</f>
        <v>46007.427083333336</v>
      </c>
      <c r="K398" s="660" t="str">
        <f>IF($M$397-J398&lt;0, "-" &amp; TEXT(ABS($M$397-J398),"[hh]:mm:ss"), TEXT($M$397-J398,"[hh]:mm:ss"))</f>
        <v>01:02:00</v>
      </c>
      <c r="L398" s="1585"/>
      <c r="M398" s="1590"/>
    </row>
    <row r="399" spans="1:13" s="104" customFormat="1" ht="20.399999999999999" thickTop="1" thickBot="1" x14ac:dyDescent="0.5">
      <c r="A399" s="1583"/>
      <c r="B399" s="1608"/>
      <c r="C399" s="1613" t="s">
        <v>789</v>
      </c>
      <c r="D399" s="1530" t="s">
        <v>3292</v>
      </c>
      <c r="E399" s="1530">
        <v>46007.111805555556</v>
      </c>
      <c r="F399" s="1530">
        <v>46007.17291666667</v>
      </c>
      <c r="G399" s="1530"/>
      <c r="H399" s="1530"/>
      <c r="I399" s="596"/>
      <c r="J399" s="1530">
        <f>E399+TIME(8,0,0)</f>
        <v>46007.445138888892</v>
      </c>
      <c r="K399" s="663" t="str">
        <f>IF($M$397-J399&lt;0, "-" &amp; TEXT(ABS($M$397-J399),"[hh]:mm:ss"), TEXT($M$397-J399,"[hh]:mm:ss"))</f>
        <v>00:36:00</v>
      </c>
      <c r="L399" s="1585"/>
      <c r="M399" s="1590"/>
    </row>
    <row r="400" spans="1:13" s="104" customFormat="1" ht="20.399999999999999" thickTop="1" thickBot="1" x14ac:dyDescent="0.5">
      <c r="A400" s="1583"/>
      <c r="B400" s="1608"/>
      <c r="C400" s="1612"/>
      <c r="D400" s="86" t="s">
        <v>3258</v>
      </c>
      <c r="E400" s="1481">
        <v>46007.0625</v>
      </c>
      <c r="F400" s="1481">
        <v>46011.270833333336</v>
      </c>
      <c r="G400" s="1481"/>
      <c r="H400" s="1481"/>
      <c r="I400" s="656"/>
      <c r="J400" s="612">
        <f>E400+TIME(8,0,0)</f>
        <v>46007.395833333336</v>
      </c>
      <c r="K400" s="1534" t="str">
        <f>IF($M$397-J400&lt;0, "-" &amp; TEXT(ABS($M$397-J400),"[hh]:mm:ss"), TEXT($M$397-J400,"[hh]:mm:ss"))</f>
        <v>01:47:00</v>
      </c>
      <c r="L400" s="1583"/>
      <c r="M400" s="1624"/>
    </row>
    <row r="401" spans="1:13" ht="20.399999999999999" thickTop="1" thickBot="1" x14ac:dyDescent="0.5">
      <c r="A401" s="314"/>
      <c r="B401" s="314"/>
      <c r="C401" s="641"/>
      <c r="D401" s="87"/>
      <c r="E401" s="87"/>
      <c r="F401" s="87"/>
      <c r="G401" s="87"/>
      <c r="H401" s="87"/>
      <c r="I401" s="598"/>
      <c r="J401" s="87"/>
      <c r="K401" s="665"/>
      <c r="L401" s="314"/>
      <c r="M401" s="623"/>
    </row>
    <row r="402" spans="1:13" ht="20.399999999999999" thickTop="1" thickBot="1" x14ac:dyDescent="0.5">
      <c r="A402" s="1582" t="s">
        <v>786</v>
      </c>
      <c r="B402" s="1621" t="s">
        <v>9</v>
      </c>
      <c r="C402" s="1485" t="s">
        <v>784</v>
      </c>
      <c r="D402" s="587"/>
      <c r="E402" s="1496">
        <v>44657.98333333333</v>
      </c>
      <c r="F402" s="1496">
        <v>44658.00277777778</v>
      </c>
      <c r="G402" s="1496"/>
      <c r="H402" s="98"/>
      <c r="I402" s="594"/>
      <c r="J402" s="613">
        <v>44658.316666666666</v>
      </c>
      <c r="K402" s="659" t="str">
        <f t="shared" ref="K402:K403" si="130">IF($M$402-J402&lt;0, "-" &amp; TEXT(ABS($M$402-J402),"[hh]:mm:ss"), TEXT($M$402-J402,"[hh]:mm:ss"))</f>
        <v>00:11:00</v>
      </c>
      <c r="L402" s="1622">
        <v>0</v>
      </c>
      <c r="M402" s="1623">
        <v>44658.324305555558</v>
      </c>
    </row>
    <row r="403" spans="1:13" ht="20.399999999999999" thickTop="1" thickBot="1" x14ac:dyDescent="0.5">
      <c r="A403" s="1586"/>
      <c r="B403" s="1639"/>
      <c r="C403" s="1484" t="s">
        <v>787</v>
      </c>
      <c r="D403" s="86"/>
      <c r="E403" s="1481">
        <v>44657.991666666669</v>
      </c>
      <c r="F403" s="1481">
        <v>44658.000104166669</v>
      </c>
      <c r="G403" s="1481"/>
      <c r="H403" s="612"/>
      <c r="I403" s="595"/>
      <c r="J403" s="614">
        <v>44658.324999999997</v>
      </c>
      <c r="K403" s="661" t="str">
        <f t="shared" si="130"/>
        <v>-00:01:00</v>
      </c>
      <c r="L403" s="1586"/>
      <c r="M403" s="1610"/>
    </row>
    <row r="404" spans="1:13" ht="20.399999999999999" thickTop="1" thickBot="1" x14ac:dyDescent="0.5">
      <c r="A404" s="1637" t="s">
        <v>182</v>
      </c>
      <c r="B404" s="1621" t="s">
        <v>9</v>
      </c>
      <c r="C404" s="1661" t="s">
        <v>784</v>
      </c>
      <c r="D404" s="1587"/>
      <c r="E404" s="1496">
        <v>44739.649305555555</v>
      </c>
      <c r="F404" s="1496">
        <v>44739.673611111109</v>
      </c>
      <c r="G404" s="1496"/>
      <c r="H404" s="98"/>
      <c r="I404" s="594"/>
      <c r="J404" s="613">
        <v>44739.982638888891</v>
      </c>
      <c r="K404" s="659" t="str">
        <f t="shared" ref="K404:K407" si="131">IF($M$404-J404&lt;0, "-" &amp; TEXT(ABS($M$404-J404),"[hh]:mm:ss"), TEXT($M$404-J404,"[hh]:mm:ss"))</f>
        <v>00:11:00</v>
      </c>
      <c r="L404" s="1664">
        <v>44739.989583333336</v>
      </c>
      <c r="M404" s="1634">
        <v>44739.990277777775</v>
      </c>
    </row>
    <row r="405" spans="1:13" ht="19.8" thickTop="1" x14ac:dyDescent="0.45">
      <c r="A405" s="1663"/>
      <c r="B405" s="1655"/>
      <c r="C405" s="1686"/>
      <c r="D405" s="1684"/>
      <c r="E405" s="81">
        <v>44739.650694444441</v>
      </c>
      <c r="F405" s="81">
        <v>44739.667361111111</v>
      </c>
      <c r="G405" s="81"/>
      <c r="H405" s="99"/>
      <c r="I405" s="593"/>
      <c r="J405" s="102">
        <v>44739.984027777777</v>
      </c>
      <c r="K405" s="660" t="str">
        <f t="shared" si="131"/>
        <v>00:09:00</v>
      </c>
      <c r="L405" s="1663"/>
      <c r="M405" s="1652"/>
    </row>
    <row r="406" spans="1:13" s="85" customFormat="1" x14ac:dyDescent="0.45">
      <c r="A406" s="1663"/>
      <c r="B406" s="1655"/>
      <c r="C406" s="1512" t="s">
        <v>780</v>
      </c>
      <c r="D406" s="319"/>
      <c r="E406" s="81">
        <v>44739.651388888888</v>
      </c>
      <c r="F406" s="81">
        <v>44739.670138888891</v>
      </c>
      <c r="G406" s="81"/>
      <c r="H406" s="99"/>
      <c r="I406" s="593"/>
      <c r="J406" s="102">
        <v>44739.984722222223</v>
      </c>
      <c r="K406" s="660" t="str">
        <f t="shared" si="131"/>
        <v>00:08:00</v>
      </c>
      <c r="L406" s="1663"/>
      <c r="M406" s="1652"/>
    </row>
    <row r="407" spans="1:13" s="85" customFormat="1" ht="19.8" thickBot="1" x14ac:dyDescent="0.5">
      <c r="A407" s="1586"/>
      <c r="B407" s="1639"/>
      <c r="C407" s="1474" t="s">
        <v>787</v>
      </c>
      <c r="D407" s="82"/>
      <c r="E407" s="1514">
        <v>44739.652083333334</v>
      </c>
      <c r="F407" s="1514">
        <v>44739.670138888891</v>
      </c>
      <c r="G407" s="1514"/>
      <c r="H407" s="614"/>
      <c r="I407" s="656"/>
      <c r="J407" s="612">
        <v>44739.98541666667</v>
      </c>
      <c r="K407" s="1534" t="str">
        <f t="shared" si="131"/>
        <v>00:07:00</v>
      </c>
      <c r="L407" s="1586"/>
      <c r="M407" s="1610"/>
    </row>
    <row r="408" spans="1:13" ht="20.399999999999999" thickTop="1" thickBot="1" x14ac:dyDescent="0.5">
      <c r="A408" s="1582" t="s">
        <v>182</v>
      </c>
      <c r="B408" s="1621" t="s">
        <v>9</v>
      </c>
      <c r="C408" s="1485" t="s">
        <v>784</v>
      </c>
      <c r="D408" s="587"/>
      <c r="E408" s="1496">
        <v>44806.981944444444</v>
      </c>
      <c r="F408" s="1496">
        <v>44806.999305555553</v>
      </c>
      <c r="G408" s="1496"/>
      <c r="H408" s="98"/>
      <c r="I408" s="594"/>
      <c r="J408" s="613">
        <v>44807.31527777778</v>
      </c>
      <c r="K408" s="659" t="str">
        <f t="shared" ref="K408:K409" si="132">IF($M$408-J408&lt;0, "-" &amp; TEXT(ABS($M$408-J408),"[hh]:mm:ss"), TEXT($M$408-J408,"[hh]:mm:ss"))</f>
        <v>00:10:00</v>
      </c>
      <c r="L408" s="1640">
        <v>44807.328472222223</v>
      </c>
      <c r="M408" s="1609">
        <v>44807.322222222225</v>
      </c>
    </row>
    <row r="409" spans="1:13" s="85" customFormat="1" ht="20.399999999999999" thickTop="1" thickBot="1" x14ac:dyDescent="0.5">
      <c r="A409" s="1586"/>
      <c r="B409" s="1639"/>
      <c r="C409" s="1474" t="s">
        <v>787</v>
      </c>
      <c r="D409" s="82" t="s">
        <v>3252</v>
      </c>
      <c r="E409" s="1514">
        <v>44806.991666666669</v>
      </c>
      <c r="F409" s="1514">
        <v>44807.00277777778</v>
      </c>
      <c r="G409" s="1514"/>
      <c r="H409" s="614"/>
      <c r="I409" s="595"/>
      <c r="J409" s="614">
        <v>44807.324999999997</v>
      </c>
      <c r="K409" s="661" t="str">
        <f t="shared" si="132"/>
        <v>-00:04:00</v>
      </c>
      <c r="L409" s="1586"/>
      <c r="M409" s="1610"/>
    </row>
    <row r="410" spans="1:13" s="104" customFormat="1" ht="20.399999999999999" thickTop="1" thickBot="1" x14ac:dyDescent="0.5">
      <c r="A410" s="1488" t="s">
        <v>995</v>
      </c>
      <c r="B410" s="1479" t="s">
        <v>9</v>
      </c>
      <c r="C410" s="1524" t="s">
        <v>787</v>
      </c>
      <c r="D410" s="78" t="s">
        <v>1128</v>
      </c>
      <c r="E410" s="1472">
        <v>45141.15347222222</v>
      </c>
      <c r="F410" s="1472">
        <v>45141.175000000003</v>
      </c>
      <c r="G410" s="1472"/>
      <c r="H410" s="615"/>
      <c r="I410" s="592"/>
      <c r="J410" s="615">
        <f t="shared" ref="J410:J416" si="133">E410+TIME(8,0,0)</f>
        <v>45141.486805555556</v>
      </c>
      <c r="K410" s="662" t="str">
        <f>IF($M$410-J410&lt;0, "-" &amp; TEXT(ABS($M$410-J410),"[hh]:mm:ss"), TEXT($M$410-J410,"[hh]:mm:ss"))</f>
        <v>00:06:00</v>
      </c>
      <c r="L410" s="1472">
        <v>45141.493055555555</v>
      </c>
      <c r="M410" s="1482">
        <v>45141.490972222222</v>
      </c>
    </row>
    <row r="411" spans="1:13" ht="20.399999999999999" thickTop="1" thickBot="1" x14ac:dyDescent="0.5">
      <c r="A411" s="1583" t="s">
        <v>995</v>
      </c>
      <c r="B411" s="1608" t="s">
        <v>9</v>
      </c>
      <c r="C411" s="1489" t="s">
        <v>784</v>
      </c>
      <c r="D411" s="588" t="s">
        <v>1185</v>
      </c>
      <c r="E411" s="1497">
        <v>45158.734027777777</v>
      </c>
      <c r="F411" s="1497">
        <v>45158.75</v>
      </c>
      <c r="G411" s="1497"/>
      <c r="H411" s="102"/>
      <c r="I411" s="593"/>
      <c r="J411" s="102">
        <f t="shared" si="133"/>
        <v>45159.067361111112</v>
      </c>
      <c r="K411" s="660" t="str">
        <f t="shared" ref="K411:K412" si="134">IF($M$411-J411&lt;0, "-" &amp; TEXT(ABS($M$411-J411),"[hh]:mm:ss"), TEXT($M$411-J411,"[hh]:mm:ss"))</f>
        <v>00:08:00</v>
      </c>
      <c r="L411" s="1585">
        <v>45159.073611111111</v>
      </c>
      <c r="M411" s="1590">
        <v>45159.072916666664</v>
      </c>
    </row>
    <row r="412" spans="1:13" ht="20.399999999999999" thickTop="1" thickBot="1" x14ac:dyDescent="0.5">
      <c r="A412" s="1583"/>
      <c r="B412" s="1608"/>
      <c r="C412" s="1474" t="s">
        <v>787</v>
      </c>
      <c r="D412" s="82" t="s">
        <v>1421</v>
      </c>
      <c r="E412" s="1514">
        <v>45158.73541666667</v>
      </c>
      <c r="F412" s="1514">
        <v>45158.753472222219</v>
      </c>
      <c r="G412" s="1514"/>
      <c r="H412" s="614"/>
      <c r="I412" s="595"/>
      <c r="J412" s="614">
        <f t="shared" si="133"/>
        <v>45159.068750000006</v>
      </c>
      <c r="K412" s="661" t="str">
        <f t="shared" si="134"/>
        <v>00:06:00</v>
      </c>
      <c r="L412" s="1583"/>
      <c r="M412" s="1624"/>
    </row>
    <row r="413" spans="1:13" ht="20.399999999999999" thickTop="1" thickBot="1" x14ac:dyDescent="0.5">
      <c r="A413" s="1583" t="s">
        <v>995</v>
      </c>
      <c r="B413" s="1608" t="s">
        <v>9</v>
      </c>
      <c r="C413" s="1489" t="s">
        <v>784</v>
      </c>
      <c r="D413" s="588" t="s">
        <v>1212</v>
      </c>
      <c r="E413" s="1497">
        <v>45175.754166666666</v>
      </c>
      <c r="F413" s="1497">
        <v>45175.770138888889</v>
      </c>
      <c r="G413" s="1497"/>
      <c r="H413" s="102"/>
      <c r="I413" s="593"/>
      <c r="J413" s="102">
        <f t="shared" si="133"/>
        <v>45176.087500000001</v>
      </c>
      <c r="K413" s="660" t="str">
        <f t="shared" ref="K413:K414" si="135">IF($M$413-J413&lt;0, "-" &amp; TEXT(ABS($M$413-J413),"[hh]:mm:ss"), TEXT($M$413-J413,"[hh]:mm:ss"))</f>
        <v>00:08:00</v>
      </c>
      <c r="L413" s="1585">
        <v>45176.093055555553</v>
      </c>
      <c r="M413" s="1590">
        <v>45176.093055555553</v>
      </c>
    </row>
    <row r="414" spans="1:13" ht="20.399999999999999" thickTop="1" thickBot="1" x14ac:dyDescent="0.5">
      <c r="A414" s="1583"/>
      <c r="B414" s="1608"/>
      <c r="C414" s="1474" t="s">
        <v>787</v>
      </c>
      <c r="D414" s="82" t="s">
        <v>1216</v>
      </c>
      <c r="E414" s="1514">
        <v>45175.755555555559</v>
      </c>
      <c r="F414" s="1514">
        <v>45175.774305555555</v>
      </c>
      <c r="G414" s="1514"/>
      <c r="H414" s="614"/>
      <c r="I414" s="595"/>
      <c r="J414" s="614">
        <f t="shared" si="133"/>
        <v>45176.088888888895</v>
      </c>
      <c r="K414" s="661" t="str">
        <f t="shared" si="135"/>
        <v>00:06:00</v>
      </c>
      <c r="L414" s="1583"/>
      <c r="M414" s="1624"/>
    </row>
    <row r="415" spans="1:13" s="104" customFormat="1" ht="20.399999999999999" thickTop="1" thickBot="1" x14ac:dyDescent="0.5">
      <c r="A415" s="1583" t="s">
        <v>995</v>
      </c>
      <c r="B415" s="1608" t="s">
        <v>9</v>
      </c>
      <c r="C415" s="1489" t="s">
        <v>784</v>
      </c>
      <c r="D415" s="588" t="s">
        <v>1213</v>
      </c>
      <c r="E415" s="1497">
        <v>45195.837500000001</v>
      </c>
      <c r="F415" s="1497">
        <v>45195.853472222225</v>
      </c>
      <c r="G415" s="1497"/>
      <c r="H415" s="102"/>
      <c r="I415" s="593"/>
      <c r="J415" s="102">
        <f t="shared" si="133"/>
        <v>45196.170833333337</v>
      </c>
      <c r="K415" s="660" t="str">
        <f t="shared" ref="K415:K416" si="136">IF($M$415-J415&lt;0, "-" &amp; TEXT(ABS($M$415-J415),"[hh]:mm:ss"), TEXT($M$415-J415,"[hh]:mm:ss"))</f>
        <v>00:09:00</v>
      </c>
      <c r="L415" s="1585">
        <v>45196.176388888889</v>
      </c>
      <c r="M415" s="1590">
        <v>45196.177083333336</v>
      </c>
    </row>
    <row r="416" spans="1:13" s="104" customFormat="1" ht="20.399999999999999" thickTop="1" thickBot="1" x14ac:dyDescent="0.5">
      <c r="A416" s="1583"/>
      <c r="B416" s="1608"/>
      <c r="C416" s="1474" t="s">
        <v>787</v>
      </c>
      <c r="D416" s="82" t="s">
        <v>1215</v>
      </c>
      <c r="E416" s="1514">
        <v>45195.838888888888</v>
      </c>
      <c r="F416" s="1514">
        <v>45196.107638888891</v>
      </c>
      <c r="G416" s="1514"/>
      <c r="H416" s="614"/>
      <c r="I416" s="595"/>
      <c r="J416" s="614">
        <f t="shared" si="133"/>
        <v>45196.172222222223</v>
      </c>
      <c r="K416" s="661" t="str">
        <f t="shared" si="136"/>
        <v>00:07:00</v>
      </c>
      <c r="L416" s="1583"/>
      <c r="M416" s="1624"/>
    </row>
    <row r="417" spans="1:13" s="104" customFormat="1" ht="20.399999999999999" thickTop="1" thickBot="1" x14ac:dyDescent="0.5">
      <c r="A417" s="1582" t="s">
        <v>182</v>
      </c>
      <c r="B417" s="1621" t="s">
        <v>9</v>
      </c>
      <c r="C417" s="1489" t="s">
        <v>784</v>
      </c>
      <c r="D417" s="588" t="s">
        <v>1924</v>
      </c>
      <c r="E417" s="83">
        <v>45423.981944444444</v>
      </c>
      <c r="F417" s="83">
        <v>45424.005555555559</v>
      </c>
      <c r="G417" s="83"/>
      <c r="H417" s="100"/>
      <c r="I417" s="593"/>
      <c r="J417" s="613">
        <f t="shared" ref="J417:J422" si="137">E417+TIME(8,0,0)</f>
        <v>45424.31527777778</v>
      </c>
      <c r="K417" s="660" t="str">
        <f t="shared" ref="K417:K419" si="138">IF($M$417-J417&lt;0, "-" &amp; TEXT(ABS($M$417-J417),"[hh]:mm:ss"), TEXT($M$417-J417,"[hh]:mm:ss"))</f>
        <v>00:09:00</v>
      </c>
      <c r="L417" s="1640">
        <v>45424.322916666664</v>
      </c>
      <c r="M417" s="1609">
        <v>45424.321527777778</v>
      </c>
    </row>
    <row r="418" spans="1:13" s="104" customFormat="1" ht="19.8" thickTop="1" x14ac:dyDescent="0.45">
      <c r="A418" s="1638"/>
      <c r="B418" s="1615"/>
      <c r="C418" s="1613" t="s">
        <v>787</v>
      </c>
      <c r="D418" s="160" t="s">
        <v>1925</v>
      </c>
      <c r="E418" s="88">
        <v>45423.984027777777</v>
      </c>
      <c r="F418" s="88">
        <v>45424.009722222225</v>
      </c>
      <c r="G418" s="88"/>
      <c r="H418" s="88"/>
      <c r="I418" s="596"/>
      <c r="J418" s="1530">
        <f t="shared" si="137"/>
        <v>45424.317361111112</v>
      </c>
      <c r="K418" s="663" t="str">
        <f t="shared" si="138"/>
        <v>00:06:00</v>
      </c>
      <c r="L418" s="1638"/>
      <c r="M418" s="1635"/>
    </row>
    <row r="419" spans="1:13" s="104" customFormat="1" ht="19.8" thickBot="1" x14ac:dyDescent="0.5">
      <c r="A419" s="1583"/>
      <c r="B419" s="1608"/>
      <c r="C419" s="1612"/>
      <c r="D419" s="82" t="s">
        <v>1917</v>
      </c>
      <c r="E419" s="1514">
        <v>45423.958333333336</v>
      </c>
      <c r="F419" s="1514">
        <v>45424.208333333336</v>
      </c>
      <c r="G419" s="1514"/>
      <c r="H419" s="1514"/>
      <c r="I419" s="656"/>
      <c r="J419" s="1481">
        <f t="shared" si="137"/>
        <v>45424.291666666672</v>
      </c>
      <c r="K419" s="1534" t="str">
        <f t="shared" si="138"/>
        <v>00:43:00</v>
      </c>
      <c r="L419" s="1583"/>
      <c r="M419" s="1624"/>
    </row>
    <row r="420" spans="1:13" s="104" customFormat="1" ht="20.399999999999999" thickTop="1" thickBot="1" x14ac:dyDescent="0.5">
      <c r="A420" s="1583" t="s">
        <v>995</v>
      </c>
      <c r="B420" s="1608" t="s">
        <v>9</v>
      </c>
      <c r="C420" s="1489" t="s">
        <v>784</v>
      </c>
      <c r="D420" s="588" t="s">
        <v>2188</v>
      </c>
      <c r="E420" s="1497">
        <v>45580.979861111111</v>
      </c>
      <c r="F420" s="1497">
        <v>45580.999305555553</v>
      </c>
      <c r="G420" s="1497"/>
      <c r="H420" s="102"/>
      <c r="I420" s="593"/>
      <c r="J420" s="102">
        <f t="shared" si="137"/>
        <v>45581.313194444447</v>
      </c>
      <c r="K420" s="660" t="str">
        <f t="shared" ref="K420:K422" si="139">IF($M$420-J420&lt;0, "-" &amp; TEXT(ABS($M$420-J420),"[hh]:mm:ss"), TEXT($M$420-J420,"[hh]:mm:ss"))</f>
        <v>00:14:00</v>
      </c>
      <c r="L420" s="1585">
        <v>45581.319444444445</v>
      </c>
      <c r="M420" s="1590">
        <v>45581.322916666664</v>
      </c>
    </row>
    <row r="421" spans="1:13" ht="20.399999999999999" thickTop="1" thickBot="1" x14ac:dyDescent="0.5">
      <c r="A421" s="1583"/>
      <c r="B421" s="1608"/>
      <c r="C421" s="1613" t="s">
        <v>787</v>
      </c>
      <c r="D421" s="160" t="s">
        <v>2189</v>
      </c>
      <c r="E421" s="1473">
        <v>45580.981944444444</v>
      </c>
      <c r="F421" s="1473">
        <v>45581.003472222219</v>
      </c>
      <c r="G421" s="1473"/>
      <c r="H421" s="616"/>
      <c r="I421" s="600"/>
      <c r="J421" s="616">
        <f t="shared" si="137"/>
        <v>45581.31527777778</v>
      </c>
      <c r="K421" s="667" t="str">
        <f t="shared" si="139"/>
        <v>00:11:00</v>
      </c>
      <c r="L421" s="1585"/>
      <c r="M421" s="1590"/>
    </row>
    <row r="422" spans="1:13" ht="20.399999999999999" thickTop="1" thickBot="1" x14ac:dyDescent="0.5">
      <c r="A422" s="1583"/>
      <c r="B422" s="1608"/>
      <c r="C422" s="1612"/>
      <c r="D422" s="82" t="s">
        <v>2116</v>
      </c>
      <c r="E422" s="1514">
        <v>45580.916666666664</v>
      </c>
      <c r="F422" s="1514">
        <v>45581.083333333336</v>
      </c>
      <c r="G422" s="1514"/>
      <c r="H422" s="614"/>
      <c r="I422" s="595"/>
      <c r="J422" s="614">
        <f t="shared" si="137"/>
        <v>45581.25</v>
      </c>
      <c r="K422" s="661" t="str">
        <f t="shared" si="139"/>
        <v>01:45:00</v>
      </c>
      <c r="L422" s="1583"/>
      <c r="M422" s="1624"/>
    </row>
    <row r="423" spans="1:13" ht="20.399999999999999" thickTop="1" thickBot="1" x14ac:dyDescent="0.5">
      <c r="A423" s="1582" t="s">
        <v>182</v>
      </c>
      <c r="B423" s="1621" t="s">
        <v>9</v>
      </c>
      <c r="C423" s="1485" t="s">
        <v>784</v>
      </c>
      <c r="D423" s="587"/>
      <c r="E423" s="1496">
        <v>44880.060416666667</v>
      </c>
      <c r="F423" s="1496">
        <v>44880.083333333336</v>
      </c>
      <c r="G423" s="1496"/>
      <c r="H423" s="98"/>
      <c r="I423" s="594"/>
      <c r="J423" s="613">
        <v>44880.393750000003</v>
      </c>
      <c r="K423" s="659" t="str">
        <f t="shared" ref="K423:K425" si="140">IF($M$423-J423&lt;0, "-" &amp; TEXT(ABS($M$423-J423),"[hh]:mm:ss"), TEXT($M$423-J423,"[hh]:mm:ss"))</f>
        <v>00:11:00</v>
      </c>
      <c r="L423" s="1640">
        <v>44880.401388888888</v>
      </c>
      <c r="M423" s="1609">
        <v>44880.401388888888</v>
      </c>
    </row>
    <row r="424" spans="1:13" ht="19.8" thickTop="1" x14ac:dyDescent="0.45">
      <c r="A424" s="1671"/>
      <c r="B424" s="1655"/>
      <c r="C424" s="1489" t="s">
        <v>802</v>
      </c>
      <c r="D424" s="588"/>
      <c r="E424" s="83">
        <v>44880.041666666664</v>
      </c>
      <c r="F424" s="83">
        <v>44880.104166666664</v>
      </c>
      <c r="G424" s="83"/>
      <c r="H424" s="100"/>
      <c r="I424" s="593"/>
      <c r="J424" s="102">
        <v>44880.375</v>
      </c>
      <c r="K424" s="660" t="str">
        <f t="shared" si="140"/>
        <v>00:38:00</v>
      </c>
      <c r="L424" s="1671"/>
      <c r="M424" s="1652"/>
    </row>
    <row r="425" spans="1:13" ht="19.8" thickBot="1" x14ac:dyDescent="0.5">
      <c r="A425" s="1586"/>
      <c r="B425" s="1639"/>
      <c r="C425" s="1474" t="s">
        <v>801</v>
      </c>
      <c r="D425" s="82"/>
      <c r="E425" s="1514">
        <v>44880</v>
      </c>
      <c r="F425" s="1514">
        <v>44880.166666666664</v>
      </c>
      <c r="G425" s="1514"/>
      <c r="H425" s="614"/>
      <c r="I425" s="595"/>
      <c r="J425" s="614">
        <v>44880.333333333336</v>
      </c>
      <c r="K425" s="661" t="str">
        <f t="shared" si="140"/>
        <v>01:38:00</v>
      </c>
      <c r="L425" s="1586"/>
      <c r="M425" s="1610"/>
    </row>
    <row r="426" spans="1:13" ht="20.399999999999999" thickTop="1" thickBot="1" x14ac:dyDescent="0.5">
      <c r="A426" s="1582" t="s">
        <v>182</v>
      </c>
      <c r="B426" s="1621" t="s">
        <v>9</v>
      </c>
      <c r="C426" s="1661" t="s">
        <v>784</v>
      </c>
      <c r="D426" s="1587"/>
      <c r="E426" s="1496">
        <v>44907.343055555553</v>
      </c>
      <c r="F426" s="1496">
        <v>44907.363194444442</v>
      </c>
      <c r="G426" s="1496"/>
      <c r="H426" s="98"/>
      <c r="I426" s="594"/>
      <c r="J426" s="613">
        <v>44907.676388888889</v>
      </c>
      <c r="K426" s="659" t="str">
        <f t="shared" ref="K426:K429" si="141">IF($M$426-J426&lt;0, "-" &amp; TEXT(ABS($M$426-J426),"[hh]:mm:ss"), TEXT($M$426-J426,"[hh]:mm:ss"))</f>
        <v>00:08:00</v>
      </c>
      <c r="L426" s="1640">
        <v>44907.684027777781</v>
      </c>
      <c r="M426" s="1609">
        <v>44907.681944444441</v>
      </c>
    </row>
    <row r="427" spans="1:13" ht="19.8" thickTop="1" x14ac:dyDescent="0.45">
      <c r="A427" s="1671"/>
      <c r="B427" s="1655"/>
      <c r="C427" s="1686"/>
      <c r="D427" s="1684"/>
      <c r="E427" s="83">
        <v>44907.34375</v>
      </c>
      <c r="F427" s="83">
        <v>44907.364583333336</v>
      </c>
      <c r="G427" s="83"/>
      <c r="H427" s="100"/>
      <c r="I427" s="593"/>
      <c r="J427" s="102">
        <v>44907.677083333336</v>
      </c>
      <c r="K427" s="660" t="str">
        <f t="shared" si="141"/>
        <v>00:07:00</v>
      </c>
      <c r="L427" s="1671"/>
      <c r="M427" s="1652"/>
    </row>
    <row r="428" spans="1:13" x14ac:dyDescent="0.45">
      <c r="A428" s="1671"/>
      <c r="B428" s="1655"/>
      <c r="C428" s="1512" t="s">
        <v>802</v>
      </c>
      <c r="D428" s="160"/>
      <c r="E428" s="88">
        <v>44907.344444444447</v>
      </c>
      <c r="F428" s="88">
        <v>44907.367361111108</v>
      </c>
      <c r="G428" s="88"/>
      <c r="H428" s="101"/>
      <c r="I428" s="600"/>
      <c r="J428" s="102">
        <v>44907.677777777775</v>
      </c>
      <c r="K428" s="667" t="str">
        <f t="shared" si="141"/>
        <v>00:06:00</v>
      </c>
      <c r="L428" s="1671"/>
      <c r="M428" s="1652"/>
    </row>
    <row r="429" spans="1:13" ht="19.8" thickBot="1" x14ac:dyDescent="0.5">
      <c r="A429" s="1586"/>
      <c r="B429" s="1639"/>
      <c r="C429" s="1484" t="s">
        <v>804</v>
      </c>
      <c r="D429" s="86"/>
      <c r="E429" s="1514">
        <v>44907.291666666664</v>
      </c>
      <c r="F429" s="1514">
        <v>44907.583333333336</v>
      </c>
      <c r="G429" s="1514"/>
      <c r="H429" s="614"/>
      <c r="I429" s="595"/>
      <c r="J429" s="614">
        <v>44907.625</v>
      </c>
      <c r="K429" s="661" t="str">
        <f t="shared" si="141"/>
        <v>01:22:00</v>
      </c>
      <c r="L429" s="1586"/>
      <c r="M429" s="1610"/>
    </row>
    <row r="430" spans="1:13" ht="20.399999999999999" thickTop="1" thickBot="1" x14ac:dyDescent="0.5">
      <c r="A430" s="1582" t="s">
        <v>995</v>
      </c>
      <c r="B430" s="1621" t="s">
        <v>9</v>
      </c>
      <c r="C430" s="1489" t="s">
        <v>784</v>
      </c>
      <c r="D430" s="588"/>
      <c r="E430" s="83">
        <v>45016.261805555558</v>
      </c>
      <c r="F430" s="83">
        <v>45016.27847222222</v>
      </c>
      <c r="G430" s="83"/>
      <c r="H430" s="100"/>
      <c r="I430" s="593"/>
      <c r="J430" s="613">
        <v>45016.595138888886</v>
      </c>
      <c r="K430" s="660" t="str">
        <f t="shared" ref="K430:K432" si="142">IF($M$430-J430&lt;0, "-" &amp; TEXT(ABS($M$430-J430),"[hh]:mm:ss"), TEXT($M$430-J430,"[hh]:mm:ss"))</f>
        <v>00:10:00</v>
      </c>
      <c r="L430" s="1640">
        <v>45016.600694444445</v>
      </c>
      <c r="M430" s="1609">
        <v>45016.602083333331</v>
      </c>
    </row>
    <row r="431" spans="1:13" s="104" customFormat="1" ht="19.8" collapsed="1" thickTop="1" x14ac:dyDescent="0.45">
      <c r="A431" s="1671"/>
      <c r="B431" s="1655"/>
      <c r="C431" s="1503" t="s">
        <v>802</v>
      </c>
      <c r="D431" s="160"/>
      <c r="E431" s="88">
        <v>45016.243055555555</v>
      </c>
      <c r="F431" s="88">
        <v>45016.284722222219</v>
      </c>
      <c r="G431" s="88"/>
      <c r="H431" s="88"/>
      <c r="I431" s="596"/>
      <c r="J431" s="1530">
        <v>45016.576388888891</v>
      </c>
      <c r="K431" s="663" t="str">
        <f t="shared" si="142"/>
        <v>00:37:00</v>
      </c>
      <c r="L431" s="1671"/>
      <c r="M431" s="1652"/>
    </row>
    <row r="432" spans="1:13" ht="19.8" thickBot="1" x14ac:dyDescent="0.5">
      <c r="A432" s="1586"/>
      <c r="B432" s="1639"/>
      <c r="C432" s="1474" t="s">
        <v>801</v>
      </c>
      <c r="D432" s="82"/>
      <c r="E432" s="1514">
        <v>45016.25</v>
      </c>
      <c r="F432" s="1514">
        <v>45016.291666666664</v>
      </c>
      <c r="G432" s="1514"/>
      <c r="H432" s="1514"/>
      <c r="I432" s="656"/>
      <c r="J432" s="1481">
        <v>45016.583333333336</v>
      </c>
      <c r="K432" s="1534" t="str">
        <f t="shared" si="142"/>
        <v>00:27:00</v>
      </c>
      <c r="L432" s="1586"/>
      <c r="M432" s="1610"/>
    </row>
    <row r="433" spans="1:13" ht="20.399999999999999" thickTop="1" thickBot="1" x14ac:dyDescent="0.5">
      <c r="A433" s="481" t="s">
        <v>995</v>
      </c>
      <c r="B433" s="1479" t="s">
        <v>9</v>
      </c>
      <c r="C433" s="642" t="s">
        <v>784</v>
      </c>
      <c r="D433" s="1472" t="s">
        <v>3006</v>
      </c>
      <c r="E433" s="1472">
        <v>45926.802083333336</v>
      </c>
      <c r="F433" s="1472">
        <v>45926.822222222225</v>
      </c>
      <c r="G433" s="1472"/>
      <c r="H433" s="1472"/>
      <c r="I433" s="592"/>
      <c r="J433" s="1472">
        <f>E433+TIME(8,0,0)</f>
        <v>45927.135416666672</v>
      </c>
      <c r="K433" s="662" t="str">
        <f>IF($M$433-J433&lt;0, "-" &amp; TEXT(ABS($M$433-J433),"[hh]:mm:ss"), TEXT($M$433-J433,"[hh]:mm:ss"))</f>
        <v>00:13:00</v>
      </c>
      <c r="L433" s="1472">
        <v>45927.14166666667</v>
      </c>
      <c r="M433" s="1471">
        <v>45927.144444444442</v>
      </c>
    </row>
    <row r="434" spans="1:13" s="104" customFormat="1" ht="19.8" collapsed="1" thickTop="1" x14ac:dyDescent="0.45">
      <c r="A434" s="1659" t="s">
        <v>995</v>
      </c>
      <c r="B434" s="1607" t="s">
        <v>9</v>
      </c>
      <c r="C434" s="639" t="s">
        <v>784</v>
      </c>
      <c r="D434" s="1504" t="s">
        <v>3500</v>
      </c>
      <c r="E434" s="1504">
        <v>46129.168055555558</v>
      </c>
      <c r="F434" s="1504">
        <v>46129.183333333334</v>
      </c>
      <c r="G434" s="1504"/>
      <c r="H434" s="1504"/>
      <c r="I434" s="594"/>
      <c r="J434" s="1504">
        <f>E434+TIME(8,0,0)</f>
        <v>46129.501388888893</v>
      </c>
      <c r="K434" s="659" t="str">
        <f>IF($M$434-J434&lt;0, "-" &amp; TEXT(ABS($M$434-J434),"[hh]:mm:ss"), TEXT($M$434-J434,"[hh]:mm:ss"))</f>
        <v>00:08:00</v>
      </c>
      <c r="L434" s="1587">
        <v>46129.506944444445</v>
      </c>
      <c r="M434" s="1588">
        <v>46129.506944444445</v>
      </c>
    </row>
    <row r="435" spans="1:13" s="104" customFormat="1" ht="19.8" thickBot="1" x14ac:dyDescent="0.5">
      <c r="A435" s="1660"/>
      <c r="B435" s="1608"/>
      <c r="C435" s="632" t="s">
        <v>3514</v>
      </c>
      <c r="D435" s="1481" t="s">
        <v>3515</v>
      </c>
      <c r="E435" s="1481">
        <v>46129.125</v>
      </c>
      <c r="F435" s="1481">
        <v>46129.375</v>
      </c>
      <c r="G435" s="1481"/>
      <c r="H435" s="1481"/>
      <c r="I435" s="656"/>
      <c r="J435" s="1481">
        <f>E435+TIME(8,0,0)</f>
        <v>46129.458333333336</v>
      </c>
      <c r="K435" s="1534" t="str">
        <f>IF($M$434-J435&lt;0, "-" &amp; TEXT(ABS($M$434-J435),"[hh]:mm:ss"), TEXT($M$434-J435,"[hh]:mm:ss"))</f>
        <v>01:10:00</v>
      </c>
      <c r="L435" s="1585"/>
      <c r="M435" s="1590"/>
    </row>
    <row r="436" spans="1:13" s="85" customFormat="1" ht="20.399999999999999" thickTop="1" thickBot="1" x14ac:dyDescent="0.5">
      <c r="A436" s="314"/>
      <c r="B436" s="314"/>
      <c r="C436" s="633"/>
      <c r="D436" s="84"/>
      <c r="E436" s="84"/>
      <c r="F436" s="84"/>
      <c r="G436" s="84"/>
      <c r="H436" s="84"/>
      <c r="I436" s="597"/>
      <c r="J436" s="84"/>
      <c r="K436" s="664"/>
      <c r="L436" s="314"/>
      <c r="M436" s="623"/>
    </row>
    <row r="437" spans="1:13" s="85" customFormat="1" ht="20.399999999999999" thickTop="1" thickBot="1" x14ac:dyDescent="0.5">
      <c r="A437" s="1470" t="s">
        <v>995</v>
      </c>
      <c r="B437" s="1480" t="s">
        <v>1257</v>
      </c>
      <c r="C437" s="1489"/>
      <c r="D437" s="588" t="s">
        <v>2183</v>
      </c>
      <c r="E437" s="83">
        <v>43240.896527777775</v>
      </c>
      <c r="F437" s="83">
        <v>43240.965277777781</v>
      </c>
      <c r="G437" s="83"/>
      <c r="H437" s="83"/>
      <c r="I437" s="593"/>
      <c r="J437" s="1504">
        <f t="shared" ref="J437:J443" si="143">E437+TIME(8,0,0)</f>
        <v>43241.229861111111</v>
      </c>
      <c r="K437" s="660" t="str">
        <f>IF($M$437-J437&lt;0, "-" &amp; TEXT(ABS($M$437-J437),"[hh]:mm:ss"), TEXT($M$437-J437,"[hh]:mm:ss"))</f>
        <v>-00:03:00</v>
      </c>
      <c r="L437" s="1481">
        <v>43241.227777777778</v>
      </c>
      <c r="M437" s="1482">
        <v>43241.227777777778</v>
      </c>
    </row>
    <row r="438" spans="1:13" s="104" customFormat="1" ht="20.399999999999999" thickTop="1" thickBot="1" x14ac:dyDescent="0.5">
      <c r="A438" s="1582" t="s">
        <v>995</v>
      </c>
      <c r="B438" s="1621" t="s">
        <v>52</v>
      </c>
      <c r="C438" s="1485" t="s">
        <v>780</v>
      </c>
      <c r="D438" s="1504" t="s">
        <v>2873</v>
      </c>
      <c r="E438" s="1504">
        <v>45841.393055555556</v>
      </c>
      <c r="F438" s="1504">
        <v>45841.409722222219</v>
      </c>
      <c r="G438" s="1504"/>
      <c r="H438" s="1504"/>
      <c r="I438" s="594"/>
      <c r="J438" s="1504">
        <f t="shared" si="143"/>
        <v>45841.726388888892</v>
      </c>
      <c r="K438" s="659" t="str">
        <f t="shared" ref="K438:K440" si="144">IF($M$438-J438&lt;0, "-" &amp; TEXT(ABS($M$438-J438),"[hh]:mm:ss"), TEXT($M$438-J438,"[hh]:mm:ss"))</f>
        <v>00:09:00</v>
      </c>
      <c r="L438" s="1640">
        <v>45841.732638888891</v>
      </c>
      <c r="M438" s="1609">
        <v>45841.732638888891</v>
      </c>
    </row>
    <row r="439" spans="1:13" s="85" customFormat="1" ht="20.399999999999999" collapsed="1" thickTop="1" thickBot="1" x14ac:dyDescent="0.5">
      <c r="A439" s="1583"/>
      <c r="B439" s="1608"/>
      <c r="C439" s="1512" t="s">
        <v>795</v>
      </c>
      <c r="D439" s="319" t="s">
        <v>2874</v>
      </c>
      <c r="E439" s="1530">
        <v>45841.393055555556</v>
      </c>
      <c r="F439" s="1530">
        <v>45841.409722222219</v>
      </c>
      <c r="G439" s="1530"/>
      <c r="H439" s="1530"/>
      <c r="I439" s="596"/>
      <c r="J439" s="1530">
        <f t="shared" si="143"/>
        <v>45841.726388888892</v>
      </c>
      <c r="K439" s="663" t="str">
        <f t="shared" si="144"/>
        <v>00:09:00</v>
      </c>
      <c r="L439" s="1585"/>
      <c r="M439" s="1590"/>
    </row>
    <row r="440" spans="1:13" s="85" customFormat="1" ht="20.399999999999999" thickTop="1" thickBot="1" x14ac:dyDescent="0.5">
      <c r="A440" s="1583"/>
      <c r="B440" s="1608"/>
      <c r="C440" s="1484" t="s">
        <v>806</v>
      </c>
      <c r="D440" s="86" t="s">
        <v>2876</v>
      </c>
      <c r="E440" s="1481">
        <v>45841.394444444442</v>
      </c>
      <c r="F440" s="1481">
        <v>45841.415972222225</v>
      </c>
      <c r="G440" s="1481"/>
      <c r="H440" s="1481"/>
      <c r="I440" s="656"/>
      <c r="J440" s="1481">
        <f t="shared" si="143"/>
        <v>45841.727777777778</v>
      </c>
      <c r="K440" s="1534" t="str">
        <f t="shared" si="144"/>
        <v>00:07:00</v>
      </c>
      <c r="L440" s="1583"/>
      <c r="M440" s="1624"/>
    </row>
    <row r="441" spans="1:13" s="104" customFormat="1" ht="20.399999999999999" thickTop="1" thickBot="1" x14ac:dyDescent="0.5">
      <c r="A441" s="1582" t="s">
        <v>995</v>
      </c>
      <c r="B441" s="1621" t="s">
        <v>52</v>
      </c>
      <c r="C441" s="1485" t="s">
        <v>780</v>
      </c>
      <c r="D441" s="1504" t="s">
        <v>2947</v>
      </c>
      <c r="E441" s="1504">
        <v>45886.37222222222</v>
      </c>
      <c r="F441" s="1504">
        <v>45886.388888888891</v>
      </c>
      <c r="G441" s="1504"/>
      <c r="H441" s="1504"/>
      <c r="I441" s="594"/>
      <c r="J441" s="1504">
        <f t="shared" si="143"/>
        <v>45886.705555555556</v>
      </c>
      <c r="K441" s="659" t="str">
        <f t="shared" ref="K441:K443" si="145">IF($M$441-J441&lt;0, "-" &amp; TEXT(ABS($M$441-J441),"[hh]:mm:ss"), TEXT($M$441-J441,"[hh]:mm:ss"))</f>
        <v>-00:01:00</v>
      </c>
      <c r="L441" s="1640">
        <v>45886.704861111109</v>
      </c>
      <c r="M441" s="1609">
        <v>45886.704861111109</v>
      </c>
    </row>
    <row r="442" spans="1:13" ht="20.399999999999999" thickTop="1" thickBot="1" x14ac:dyDescent="0.5">
      <c r="A442" s="1583"/>
      <c r="B442" s="1608"/>
      <c r="C442" s="1512" t="s">
        <v>795</v>
      </c>
      <c r="D442" s="319" t="s">
        <v>2948</v>
      </c>
      <c r="E442" s="1530">
        <v>45886.372916666667</v>
      </c>
      <c r="F442" s="1530">
        <v>45886.392361111109</v>
      </c>
      <c r="G442" s="1530"/>
      <c r="H442" s="1530"/>
      <c r="I442" s="596"/>
      <c r="J442" s="1530">
        <f t="shared" si="143"/>
        <v>45886.706250000003</v>
      </c>
      <c r="K442" s="663" t="str">
        <f t="shared" si="145"/>
        <v>-00:02:00</v>
      </c>
      <c r="L442" s="1585"/>
      <c r="M442" s="1590"/>
    </row>
    <row r="443" spans="1:13" s="85" customFormat="1" ht="20.399999999999999" thickTop="1" thickBot="1" x14ac:dyDescent="0.5">
      <c r="A443" s="1583"/>
      <c r="B443" s="1608"/>
      <c r="C443" s="1484" t="s">
        <v>806</v>
      </c>
      <c r="D443" s="86" t="s">
        <v>2956</v>
      </c>
      <c r="E443" s="1481">
        <v>45886.083333333336</v>
      </c>
      <c r="F443" s="1481">
        <v>45886.25</v>
      </c>
      <c r="G443" s="1481"/>
      <c r="H443" s="1481"/>
      <c r="I443" s="656"/>
      <c r="J443" s="1481">
        <f t="shared" si="143"/>
        <v>45886.416666666672</v>
      </c>
      <c r="K443" s="1534" t="str">
        <f t="shared" si="145"/>
        <v>06:55:00</v>
      </c>
      <c r="L443" s="1583"/>
      <c r="M443" s="1624"/>
    </row>
    <row r="444" spans="1:13" ht="20.399999999999999" thickTop="1" thickBot="1" x14ac:dyDescent="0.5">
      <c r="A444" s="314"/>
      <c r="B444" s="314"/>
      <c r="C444" s="633"/>
      <c r="D444" s="84"/>
      <c r="E444" s="84"/>
      <c r="F444" s="84"/>
      <c r="G444" s="84"/>
      <c r="H444" s="84"/>
      <c r="I444" s="597"/>
      <c r="J444" s="84"/>
      <c r="K444" s="664"/>
      <c r="L444" s="314"/>
      <c r="M444" s="623"/>
    </row>
    <row r="445" spans="1:13" ht="20.399999999999999" collapsed="1" thickTop="1" thickBot="1" x14ac:dyDescent="0.5">
      <c r="A445" s="1582" t="s">
        <v>182</v>
      </c>
      <c r="B445" s="1621" t="s">
        <v>71</v>
      </c>
      <c r="C445" s="1489" t="s">
        <v>782</v>
      </c>
      <c r="D445" s="588"/>
      <c r="E445" s="83">
        <v>44666.756249999999</v>
      </c>
      <c r="F445" s="83">
        <v>44666.771527777775</v>
      </c>
      <c r="G445" s="83"/>
      <c r="H445" s="83"/>
      <c r="I445" s="593"/>
      <c r="J445" s="1497">
        <f>E445+TIME(8,0,0)</f>
        <v>44667.089583333334</v>
      </c>
      <c r="K445" s="660" t="str">
        <f t="shared" ref="K445:K446" si="146">IF($M$445-J445&lt;0, "-" &amp; TEXT(ABS($M$445-J445),"[hh]:mm:ss"), TEXT($M$445-J445,"[hh]:mm:ss"))</f>
        <v>00:11:00</v>
      </c>
      <c r="L445" s="1622">
        <v>0</v>
      </c>
      <c r="M445" s="1623">
        <v>44667.097222222219</v>
      </c>
    </row>
    <row r="446" spans="1:13" ht="20.399999999999999" thickTop="1" thickBot="1" x14ac:dyDescent="0.5">
      <c r="A446" s="1586"/>
      <c r="B446" s="1639"/>
      <c r="C446" s="1474" t="s">
        <v>789</v>
      </c>
      <c r="D446" s="82"/>
      <c r="E446" s="1514">
        <v>44666.743055555555</v>
      </c>
      <c r="F446" s="1514">
        <v>44666.79583333333</v>
      </c>
      <c r="G446" s="1514"/>
      <c r="H446" s="1514"/>
      <c r="I446" s="595"/>
      <c r="J446" s="614">
        <f>E446+TIME(8,0,0)</f>
        <v>44667.076388888891</v>
      </c>
      <c r="K446" s="661" t="str">
        <f t="shared" si="146"/>
        <v>00:30:00</v>
      </c>
      <c r="L446" s="1586"/>
      <c r="M446" s="1610"/>
    </row>
    <row r="447" spans="1:13" ht="20.399999999999999" thickTop="1" thickBot="1" x14ac:dyDescent="0.5">
      <c r="A447" s="1583" t="s">
        <v>995</v>
      </c>
      <c r="B447" s="1608" t="s">
        <v>71</v>
      </c>
      <c r="C447" s="1489" t="s">
        <v>782</v>
      </c>
      <c r="D447" s="588"/>
      <c r="E447" s="83">
        <v>44994.939583333333</v>
      </c>
      <c r="F447" s="83">
        <v>44994.977083333331</v>
      </c>
      <c r="G447" s="83"/>
      <c r="H447" s="83"/>
      <c r="I447" s="593"/>
      <c r="J447" s="1504">
        <f>E447+TIME(8,0,0)</f>
        <v>44995.272916666669</v>
      </c>
      <c r="K447" s="660" t="str">
        <f t="shared" ref="K447:K448" si="147">IF($M$447-J447&lt;0, "-" &amp; TEXT(ABS($M$447-J447),"[hh]:mm:ss"), TEXT($M$447-J447,"[hh]:mm:ss"))</f>
        <v>00:09:00</v>
      </c>
      <c r="L447" s="1585">
        <v>44995.284722222219</v>
      </c>
      <c r="M447" s="1590">
        <v>44995.279166666667</v>
      </c>
    </row>
    <row r="448" spans="1:13" ht="20.399999999999999" thickTop="1" thickBot="1" x14ac:dyDescent="0.5">
      <c r="A448" s="1586"/>
      <c r="B448" s="1639"/>
      <c r="C448" s="1474" t="s">
        <v>789</v>
      </c>
      <c r="D448" s="82"/>
      <c r="E448" s="1514">
        <v>44994.922222222223</v>
      </c>
      <c r="F448" s="1514">
        <v>44994.991666666669</v>
      </c>
      <c r="G448" s="1514"/>
      <c r="H448" s="1514"/>
      <c r="I448" s="656"/>
      <c r="J448" s="612">
        <f>E448+TIME(8,0,0)</f>
        <v>44995.255555555559</v>
      </c>
      <c r="K448" s="1534" t="str">
        <f t="shared" si="147"/>
        <v>00:34:00</v>
      </c>
      <c r="L448" s="1586"/>
      <c r="M448" s="1610"/>
    </row>
    <row r="449" spans="1:13" ht="20.399999999999999" thickTop="1" thickBot="1" x14ac:dyDescent="0.5">
      <c r="A449" s="314"/>
      <c r="B449" s="314"/>
      <c r="C449" s="633"/>
      <c r="D449" s="84"/>
      <c r="E449" s="84"/>
      <c r="F449" s="84"/>
      <c r="G449" s="84"/>
      <c r="H449" s="84"/>
      <c r="I449" s="597"/>
      <c r="J449" s="84"/>
      <c r="K449" s="664"/>
      <c r="L449" s="314"/>
      <c r="M449" s="623"/>
    </row>
    <row r="450" spans="1:13" ht="20.399999999999999" thickTop="1" thickBot="1" x14ac:dyDescent="0.5">
      <c r="A450" s="1582" t="s">
        <v>1231</v>
      </c>
      <c r="B450" s="1621" t="s">
        <v>388</v>
      </c>
      <c r="C450" s="1485" t="s">
        <v>2047</v>
      </c>
      <c r="D450" s="587" t="s">
        <v>1330</v>
      </c>
      <c r="E450" s="1504">
        <v>45275.563888888886</v>
      </c>
      <c r="F450" s="1504">
        <v>45275.601388888892</v>
      </c>
      <c r="G450" s="1504"/>
      <c r="H450" s="1504"/>
      <c r="I450" s="594"/>
      <c r="J450" s="1504">
        <f t="shared" ref="J450:J467" si="148">E450+TIME(8,0,0)</f>
        <v>45275.897222222222</v>
      </c>
      <c r="K450" s="659" t="str">
        <f t="shared" ref="K450:K454" si="149">IF($M$450-J450&lt;0, "-" &amp; TEXT(ABS($M$450-J450),"[hh]:mm:ss"), TEXT($M$450-J450,"[hh]:mm:ss"))</f>
        <v>00:09:00</v>
      </c>
      <c r="L450" s="1585">
        <v>45275.902777777781</v>
      </c>
      <c r="M450" s="1609">
        <v>45275.90347222222</v>
      </c>
    </row>
    <row r="451" spans="1:13" ht="19.8" thickTop="1" x14ac:dyDescent="0.45">
      <c r="A451" s="1638"/>
      <c r="B451" s="1615"/>
      <c r="C451" s="1613" t="s">
        <v>3027</v>
      </c>
      <c r="D451" s="1530" t="s">
        <v>1348</v>
      </c>
      <c r="E451" s="1530">
        <v>45275.564583333333</v>
      </c>
      <c r="F451" s="1530">
        <v>45275.604861111111</v>
      </c>
      <c r="G451" s="1530"/>
      <c r="H451" s="1530"/>
      <c r="I451" s="596"/>
      <c r="J451" s="1530">
        <f t="shared" si="148"/>
        <v>45275.897916666669</v>
      </c>
      <c r="K451" s="663" t="str">
        <f t="shared" si="149"/>
        <v>00:08:00</v>
      </c>
      <c r="L451" s="1638"/>
      <c r="M451" s="1635"/>
    </row>
    <row r="452" spans="1:13" x14ac:dyDescent="0.45">
      <c r="A452" s="1619"/>
      <c r="B452" s="1615"/>
      <c r="C452" s="1651"/>
      <c r="D452" s="1530" t="s">
        <v>1349</v>
      </c>
      <c r="E452" s="1530">
        <v>45275.565972222219</v>
      </c>
      <c r="F452" s="1530">
        <v>45275.609722222223</v>
      </c>
      <c r="G452" s="1530"/>
      <c r="H452" s="1530"/>
      <c r="I452" s="596"/>
      <c r="J452" s="1530">
        <f t="shared" si="148"/>
        <v>45275.899305555555</v>
      </c>
      <c r="K452" s="663" t="str">
        <f t="shared" si="149"/>
        <v>00:06:00</v>
      </c>
      <c r="L452" s="1619"/>
      <c r="M452" s="1635"/>
    </row>
    <row r="453" spans="1:13" x14ac:dyDescent="0.45">
      <c r="A453" s="1619"/>
      <c r="B453" s="1615"/>
      <c r="C453" s="1617"/>
      <c r="D453" s="1530" t="s">
        <v>1352</v>
      </c>
      <c r="E453" s="1530">
        <v>45275.541666666664</v>
      </c>
      <c r="F453" s="1530">
        <v>45275.628472222219</v>
      </c>
      <c r="G453" s="1530"/>
      <c r="H453" s="1530"/>
      <c r="I453" s="596"/>
      <c r="J453" s="1530">
        <f t="shared" si="148"/>
        <v>45275.875</v>
      </c>
      <c r="K453" s="663" t="str">
        <f t="shared" si="149"/>
        <v>00:41:00</v>
      </c>
      <c r="L453" s="1619"/>
      <c r="M453" s="1635"/>
    </row>
    <row r="454" spans="1:13" ht="19.8" thickBot="1" x14ac:dyDescent="0.5">
      <c r="A454" s="1583"/>
      <c r="B454" s="1608"/>
      <c r="C454" s="1489" t="s">
        <v>981</v>
      </c>
      <c r="D454" s="1481" t="s">
        <v>1340</v>
      </c>
      <c r="E454" s="1481">
        <v>45275.5</v>
      </c>
      <c r="F454" s="1481">
        <v>45275.666666666664</v>
      </c>
      <c r="G454" s="1481"/>
      <c r="H454" s="1481"/>
      <c r="I454" s="656"/>
      <c r="J454" s="1481">
        <f t="shared" si="148"/>
        <v>45275.833333333336</v>
      </c>
      <c r="K454" s="1534" t="str">
        <f t="shared" si="149"/>
        <v>01:41:00</v>
      </c>
      <c r="L454" s="1583"/>
      <c r="M454" s="1624"/>
    </row>
    <row r="455" spans="1:13" ht="19.8" thickTop="1" x14ac:dyDescent="0.45">
      <c r="A455" s="1691" t="s">
        <v>1231</v>
      </c>
      <c r="B455" s="1607" t="s">
        <v>388</v>
      </c>
      <c r="C455" s="1485" t="s">
        <v>1280</v>
      </c>
      <c r="D455" s="1504" t="s">
        <v>1622</v>
      </c>
      <c r="E455" s="1504">
        <v>45345.458333333336</v>
      </c>
      <c r="F455" s="1504">
        <v>45345.583333333336</v>
      </c>
      <c r="G455" s="1504"/>
      <c r="H455" s="1504"/>
      <c r="I455" s="594"/>
      <c r="J455" s="1504">
        <f t="shared" si="148"/>
        <v>45345.791666666672</v>
      </c>
      <c r="K455" s="659" t="str">
        <f t="shared" ref="K455:K459" si="150">IF($M$455-J455&lt;0, "-" &amp; TEXT(ABS($M$455-J455),"[hh]:mm:ss"), TEXT($M$455-J455,"[hh]:mm:ss"))</f>
        <v>00:30:00</v>
      </c>
      <c r="L455" s="1587">
        <v>45345.8125</v>
      </c>
      <c r="M455" s="1588">
        <v>45345.8125</v>
      </c>
    </row>
    <row r="456" spans="1:13" x14ac:dyDescent="0.45">
      <c r="A456" s="1619"/>
      <c r="B456" s="1615"/>
      <c r="C456" s="1613" t="s">
        <v>3027</v>
      </c>
      <c r="D456" s="1530" t="s">
        <v>3251</v>
      </c>
      <c r="E456" s="1505">
        <v>45345.472916666666</v>
      </c>
      <c r="F456" s="1505">
        <v>45345.569444444445</v>
      </c>
      <c r="G456" s="1505"/>
      <c r="H456" s="1505"/>
      <c r="I456" s="605"/>
      <c r="J456" s="1530">
        <f t="shared" si="148"/>
        <v>45345.806250000001</v>
      </c>
      <c r="K456" s="673" t="str">
        <f t="shared" si="150"/>
        <v>00:09:00</v>
      </c>
      <c r="L456" s="1591"/>
      <c r="M456" s="1589"/>
    </row>
    <row r="457" spans="1:13" x14ac:dyDescent="0.45">
      <c r="A457" s="1619"/>
      <c r="B457" s="1615"/>
      <c r="C457" s="1651"/>
      <c r="D457" s="1497" t="s">
        <v>1619</v>
      </c>
      <c r="E457" s="1530">
        <v>45345.472916666666</v>
      </c>
      <c r="F457" s="1530">
        <v>45345.569444444445</v>
      </c>
      <c r="G457" s="1530"/>
      <c r="H457" s="1530"/>
      <c r="I457" s="596"/>
      <c r="J457" s="1530">
        <f t="shared" si="148"/>
        <v>45345.806250000001</v>
      </c>
      <c r="K457" s="663" t="str">
        <f t="shared" si="150"/>
        <v>00:09:00</v>
      </c>
      <c r="L457" s="1591"/>
      <c r="M457" s="1589"/>
    </row>
    <row r="458" spans="1:13" s="104" customFormat="1" x14ac:dyDescent="0.45">
      <c r="A458" s="1619"/>
      <c r="B458" s="1615"/>
      <c r="C458" s="1617"/>
      <c r="D458" s="1530" t="s">
        <v>1621</v>
      </c>
      <c r="E458" s="1530">
        <v>45345.493055555555</v>
      </c>
      <c r="F458" s="1505">
        <v>45345.576388888891</v>
      </c>
      <c r="G458" s="1505"/>
      <c r="H458" s="1505"/>
      <c r="I458" s="605"/>
      <c r="J458" s="1530">
        <f t="shared" si="148"/>
        <v>45345.826388888891</v>
      </c>
      <c r="K458" s="673" t="str">
        <f t="shared" si="150"/>
        <v>-00:20:00</v>
      </c>
      <c r="L458" s="1591"/>
      <c r="M458" s="1589"/>
    </row>
    <row r="459" spans="1:13" s="104" customFormat="1" ht="19.8" thickBot="1" x14ac:dyDescent="0.5">
      <c r="A459" s="1583"/>
      <c r="B459" s="1608"/>
      <c r="C459" s="1484" t="s">
        <v>981</v>
      </c>
      <c r="D459" s="1481" t="s">
        <v>1620</v>
      </c>
      <c r="E459" s="1481">
        <v>45345.477083333331</v>
      </c>
      <c r="F459" s="1514">
        <v>45345.575694444444</v>
      </c>
      <c r="G459" s="1514"/>
      <c r="H459" s="1514"/>
      <c r="I459" s="595"/>
      <c r="J459" s="1514">
        <f t="shared" si="148"/>
        <v>45345.810416666667</v>
      </c>
      <c r="K459" s="661" t="str">
        <f t="shared" si="150"/>
        <v>00:03:00</v>
      </c>
      <c r="L459" s="1585"/>
      <c r="M459" s="1590"/>
    </row>
    <row r="460" spans="1:13" s="104" customFormat="1" ht="19.8" thickTop="1" x14ac:dyDescent="0.45">
      <c r="A460" s="1691" t="s">
        <v>1231</v>
      </c>
      <c r="B460" s="1607" t="s">
        <v>388</v>
      </c>
      <c r="C460" s="1485" t="s">
        <v>1280</v>
      </c>
      <c r="D460" s="1504" t="s">
        <v>1913</v>
      </c>
      <c r="E460" s="1504">
        <v>45415.333333333336</v>
      </c>
      <c r="F460" s="1504">
        <v>45415.5</v>
      </c>
      <c r="G460" s="1504"/>
      <c r="H460" s="1504"/>
      <c r="I460" s="594"/>
      <c r="J460" s="1504">
        <f t="shared" si="148"/>
        <v>45415.666666666672</v>
      </c>
      <c r="K460" s="659" t="str">
        <f t="shared" ref="K460:K467" si="151">IF($M$460-J460&lt;0, "-" &amp; TEXT(ABS($M$460-J460),"[hh]:mm:ss"), TEXT($M$460-J460,"[hh]:mm.ss"))</f>
        <v>01:27.29</v>
      </c>
      <c r="L460" s="1587">
        <v>45415.727303240739</v>
      </c>
      <c r="M460" s="1588">
        <v>45415.727418981478</v>
      </c>
    </row>
    <row r="461" spans="1:13" s="104" customFormat="1" x14ac:dyDescent="0.45">
      <c r="A461" s="1692"/>
      <c r="B461" s="1615"/>
      <c r="C461" s="1489" t="s">
        <v>2047</v>
      </c>
      <c r="D461" s="1497" t="s">
        <v>1900</v>
      </c>
      <c r="E461" s="1497">
        <v>45415.386805555558</v>
      </c>
      <c r="F461" s="1497">
        <v>45415.429166666669</v>
      </c>
      <c r="G461" s="1497"/>
      <c r="H461" s="1497"/>
      <c r="I461" s="593"/>
      <c r="J461" s="1497">
        <f t="shared" si="148"/>
        <v>45415.720138888893</v>
      </c>
      <c r="K461" s="660" t="str">
        <f t="shared" si="151"/>
        <v>00:10.29</v>
      </c>
      <c r="L461" s="1591"/>
      <c r="M461" s="1589"/>
    </row>
    <row r="462" spans="1:13" s="104" customFormat="1" x14ac:dyDescent="0.45">
      <c r="A462" s="1692"/>
      <c r="B462" s="1615"/>
      <c r="C462" s="1651" t="s">
        <v>3027</v>
      </c>
      <c r="D462" s="1530" t="s">
        <v>1904</v>
      </c>
      <c r="E462" s="1505">
        <v>45415.388194444444</v>
      </c>
      <c r="F462" s="1505">
        <v>45415.432638888888</v>
      </c>
      <c r="G462" s="1505"/>
      <c r="H462" s="1505"/>
      <c r="I462" s="605"/>
      <c r="J462" s="1530">
        <f t="shared" si="148"/>
        <v>45415.72152777778</v>
      </c>
      <c r="K462" s="673" t="str">
        <f t="shared" si="151"/>
        <v>00:08.29</v>
      </c>
      <c r="L462" s="1591"/>
      <c r="M462" s="1589"/>
    </row>
    <row r="463" spans="1:13" s="104" customFormat="1" x14ac:dyDescent="0.45">
      <c r="A463" s="1619"/>
      <c r="B463" s="1615"/>
      <c r="C463" s="1651"/>
      <c r="D463" s="1497" t="s">
        <v>1903</v>
      </c>
      <c r="E463" s="1530">
        <v>45415.38958333333</v>
      </c>
      <c r="F463" s="1530">
        <v>45415.436805555553</v>
      </c>
      <c r="G463" s="1530"/>
      <c r="H463" s="1530"/>
      <c r="I463" s="596"/>
      <c r="J463" s="1530">
        <f t="shared" si="148"/>
        <v>45415.722916666666</v>
      </c>
      <c r="K463" s="663" t="str">
        <f t="shared" si="151"/>
        <v>00:06.29</v>
      </c>
      <c r="L463" s="1591"/>
      <c r="M463" s="1589"/>
    </row>
    <row r="464" spans="1:13" s="104" customFormat="1" x14ac:dyDescent="0.45">
      <c r="A464" s="1619"/>
      <c r="B464" s="1615"/>
      <c r="C464" s="1651"/>
      <c r="D464" s="1497" t="s">
        <v>1918</v>
      </c>
      <c r="E464" s="1473">
        <v>45415.375</v>
      </c>
      <c r="F464" s="1473">
        <v>45415.440972222219</v>
      </c>
      <c r="G464" s="1473"/>
      <c r="H464" s="1473"/>
      <c r="I464" s="600"/>
      <c r="J464" s="1497">
        <f t="shared" si="148"/>
        <v>45415.708333333336</v>
      </c>
      <c r="K464" s="667" t="str">
        <f t="shared" si="151"/>
        <v>00:27.29</v>
      </c>
      <c r="L464" s="1591"/>
      <c r="M464" s="1589"/>
    </row>
    <row r="465" spans="1:13" s="104" customFormat="1" x14ac:dyDescent="0.45">
      <c r="A465" s="1619"/>
      <c r="B465" s="1615"/>
      <c r="C465" s="1651"/>
      <c r="D465" s="1497" t="s">
        <v>1784</v>
      </c>
      <c r="E465" s="1530">
        <v>45415.291666666664</v>
      </c>
      <c r="F465" s="1505">
        <v>45415.541666666664</v>
      </c>
      <c r="G465" s="1505"/>
      <c r="H465" s="1505"/>
      <c r="I465" s="605"/>
      <c r="J465" s="1530">
        <f t="shared" si="148"/>
        <v>45415.625</v>
      </c>
      <c r="K465" s="673" t="str">
        <f t="shared" si="151"/>
        <v>02:27.29</v>
      </c>
      <c r="L465" s="1591"/>
      <c r="M465" s="1589"/>
    </row>
    <row r="466" spans="1:13" s="104" customFormat="1" collapsed="1" x14ac:dyDescent="0.45">
      <c r="A466" s="1619"/>
      <c r="B466" s="1615"/>
      <c r="C466" s="1617"/>
      <c r="D466" s="1530" t="s">
        <v>1898</v>
      </c>
      <c r="E466" s="1530">
        <v>45415.291666666664</v>
      </c>
      <c r="F466" s="1505">
        <v>45415.541666666664</v>
      </c>
      <c r="G466" s="1505"/>
      <c r="H466" s="1505"/>
      <c r="I466" s="605"/>
      <c r="J466" s="1530">
        <f t="shared" si="148"/>
        <v>45415.625</v>
      </c>
      <c r="K466" s="673" t="str">
        <f t="shared" si="151"/>
        <v>02:27.29</v>
      </c>
      <c r="L466" s="1591"/>
      <c r="M466" s="1589"/>
    </row>
    <row r="467" spans="1:13" s="104" customFormat="1" ht="19.8" thickBot="1" x14ac:dyDescent="0.5">
      <c r="A467" s="1583"/>
      <c r="B467" s="1608"/>
      <c r="C467" s="1484" t="s">
        <v>806</v>
      </c>
      <c r="D467" s="1481" t="s">
        <v>1899</v>
      </c>
      <c r="E467" s="1481">
        <v>45415.291666666664</v>
      </c>
      <c r="F467" s="1514">
        <v>45415.541666666664</v>
      </c>
      <c r="G467" s="1514"/>
      <c r="H467" s="1514"/>
      <c r="I467" s="595"/>
      <c r="J467" s="1514">
        <f t="shared" si="148"/>
        <v>45415.625</v>
      </c>
      <c r="K467" s="661" t="str">
        <f t="shared" si="151"/>
        <v>02:27.29</v>
      </c>
      <c r="L467" s="1585"/>
      <c r="M467" s="1590"/>
    </row>
    <row r="468" spans="1:13" s="104" customFormat="1" ht="19.8" thickTop="1" x14ac:dyDescent="0.45">
      <c r="A468" s="1691" t="s">
        <v>1231</v>
      </c>
      <c r="B468" s="1607" t="s">
        <v>388</v>
      </c>
      <c r="C468" s="1611" t="s">
        <v>1280</v>
      </c>
      <c r="D468" s="1504" t="s">
        <v>3071</v>
      </c>
      <c r="E468" s="1504">
        <v>45953.597222222219</v>
      </c>
      <c r="F468" s="1504">
        <v>45953.645833333336</v>
      </c>
      <c r="G468" s="1504"/>
      <c r="H468" s="1504"/>
      <c r="I468" s="594"/>
      <c r="J468" s="1504">
        <f t="shared" ref="J468:J474" si="152">E468+TIME(8,0,0)</f>
        <v>45953.930555555555</v>
      </c>
      <c r="K468" s="659" t="str">
        <f t="shared" ref="K468:K474" si="153">IF($M$468-J468&lt;0, "-" &amp; TEXT(ABS($M$468-J468),"[hh]:mm:ss"), TEXT($M$468-J468,"[hh]:mm:ss"))</f>
        <v>00:10:00</v>
      </c>
      <c r="L468" s="1587">
        <v>45953.9375</v>
      </c>
      <c r="M468" s="1588">
        <v>45953.9375</v>
      </c>
    </row>
    <row r="469" spans="1:13" s="104" customFormat="1" x14ac:dyDescent="0.45">
      <c r="A469" s="1692"/>
      <c r="B469" s="1615"/>
      <c r="C469" s="1617"/>
      <c r="D469" s="1497" t="s">
        <v>3068</v>
      </c>
      <c r="E469" s="1473">
        <v>45953.597222222219</v>
      </c>
      <c r="F469" s="1473">
        <v>45953.652777777781</v>
      </c>
      <c r="G469" s="1473"/>
      <c r="H469" s="1473"/>
      <c r="I469" s="600"/>
      <c r="J469" s="1497">
        <f t="shared" ref="J469" si="154">E469+TIME(8,0,0)</f>
        <v>45953.930555555555</v>
      </c>
      <c r="K469" s="667" t="str">
        <f t="shared" si="153"/>
        <v>00:10:00</v>
      </c>
      <c r="L469" s="1591"/>
      <c r="M469" s="1589"/>
    </row>
    <row r="470" spans="1:13" s="104" customFormat="1" x14ac:dyDescent="0.45">
      <c r="A470" s="1692"/>
      <c r="B470" s="1615"/>
      <c r="C470" s="1613" t="s">
        <v>3027</v>
      </c>
      <c r="D470" s="1530" t="s">
        <v>3065</v>
      </c>
      <c r="E470" s="1505">
        <v>45953.598611111112</v>
      </c>
      <c r="F470" s="1505">
        <v>45953.652777777781</v>
      </c>
      <c r="G470" s="1505"/>
      <c r="H470" s="1505"/>
      <c r="I470" s="605"/>
      <c r="J470" s="1530">
        <f t="shared" si="152"/>
        <v>45953.931944444448</v>
      </c>
      <c r="K470" s="673" t="str">
        <f t="shared" si="153"/>
        <v>00:08:00</v>
      </c>
      <c r="L470" s="1591"/>
      <c r="M470" s="1589"/>
    </row>
    <row r="471" spans="1:13" s="104" customFormat="1" x14ac:dyDescent="0.45">
      <c r="A471" s="1619"/>
      <c r="B471" s="1615"/>
      <c r="C471" s="1617"/>
      <c r="D471" s="1497" t="s">
        <v>3066</v>
      </c>
      <c r="E471" s="1530">
        <v>45953.600694444445</v>
      </c>
      <c r="F471" s="1530">
        <v>45953.65625</v>
      </c>
      <c r="G471" s="1530"/>
      <c r="H471" s="1530"/>
      <c r="I471" s="596"/>
      <c r="J471" s="1530">
        <f t="shared" si="152"/>
        <v>45953.934027777781</v>
      </c>
      <c r="K471" s="663" t="str">
        <f t="shared" si="153"/>
        <v>00:05:00</v>
      </c>
      <c r="L471" s="1591"/>
      <c r="M471" s="1589"/>
    </row>
    <row r="472" spans="1:13" s="104" customFormat="1" x14ac:dyDescent="0.45">
      <c r="A472" s="1619"/>
      <c r="B472" s="1615"/>
      <c r="C472" s="1503" t="s">
        <v>981</v>
      </c>
      <c r="D472" s="1530" t="s">
        <v>3069</v>
      </c>
      <c r="E472" s="1530">
        <v>45953.602777777778</v>
      </c>
      <c r="F472" s="1530">
        <v>45953.658333333333</v>
      </c>
      <c r="G472" s="1530"/>
      <c r="H472" s="1530"/>
      <c r="I472" s="596"/>
      <c r="J472" s="1530">
        <f t="shared" ref="J472" si="155">E472+TIME(8,0,0)</f>
        <v>45953.936111111114</v>
      </c>
      <c r="K472" s="663" t="str">
        <f t="shared" si="153"/>
        <v>00:02:00</v>
      </c>
      <c r="L472" s="1591"/>
      <c r="M472" s="1589"/>
    </row>
    <row r="473" spans="1:13" x14ac:dyDescent="0.45">
      <c r="A473" s="1619"/>
      <c r="B473" s="1615"/>
      <c r="C473" s="1613" t="s">
        <v>3027</v>
      </c>
      <c r="D473" s="1497" t="s">
        <v>3035</v>
      </c>
      <c r="E473" s="1530">
        <v>45953.583333333336</v>
      </c>
      <c r="F473" s="1473">
        <v>45953.75</v>
      </c>
      <c r="G473" s="1473"/>
      <c r="H473" s="1473"/>
      <c r="I473" s="600"/>
      <c r="J473" s="1497">
        <f t="shared" si="152"/>
        <v>45953.916666666672</v>
      </c>
      <c r="K473" s="667" t="str">
        <f t="shared" si="153"/>
        <v>00:30:00</v>
      </c>
      <c r="L473" s="1591"/>
      <c r="M473" s="1589"/>
    </row>
    <row r="474" spans="1:13" ht="19.8" thickBot="1" x14ac:dyDescent="0.5">
      <c r="A474" s="1583"/>
      <c r="B474" s="1608"/>
      <c r="C474" s="1612"/>
      <c r="D474" s="1481" t="s">
        <v>3034</v>
      </c>
      <c r="E474" s="1481">
        <v>45953.583333333336</v>
      </c>
      <c r="F474" s="1514">
        <v>45953.75</v>
      </c>
      <c r="G474" s="1514"/>
      <c r="H474" s="1514"/>
      <c r="I474" s="595"/>
      <c r="J474" s="1514">
        <f t="shared" si="152"/>
        <v>45953.916666666672</v>
      </c>
      <c r="K474" s="661" t="str">
        <f t="shared" si="153"/>
        <v>00:30:00</v>
      </c>
      <c r="L474" s="1585"/>
      <c r="M474" s="1590"/>
    </row>
    <row r="475" spans="1:13" s="104" customFormat="1" ht="19.8" thickTop="1" x14ac:dyDescent="0.45">
      <c r="A475" s="1691" t="s">
        <v>1231</v>
      </c>
      <c r="B475" s="1607" t="s">
        <v>388</v>
      </c>
      <c r="C475" s="1491" t="s">
        <v>1407</v>
      </c>
      <c r="D475" s="1504" t="s">
        <v>3311</v>
      </c>
      <c r="E475" s="1504">
        <v>46011.517361111109</v>
      </c>
      <c r="F475" s="1504">
        <v>46013.565972222219</v>
      </c>
      <c r="G475" s="1504"/>
      <c r="H475" s="1504"/>
      <c r="I475" s="594"/>
      <c r="J475" s="1504">
        <f t="shared" ref="J475:J480" si="156">E475+TIME(8,0,0)</f>
        <v>46011.850694444445</v>
      </c>
      <c r="K475" s="659" t="str">
        <f t="shared" ref="K475:K480" si="157">IF($M$475-J475&lt;0, "-" &amp; TEXT(ABS($M$475-J475),"[hh]:mm:ss"), TEXT($M$475-J475,"[hh]:mm:ss"))</f>
        <v>00:05:00</v>
      </c>
      <c r="L475" s="1587">
        <v>46011.833333333336</v>
      </c>
      <c r="M475" s="1588">
        <v>46011.854166666664</v>
      </c>
    </row>
    <row r="476" spans="1:13" s="104" customFormat="1" x14ac:dyDescent="0.45">
      <c r="A476" s="1692"/>
      <c r="B476" s="1615"/>
      <c r="C476" s="1613" t="s">
        <v>3027</v>
      </c>
      <c r="D476" s="1530" t="s">
        <v>3302</v>
      </c>
      <c r="E476" s="1505">
        <v>46011.515277777777</v>
      </c>
      <c r="F476" s="1505">
        <v>46011.569444444445</v>
      </c>
      <c r="G476" s="1505"/>
      <c r="H476" s="1505"/>
      <c r="I476" s="605"/>
      <c r="J476" s="1530">
        <f t="shared" si="156"/>
        <v>46011.848611111112</v>
      </c>
      <c r="K476" s="673" t="str">
        <f t="shared" si="157"/>
        <v>00:08:00</v>
      </c>
      <c r="L476" s="1591"/>
      <c r="M476" s="1589"/>
    </row>
    <row r="477" spans="1:13" s="104" customFormat="1" x14ac:dyDescent="0.45">
      <c r="A477" s="1619"/>
      <c r="B477" s="1615"/>
      <c r="C477" s="1617"/>
      <c r="D477" s="1497" t="s">
        <v>3303</v>
      </c>
      <c r="E477" s="1530">
        <v>46011.517361111109</v>
      </c>
      <c r="F477" s="1530">
        <v>46011.572916666664</v>
      </c>
      <c r="G477" s="1530"/>
      <c r="H477" s="1530"/>
      <c r="I477" s="596"/>
      <c r="J477" s="1530">
        <f t="shared" si="156"/>
        <v>46011.850694444445</v>
      </c>
      <c r="K477" s="663" t="str">
        <f t="shared" si="157"/>
        <v>00:05:00</v>
      </c>
      <c r="L477" s="1591"/>
      <c r="M477" s="1589"/>
    </row>
    <row r="478" spans="1:13" s="104" customFormat="1" x14ac:dyDescent="0.45">
      <c r="A478" s="1619"/>
      <c r="B478" s="1615"/>
      <c r="C478" s="1486" t="s">
        <v>981</v>
      </c>
      <c r="D478" s="1497" t="s">
        <v>3301</v>
      </c>
      <c r="E478" s="1530">
        <v>46011.458333333336</v>
      </c>
      <c r="F478" s="1530">
        <v>46013.625</v>
      </c>
      <c r="G478" s="1530"/>
      <c r="H478" s="1530"/>
      <c r="I478" s="596"/>
      <c r="J478" s="1530">
        <f t="shared" ref="J478" si="158">E478+TIME(8,0,0)</f>
        <v>46011.791666666672</v>
      </c>
      <c r="K478" s="663" t="str">
        <f t="shared" ref="K478" si="159">IF($M$475-J478&lt;0, "-" &amp; TEXT(ABS($M$475-J478),"[hh]:mm:ss"), TEXT($M$475-J478,"[hh]:mm:ss"))</f>
        <v>01:30:00</v>
      </c>
      <c r="L478" s="1591"/>
      <c r="M478" s="1589"/>
    </row>
    <row r="479" spans="1:13" s="104" customFormat="1" x14ac:dyDescent="0.45">
      <c r="A479" s="1619"/>
      <c r="B479" s="1615"/>
      <c r="C479" s="1613" t="s">
        <v>3027</v>
      </c>
      <c r="D479" s="1497" t="s">
        <v>3208</v>
      </c>
      <c r="E479" s="1473">
        <v>46011.458333333336</v>
      </c>
      <c r="F479" s="1473">
        <v>46011.625</v>
      </c>
      <c r="G479" s="1473"/>
      <c r="H479" s="1473"/>
      <c r="I479" s="600"/>
      <c r="J479" s="1497">
        <f t="shared" si="156"/>
        <v>46011.791666666672</v>
      </c>
      <c r="K479" s="667" t="str">
        <f t="shared" si="157"/>
        <v>01:30:00</v>
      </c>
      <c r="L479" s="1591"/>
      <c r="M479" s="1589"/>
    </row>
    <row r="480" spans="1:13" s="104" customFormat="1" ht="19.8" thickBot="1" x14ac:dyDescent="0.5">
      <c r="A480" s="1583"/>
      <c r="B480" s="1608"/>
      <c r="C480" s="1612"/>
      <c r="D480" s="1481" t="s">
        <v>3209</v>
      </c>
      <c r="E480" s="1481">
        <v>46011.458333333336</v>
      </c>
      <c r="F480" s="1514">
        <v>46011.625</v>
      </c>
      <c r="G480" s="1514"/>
      <c r="H480" s="1514"/>
      <c r="I480" s="595"/>
      <c r="J480" s="1514">
        <f t="shared" si="156"/>
        <v>46011.791666666672</v>
      </c>
      <c r="K480" s="661" t="str">
        <f t="shared" si="157"/>
        <v>01:30:00</v>
      </c>
      <c r="L480" s="1585"/>
      <c r="M480" s="1590"/>
    </row>
    <row r="481" spans="1:13" s="104" customFormat="1" ht="19.8" thickTop="1" x14ac:dyDescent="0.45">
      <c r="A481" s="1691" t="s">
        <v>1231</v>
      </c>
      <c r="B481" s="1607" t="s">
        <v>388</v>
      </c>
      <c r="C481" s="1491" t="s">
        <v>1407</v>
      </c>
      <c r="D481" s="1504" t="s">
        <v>3724</v>
      </c>
      <c r="E481" s="1504">
        <v>46184.291666666664</v>
      </c>
      <c r="F481" s="1504">
        <v>46186.375</v>
      </c>
      <c r="G481" s="1504"/>
      <c r="H481" s="1504"/>
      <c r="I481" s="594"/>
      <c r="J481" s="1504">
        <f t="shared" ref="J481:J486" si="160">E481+TIME(8,0,0)</f>
        <v>46184.625</v>
      </c>
      <c r="K481" s="659" t="str">
        <f t="shared" ref="K481:K486" si="161">IF($M$481-J481&lt;0, "-" &amp; TEXT(ABS($M$481-J481),"[hh]:mm:ss"), TEXT($M$481-J481,"[hh]:mm:ss"))</f>
        <v>00:30:00</v>
      </c>
      <c r="L481" s="1587">
        <v>46184.645833333336</v>
      </c>
      <c r="M481" s="1588">
        <v>46184.645833333336</v>
      </c>
    </row>
    <row r="482" spans="1:13" s="104" customFormat="1" x14ac:dyDescent="0.45">
      <c r="A482" s="1692"/>
      <c r="B482" s="1615"/>
      <c r="C482" s="1613" t="s">
        <v>3027</v>
      </c>
      <c r="D482" s="1530" t="s">
        <v>3716</v>
      </c>
      <c r="E482" s="1505">
        <v>46184.306944444441</v>
      </c>
      <c r="F482" s="1505">
        <v>46184.361111111109</v>
      </c>
      <c r="G482" s="1505"/>
      <c r="H482" s="1505"/>
      <c r="I482" s="605"/>
      <c r="J482" s="1530">
        <f t="shared" si="160"/>
        <v>46184.640277777777</v>
      </c>
      <c r="K482" s="673" t="str">
        <f t="shared" si="161"/>
        <v>00:08:00</v>
      </c>
      <c r="L482" s="1591"/>
      <c r="M482" s="1589"/>
    </row>
    <row r="483" spans="1:13" s="104" customFormat="1" x14ac:dyDescent="0.45">
      <c r="A483" s="1619"/>
      <c r="B483" s="1615"/>
      <c r="C483" s="1617"/>
      <c r="D483" s="1497" t="s">
        <v>3714</v>
      </c>
      <c r="E483" s="1530">
        <v>46184.309027777781</v>
      </c>
      <c r="F483" s="1530">
        <v>46184.364583333336</v>
      </c>
      <c r="G483" s="1530"/>
      <c r="H483" s="1530"/>
      <c r="I483" s="596"/>
      <c r="J483" s="1530">
        <f t="shared" si="160"/>
        <v>46184.642361111117</v>
      </c>
      <c r="K483" s="663" t="str">
        <f t="shared" si="161"/>
        <v>00:05:00</v>
      </c>
      <c r="L483" s="1591"/>
      <c r="M483" s="1589"/>
    </row>
    <row r="484" spans="1:13" s="104" customFormat="1" x14ac:dyDescent="0.45">
      <c r="A484" s="1619"/>
      <c r="B484" s="1615"/>
      <c r="C484" s="1486" t="s">
        <v>981</v>
      </c>
      <c r="D484" s="1497" t="s">
        <v>3723</v>
      </c>
      <c r="E484" s="1530">
        <v>46184.311111111114</v>
      </c>
      <c r="F484" s="1530">
        <v>46184.366666666669</v>
      </c>
      <c r="G484" s="1530"/>
      <c r="H484" s="1530"/>
      <c r="I484" s="596"/>
      <c r="J484" s="1530">
        <f t="shared" si="160"/>
        <v>46184.64444444445</v>
      </c>
      <c r="K484" s="663" t="str">
        <f t="shared" si="161"/>
        <v>00:02:00</v>
      </c>
      <c r="L484" s="1591"/>
      <c r="M484" s="1589"/>
    </row>
    <row r="485" spans="1:13" s="104" customFormat="1" x14ac:dyDescent="0.45">
      <c r="A485" s="1619"/>
      <c r="B485" s="1615"/>
      <c r="C485" s="1613" t="s">
        <v>3027</v>
      </c>
      <c r="D485" s="1497" t="s">
        <v>3691</v>
      </c>
      <c r="E485" s="1473">
        <v>46183.25</v>
      </c>
      <c r="F485" s="1473">
        <v>46186.416666666664</v>
      </c>
      <c r="G485" s="1473"/>
      <c r="H485" s="1473"/>
      <c r="I485" s="600"/>
      <c r="J485" s="1497">
        <f t="shared" si="160"/>
        <v>46183.583333333336</v>
      </c>
      <c r="K485" s="667" t="str">
        <f t="shared" si="161"/>
        <v>25:30:00</v>
      </c>
      <c r="L485" s="1591"/>
      <c r="M485" s="1589"/>
    </row>
    <row r="486" spans="1:13" s="104" customFormat="1" ht="19.8" thickBot="1" x14ac:dyDescent="0.5">
      <c r="A486" s="1583"/>
      <c r="B486" s="1608"/>
      <c r="C486" s="1612"/>
      <c r="D486" s="1481" t="s">
        <v>3692</v>
      </c>
      <c r="E486" s="1481">
        <v>46183.25</v>
      </c>
      <c r="F486" s="1514">
        <v>46186.416666666664</v>
      </c>
      <c r="G486" s="1514"/>
      <c r="H486" s="1514"/>
      <c r="I486" s="595"/>
      <c r="J486" s="1514">
        <f t="shared" si="160"/>
        <v>46183.583333333336</v>
      </c>
      <c r="K486" s="661" t="str">
        <f t="shared" si="161"/>
        <v>25:30:00</v>
      </c>
      <c r="L486" s="1585"/>
      <c r="M486" s="1590"/>
    </row>
    <row r="487" spans="1:13" ht="20.399999999999999" thickTop="1" thickBot="1" x14ac:dyDescent="0.5">
      <c r="A487" s="314"/>
      <c r="B487" s="314"/>
      <c r="C487" s="633"/>
      <c r="D487" s="84"/>
      <c r="E487" s="84"/>
      <c r="F487" s="84"/>
      <c r="G487" s="84"/>
      <c r="H487" s="84"/>
      <c r="I487" s="599"/>
      <c r="J487" s="90"/>
      <c r="K487" s="666"/>
      <c r="L487" s="314"/>
      <c r="M487" s="623"/>
    </row>
    <row r="488" spans="1:13" s="85" customFormat="1" ht="20.399999999999999" thickTop="1" thickBot="1" x14ac:dyDescent="0.5">
      <c r="A488" s="1582" t="s">
        <v>548</v>
      </c>
      <c r="B488" s="1621" t="s">
        <v>999</v>
      </c>
      <c r="C488" s="1489" t="s">
        <v>2047</v>
      </c>
      <c r="D488" s="588"/>
      <c r="E488" s="83">
        <v>44766.258333333331</v>
      </c>
      <c r="F488" s="83">
        <v>44766.270138888889</v>
      </c>
      <c r="G488" s="83"/>
      <c r="H488" s="83"/>
      <c r="I488" s="593"/>
      <c r="J488" s="1497">
        <f t="shared" ref="J488:J500" si="162">E488+TIME(8,0,0)</f>
        <v>44766.591666666667</v>
      </c>
      <c r="K488" s="660" t="str">
        <f t="shared" ref="K488:K490" si="163">IF($M$488-J488&lt;0, "-" &amp; TEXT(ABS($M$488-J488),"[hh]:mm:ss"), TEXT($M$488-J488,"[hh]:mm:ss"))</f>
        <v>00:10:33</v>
      </c>
      <c r="L488" s="1640">
        <v>44766.598865740743</v>
      </c>
      <c r="M488" s="1609">
        <v>44766.598993055559</v>
      </c>
    </row>
    <row r="489" spans="1:13" ht="20.399999999999999" thickTop="1" thickBot="1" x14ac:dyDescent="0.5">
      <c r="A489" s="1671"/>
      <c r="B489" s="1655"/>
      <c r="C489" s="1693" t="s">
        <v>3027</v>
      </c>
      <c r="D489" s="1584"/>
      <c r="E489" s="88">
        <v>44766.259722222225</v>
      </c>
      <c r="F489" s="88">
        <v>44766.273611111108</v>
      </c>
      <c r="G489" s="88"/>
      <c r="H489" s="88"/>
      <c r="I489" s="600"/>
      <c r="J489" s="1497">
        <f t="shared" si="162"/>
        <v>44766.593055555561</v>
      </c>
      <c r="K489" s="667" t="str">
        <f t="shared" si="163"/>
        <v>00:08:33</v>
      </c>
      <c r="L489" s="1671"/>
      <c r="M489" s="1652"/>
    </row>
    <row r="490" spans="1:13" ht="20.399999999999999" thickTop="1" thickBot="1" x14ac:dyDescent="0.5">
      <c r="A490" s="1586"/>
      <c r="B490" s="1639"/>
      <c r="C490" s="1654"/>
      <c r="D490" s="1585"/>
      <c r="E490" s="1514">
        <v>44766.260416666664</v>
      </c>
      <c r="F490" s="1514">
        <v>44766.27847222222</v>
      </c>
      <c r="G490" s="1514"/>
      <c r="H490" s="1514"/>
      <c r="I490" s="595"/>
      <c r="J490" s="1514">
        <f t="shared" si="162"/>
        <v>44766.59375</v>
      </c>
      <c r="K490" s="661" t="str">
        <f t="shared" si="163"/>
        <v>00:07:33</v>
      </c>
      <c r="L490" s="1586"/>
      <c r="M490" s="1610"/>
    </row>
    <row r="491" spans="1:13" ht="20.399999999999999" thickTop="1" thickBot="1" x14ac:dyDescent="0.5">
      <c r="A491" s="1582" t="s">
        <v>1390</v>
      </c>
      <c r="B491" s="1621" t="s">
        <v>388</v>
      </c>
      <c r="C491" s="1489" t="s">
        <v>2047</v>
      </c>
      <c r="D491" s="588"/>
      <c r="E491" s="83">
        <v>44865.309027777781</v>
      </c>
      <c r="F491" s="83">
        <v>44865.322916666664</v>
      </c>
      <c r="G491" s="83"/>
      <c r="H491" s="83"/>
      <c r="I491" s="593"/>
      <c r="J491" s="1504">
        <f t="shared" si="162"/>
        <v>44865.642361111117</v>
      </c>
      <c r="K491" s="660" t="str">
        <f t="shared" ref="K491:K493" si="164">IF($M$491-J491&lt;0, "-" &amp; TEXT(ABS($M$491-J491),"[hh]:mm:ss"), TEXT($M$491-J491,"[hh]:mm:ss"))</f>
        <v>00:12:23</v>
      </c>
      <c r="L491" s="1585">
        <v>44865.65216435185</v>
      </c>
      <c r="M491" s="1609">
        <v>44865.650960648149</v>
      </c>
    </row>
    <row r="492" spans="1:13" s="104" customFormat="1" ht="20.399999999999999" thickTop="1" thickBot="1" x14ac:dyDescent="0.5">
      <c r="A492" s="1671"/>
      <c r="B492" s="1655"/>
      <c r="C492" s="1693" t="s">
        <v>3027</v>
      </c>
      <c r="D492" s="1530"/>
      <c r="E492" s="88">
        <v>44865.317361111112</v>
      </c>
      <c r="F492" s="88">
        <v>44865.326388888891</v>
      </c>
      <c r="G492" s="88"/>
      <c r="H492" s="88"/>
      <c r="I492" s="600"/>
      <c r="J492" s="1497">
        <f t="shared" si="162"/>
        <v>44865.650694444448</v>
      </c>
      <c r="K492" s="667" t="str">
        <f t="shared" si="164"/>
        <v>00:00:23</v>
      </c>
      <c r="L492" s="1671"/>
      <c r="M492" s="1652"/>
    </row>
    <row r="493" spans="1:13" s="104" customFormat="1" ht="20.399999999999999" thickTop="1" thickBot="1" x14ac:dyDescent="0.5">
      <c r="A493" s="1586"/>
      <c r="B493" s="1639"/>
      <c r="C493" s="1654"/>
      <c r="D493" s="1481"/>
      <c r="E493" s="1514">
        <v>44865.318055555559</v>
      </c>
      <c r="F493" s="1514">
        <v>44865.331250000003</v>
      </c>
      <c r="G493" s="1514"/>
      <c r="H493" s="1514"/>
      <c r="I493" s="595"/>
      <c r="J493" s="1514">
        <f t="shared" si="162"/>
        <v>44865.651388888895</v>
      </c>
      <c r="K493" s="661" t="str">
        <f t="shared" si="164"/>
        <v>-00:00:37</v>
      </c>
      <c r="L493" s="1586"/>
      <c r="M493" s="1610"/>
    </row>
    <row r="494" spans="1:13" s="104" customFormat="1" ht="20.399999999999999" thickTop="1" thickBot="1" x14ac:dyDescent="0.5">
      <c r="A494" s="1736" t="s">
        <v>2774</v>
      </c>
      <c r="B494" s="1621" t="s">
        <v>388</v>
      </c>
      <c r="C494" s="1489" t="s">
        <v>1280</v>
      </c>
      <c r="D494" s="588" t="s">
        <v>2502</v>
      </c>
      <c r="E494" s="83">
        <v>45642.416666666664</v>
      </c>
      <c r="F494" s="83">
        <v>45642.5</v>
      </c>
      <c r="G494" s="83"/>
      <c r="H494" s="83"/>
      <c r="I494" s="593"/>
      <c r="J494" s="1504">
        <f t="shared" si="162"/>
        <v>45642.75</v>
      </c>
      <c r="K494" s="660" t="str">
        <f t="shared" ref="K494:K500" si="165">IF($M$494-J494&lt;0, "-" &amp; TEXT(ABS($M$494-J494),"[hh]:mm:ss"), TEXT($M$494-J494,"[hh]:mm:ss"))</f>
        <v>00:00:00</v>
      </c>
      <c r="L494" s="1585">
        <v>45642.755555555559</v>
      </c>
      <c r="M494" s="1609">
        <v>45642.75</v>
      </c>
    </row>
    <row r="495" spans="1:13" s="104" customFormat="1" ht="19.8" thickTop="1" x14ac:dyDescent="0.45">
      <c r="A495" s="1638"/>
      <c r="B495" s="1615"/>
      <c r="C495" s="1613" t="s">
        <v>1636</v>
      </c>
      <c r="D495" s="1530" t="s">
        <v>2507</v>
      </c>
      <c r="E495" s="1530">
        <v>45642.416666666664</v>
      </c>
      <c r="F495" s="1530">
        <v>45642.506944444445</v>
      </c>
      <c r="G495" s="1530"/>
      <c r="H495" s="1530"/>
      <c r="I495" s="596"/>
      <c r="J495" s="1530">
        <f t="shared" si="162"/>
        <v>45642.75</v>
      </c>
      <c r="K495" s="663" t="str">
        <f t="shared" si="165"/>
        <v>00:00:00</v>
      </c>
      <c r="L495" s="1638"/>
      <c r="M495" s="1635"/>
    </row>
    <row r="496" spans="1:13" s="104" customFormat="1" x14ac:dyDescent="0.45">
      <c r="A496" s="1619"/>
      <c r="B496" s="1615"/>
      <c r="C496" s="1617"/>
      <c r="D496" s="1497" t="s">
        <v>2448</v>
      </c>
      <c r="E496" s="1497">
        <v>45642.416666666664</v>
      </c>
      <c r="F496" s="1497">
        <v>45642.509722222225</v>
      </c>
      <c r="G496" s="1497"/>
      <c r="H496" s="1497"/>
      <c r="I496" s="593"/>
      <c r="J496" s="1497">
        <f t="shared" si="162"/>
        <v>45642.75</v>
      </c>
      <c r="K496" s="660" t="str">
        <f t="shared" si="165"/>
        <v>00:00:00</v>
      </c>
      <c r="L496" s="1619"/>
      <c r="M496" s="1635"/>
    </row>
    <row r="497" spans="1:13" s="104" customFormat="1" x14ac:dyDescent="0.45">
      <c r="A497" s="1619"/>
      <c r="B497" s="1615"/>
      <c r="C497" s="1503" t="s">
        <v>1305</v>
      </c>
      <c r="D497" s="1497" t="s">
        <v>2508</v>
      </c>
      <c r="E497" s="1497">
        <v>45642.416666666664</v>
      </c>
      <c r="F497" s="1497">
        <v>45642.509722222225</v>
      </c>
      <c r="G497" s="1497"/>
      <c r="H497" s="1497"/>
      <c r="I497" s="593"/>
      <c r="J497" s="1497">
        <f t="shared" si="162"/>
        <v>45642.75</v>
      </c>
      <c r="K497" s="660" t="str">
        <f t="shared" si="165"/>
        <v>00:00:00</v>
      </c>
      <c r="L497" s="1619"/>
      <c r="M497" s="1635"/>
    </row>
    <row r="498" spans="1:13" s="104" customFormat="1" x14ac:dyDescent="0.45">
      <c r="A498" s="1619"/>
      <c r="B498" s="1615"/>
      <c r="C498" s="1613" t="s">
        <v>1636</v>
      </c>
      <c r="D498" s="1497" t="s">
        <v>2465</v>
      </c>
      <c r="E498" s="1497">
        <v>45642.395833333336</v>
      </c>
      <c r="F498" s="1497">
        <v>45642.6875</v>
      </c>
      <c r="G498" s="1497"/>
      <c r="H498" s="1497"/>
      <c r="I498" s="593"/>
      <c r="J498" s="1497">
        <f t="shared" si="162"/>
        <v>45642.729166666672</v>
      </c>
      <c r="K498" s="660" t="str">
        <f t="shared" si="165"/>
        <v>00:30:00</v>
      </c>
      <c r="L498" s="1619"/>
      <c r="M498" s="1635"/>
    </row>
    <row r="499" spans="1:13" s="104" customFormat="1" x14ac:dyDescent="0.45">
      <c r="A499" s="1619"/>
      <c r="B499" s="1615"/>
      <c r="C499" s="1617"/>
      <c r="D499" s="1530" t="s">
        <v>2466</v>
      </c>
      <c r="E499" s="1530">
        <v>45642.395833333336</v>
      </c>
      <c r="F499" s="1530">
        <v>45642.6875</v>
      </c>
      <c r="G499" s="1530"/>
      <c r="H499" s="1530"/>
      <c r="I499" s="596"/>
      <c r="J499" s="1530">
        <f t="shared" si="162"/>
        <v>45642.729166666672</v>
      </c>
      <c r="K499" s="663" t="str">
        <f t="shared" si="165"/>
        <v>00:30:00</v>
      </c>
      <c r="L499" s="1619"/>
      <c r="M499" s="1635"/>
    </row>
    <row r="500" spans="1:13" s="104" customFormat="1" ht="19.8" thickBot="1" x14ac:dyDescent="0.5">
      <c r="A500" s="1583"/>
      <c r="B500" s="1608"/>
      <c r="C500" s="1484" t="s">
        <v>1305</v>
      </c>
      <c r="D500" s="1481" t="s">
        <v>2470</v>
      </c>
      <c r="E500" s="1481">
        <v>45642.395833333336</v>
      </c>
      <c r="F500" s="1481">
        <v>45642.6875</v>
      </c>
      <c r="G500" s="1481"/>
      <c r="H500" s="1481"/>
      <c r="I500" s="656"/>
      <c r="J500" s="1481">
        <f t="shared" si="162"/>
        <v>45642.729166666672</v>
      </c>
      <c r="K500" s="1534" t="str">
        <f t="shared" si="165"/>
        <v>00:30:00</v>
      </c>
      <c r="L500" s="1583"/>
      <c r="M500" s="1624"/>
    </row>
    <row r="501" spans="1:13" s="104" customFormat="1" ht="20.399999999999999" thickTop="1" thickBot="1" x14ac:dyDescent="0.5">
      <c r="A501" s="1736" t="s">
        <v>2774</v>
      </c>
      <c r="B501" s="1621" t="s">
        <v>388</v>
      </c>
      <c r="C501" s="1489" t="s">
        <v>1280</v>
      </c>
      <c r="D501" s="588" t="s">
        <v>2776</v>
      </c>
      <c r="E501" s="83">
        <v>45775.8125</v>
      </c>
      <c r="F501" s="83">
        <v>45775.895833333336</v>
      </c>
      <c r="G501" s="83"/>
      <c r="H501" s="83"/>
      <c r="I501" s="593"/>
      <c r="J501" s="1504">
        <f t="shared" ref="J501:J505" si="166">E501+TIME(8,0,0)</f>
        <v>45776.145833333336</v>
      </c>
      <c r="K501" s="660" t="str">
        <f t="shared" ref="K501:K505" si="167">IF($M$501-J501&lt;0, "-" &amp; TEXT(ABS($M$501-J501),"[hh]:mm:ss"), TEXT($M$501-J501,"[hh]:mm:ss"))</f>
        <v>00:40:00</v>
      </c>
      <c r="L501" s="1585">
        <v>45776.166666666664</v>
      </c>
      <c r="M501" s="1609">
        <v>45776.173611111109</v>
      </c>
    </row>
    <row r="502" spans="1:13" s="104" customFormat="1" ht="19.8" thickTop="1" x14ac:dyDescent="0.45">
      <c r="A502" s="1638"/>
      <c r="B502" s="1615"/>
      <c r="C502" s="1512" t="s">
        <v>1636</v>
      </c>
      <c r="D502" s="1530" t="s">
        <v>2775</v>
      </c>
      <c r="E502" s="1530">
        <v>45775.834027777775</v>
      </c>
      <c r="F502" s="1530">
        <v>45775.850694444445</v>
      </c>
      <c r="G502" s="1530"/>
      <c r="H502" s="1530"/>
      <c r="I502" s="596"/>
      <c r="J502" s="1530">
        <f t="shared" si="166"/>
        <v>45776.167361111111</v>
      </c>
      <c r="K502" s="663" t="str">
        <f t="shared" si="167"/>
        <v>00:09:00</v>
      </c>
      <c r="L502" s="1638"/>
      <c r="M502" s="1635"/>
    </row>
    <row r="503" spans="1:13" s="104" customFormat="1" x14ac:dyDescent="0.45">
      <c r="A503" s="1619"/>
      <c r="B503" s="1615"/>
      <c r="C503" s="1503" t="s">
        <v>1305</v>
      </c>
      <c r="D503" s="1497" t="s">
        <v>2773</v>
      </c>
      <c r="E503" s="1497">
        <v>45775.834722222222</v>
      </c>
      <c r="F503" s="1497">
        <v>45775.850694444445</v>
      </c>
      <c r="G503" s="1497"/>
      <c r="H503" s="1497"/>
      <c r="I503" s="593"/>
      <c r="J503" s="1497">
        <f t="shared" si="166"/>
        <v>45776.168055555558</v>
      </c>
      <c r="K503" s="660" t="str">
        <f t="shared" si="167"/>
        <v>00:08:00</v>
      </c>
      <c r="L503" s="1619"/>
      <c r="M503" s="1635"/>
    </row>
    <row r="504" spans="1:13" s="104" customFormat="1" collapsed="1" x14ac:dyDescent="0.45">
      <c r="A504" s="1619"/>
      <c r="B504" s="1615"/>
      <c r="C504" s="1512" t="s">
        <v>1636</v>
      </c>
      <c r="D504" s="1530" t="s">
        <v>2756</v>
      </c>
      <c r="E504" s="1530">
        <v>45775.833333333336</v>
      </c>
      <c r="F504" s="1530">
        <v>45775.996527777781</v>
      </c>
      <c r="G504" s="1497"/>
      <c r="H504" s="1497"/>
      <c r="I504" s="593"/>
      <c r="J504" s="1497">
        <f t="shared" si="166"/>
        <v>45776.166666666672</v>
      </c>
      <c r="K504" s="660" t="str">
        <f t="shared" si="167"/>
        <v>00:10:00</v>
      </c>
      <c r="L504" s="1619"/>
      <c r="M504" s="1635"/>
    </row>
    <row r="505" spans="1:13" s="104" customFormat="1" ht="19.8" thickBot="1" x14ac:dyDescent="0.5">
      <c r="A505" s="1583"/>
      <c r="B505" s="1608"/>
      <c r="C505" s="1484" t="s">
        <v>1305</v>
      </c>
      <c r="D505" s="1481" t="s">
        <v>2748</v>
      </c>
      <c r="E505" s="1481">
        <v>45775.833333333336</v>
      </c>
      <c r="F505" s="1481">
        <v>45775.996527777781</v>
      </c>
      <c r="G505" s="1481"/>
      <c r="H505" s="1481"/>
      <c r="I505" s="656"/>
      <c r="J505" s="1481">
        <f t="shared" si="166"/>
        <v>45776.166666666672</v>
      </c>
      <c r="K505" s="1534" t="str">
        <f t="shared" si="167"/>
        <v>00:10:00</v>
      </c>
      <c r="L505" s="1583"/>
      <c r="M505" s="1624"/>
    </row>
    <row r="506" spans="1:13" s="104" customFormat="1" ht="20.399999999999999" thickTop="1" thickBot="1" x14ac:dyDescent="0.5">
      <c r="A506" s="1736" t="s">
        <v>2774</v>
      </c>
      <c r="B506" s="1621" t="s">
        <v>388</v>
      </c>
      <c r="C506" s="1489" t="s">
        <v>1407</v>
      </c>
      <c r="D506" s="588" t="s">
        <v>2945</v>
      </c>
      <c r="E506" s="83">
        <v>45882.239583333336</v>
      </c>
      <c r="F506" s="83">
        <v>45882.322916666664</v>
      </c>
      <c r="G506" s="83"/>
      <c r="H506" s="83"/>
      <c r="I506" s="593"/>
      <c r="J506" s="1504">
        <f t="shared" ref="J506:J510" si="168">E506+TIME(8,0,0)</f>
        <v>45882.572916666672</v>
      </c>
      <c r="K506" s="660" t="str">
        <f t="shared" ref="K506:K510" si="169">IF($M$506-J506&lt;0, "-" &amp; TEXT(ABS($M$506-J506),"[hh]:mm:ss"), TEXT($M$506-J506,"[hh]:mm:ss"))</f>
        <v>00:58:00</v>
      </c>
      <c r="L506" s="1585">
        <v>45882.613888888889</v>
      </c>
      <c r="M506" s="1609">
        <v>45882.613194444442</v>
      </c>
    </row>
    <row r="507" spans="1:13" s="104" customFormat="1" ht="19.8" thickTop="1" x14ac:dyDescent="0.45">
      <c r="A507" s="1638"/>
      <c r="B507" s="1615"/>
      <c r="C507" s="1512" t="s">
        <v>789</v>
      </c>
      <c r="D507" s="1530" t="s">
        <v>2936</v>
      </c>
      <c r="E507" s="1530">
        <v>45882.274305555555</v>
      </c>
      <c r="F507" s="1530">
        <v>45882.292361111111</v>
      </c>
      <c r="G507" s="1530"/>
      <c r="H507" s="1530"/>
      <c r="I507" s="596"/>
      <c r="J507" s="1530">
        <f t="shared" si="168"/>
        <v>45882.607638888891</v>
      </c>
      <c r="K507" s="663" t="str">
        <f t="shared" si="169"/>
        <v>00:08:00</v>
      </c>
      <c r="L507" s="1638"/>
      <c r="M507" s="1635"/>
    </row>
    <row r="508" spans="1:13" s="104" customFormat="1" x14ac:dyDescent="0.45">
      <c r="A508" s="1619"/>
      <c r="B508" s="1615"/>
      <c r="C508" s="1503" t="s">
        <v>1305</v>
      </c>
      <c r="D508" s="1497" t="s">
        <v>2933</v>
      </c>
      <c r="E508" s="1497">
        <v>45882.275000000001</v>
      </c>
      <c r="F508" s="1497">
        <v>45886.292361111111</v>
      </c>
      <c r="G508" s="1497"/>
      <c r="H508" s="1497"/>
      <c r="I508" s="593"/>
      <c r="J508" s="1497">
        <f t="shared" si="168"/>
        <v>45882.608333333337</v>
      </c>
      <c r="K508" s="660" t="str">
        <f t="shared" si="169"/>
        <v>00:07:00</v>
      </c>
      <c r="L508" s="1619"/>
      <c r="M508" s="1635"/>
    </row>
    <row r="509" spans="1:13" x14ac:dyDescent="0.45">
      <c r="A509" s="1619"/>
      <c r="B509" s="1615"/>
      <c r="C509" s="1512" t="s">
        <v>789</v>
      </c>
      <c r="D509" s="1530" t="s">
        <v>2916</v>
      </c>
      <c r="E509" s="1530">
        <v>45882.208333333336</v>
      </c>
      <c r="F509" s="1530">
        <v>45882.416666666664</v>
      </c>
      <c r="G509" s="1497"/>
      <c r="H509" s="1497"/>
      <c r="I509" s="593"/>
      <c r="J509" s="1497">
        <f t="shared" si="168"/>
        <v>45882.541666666672</v>
      </c>
      <c r="K509" s="660" t="str">
        <f t="shared" si="169"/>
        <v>01:43:00</v>
      </c>
      <c r="L509" s="1619"/>
      <c r="M509" s="1635"/>
    </row>
    <row r="510" spans="1:13" s="104" customFormat="1" ht="19.8" thickBot="1" x14ac:dyDescent="0.5">
      <c r="A510" s="1583"/>
      <c r="B510" s="1608"/>
      <c r="C510" s="1484" t="s">
        <v>1304</v>
      </c>
      <c r="D510" s="1481" t="s">
        <v>2908</v>
      </c>
      <c r="E510" s="1481">
        <v>45882.208333333336</v>
      </c>
      <c r="F510" s="1481">
        <v>45882.416666666664</v>
      </c>
      <c r="G510" s="1481"/>
      <c r="H510" s="1481"/>
      <c r="I510" s="656"/>
      <c r="J510" s="1481">
        <f t="shared" si="168"/>
        <v>45882.541666666672</v>
      </c>
      <c r="K510" s="1534" t="str">
        <f t="shared" si="169"/>
        <v>01:43:00</v>
      </c>
      <c r="L510" s="1583"/>
      <c r="M510" s="1624"/>
    </row>
    <row r="511" spans="1:13" s="104" customFormat="1" ht="20.399999999999999" thickTop="1" thickBot="1" x14ac:dyDescent="0.5">
      <c r="A511" s="314"/>
      <c r="B511" s="314"/>
      <c r="C511" s="633"/>
      <c r="D511" s="84"/>
      <c r="E511" s="84"/>
      <c r="F511" s="90"/>
      <c r="G511" s="90"/>
      <c r="H511" s="90"/>
      <c r="I511" s="599"/>
      <c r="J511" s="90"/>
      <c r="K511" s="666"/>
      <c r="L511" s="314"/>
      <c r="M511" s="623"/>
    </row>
    <row r="512" spans="1:13" s="104" customFormat="1" ht="20.399999999999999" thickTop="1" thickBot="1" x14ac:dyDescent="0.5">
      <c r="A512" s="1498" t="s">
        <v>355</v>
      </c>
      <c r="B512" s="1479" t="s">
        <v>71</v>
      </c>
      <c r="C512" s="1485" t="s">
        <v>1409</v>
      </c>
      <c r="D512" s="587" t="s">
        <v>2093</v>
      </c>
      <c r="E512" s="1496">
        <v>43782.265972222223</v>
      </c>
      <c r="F512" s="1496">
        <v>43782.302083333336</v>
      </c>
      <c r="G512" s="1496"/>
      <c r="H512" s="1496"/>
      <c r="I512" s="594"/>
      <c r="J512" s="1504">
        <f>E512+TIME(8,0,0)</f>
        <v>43782.599305555559</v>
      </c>
      <c r="K512" s="659" t="str">
        <f>IF($M$512-J512&lt;0, "-" &amp; TEXT(ABS($M$512-J512),"[hh]:mm:ss"), TEXT($M$512-J512,"[hh]:mm:ss"))</f>
        <v>00:12:00</v>
      </c>
      <c r="L512" s="1504">
        <v>43782.604166666664</v>
      </c>
      <c r="M512" s="1499">
        <v>43782.607638888891</v>
      </c>
    </row>
    <row r="513" spans="1:13" s="104" customFormat="1" ht="20.399999999999999" thickTop="1" thickBot="1" x14ac:dyDescent="0.5">
      <c r="A513" s="1488" t="s">
        <v>355</v>
      </c>
      <c r="B513" s="1479" t="s">
        <v>71</v>
      </c>
      <c r="C513" s="1524" t="s">
        <v>790</v>
      </c>
      <c r="D513" s="78" t="s">
        <v>2092</v>
      </c>
      <c r="E513" s="1472">
        <v>44386.495138888888</v>
      </c>
      <c r="F513" s="1472">
        <v>44386.517361111109</v>
      </c>
      <c r="G513" s="1472"/>
      <c r="H513" s="1472"/>
      <c r="I513" s="592"/>
      <c r="J513" s="1472">
        <f>E513+TIME(8,0,0)</f>
        <v>44386.828472222223</v>
      </c>
      <c r="K513" s="659" t="str">
        <f>IF($M$513-J513&lt;0, "-" &amp; TEXT(ABS($M$513-J513),"[hh]:mm:ss"), TEXT($M$513-J513,"[hh]:mm:ss"))</f>
        <v>00:06:00</v>
      </c>
      <c r="L513" s="1504">
        <v>44386.541666666664</v>
      </c>
      <c r="M513" s="1499">
        <v>44386.832638888889</v>
      </c>
    </row>
    <row r="514" spans="1:13" ht="20.399999999999999" thickTop="1" thickBot="1" x14ac:dyDescent="0.5">
      <c r="A514" s="1488" t="s">
        <v>2090</v>
      </c>
      <c r="B514" s="1479" t="s">
        <v>71</v>
      </c>
      <c r="C514" s="1524" t="s">
        <v>790</v>
      </c>
      <c r="D514" s="78" t="s">
        <v>2087</v>
      </c>
      <c r="E514" s="1472">
        <v>45540.763888888891</v>
      </c>
      <c r="F514" s="1472">
        <v>45540.784722222219</v>
      </c>
      <c r="G514" s="1472"/>
      <c r="H514" s="1472"/>
      <c r="I514" s="592"/>
      <c r="J514" s="1472">
        <f>E514+TIME(8,0,0)</f>
        <v>45541.097222222226</v>
      </c>
      <c r="K514" s="662" t="str">
        <f>IF($M$514-J514&lt;0, "-" &amp; TEXT(ABS($M$514-J514),"[hh]:mm:ss"), TEXT($M$514-J514,"[hh]:mm:ss"))</f>
        <v>00:10:00</v>
      </c>
      <c r="L514" s="1472">
        <v>45541.102083333331</v>
      </c>
      <c r="M514" s="1482">
        <v>45541.104166666664</v>
      </c>
    </row>
    <row r="515" spans="1:13" ht="20.399999999999999" thickTop="1" thickBot="1" x14ac:dyDescent="0.5">
      <c r="A515" s="1470" t="s">
        <v>2090</v>
      </c>
      <c r="B515" s="1480" t="s">
        <v>71</v>
      </c>
      <c r="C515" s="1489" t="s">
        <v>790</v>
      </c>
      <c r="D515" s="588" t="s">
        <v>2729</v>
      </c>
      <c r="E515" s="1497">
        <v>45750.086111111108</v>
      </c>
      <c r="F515" s="1497">
        <v>45750.10833333333</v>
      </c>
      <c r="G515" s="1497"/>
      <c r="H515" s="1497"/>
      <c r="I515" s="656"/>
      <c r="J515" s="1481">
        <f>E515+TIME(8,0,0)</f>
        <v>45750.419444444444</v>
      </c>
      <c r="K515" s="1534" t="str">
        <f>IF($M$515-J515&lt;0, "-" &amp; TEXT(ABS($M$515-J515),"[hh]:mm:ss"), TEXT($M$515-J515,"[hh]:mm:ss"))</f>
        <v>00:08:00</v>
      </c>
      <c r="L515" s="1472">
        <v>45750.425000000003</v>
      </c>
      <c r="M515" s="1482">
        <v>45750.425000000003</v>
      </c>
    </row>
    <row r="516" spans="1:13" s="85" customFormat="1" ht="20.399999999999999" thickTop="1" thickBot="1" x14ac:dyDescent="0.5">
      <c r="A516" s="1637" t="s">
        <v>2090</v>
      </c>
      <c r="B516" s="1621" t="s">
        <v>71</v>
      </c>
      <c r="C516" s="1485" t="s">
        <v>784</v>
      </c>
      <c r="D516" s="587"/>
      <c r="E516" s="1496">
        <v>44783.196527777778</v>
      </c>
      <c r="F516" s="1496">
        <v>44783.222916666666</v>
      </c>
      <c r="G516" s="1496"/>
      <c r="H516" s="1496"/>
      <c r="I516" s="594"/>
      <c r="J516" s="1504">
        <f t="shared" ref="J516:J521" si="170">E516+TIME(8,0,0)</f>
        <v>44783.529861111114</v>
      </c>
      <c r="K516" s="659" t="str">
        <f t="shared" ref="K516:K517" si="171">IF($M$516-J516&lt;0, "-" &amp; TEXT(ABS($M$516-J516),"[hh]:mm:ss"), TEXT($M$516-J516,"[hh]:mm:ss"))</f>
        <v>00:07:00</v>
      </c>
      <c r="L516" s="1664">
        <v>44783.538194444445</v>
      </c>
      <c r="M516" s="1634">
        <v>44783.534722222219</v>
      </c>
    </row>
    <row r="517" spans="1:13" ht="20.399999999999999" thickTop="1" thickBot="1" x14ac:dyDescent="0.5">
      <c r="A517" s="1586"/>
      <c r="B517" s="1639"/>
      <c r="C517" s="1474" t="s">
        <v>785</v>
      </c>
      <c r="D517" s="82"/>
      <c r="E517" s="1514">
        <v>44783.166666666664</v>
      </c>
      <c r="F517" s="1514">
        <v>44783.232638888891</v>
      </c>
      <c r="G517" s="1514"/>
      <c r="H517" s="1514"/>
      <c r="I517" s="656"/>
      <c r="J517" s="1481">
        <f t="shared" si="170"/>
        <v>44783.5</v>
      </c>
      <c r="K517" s="1534" t="str">
        <f t="shared" si="171"/>
        <v>00:50:00</v>
      </c>
      <c r="L517" s="1586"/>
      <c r="M517" s="1610"/>
    </row>
    <row r="518" spans="1:13" ht="20.399999999999999" thickTop="1" thickBot="1" x14ac:dyDescent="0.5">
      <c r="A518" s="1582" t="s">
        <v>2090</v>
      </c>
      <c r="B518" s="1621" t="s">
        <v>2170</v>
      </c>
      <c r="C518" s="1485" t="s">
        <v>782</v>
      </c>
      <c r="D518" s="587"/>
      <c r="E518" s="1496">
        <v>44830.988194444442</v>
      </c>
      <c r="F518" s="1496">
        <v>44831.010416666664</v>
      </c>
      <c r="G518" s="1496"/>
      <c r="H518" s="1496"/>
      <c r="I518" s="594"/>
      <c r="J518" s="1504">
        <f t="shared" si="170"/>
        <v>44831.321527777778</v>
      </c>
      <c r="K518" s="659" t="str">
        <f t="shared" ref="K518:K519" si="172">IF($M$518-J518&lt;0, "-" &amp; TEXT(ABS($M$518-J518),"[hh]:mm:ss"), TEXT($M$518-J518,"[hh]:mm:ss"))</f>
        <v>00:07:00</v>
      </c>
      <c r="L518" s="1640">
        <v>44831.326388888891</v>
      </c>
      <c r="M518" s="1609">
        <v>44831.326388888891</v>
      </c>
    </row>
    <row r="519" spans="1:13" ht="20.399999999999999" thickTop="1" thickBot="1" x14ac:dyDescent="0.5">
      <c r="A519" s="1586"/>
      <c r="B519" s="1639"/>
      <c r="C519" s="1474" t="s">
        <v>785</v>
      </c>
      <c r="D519" s="82"/>
      <c r="E519" s="1514">
        <v>44830.916666666664</v>
      </c>
      <c r="F519" s="1514">
        <v>44831.166666666664</v>
      </c>
      <c r="G519" s="1514"/>
      <c r="H519" s="1514"/>
      <c r="I519" s="595"/>
      <c r="J519" s="1514">
        <f t="shared" si="170"/>
        <v>44831.25</v>
      </c>
      <c r="K519" s="661" t="str">
        <f t="shared" si="172"/>
        <v>01:50:00</v>
      </c>
      <c r="L519" s="1586"/>
      <c r="M519" s="1610"/>
    </row>
    <row r="520" spans="1:13" ht="20.399999999999999" collapsed="1" thickTop="1" thickBot="1" x14ac:dyDescent="0.5">
      <c r="A520" s="1583" t="s">
        <v>2090</v>
      </c>
      <c r="B520" s="1608" t="s">
        <v>2170</v>
      </c>
      <c r="C520" s="1489" t="s">
        <v>782</v>
      </c>
      <c r="D520" s="588"/>
      <c r="E520" s="83">
        <v>45097.132638888892</v>
      </c>
      <c r="F520" s="83">
        <v>45097.161805555559</v>
      </c>
      <c r="G520" s="83"/>
      <c r="H520" s="83"/>
      <c r="I520" s="593"/>
      <c r="J520" s="1504">
        <f t="shared" si="170"/>
        <v>45097.465972222228</v>
      </c>
      <c r="K520" s="660" t="str">
        <f t="shared" ref="K520:K521" si="173">IF($M$520-J520&lt;0, "-" &amp; TEXT(ABS($M$520-J520),"[hh]:mm:ss"), TEXT($M$520-J520,"[hh]:mm:ss"))</f>
        <v>00:07:00</v>
      </c>
      <c r="L520" s="1585">
        <v>45097.475694444445</v>
      </c>
      <c r="M520" s="1590">
        <v>45097.470833333333</v>
      </c>
    </row>
    <row r="521" spans="1:13" ht="20.399999999999999" thickTop="1" thickBot="1" x14ac:dyDescent="0.5">
      <c r="A521" s="1583"/>
      <c r="B521" s="1608"/>
      <c r="C521" s="1474" t="s">
        <v>977</v>
      </c>
      <c r="D521" s="82"/>
      <c r="E521" s="1514">
        <v>45097.083333333336</v>
      </c>
      <c r="F521" s="1514">
        <v>45097.333333333336</v>
      </c>
      <c r="G521" s="1514"/>
      <c r="H521" s="1514"/>
      <c r="I521" s="656"/>
      <c r="J521" s="1481">
        <f t="shared" si="170"/>
        <v>45097.416666666672</v>
      </c>
      <c r="K521" s="1534" t="str">
        <f t="shared" si="173"/>
        <v>01:18:00</v>
      </c>
      <c r="L521" s="1583"/>
      <c r="M521" s="1624"/>
    </row>
    <row r="522" spans="1:13" s="85" customFormat="1" ht="20.399999999999999" thickTop="1" thickBot="1" x14ac:dyDescent="0.5">
      <c r="A522" s="1618" t="s">
        <v>2090</v>
      </c>
      <c r="B522" s="1608" t="s">
        <v>2170</v>
      </c>
      <c r="C522" s="1489" t="s">
        <v>782</v>
      </c>
      <c r="D522" s="588" t="s">
        <v>2196</v>
      </c>
      <c r="E522" s="83">
        <v>45587.002083333333</v>
      </c>
      <c r="F522" s="83">
        <v>45587.025000000001</v>
      </c>
      <c r="G522" s="83"/>
      <c r="H522" s="83"/>
      <c r="I522" s="593"/>
      <c r="J522" s="1504">
        <f>E522+TIME(8,0,0)</f>
        <v>45587.335416666669</v>
      </c>
      <c r="K522" s="660" t="str">
        <f t="shared" ref="K522:K524" si="174">IF($M$522-J522&lt;0, "-" &amp; TEXT(ABS($M$522-J522),"[hh]:mm:ss"), TEXT($M$522-J522,"[hh]:mm:ss"))</f>
        <v>00:07:00</v>
      </c>
      <c r="L522" s="1585">
        <v>45587.340277777781</v>
      </c>
      <c r="M522" s="1590">
        <v>45587.340277777781</v>
      </c>
    </row>
    <row r="523" spans="1:13" s="85" customFormat="1" ht="20.399999999999999" thickTop="1" thickBot="1" x14ac:dyDescent="0.5">
      <c r="A523" s="1619"/>
      <c r="B523" s="1608"/>
      <c r="C523" s="1613" t="s">
        <v>785</v>
      </c>
      <c r="D523" s="160" t="s">
        <v>2201</v>
      </c>
      <c r="E523" s="1473">
        <v>45587.004861111112</v>
      </c>
      <c r="F523" s="1473">
        <v>45587.034722222219</v>
      </c>
      <c r="G523" s="1473"/>
      <c r="H523" s="1473"/>
      <c r="I523" s="600"/>
      <c r="J523" s="1473">
        <f>E523+TIME(8,0,0)</f>
        <v>45587.338194444448</v>
      </c>
      <c r="K523" s="663" t="str">
        <f t="shared" si="174"/>
        <v>00:03:00</v>
      </c>
      <c r="L523" s="1585"/>
      <c r="M523" s="1590"/>
    </row>
    <row r="524" spans="1:13" ht="20.399999999999999" thickTop="1" thickBot="1" x14ac:dyDescent="0.5">
      <c r="A524" s="1583"/>
      <c r="B524" s="1608"/>
      <c r="C524" s="1612"/>
      <c r="D524" s="82" t="s">
        <v>2177</v>
      </c>
      <c r="E524" s="1514">
        <v>45587</v>
      </c>
      <c r="F524" s="1514">
        <v>45587.166666666664</v>
      </c>
      <c r="G524" s="1514"/>
      <c r="H524" s="1514"/>
      <c r="I524" s="656"/>
      <c r="J524" s="1514">
        <f>E524+TIME(8,0,0)</f>
        <v>45587.333333333336</v>
      </c>
      <c r="K524" s="1534" t="str">
        <f t="shared" si="174"/>
        <v>00:10:00</v>
      </c>
      <c r="L524" s="1583"/>
      <c r="M524" s="1624"/>
    </row>
    <row r="525" spans="1:13" s="104" customFormat="1" ht="20.399999999999999" thickTop="1" thickBot="1" x14ac:dyDescent="0.5">
      <c r="A525" s="1470" t="s">
        <v>2090</v>
      </c>
      <c r="B525" s="1480" t="s">
        <v>71</v>
      </c>
      <c r="C525" s="1489" t="s">
        <v>790</v>
      </c>
      <c r="D525" s="588" t="s">
        <v>3524</v>
      </c>
      <c r="E525" s="1497">
        <v>46137.505555555559</v>
      </c>
      <c r="F525" s="1497">
        <v>46137.525694444441</v>
      </c>
      <c r="G525" s="1497"/>
      <c r="H525" s="1497"/>
      <c r="I525" s="656"/>
      <c r="J525" s="1481">
        <f>E525+TIME(8,0,0)</f>
        <v>46137.838888888895</v>
      </c>
      <c r="K525" s="1534" t="str">
        <f>IF($M$525-J525&lt;0, "-" &amp; TEXT(ABS($M$525-J525),"[hh]:mm:ss"), TEXT($M$525-J525,"[hh]:mm:ss"))</f>
        <v>00:07:00</v>
      </c>
      <c r="L525" s="1472">
        <v>46137.844444444447</v>
      </c>
      <c r="M525" s="1482">
        <v>46137.84375</v>
      </c>
    </row>
    <row r="526" spans="1:13" ht="20.399999999999999" thickTop="1" thickBot="1" x14ac:dyDescent="0.5">
      <c r="A526" s="314"/>
      <c r="B526" s="314"/>
      <c r="C526" s="633"/>
      <c r="D526" s="84"/>
      <c r="E526" s="84"/>
      <c r="F526" s="84"/>
      <c r="G526" s="84"/>
      <c r="H526" s="84"/>
      <c r="I526" s="597"/>
      <c r="J526" s="84"/>
      <c r="K526" s="664"/>
      <c r="L526" s="314"/>
      <c r="M526" s="623"/>
    </row>
    <row r="527" spans="1:13" ht="20.399999999999999" thickTop="1" thickBot="1" x14ac:dyDescent="0.5">
      <c r="A527" s="1620" t="s">
        <v>670</v>
      </c>
      <c r="B527" s="1621" t="s">
        <v>71</v>
      </c>
      <c r="C527" s="1485" t="s">
        <v>782</v>
      </c>
      <c r="D527" s="587"/>
      <c r="E527" s="1496">
        <v>44649.404166666667</v>
      </c>
      <c r="F527" s="1496">
        <v>44649.430555555555</v>
      </c>
      <c r="G527" s="1496"/>
      <c r="H527" s="1496"/>
      <c r="I527" s="594"/>
      <c r="J527" s="1504">
        <f t="shared" ref="J527:J533" si="175">E527+TIME(8,0,0)</f>
        <v>44649.737500000003</v>
      </c>
      <c r="K527" s="659" t="str">
        <f t="shared" ref="K527:K528" si="176">IF($M$527-J527&lt;0, "-" &amp; TEXT(ABS($M$527-J527),"[hh]:mm:ss"), TEXT($M$527-J527,"[hh]:mm:ss"))</f>
        <v>00:08:00</v>
      </c>
      <c r="L527" s="1622">
        <v>44649.743287037039</v>
      </c>
      <c r="M527" s="1623">
        <v>44649.743055555555</v>
      </c>
    </row>
    <row r="528" spans="1:13" ht="20.399999999999999" thickTop="1" thickBot="1" x14ac:dyDescent="0.5">
      <c r="A528" s="1586"/>
      <c r="B528" s="1639"/>
      <c r="C528" s="1474" t="s">
        <v>783</v>
      </c>
      <c r="D528" s="82"/>
      <c r="E528" s="1514">
        <v>44649.384027777778</v>
      </c>
      <c r="F528" s="1514">
        <v>44649.452777777777</v>
      </c>
      <c r="G528" s="1514"/>
      <c r="H528" s="1514"/>
      <c r="I528" s="595"/>
      <c r="J528" s="1514">
        <f t="shared" si="175"/>
        <v>44649.717361111114</v>
      </c>
      <c r="K528" s="661" t="str">
        <f t="shared" si="176"/>
        <v>00:37:00</v>
      </c>
      <c r="L528" s="1586"/>
      <c r="M528" s="1610"/>
    </row>
    <row r="529" spans="1:13" ht="20.399999999999999" thickTop="1" thickBot="1" x14ac:dyDescent="0.5">
      <c r="A529" s="1488" t="s">
        <v>670</v>
      </c>
      <c r="B529" s="1479" t="s">
        <v>71</v>
      </c>
      <c r="C529" s="1489" t="s">
        <v>783</v>
      </c>
      <c r="D529" s="588"/>
      <c r="E529" s="83">
        <v>44876.927083333336</v>
      </c>
      <c r="F529" s="83">
        <v>44876.999305555553</v>
      </c>
      <c r="G529" s="83"/>
      <c r="H529" s="83"/>
      <c r="I529" s="592"/>
      <c r="J529" s="1472">
        <f t="shared" si="175"/>
        <v>44877.260416666672</v>
      </c>
      <c r="K529" s="662" t="str">
        <f>IF($M$529-J529&lt;0, "-" &amp; TEXT(ABS($M$529-J529),"[hh]:mm:ss"), TEXT($M$529-J529,"[hh]:mm:ss"))</f>
        <v>00:37:00</v>
      </c>
      <c r="L529" s="1472">
        <v>44877.284722222219</v>
      </c>
      <c r="M529" s="1471">
        <v>44877.286111111112</v>
      </c>
    </row>
    <row r="530" spans="1:13" ht="20.399999999999999" thickTop="1" thickBot="1" x14ac:dyDescent="0.5">
      <c r="A530" s="1620" t="s">
        <v>1220</v>
      </c>
      <c r="B530" s="1621" t="s">
        <v>71</v>
      </c>
      <c r="C530" s="1485" t="s">
        <v>799</v>
      </c>
      <c r="D530" s="587" t="s">
        <v>1202</v>
      </c>
      <c r="E530" s="1496">
        <v>45179.181250000001</v>
      </c>
      <c r="F530" s="1496">
        <v>45179.207638888889</v>
      </c>
      <c r="G530" s="1496"/>
      <c r="H530" s="1496"/>
      <c r="I530" s="594"/>
      <c r="J530" s="1504">
        <f t="shared" si="175"/>
        <v>45179.514583333337</v>
      </c>
      <c r="K530" s="659" t="str">
        <f t="shared" ref="K530:K532" si="177">IF($M$530-J530&lt;0, "-" &amp; TEXT(ABS($M$530-J530),"[hh]:mm:ss"), TEXT($M$530-J530,"[hh]:mm:ss"))</f>
        <v>00:09:00</v>
      </c>
      <c r="L530" s="1622">
        <v>45179.520833333336</v>
      </c>
      <c r="M530" s="1623">
        <v>45179.520833333336</v>
      </c>
    </row>
    <row r="531" spans="1:13" ht="20.399999999999999" thickTop="1" thickBot="1" x14ac:dyDescent="0.5">
      <c r="A531" s="1583"/>
      <c r="B531" s="1608"/>
      <c r="C531" s="1512" t="s">
        <v>781</v>
      </c>
      <c r="D531" s="319" t="s">
        <v>1203</v>
      </c>
      <c r="E531" s="1530">
        <v>45179.182638888888</v>
      </c>
      <c r="F531" s="1530">
        <v>45179.214583333334</v>
      </c>
      <c r="G531" s="1530"/>
      <c r="H531" s="1530"/>
      <c r="I531" s="596"/>
      <c r="J531" s="1530">
        <f t="shared" si="175"/>
        <v>45179.515972222223</v>
      </c>
      <c r="K531" s="663" t="str">
        <f t="shared" si="177"/>
        <v>00:07:00</v>
      </c>
      <c r="L531" s="1585"/>
      <c r="M531" s="1590"/>
    </row>
    <row r="532" spans="1:13" ht="20.399999999999999" thickTop="1" thickBot="1" x14ac:dyDescent="0.5">
      <c r="A532" s="1583"/>
      <c r="B532" s="1608"/>
      <c r="C532" s="1503" t="s">
        <v>802</v>
      </c>
      <c r="D532" s="160" t="s">
        <v>1219</v>
      </c>
      <c r="E532" s="1473">
        <v>45179.182638888888</v>
      </c>
      <c r="F532" s="1473">
        <v>45179.214583333334</v>
      </c>
      <c r="G532" s="1473"/>
      <c r="H532" s="1473"/>
      <c r="I532" s="600"/>
      <c r="J532" s="1473">
        <f>E532+TIME(8,0,0)</f>
        <v>45179.515972222223</v>
      </c>
      <c r="K532" s="667" t="str">
        <f t="shared" si="177"/>
        <v>00:07:00</v>
      </c>
      <c r="L532" s="1583"/>
      <c r="M532" s="1624"/>
    </row>
    <row r="533" spans="1:13" ht="20.399999999999999" thickTop="1" thickBot="1" x14ac:dyDescent="0.5">
      <c r="A533" s="1620" t="s">
        <v>1220</v>
      </c>
      <c r="B533" s="1621" t="s">
        <v>71</v>
      </c>
      <c r="C533" s="1485" t="s">
        <v>782</v>
      </c>
      <c r="D533" s="587" t="s">
        <v>1248</v>
      </c>
      <c r="E533" s="1496">
        <v>45230.945138888892</v>
      </c>
      <c r="F533" s="1496">
        <v>45230.981249999997</v>
      </c>
      <c r="G533" s="1496"/>
      <c r="H533" s="1496"/>
      <c r="I533" s="594"/>
      <c r="J533" s="1504">
        <f t="shared" si="175"/>
        <v>45231.278472222228</v>
      </c>
      <c r="K533" s="659" t="str">
        <f t="shared" ref="K533:K535" si="178">IF($M$533-J533&lt;0, "-" &amp; TEXT(ABS($M$533-J533),"[hh]:mm:ss"), TEXT($M$533-J533,"[hh]:mm:ss"))</f>
        <v>00:09:00</v>
      </c>
      <c r="L533" s="1622">
        <v>45231.28125</v>
      </c>
      <c r="M533" s="1623">
        <v>45231.284722222219</v>
      </c>
    </row>
    <row r="534" spans="1:13" ht="20.399999999999999" thickTop="1" thickBot="1" x14ac:dyDescent="0.5">
      <c r="A534" s="1583"/>
      <c r="B534" s="1608"/>
      <c r="C534" s="1503" t="s">
        <v>781</v>
      </c>
      <c r="D534" s="160" t="s">
        <v>1249</v>
      </c>
      <c r="E534" s="1473">
        <v>45230.945833333331</v>
      </c>
      <c r="F534" s="1473">
        <v>45230.982638888891</v>
      </c>
      <c r="G534" s="1473"/>
      <c r="H534" s="1473"/>
      <c r="I534" s="600"/>
      <c r="J534" s="1473">
        <v>45231.279166666667</v>
      </c>
      <c r="K534" s="667" t="str">
        <f t="shared" si="178"/>
        <v>00:08:00</v>
      </c>
      <c r="L534" s="1585"/>
      <c r="M534" s="1590"/>
    </row>
    <row r="535" spans="1:13" ht="20.399999999999999" thickTop="1" thickBot="1" x14ac:dyDescent="0.5">
      <c r="A535" s="1586"/>
      <c r="B535" s="1639"/>
      <c r="C535" s="1474" t="s">
        <v>783</v>
      </c>
      <c r="D535" s="82" t="s">
        <v>1422</v>
      </c>
      <c r="E535" s="1514">
        <v>45230.9375</v>
      </c>
      <c r="F535" s="1514">
        <v>45230.999305555553</v>
      </c>
      <c r="G535" s="1514"/>
      <c r="H535" s="1514"/>
      <c r="I535" s="595"/>
      <c r="J535" s="1514">
        <f t="shared" ref="J535:J547" si="179">E535+TIME(8,0,0)</f>
        <v>45231.270833333336</v>
      </c>
      <c r="K535" s="661" t="str">
        <f t="shared" si="178"/>
        <v>00:20:00</v>
      </c>
      <c r="L535" s="1586"/>
      <c r="M535" s="1610"/>
    </row>
    <row r="536" spans="1:13" ht="20.399999999999999" thickTop="1" thickBot="1" x14ac:dyDescent="0.5">
      <c r="A536" s="1620" t="s">
        <v>1220</v>
      </c>
      <c r="B536" s="1621" t="s">
        <v>71</v>
      </c>
      <c r="C536" s="1485" t="s">
        <v>1407</v>
      </c>
      <c r="D536" s="587" t="s">
        <v>1669</v>
      </c>
      <c r="E536" s="1504">
        <v>45377.9375</v>
      </c>
      <c r="F536" s="1504">
        <v>45377.979166666664</v>
      </c>
      <c r="G536" s="1504"/>
      <c r="H536" s="1504"/>
      <c r="I536" s="594"/>
      <c r="J536" s="1504">
        <f t="shared" si="179"/>
        <v>45378.270833333336</v>
      </c>
      <c r="K536" s="659" t="str">
        <f t="shared" ref="K536:K538" si="180">IF($M$536-J536&lt;0, "-" &amp; TEXT(ABS($M$536-J536),"[hh]:mm:ss"), TEXT($M$536-J536,"[hh]:mm:ss"))</f>
        <v>00:21:00</v>
      </c>
      <c r="L536" s="1622">
        <v>45378.284722222219</v>
      </c>
      <c r="M536" s="1623">
        <v>45378.285416666666</v>
      </c>
    </row>
    <row r="537" spans="1:13" s="104" customFormat="1" ht="20.399999999999999" thickTop="1" thickBot="1" x14ac:dyDescent="0.5">
      <c r="A537" s="1583"/>
      <c r="B537" s="1608"/>
      <c r="C537" s="1489" t="s">
        <v>782</v>
      </c>
      <c r="D537" s="588" t="s">
        <v>1663</v>
      </c>
      <c r="E537" s="1497">
        <v>45377.945833333331</v>
      </c>
      <c r="F537" s="1497">
        <v>45377.98333333333</v>
      </c>
      <c r="G537" s="1497"/>
      <c r="H537" s="1497"/>
      <c r="I537" s="593"/>
      <c r="J537" s="1497">
        <f t="shared" si="179"/>
        <v>45378.279166666667</v>
      </c>
      <c r="K537" s="660" t="str">
        <f t="shared" si="180"/>
        <v>00:09:00</v>
      </c>
      <c r="L537" s="1585"/>
      <c r="M537" s="1590"/>
    </row>
    <row r="538" spans="1:13" s="104" customFormat="1" ht="20.399999999999999" thickTop="1" thickBot="1" x14ac:dyDescent="0.5">
      <c r="A538" s="1583"/>
      <c r="B538" s="1608"/>
      <c r="C538" s="1503" t="s">
        <v>781</v>
      </c>
      <c r="D538" s="160" t="s">
        <v>1664</v>
      </c>
      <c r="E538" s="1473">
        <v>45377.947222222225</v>
      </c>
      <c r="F538" s="1473">
        <v>45377.984722222223</v>
      </c>
      <c r="G538" s="1473"/>
      <c r="H538" s="1473"/>
      <c r="I538" s="600"/>
      <c r="J538" s="1473">
        <f t="shared" si="179"/>
        <v>45378.280555555561</v>
      </c>
      <c r="K538" s="667" t="str">
        <f t="shared" si="180"/>
        <v>00:07:00</v>
      </c>
      <c r="L538" s="1583"/>
      <c r="M538" s="1624"/>
    </row>
    <row r="539" spans="1:13" s="104" customFormat="1" ht="20.399999999999999" thickTop="1" thickBot="1" x14ac:dyDescent="0.5">
      <c r="A539" s="1620" t="s">
        <v>670</v>
      </c>
      <c r="B539" s="1621" t="s">
        <v>71</v>
      </c>
      <c r="C539" s="1485" t="s">
        <v>1407</v>
      </c>
      <c r="D539" s="587" t="s">
        <v>2028</v>
      </c>
      <c r="E539" s="1504">
        <v>45477.9375</v>
      </c>
      <c r="F539" s="1504">
        <v>45477.979166666664</v>
      </c>
      <c r="G539" s="1504"/>
      <c r="H539" s="1504"/>
      <c r="I539" s="594"/>
      <c r="J539" s="1504">
        <f t="shared" si="179"/>
        <v>45478.270833333336</v>
      </c>
      <c r="K539" s="659" t="str">
        <f t="shared" ref="K539:K543" si="181">IF($M$539-J539&lt;0, "-" &amp; TEXT(ABS($M$539-J539),"[hh]:mm:ss"), TEXT($M$539-J539,"[hh]:mm:ss"))</f>
        <v>00:19:00</v>
      </c>
      <c r="L539" s="1622">
        <v>45478.284722222219</v>
      </c>
      <c r="M539" s="1623">
        <v>45478.28402777778</v>
      </c>
    </row>
    <row r="540" spans="1:13" s="104" customFormat="1" ht="20.399999999999999" thickTop="1" thickBot="1" x14ac:dyDescent="0.5">
      <c r="A540" s="1583"/>
      <c r="B540" s="1608"/>
      <c r="C540" s="1489" t="s">
        <v>782</v>
      </c>
      <c r="D540" s="588" t="s">
        <v>2015</v>
      </c>
      <c r="E540" s="1497">
        <v>45477.945138888892</v>
      </c>
      <c r="F540" s="1497">
        <v>45477.981249999997</v>
      </c>
      <c r="G540" s="1497"/>
      <c r="H540" s="1497"/>
      <c r="I540" s="593"/>
      <c r="J540" s="1497">
        <f t="shared" si="179"/>
        <v>45478.278472222228</v>
      </c>
      <c r="K540" s="660" t="str">
        <f t="shared" si="181"/>
        <v>00:08:00</v>
      </c>
      <c r="L540" s="1585"/>
      <c r="M540" s="1590"/>
    </row>
    <row r="541" spans="1:13" s="104" customFormat="1" ht="20.399999999999999" thickTop="1" thickBot="1" x14ac:dyDescent="0.5">
      <c r="A541" s="1583"/>
      <c r="B541" s="1608"/>
      <c r="C541" s="1512" t="s">
        <v>781</v>
      </c>
      <c r="D541" s="160" t="s">
        <v>2016</v>
      </c>
      <c r="E541" s="1473">
        <v>45477.945833333331</v>
      </c>
      <c r="F541" s="1473">
        <v>45477.982638888891</v>
      </c>
      <c r="G541" s="1497"/>
      <c r="H541" s="1497"/>
      <c r="I541" s="593"/>
      <c r="J541" s="1497">
        <f t="shared" si="179"/>
        <v>45478.279166666667</v>
      </c>
      <c r="K541" s="660" t="str">
        <f t="shared" si="181"/>
        <v>00:07:00</v>
      </c>
      <c r="L541" s="1585"/>
      <c r="M541" s="1590"/>
    </row>
    <row r="542" spans="1:13" s="104" customFormat="1" ht="20.399999999999999" thickTop="1" thickBot="1" x14ac:dyDescent="0.5">
      <c r="A542" s="1583"/>
      <c r="B542" s="1608"/>
      <c r="C542" s="1651" t="s">
        <v>783</v>
      </c>
      <c r="D542" s="1530" t="s">
        <v>2022</v>
      </c>
      <c r="E542" s="1530">
        <v>45477.945833333331</v>
      </c>
      <c r="F542" s="1530">
        <v>45477.982638888891</v>
      </c>
      <c r="G542" s="1530"/>
      <c r="H542" s="1530"/>
      <c r="I542" s="596"/>
      <c r="J542" s="1530">
        <f t="shared" si="179"/>
        <v>45478.279166666667</v>
      </c>
      <c r="K542" s="663" t="str">
        <f t="shared" si="181"/>
        <v>00:07:00</v>
      </c>
      <c r="L542" s="1585"/>
      <c r="M542" s="1590"/>
    </row>
    <row r="543" spans="1:13" s="104" customFormat="1" ht="20.399999999999999" thickTop="1" thickBot="1" x14ac:dyDescent="0.5">
      <c r="A543" s="1583"/>
      <c r="B543" s="1608"/>
      <c r="C543" s="1612"/>
      <c r="D543" s="86" t="s">
        <v>2000</v>
      </c>
      <c r="E543" s="1481">
        <v>45477.895833333336</v>
      </c>
      <c r="F543" s="1481">
        <v>45478.1875</v>
      </c>
      <c r="G543" s="1481"/>
      <c r="H543" s="1481"/>
      <c r="I543" s="656"/>
      <c r="J543" s="1481">
        <f t="shared" si="179"/>
        <v>45478.229166666672</v>
      </c>
      <c r="K543" s="1534" t="str">
        <f t="shared" si="181"/>
        <v>01:19:00</v>
      </c>
      <c r="L543" s="1583"/>
      <c r="M543" s="1624"/>
    </row>
    <row r="544" spans="1:13" s="104" customFormat="1" ht="20.399999999999999" thickTop="1" thickBot="1" x14ac:dyDescent="0.5">
      <c r="A544" s="1620" t="s">
        <v>670</v>
      </c>
      <c r="B544" s="1621" t="s">
        <v>71</v>
      </c>
      <c r="C544" s="1485" t="s">
        <v>1407</v>
      </c>
      <c r="D544" s="587" t="s">
        <v>2054</v>
      </c>
      <c r="E544" s="1496">
        <v>45510.270833333336</v>
      </c>
      <c r="F544" s="1496">
        <v>45510.3125</v>
      </c>
      <c r="G544" s="1504"/>
      <c r="H544" s="1504"/>
      <c r="I544" s="594"/>
      <c r="J544" s="1504">
        <f t="shared" si="179"/>
        <v>45510.604166666672</v>
      </c>
      <c r="K544" s="659" t="str">
        <f t="shared" ref="K544:K547" si="182">IF($M$544-J544&lt;0, "-" &amp; TEXT(ABS($M$544-J544),"[hh]:mm:ss"), TEXT($M$544-J544,"[hh]:mm:ss"))</f>
        <v>00:12:00</v>
      </c>
      <c r="L544" s="1622">
        <v>45510.612500000003</v>
      </c>
      <c r="M544" s="1623">
        <v>45510.612500000003</v>
      </c>
    </row>
    <row r="545" spans="1:13" s="104" customFormat="1" ht="20.399999999999999" thickTop="1" thickBot="1" x14ac:dyDescent="0.5">
      <c r="A545" s="1583"/>
      <c r="B545" s="1608"/>
      <c r="C545" s="1489" t="s">
        <v>799</v>
      </c>
      <c r="D545" s="1530" t="s">
        <v>2055</v>
      </c>
      <c r="E545" s="1530">
        <v>45510.272916666669</v>
      </c>
      <c r="F545" s="1530">
        <v>45510.303472222222</v>
      </c>
      <c r="G545" s="1530"/>
      <c r="H545" s="1530"/>
      <c r="I545" s="596"/>
      <c r="J545" s="1530">
        <f>E545+TIME(8,0,0)</f>
        <v>45510.606250000004</v>
      </c>
      <c r="K545" s="663" t="str">
        <f t="shared" si="182"/>
        <v>00:09:00</v>
      </c>
      <c r="L545" s="1585"/>
      <c r="M545" s="1590"/>
    </row>
    <row r="546" spans="1:13" s="104" customFormat="1" ht="20.399999999999999" thickTop="1" thickBot="1" x14ac:dyDescent="0.5">
      <c r="A546" s="1583"/>
      <c r="B546" s="1608"/>
      <c r="C546" s="1512" t="s">
        <v>795</v>
      </c>
      <c r="D546" s="1530" t="s">
        <v>2056</v>
      </c>
      <c r="E546" s="1473">
        <v>45510.273611111108</v>
      </c>
      <c r="F546" s="1473">
        <v>45510.308333333334</v>
      </c>
      <c r="G546" s="1497"/>
      <c r="H546" s="1497"/>
      <c r="I546" s="593"/>
      <c r="J546" s="1497">
        <f>E546+TIME(8,0,0)</f>
        <v>45510.606944444444</v>
      </c>
      <c r="K546" s="660" t="str">
        <f t="shared" si="182"/>
        <v>00:08:00</v>
      </c>
      <c r="L546" s="1585"/>
      <c r="M546" s="1590"/>
    </row>
    <row r="547" spans="1:13" s="104" customFormat="1" ht="20.399999999999999" thickTop="1" thickBot="1" x14ac:dyDescent="0.5">
      <c r="A547" s="1583"/>
      <c r="B547" s="1608"/>
      <c r="C547" s="1511" t="s">
        <v>2047</v>
      </c>
      <c r="D547" s="82" t="s">
        <v>2057</v>
      </c>
      <c r="E547" s="1514">
        <v>45510.274305555555</v>
      </c>
      <c r="F547" s="1514">
        <v>45510.309027777781</v>
      </c>
      <c r="G547" s="1514"/>
      <c r="H547" s="1514"/>
      <c r="I547" s="595"/>
      <c r="J547" s="1514">
        <f t="shared" si="179"/>
        <v>45510.607638888891</v>
      </c>
      <c r="K547" s="661" t="str">
        <f t="shared" si="182"/>
        <v>00:07:00</v>
      </c>
      <c r="L547" s="1583"/>
      <c r="M547" s="1624"/>
    </row>
    <row r="548" spans="1:13" s="104" customFormat="1" ht="20.399999999999999" thickTop="1" thickBot="1" x14ac:dyDescent="0.5">
      <c r="A548" s="1620" t="s">
        <v>670</v>
      </c>
      <c r="B548" s="1621" t="s">
        <v>71</v>
      </c>
      <c r="C548" s="1485" t="s">
        <v>799</v>
      </c>
      <c r="D548" s="587" t="s">
        <v>2190</v>
      </c>
      <c r="E548" s="1496">
        <v>45580.456944444442</v>
      </c>
      <c r="F548" s="1496">
        <v>45580.470833333333</v>
      </c>
      <c r="G548" s="1504"/>
      <c r="H548" s="1504"/>
      <c r="I548" s="594"/>
      <c r="J548" s="1504">
        <f t="shared" ref="J548:J557" si="183">E548+TIME(8,0,0)</f>
        <v>45580.790277777778</v>
      </c>
      <c r="K548" s="659" t="str">
        <f t="shared" ref="K548:K550" si="184">IF($M$548-J548&lt;0, "-" &amp; TEXT(ABS($M$548-J548),"[hh]:mm:ss"), TEXT($M$548-J548,"[hh]:mm:ss"))</f>
        <v>00:08:00</v>
      </c>
      <c r="L548" s="1622">
        <v>45580.796527777777</v>
      </c>
      <c r="M548" s="1623">
        <v>45580.79583333333</v>
      </c>
    </row>
    <row r="549" spans="1:13" s="104" customFormat="1" ht="20.399999999999999" thickTop="1" thickBot="1" x14ac:dyDescent="0.5">
      <c r="A549" s="1583"/>
      <c r="B549" s="1608"/>
      <c r="C549" s="1512" t="s">
        <v>795</v>
      </c>
      <c r="D549" s="1530" t="s">
        <v>2191</v>
      </c>
      <c r="E549" s="1473">
        <v>45580.456944444442</v>
      </c>
      <c r="F549" s="1473">
        <v>45580.474999999999</v>
      </c>
      <c r="G549" s="1497"/>
      <c r="H549" s="1497"/>
      <c r="I549" s="593"/>
      <c r="J549" s="1497">
        <f t="shared" si="183"/>
        <v>45580.790277777778</v>
      </c>
      <c r="K549" s="660" t="str">
        <f t="shared" si="184"/>
        <v>00:08:00</v>
      </c>
      <c r="L549" s="1585"/>
      <c r="M549" s="1590"/>
    </row>
    <row r="550" spans="1:13" s="104" customFormat="1" ht="20.399999999999999" thickTop="1" thickBot="1" x14ac:dyDescent="0.5">
      <c r="A550" s="1583"/>
      <c r="B550" s="1608"/>
      <c r="C550" s="1511" t="s">
        <v>781</v>
      </c>
      <c r="D550" s="82" t="s">
        <v>2176</v>
      </c>
      <c r="E550" s="1514">
        <v>45580.456944444442</v>
      </c>
      <c r="F550" s="1514">
        <v>45580.475694444445</v>
      </c>
      <c r="G550" s="1514"/>
      <c r="H550" s="1514"/>
      <c r="I550" s="595"/>
      <c r="J550" s="1514">
        <f t="shared" si="183"/>
        <v>45580.790277777778</v>
      </c>
      <c r="K550" s="661" t="str">
        <f t="shared" si="184"/>
        <v>00:08:00</v>
      </c>
      <c r="L550" s="1583"/>
      <c r="M550" s="1624"/>
    </row>
    <row r="551" spans="1:13" s="104" customFormat="1" ht="20.399999999999999" thickTop="1" thickBot="1" x14ac:dyDescent="0.5">
      <c r="A551" s="1620" t="s">
        <v>670</v>
      </c>
      <c r="B551" s="1621" t="s">
        <v>71</v>
      </c>
      <c r="C551" s="1485" t="s">
        <v>1407</v>
      </c>
      <c r="D551" s="587" t="s">
        <v>2492</v>
      </c>
      <c r="E551" s="1496">
        <v>45631.177083333336</v>
      </c>
      <c r="F551" s="1496">
        <v>45631.21875</v>
      </c>
      <c r="G551" s="1504"/>
      <c r="H551" s="1504"/>
      <c r="I551" s="594"/>
      <c r="J551" s="1504">
        <f>E551+TIME(8,0,0)</f>
        <v>45631.510416666672</v>
      </c>
      <c r="K551" s="659" t="str">
        <f t="shared" ref="K551:K554" si="185">IF($M$551-J551&lt;0, "-" &amp; TEXT(ABS($M$551-J551),"[hh]:mm:ss"), TEXT($M$551-J551,"[hh]:mm:ss"))</f>
        <v>00:26:00</v>
      </c>
      <c r="L551" s="1622">
        <v>45631.527777777781</v>
      </c>
      <c r="M551" s="1623">
        <v>45631.52847222222</v>
      </c>
    </row>
    <row r="552" spans="1:13" s="104" customFormat="1" ht="20.399999999999999" thickTop="1" thickBot="1" x14ac:dyDescent="0.5">
      <c r="A552" s="1583"/>
      <c r="B552" s="1608"/>
      <c r="C552" s="1489" t="s">
        <v>799</v>
      </c>
      <c r="D552" s="588" t="s">
        <v>2489</v>
      </c>
      <c r="E552" s="1530">
        <v>45631.188888888886</v>
      </c>
      <c r="F552" s="1530">
        <v>45631.206944444442</v>
      </c>
      <c r="G552" s="1497"/>
      <c r="H552" s="1497"/>
      <c r="I552" s="593"/>
      <c r="J552" s="1497">
        <f>E552+TIME(8,0,0)</f>
        <v>45631.522222222222</v>
      </c>
      <c r="K552" s="660" t="str">
        <f t="shared" si="185"/>
        <v>00:09:00</v>
      </c>
      <c r="L552" s="1585"/>
      <c r="M552" s="1590"/>
    </row>
    <row r="553" spans="1:13" s="104" customFormat="1" ht="20.399999999999999" thickTop="1" thickBot="1" x14ac:dyDescent="0.5">
      <c r="A553" s="1583"/>
      <c r="B553" s="1608"/>
      <c r="C553" s="1512" t="s">
        <v>795</v>
      </c>
      <c r="D553" s="1530" t="s">
        <v>2490</v>
      </c>
      <c r="E553" s="1473">
        <v>45631.19027777778</v>
      </c>
      <c r="F553" s="1473">
        <v>45631.211805555555</v>
      </c>
      <c r="G553" s="1497"/>
      <c r="H553" s="1497"/>
      <c r="I553" s="593"/>
      <c r="J553" s="1497">
        <f>E553+TIME(8,0,0)</f>
        <v>45631.523611111115</v>
      </c>
      <c r="K553" s="660" t="str">
        <f t="shared" si="185"/>
        <v>00:07:00</v>
      </c>
      <c r="L553" s="1585"/>
      <c r="M553" s="1590"/>
    </row>
    <row r="554" spans="1:13" s="104" customFormat="1" ht="20.399999999999999" thickTop="1" thickBot="1" x14ac:dyDescent="0.5">
      <c r="A554" s="1583"/>
      <c r="B554" s="1608"/>
      <c r="C554" s="1511" t="s">
        <v>781</v>
      </c>
      <c r="D554" s="82" t="s">
        <v>2491</v>
      </c>
      <c r="E554" s="1514">
        <v>45631.19027777778</v>
      </c>
      <c r="F554" s="1514">
        <v>45631.212500000001</v>
      </c>
      <c r="G554" s="1514"/>
      <c r="H554" s="1514"/>
      <c r="I554" s="595"/>
      <c r="J554" s="1514">
        <f>E554+TIME(8,0,0)</f>
        <v>45631.523611111115</v>
      </c>
      <c r="K554" s="661" t="str">
        <f t="shared" si="185"/>
        <v>00:07:00</v>
      </c>
      <c r="L554" s="1583"/>
      <c r="M554" s="1624"/>
    </row>
    <row r="555" spans="1:13" s="104" customFormat="1" ht="20.399999999999999" thickTop="1" thickBot="1" x14ac:dyDescent="0.5">
      <c r="A555" s="1620" t="s">
        <v>670</v>
      </c>
      <c r="B555" s="1621" t="s">
        <v>71</v>
      </c>
      <c r="C555" s="1485" t="s">
        <v>799</v>
      </c>
      <c r="D555" s="587" t="s">
        <v>2566</v>
      </c>
      <c r="E555" s="1504">
        <v>45680.211111111108</v>
      </c>
      <c r="F555" s="1504">
        <v>45680.224999999999</v>
      </c>
      <c r="G555" s="1504"/>
      <c r="H555" s="1504"/>
      <c r="I555" s="594"/>
      <c r="J555" s="1504">
        <f t="shared" si="183"/>
        <v>45680.544444444444</v>
      </c>
      <c r="K555" s="659" t="str">
        <f t="shared" ref="K555:K557" si="186">IF($M$555-J555&lt;0, "-" &amp; TEXT(ABS($M$555-J555),"[hh]:mm:ss"), TEXT($M$555-J555,"[hh]:mm:ss"))</f>
        <v>00:11:00</v>
      </c>
      <c r="L555" s="1622">
        <v>45680.550694444442</v>
      </c>
      <c r="M555" s="1623">
        <v>45680.552083333336</v>
      </c>
    </row>
    <row r="556" spans="1:13" s="104" customFormat="1" ht="20.399999999999999" thickTop="1" thickBot="1" x14ac:dyDescent="0.5">
      <c r="A556" s="1583"/>
      <c r="B556" s="1608"/>
      <c r="C556" s="1489" t="s">
        <v>795</v>
      </c>
      <c r="D556" s="588" t="s">
        <v>2567</v>
      </c>
      <c r="E556" s="1497">
        <v>45680.211805555555</v>
      </c>
      <c r="F556" s="1497">
        <v>45680.229166666664</v>
      </c>
      <c r="G556" s="1497"/>
      <c r="H556" s="1497"/>
      <c r="I556" s="593"/>
      <c r="J556" s="1497">
        <f t="shared" si="183"/>
        <v>45680.545138888891</v>
      </c>
      <c r="K556" s="660" t="str">
        <f t="shared" si="186"/>
        <v>00:10:00</v>
      </c>
      <c r="L556" s="1585"/>
      <c r="M556" s="1590"/>
    </row>
    <row r="557" spans="1:13" s="104" customFormat="1" ht="20.399999999999999" thickTop="1" thickBot="1" x14ac:dyDescent="0.5">
      <c r="A557" s="1583"/>
      <c r="B557" s="1608"/>
      <c r="C557" s="1484" t="s">
        <v>781</v>
      </c>
      <c r="D557" s="86" t="s">
        <v>2568</v>
      </c>
      <c r="E557" s="1481">
        <v>45680.212500000001</v>
      </c>
      <c r="F557" s="1481">
        <v>45680.229861111111</v>
      </c>
      <c r="G557" s="1481"/>
      <c r="H557" s="1481"/>
      <c r="I557" s="656"/>
      <c r="J557" s="1481">
        <f t="shared" si="183"/>
        <v>45680.545833333337</v>
      </c>
      <c r="K557" s="1534" t="str">
        <f t="shared" si="186"/>
        <v>00:09:00</v>
      </c>
      <c r="L557" s="1583"/>
      <c r="M557" s="1624"/>
    </row>
    <row r="558" spans="1:13" s="104" customFormat="1" ht="20.399999999999999" thickTop="1" thickBot="1" x14ac:dyDescent="0.5">
      <c r="A558" s="1620" t="s">
        <v>670</v>
      </c>
      <c r="B558" s="1621" t="s">
        <v>71</v>
      </c>
      <c r="C558" s="1531" t="s">
        <v>3264</v>
      </c>
      <c r="D558" s="587" t="s">
        <v>2752</v>
      </c>
      <c r="E558" s="1504">
        <v>45765.947222222225</v>
      </c>
      <c r="F558" s="1504">
        <v>45765.965277777781</v>
      </c>
      <c r="G558" s="1504"/>
      <c r="H558" s="1504"/>
      <c r="I558" s="594"/>
      <c r="J558" s="1504">
        <f t="shared" ref="J558:J559" si="187">E558+TIME(8,0,0)</f>
        <v>45766.280555555561</v>
      </c>
      <c r="K558" s="659" t="str">
        <f t="shared" ref="K558:K559" si="188">IF($M$558-J558&lt;0, "-" &amp; TEXT(ABS($M$558-J558),"[hh]:mm:ss"), TEXT($M$558-J558,"[hh]:mm:ss"))</f>
        <v>00:07:00</v>
      </c>
      <c r="L558" s="1622">
        <v>45766.286111111112</v>
      </c>
      <c r="M558" s="1623">
        <v>45766.285416666666</v>
      </c>
    </row>
    <row r="559" spans="1:13" s="104" customFormat="1" ht="20.399999999999999" thickTop="1" thickBot="1" x14ac:dyDescent="0.5">
      <c r="A559" s="1583"/>
      <c r="B559" s="1608"/>
      <c r="C559" s="1484" t="s">
        <v>781</v>
      </c>
      <c r="D559" s="86" t="s">
        <v>2753</v>
      </c>
      <c r="E559" s="1481">
        <v>45765.947222222225</v>
      </c>
      <c r="F559" s="1481">
        <v>45765.965277777781</v>
      </c>
      <c r="G559" s="1481"/>
      <c r="H559" s="1481"/>
      <c r="I559" s="656"/>
      <c r="J559" s="1481">
        <f t="shared" si="187"/>
        <v>45766.280555555561</v>
      </c>
      <c r="K559" s="1534" t="str">
        <f t="shared" si="188"/>
        <v>00:07:00</v>
      </c>
      <c r="L559" s="1583"/>
      <c r="M559" s="1624"/>
    </row>
    <row r="560" spans="1:13" s="104" customFormat="1" ht="20.399999999999999" thickTop="1" thickBot="1" x14ac:dyDescent="0.5">
      <c r="A560" s="1620" t="s">
        <v>670</v>
      </c>
      <c r="B560" s="1621" t="s">
        <v>71</v>
      </c>
      <c r="C560" s="1485" t="s">
        <v>1407</v>
      </c>
      <c r="D560" s="587" t="s">
        <v>2793</v>
      </c>
      <c r="E560" s="1504">
        <v>45788.541666666664</v>
      </c>
      <c r="F560" s="1504">
        <v>45788.583333333336</v>
      </c>
      <c r="G560" s="1504"/>
      <c r="H560" s="1504"/>
      <c r="I560" s="594"/>
      <c r="J560" s="1504">
        <f>E560+TIME(8,0,0)</f>
        <v>45788.875</v>
      </c>
      <c r="K560" s="659" t="str">
        <f t="shared" ref="K560:K563" si="189">IF($M$560-J560&lt;0, "-" &amp; TEXT(ABS($M$560-J560),"[hh]:mm:ss"), TEXT($M$560-J560,"[hh]:mm:ss"))</f>
        <v>00:27:00</v>
      </c>
      <c r="L560" s="1622">
        <v>45788.88958333333</v>
      </c>
      <c r="M560" s="1623">
        <v>45788.893750000003</v>
      </c>
    </row>
    <row r="561" spans="1:13" s="104" customFormat="1" ht="20.399999999999999" thickTop="1" thickBot="1" x14ac:dyDescent="0.5">
      <c r="A561" s="1583"/>
      <c r="B561" s="1608"/>
      <c r="C561" s="1489" t="s">
        <v>799</v>
      </c>
      <c r="D561" s="588" t="s">
        <v>2789</v>
      </c>
      <c r="E561" s="1497">
        <v>45788.55</v>
      </c>
      <c r="F561" s="1497">
        <v>45788.571527777778</v>
      </c>
      <c r="G561" s="1497"/>
      <c r="H561" s="1497"/>
      <c r="I561" s="593"/>
      <c r="J561" s="1497">
        <f t="shared" ref="J561" si="190">E561+TIME(8,0,0)</f>
        <v>45788.883333333339</v>
      </c>
      <c r="K561" s="660" t="str">
        <f t="shared" si="189"/>
        <v>00:15:00</v>
      </c>
      <c r="L561" s="1585"/>
      <c r="M561" s="1590"/>
    </row>
    <row r="562" spans="1:13" s="104" customFormat="1" ht="20.399999999999999" thickTop="1" thickBot="1" x14ac:dyDescent="0.5">
      <c r="A562" s="1583"/>
      <c r="B562" s="1608"/>
      <c r="C562" s="1489" t="s">
        <v>795</v>
      </c>
      <c r="D562" s="588" t="s">
        <v>2790</v>
      </c>
      <c r="E562" s="1497">
        <v>45788.550694444442</v>
      </c>
      <c r="F562" s="1497">
        <v>45788.57708333333</v>
      </c>
      <c r="G562" s="1497"/>
      <c r="H562" s="1497"/>
      <c r="I562" s="593"/>
      <c r="J562" s="1497">
        <f>E562+TIME(8,0,0)</f>
        <v>45788.884027777778</v>
      </c>
      <c r="K562" s="660" t="str">
        <f t="shared" si="189"/>
        <v>00:14:00</v>
      </c>
      <c r="L562" s="1585"/>
      <c r="M562" s="1590"/>
    </row>
    <row r="563" spans="1:13" s="104" customFormat="1" ht="20.399999999999999" thickTop="1" thickBot="1" x14ac:dyDescent="0.5">
      <c r="A563" s="1583"/>
      <c r="B563" s="1608"/>
      <c r="C563" s="1484" t="s">
        <v>781</v>
      </c>
      <c r="D563" s="86" t="s">
        <v>2791</v>
      </c>
      <c r="E563" s="1481">
        <v>45788.551388888889</v>
      </c>
      <c r="F563" s="1481">
        <v>45788.577777777777</v>
      </c>
      <c r="G563" s="1481"/>
      <c r="H563" s="1481"/>
      <c r="I563" s="656"/>
      <c r="J563" s="1481">
        <f>E563+TIME(8,0,0)</f>
        <v>45788.884722222225</v>
      </c>
      <c r="K563" s="1534" t="str">
        <f t="shared" si="189"/>
        <v>00:13:00</v>
      </c>
      <c r="L563" s="1583"/>
      <c r="M563" s="1624"/>
    </row>
    <row r="564" spans="1:13" s="104" customFormat="1" ht="20.399999999999999" thickTop="1" thickBot="1" x14ac:dyDescent="0.5">
      <c r="A564" s="1620" t="s">
        <v>670</v>
      </c>
      <c r="B564" s="1621" t="s">
        <v>71</v>
      </c>
      <c r="C564" s="1485" t="s">
        <v>1407</v>
      </c>
      <c r="D564" s="587" t="s">
        <v>2850</v>
      </c>
      <c r="E564" s="1504">
        <v>45813.833333333336</v>
      </c>
      <c r="F564" s="1504">
        <v>45814.665972222225</v>
      </c>
      <c r="G564" s="1504"/>
      <c r="H564" s="1504"/>
      <c r="I564" s="594"/>
      <c r="J564" s="1504">
        <f>E564+TIME(8,0,0)</f>
        <v>45814.166666666672</v>
      </c>
      <c r="K564" s="659" t="str">
        <f t="shared" ref="K564:K567" si="191">IF($M$564-J564&lt;0, "-" &amp; TEXT(ABS($M$564-J564),"[hh]:mm:ss"), TEXT($M$564-J564,"[hh]:mm:ss"))</f>
        <v>00:45:00</v>
      </c>
      <c r="L564" s="1622">
        <v>45814.197916666664</v>
      </c>
      <c r="M564" s="1623">
        <v>45814.197916666664</v>
      </c>
    </row>
    <row r="565" spans="1:13" s="104" customFormat="1" ht="20.399999999999999" thickTop="1" thickBot="1" x14ac:dyDescent="0.5">
      <c r="A565" s="1583"/>
      <c r="B565" s="1608"/>
      <c r="C565" s="1489" t="s">
        <v>799</v>
      </c>
      <c r="D565" s="588" t="s">
        <v>2851</v>
      </c>
      <c r="E565" s="1497">
        <v>45813.85833333333</v>
      </c>
      <c r="F565" s="1497">
        <v>45813.87222222222</v>
      </c>
      <c r="G565" s="1497"/>
      <c r="H565" s="1497"/>
      <c r="I565" s="593"/>
      <c r="J565" s="1497">
        <f t="shared" ref="J565" si="192">E565+TIME(8,0,0)</f>
        <v>45814.191666666666</v>
      </c>
      <c r="K565" s="660" t="str">
        <f t="shared" si="191"/>
        <v>00:09:00</v>
      </c>
      <c r="L565" s="1585"/>
      <c r="M565" s="1590"/>
    </row>
    <row r="566" spans="1:13" s="104" customFormat="1" ht="20.399999999999999" thickTop="1" thickBot="1" x14ac:dyDescent="0.5">
      <c r="A566" s="1583"/>
      <c r="B566" s="1608"/>
      <c r="C566" s="1489" t="s">
        <v>795</v>
      </c>
      <c r="D566" s="588" t="s">
        <v>2852</v>
      </c>
      <c r="E566" s="1497">
        <v>45813.859027777777</v>
      </c>
      <c r="F566" s="1497">
        <v>45813.876388888886</v>
      </c>
      <c r="G566" s="1497"/>
      <c r="H566" s="1497"/>
      <c r="I566" s="593"/>
      <c r="J566" s="1497">
        <f>E566+TIME(8,0,0)</f>
        <v>45814.192361111112</v>
      </c>
      <c r="K566" s="660" t="str">
        <f t="shared" si="191"/>
        <v>00:08:00</v>
      </c>
      <c r="L566" s="1585"/>
      <c r="M566" s="1590"/>
    </row>
    <row r="567" spans="1:13" s="104" customFormat="1" ht="20.399999999999999" thickTop="1" thickBot="1" x14ac:dyDescent="0.5">
      <c r="A567" s="1583"/>
      <c r="B567" s="1608"/>
      <c r="C567" s="1484" t="s">
        <v>802</v>
      </c>
      <c r="D567" s="86" t="s">
        <v>2855</v>
      </c>
      <c r="E567" s="1481">
        <v>45813.859722222223</v>
      </c>
      <c r="F567" s="1481">
        <v>45813.877083333333</v>
      </c>
      <c r="G567" s="1481"/>
      <c r="H567" s="1481"/>
      <c r="I567" s="656"/>
      <c r="J567" s="1481">
        <f>E567+TIME(8,0,0)</f>
        <v>45814.193055555559</v>
      </c>
      <c r="K567" s="1534" t="str">
        <f t="shared" si="191"/>
        <v>00:07:00</v>
      </c>
      <c r="L567" s="1583"/>
      <c r="M567" s="1624"/>
    </row>
    <row r="568" spans="1:13" s="104" customFormat="1" ht="20.399999999999999" thickTop="1" thickBot="1" x14ac:dyDescent="0.5">
      <c r="A568" s="1620" t="s">
        <v>670</v>
      </c>
      <c r="B568" s="1621" t="s">
        <v>71</v>
      </c>
      <c r="C568" s="1531" t="s">
        <v>799</v>
      </c>
      <c r="D568" s="587" t="s">
        <v>2895</v>
      </c>
      <c r="E568" s="1504">
        <v>45865.413194444445</v>
      </c>
      <c r="F568" s="1504">
        <v>45865.424305555556</v>
      </c>
      <c r="G568" s="1504"/>
      <c r="H568" s="1504"/>
      <c r="I568" s="594"/>
      <c r="J568" s="1504">
        <f t="shared" ref="J568:J570" si="193">E568+TIME(8,0,0)</f>
        <v>45865.746527777781</v>
      </c>
      <c r="K568" s="659" t="str">
        <f t="shared" ref="K568:K570" si="194">IF($M$568-J568&lt;0, "-" &amp; TEXT(ABS($M$568-J568),"[hh]:mm:ss"), TEXT($M$568-J568,"[hh]:mm:ss"))</f>
        <v>00:08:00</v>
      </c>
      <c r="L568" s="1622">
        <v>45865.75277777778</v>
      </c>
      <c r="M568" s="1623">
        <v>45865.752083333333</v>
      </c>
    </row>
    <row r="569" spans="1:13" s="104" customFormat="1" ht="20.399999999999999" thickTop="1" thickBot="1" x14ac:dyDescent="0.5">
      <c r="A569" s="1583"/>
      <c r="B569" s="1608"/>
      <c r="C569" s="631" t="s">
        <v>795</v>
      </c>
      <c r="D569" s="319" t="s">
        <v>2896</v>
      </c>
      <c r="E569" s="1530">
        <v>45865.413888888892</v>
      </c>
      <c r="F569" s="1530">
        <v>45865.428472222222</v>
      </c>
      <c r="G569" s="1530"/>
      <c r="H569" s="1530"/>
      <c r="I569" s="596"/>
      <c r="J569" s="1530">
        <f t="shared" ref="J569" si="195">E569+TIME(8,0,0)</f>
        <v>45865.747222222228</v>
      </c>
      <c r="K569" s="663" t="str">
        <f t="shared" si="194"/>
        <v>00:07:00</v>
      </c>
      <c r="L569" s="1585"/>
      <c r="M569" s="1590"/>
    </row>
    <row r="570" spans="1:13" s="104" customFormat="1" ht="20.399999999999999" thickTop="1" thickBot="1" x14ac:dyDescent="0.5">
      <c r="A570" s="1583"/>
      <c r="B570" s="1608"/>
      <c r="C570" s="1484" t="s">
        <v>1407</v>
      </c>
      <c r="D570" s="86" t="s">
        <v>2904</v>
      </c>
      <c r="E570" s="1481">
        <v>45865.395833333336</v>
      </c>
      <c r="F570" s="1481">
        <v>45865.416666666664</v>
      </c>
      <c r="G570" s="1481"/>
      <c r="H570" s="1481"/>
      <c r="I570" s="656"/>
      <c r="J570" s="1481">
        <f t="shared" si="193"/>
        <v>45865.729166666672</v>
      </c>
      <c r="K570" s="1534" t="str">
        <f t="shared" si="194"/>
        <v>00:33:00</v>
      </c>
      <c r="L570" s="1583"/>
      <c r="M570" s="1624"/>
    </row>
    <row r="571" spans="1:13" s="104" customFormat="1" ht="20.399999999999999" thickTop="1" thickBot="1" x14ac:dyDescent="0.5">
      <c r="A571" s="1620" t="s">
        <v>670</v>
      </c>
      <c r="B571" s="1621" t="s">
        <v>71</v>
      </c>
      <c r="C571" s="1531" t="s">
        <v>799</v>
      </c>
      <c r="D571" s="587" t="s">
        <v>2941</v>
      </c>
      <c r="E571" s="1504">
        <v>45886.588194444441</v>
      </c>
      <c r="F571" s="1504">
        <v>45886.599305555559</v>
      </c>
      <c r="G571" s="1504"/>
      <c r="H571" s="1504"/>
      <c r="I571" s="594"/>
      <c r="J571" s="1504">
        <f t="shared" ref="J571:J573" si="196">E571+TIME(8,0,0)</f>
        <v>45886.921527777777</v>
      </c>
      <c r="K571" s="659" t="str">
        <f t="shared" ref="K571:K573" si="197">IF($M$571-J571&lt;0, "-" &amp; TEXT(ABS($M$571-J571),"[hh]:mm:ss"), TEXT($M$571-J571,"[hh]:mm:ss"))</f>
        <v>00:08:00</v>
      </c>
      <c r="L571" s="1622">
        <v>45886.927083333336</v>
      </c>
      <c r="M571" s="1623">
        <v>45886.927083333336</v>
      </c>
    </row>
    <row r="572" spans="1:13" s="104" customFormat="1" ht="20.399999999999999" thickTop="1" thickBot="1" x14ac:dyDescent="0.5">
      <c r="A572" s="1583"/>
      <c r="B572" s="1608"/>
      <c r="C572" s="631" t="s">
        <v>795</v>
      </c>
      <c r="D572" s="319" t="s">
        <v>2942</v>
      </c>
      <c r="E572" s="1530">
        <v>45886.588888888888</v>
      </c>
      <c r="F572" s="1530">
        <v>45886.603472222225</v>
      </c>
      <c r="G572" s="1530"/>
      <c r="H572" s="1530"/>
      <c r="I572" s="596"/>
      <c r="J572" s="1530">
        <f t="shared" ref="J572" si="198">E572+TIME(8,0,0)</f>
        <v>45886.922222222223</v>
      </c>
      <c r="K572" s="663" t="str">
        <f t="shared" si="197"/>
        <v>00:07:00</v>
      </c>
      <c r="L572" s="1585"/>
      <c r="M572" s="1590"/>
    </row>
    <row r="573" spans="1:13" s="104" customFormat="1" ht="20.399999999999999" thickTop="1" thickBot="1" x14ac:dyDescent="0.5">
      <c r="A573" s="1583"/>
      <c r="B573" s="1608"/>
      <c r="C573" s="1484" t="s">
        <v>1280</v>
      </c>
      <c r="D573" s="86" t="s">
        <v>2955</v>
      </c>
      <c r="E573" s="1481">
        <v>45886.5625</v>
      </c>
      <c r="F573" s="1481">
        <v>45886.625</v>
      </c>
      <c r="G573" s="1481"/>
      <c r="H573" s="1481"/>
      <c r="I573" s="656"/>
      <c r="J573" s="1481">
        <f t="shared" si="196"/>
        <v>45886.895833333336</v>
      </c>
      <c r="K573" s="1534" t="str">
        <f t="shared" si="197"/>
        <v>00:45:00</v>
      </c>
      <c r="L573" s="1583"/>
      <c r="M573" s="1624"/>
    </row>
    <row r="574" spans="1:13" s="104" customFormat="1" ht="20.399999999999999" thickTop="1" thickBot="1" x14ac:dyDescent="0.5">
      <c r="A574" s="1620" t="s">
        <v>670</v>
      </c>
      <c r="B574" s="1621" t="s">
        <v>71</v>
      </c>
      <c r="C574" s="1531" t="s">
        <v>799</v>
      </c>
      <c r="D574" s="587" t="s">
        <v>2979</v>
      </c>
      <c r="E574" s="1504">
        <v>45906.68472222222</v>
      </c>
      <c r="F574" s="1504">
        <v>45906.702777777777</v>
      </c>
      <c r="G574" s="1504"/>
      <c r="H574" s="1504"/>
      <c r="I574" s="594"/>
      <c r="J574" s="1504">
        <f t="shared" ref="J574:J576" si="199">E574+TIME(8,0,0)</f>
        <v>45907.018055555556</v>
      </c>
      <c r="K574" s="659" t="str">
        <f t="shared" ref="K574:K576" si="200">IF($M$574-J574&lt;0, "-" &amp; TEXT(ABS($M$574-J574),"[hh]:mm:ss"), TEXT($M$574-J574,"[hh]:mm:ss"))</f>
        <v>00:08:00</v>
      </c>
      <c r="L574" s="1622">
        <v>45907.023611111108</v>
      </c>
      <c r="M574" s="1623">
        <v>45907.023611111108</v>
      </c>
    </row>
    <row r="575" spans="1:13" s="104" customFormat="1" ht="20.399999999999999" thickTop="1" thickBot="1" x14ac:dyDescent="0.5">
      <c r="A575" s="1583"/>
      <c r="B575" s="1608"/>
      <c r="C575" s="631" t="s">
        <v>781</v>
      </c>
      <c r="D575" s="319" t="s">
        <v>2980</v>
      </c>
      <c r="E575" s="1530">
        <v>45906.685416666667</v>
      </c>
      <c r="F575" s="1530">
        <v>45906.709027777775</v>
      </c>
      <c r="G575" s="1530"/>
      <c r="H575" s="1530"/>
      <c r="I575" s="596"/>
      <c r="J575" s="1530">
        <f>E575+TIME(8,0,0)</f>
        <v>45907.018750000003</v>
      </c>
      <c r="K575" s="663" t="str">
        <f t="shared" si="200"/>
        <v>00:07:00</v>
      </c>
      <c r="L575" s="1585"/>
      <c r="M575" s="1590"/>
    </row>
    <row r="576" spans="1:13" s="104" customFormat="1" ht="20.399999999999999" thickTop="1" thickBot="1" x14ac:dyDescent="0.5">
      <c r="A576" s="1583"/>
      <c r="B576" s="1608"/>
      <c r="C576" s="1484" t="s">
        <v>1280</v>
      </c>
      <c r="D576" s="86" t="s">
        <v>2988</v>
      </c>
      <c r="E576" s="1481">
        <v>45906.645833333336</v>
      </c>
      <c r="F576" s="1481">
        <v>45907.729166666664</v>
      </c>
      <c r="G576" s="1481"/>
      <c r="H576" s="1481"/>
      <c r="I576" s="656"/>
      <c r="J576" s="1481">
        <f t="shared" si="199"/>
        <v>45906.979166666672</v>
      </c>
      <c r="K576" s="1534" t="str">
        <f t="shared" si="200"/>
        <v>01:04:00</v>
      </c>
      <c r="L576" s="1583"/>
      <c r="M576" s="1624"/>
    </row>
    <row r="577" spans="1:13" s="104" customFormat="1" ht="20.399999999999999" thickTop="1" thickBot="1" x14ac:dyDescent="0.5">
      <c r="A577" s="1620" t="s">
        <v>670</v>
      </c>
      <c r="B577" s="1621" t="s">
        <v>71</v>
      </c>
      <c r="C577" s="1531" t="s">
        <v>799</v>
      </c>
      <c r="D577" s="587" t="s">
        <v>3008</v>
      </c>
      <c r="E577" s="1504">
        <v>45927.521527777775</v>
      </c>
      <c r="F577" s="1504">
        <v>45927.532638888886</v>
      </c>
      <c r="G577" s="1504"/>
      <c r="H577" s="1504"/>
      <c r="I577" s="594"/>
      <c r="J577" s="1504">
        <f t="shared" ref="J577" si="201">E577+TIME(8,0,0)</f>
        <v>45927.854861111111</v>
      </c>
      <c r="K577" s="659" t="str">
        <f t="shared" ref="K577:K579" si="202">IF($M$577-J577&lt;0, "-" &amp; TEXT(ABS($M$577-J577),"[hh]:mm:ss"), TEXT($M$577-J577,"[hh]:mm:ss"))</f>
        <v>00:09:00</v>
      </c>
      <c r="L577" s="1622">
        <v>45927.86041666667</v>
      </c>
      <c r="M577" s="1623">
        <v>45927.861111111109</v>
      </c>
    </row>
    <row r="578" spans="1:13" s="104" customFormat="1" ht="20.399999999999999" collapsed="1" thickTop="1" thickBot="1" x14ac:dyDescent="0.5">
      <c r="A578" s="1583"/>
      <c r="B578" s="1608"/>
      <c r="C578" s="631" t="s">
        <v>2840</v>
      </c>
      <c r="D578" s="319" t="s">
        <v>3009</v>
      </c>
      <c r="E578" s="1530">
        <v>45927.522222222222</v>
      </c>
      <c r="F578" s="1530">
        <v>45927.536805555559</v>
      </c>
      <c r="G578" s="1530"/>
      <c r="H578" s="1530"/>
      <c r="I578" s="596"/>
      <c r="J578" s="1530">
        <f>E578+TIME(8,0,0)</f>
        <v>45927.855555555558</v>
      </c>
      <c r="K578" s="663" t="str">
        <f t="shared" si="202"/>
        <v>00:08:00</v>
      </c>
      <c r="L578" s="1585"/>
      <c r="M578" s="1590"/>
    </row>
    <row r="579" spans="1:13" s="104" customFormat="1" ht="20.399999999999999" thickTop="1" thickBot="1" x14ac:dyDescent="0.5">
      <c r="A579" s="1583"/>
      <c r="B579" s="1608"/>
      <c r="C579" s="1484" t="s">
        <v>1280</v>
      </c>
      <c r="D579" s="86" t="s">
        <v>3022</v>
      </c>
      <c r="E579" s="1481">
        <v>45927.5</v>
      </c>
      <c r="F579" s="1481">
        <v>45927.5625</v>
      </c>
      <c r="G579" s="1481"/>
      <c r="H579" s="1481"/>
      <c r="I579" s="656"/>
      <c r="J579" s="1481">
        <f t="shared" ref="J579:J580" si="203">E579+TIME(8,0,0)</f>
        <v>45927.833333333336</v>
      </c>
      <c r="K579" s="1534" t="str">
        <f t="shared" si="202"/>
        <v>00:40:00</v>
      </c>
      <c r="L579" s="1583"/>
      <c r="M579" s="1624"/>
    </row>
    <row r="580" spans="1:13" s="104" customFormat="1" ht="20.399999999999999" thickTop="1" thickBot="1" x14ac:dyDescent="0.5">
      <c r="A580" s="1620" t="s">
        <v>670</v>
      </c>
      <c r="B580" s="1621" t="s">
        <v>71</v>
      </c>
      <c r="C580" s="1531" t="s">
        <v>799</v>
      </c>
      <c r="D580" s="587" t="s">
        <v>3044</v>
      </c>
      <c r="E580" s="1504">
        <v>45947.290972222225</v>
      </c>
      <c r="F580" s="1504">
        <v>45947.304861111108</v>
      </c>
      <c r="G580" s="1504"/>
      <c r="H580" s="1504"/>
      <c r="I580" s="594"/>
      <c r="J580" s="1504">
        <f t="shared" si="203"/>
        <v>45947.624305555561</v>
      </c>
      <c r="K580" s="659" t="str">
        <f t="shared" ref="K580:K583" si="204">IF($M$580-J580&lt;0, "-" &amp; TEXT(ABS($M$580-J580),"[hh]:mm:ss"), TEXT($M$580-J580,"[hh]:mm:ss"))</f>
        <v>00:09:00</v>
      </c>
      <c r="L580" s="1622">
        <v>45947.630555555559</v>
      </c>
      <c r="M580" s="1623">
        <v>45947.630555555559</v>
      </c>
    </row>
    <row r="581" spans="1:13" s="104" customFormat="1" ht="20.399999999999999" thickTop="1" thickBot="1" x14ac:dyDescent="0.5">
      <c r="A581" s="1583"/>
      <c r="B581" s="1608"/>
      <c r="C581" s="631" t="s">
        <v>2840</v>
      </c>
      <c r="D581" s="319" t="s">
        <v>3045</v>
      </c>
      <c r="E581" s="1530">
        <v>45947.291666666664</v>
      </c>
      <c r="F581" s="1530">
        <v>45947.309027777781</v>
      </c>
      <c r="G581" s="1530"/>
      <c r="H581" s="1530"/>
      <c r="I581" s="596"/>
      <c r="J581" s="1530">
        <f>E581+TIME(8,0,0)</f>
        <v>45947.625</v>
      </c>
      <c r="K581" s="663" t="str">
        <f t="shared" si="204"/>
        <v>00:08:00</v>
      </c>
      <c r="L581" s="1585"/>
      <c r="M581" s="1590"/>
    </row>
    <row r="582" spans="1:13" s="85" customFormat="1" ht="20.399999999999999" thickTop="1" thickBot="1" x14ac:dyDescent="0.5">
      <c r="A582" s="1583"/>
      <c r="B582" s="1608"/>
      <c r="C582" s="631" t="s">
        <v>781</v>
      </c>
      <c r="D582" s="319" t="s">
        <v>3046</v>
      </c>
      <c r="E582" s="1530">
        <v>45947.292361111111</v>
      </c>
      <c r="F582" s="1530">
        <v>45947.30972222222</v>
      </c>
      <c r="G582" s="1530"/>
      <c r="H582" s="1530"/>
      <c r="I582" s="596"/>
      <c r="J582" s="1530">
        <f t="shared" ref="J582" si="205">E582+TIME(8,0,0)</f>
        <v>45947.625694444447</v>
      </c>
      <c r="K582" s="663" t="str">
        <f t="shared" si="204"/>
        <v>00:07:00</v>
      </c>
      <c r="L582" s="1585"/>
      <c r="M582" s="1590"/>
    </row>
    <row r="583" spans="1:13" ht="20.399999999999999" thickTop="1" thickBot="1" x14ac:dyDescent="0.5">
      <c r="A583" s="1583"/>
      <c r="B583" s="1608"/>
      <c r="C583" s="1484" t="s">
        <v>1280</v>
      </c>
      <c r="D583" s="86" t="s">
        <v>3055</v>
      </c>
      <c r="E583" s="1481">
        <v>45947.291666666664</v>
      </c>
      <c r="F583" s="1481">
        <v>45947.333333333336</v>
      </c>
      <c r="G583" s="1481"/>
      <c r="H583" s="1481"/>
      <c r="I583" s="656"/>
      <c r="J583" s="1481">
        <f t="shared" ref="J583:J584" si="206">E583+TIME(8,0,0)</f>
        <v>45947.625</v>
      </c>
      <c r="K583" s="1534" t="str">
        <f t="shared" si="204"/>
        <v>00:08:00</v>
      </c>
      <c r="L583" s="1583"/>
      <c r="M583" s="1624"/>
    </row>
    <row r="584" spans="1:13" s="104" customFormat="1" ht="20.399999999999999" thickTop="1" thickBot="1" x14ac:dyDescent="0.5">
      <c r="A584" s="1620" t="s">
        <v>670</v>
      </c>
      <c r="B584" s="1621" t="s">
        <v>71</v>
      </c>
      <c r="C584" s="1531" t="s">
        <v>799</v>
      </c>
      <c r="D584" s="587" t="s">
        <v>3230</v>
      </c>
      <c r="E584" s="1504">
        <v>45999.918749999997</v>
      </c>
      <c r="F584" s="1504">
        <v>45999.929861111108</v>
      </c>
      <c r="G584" s="1504"/>
      <c r="H584" s="1504"/>
      <c r="I584" s="594"/>
      <c r="J584" s="1504">
        <f t="shared" si="206"/>
        <v>46000.252083333333</v>
      </c>
      <c r="K584" s="659" t="str">
        <f t="shared" ref="K584:K586" si="207">IF($M$584-J584&lt;0, "-" &amp; TEXT(ABS($M$584-J584),"[hh]:mm:ss"), TEXT($M$584-J584,"[hh]:mm:ss"))</f>
        <v>00:08:00</v>
      </c>
      <c r="L584" s="1622">
        <v>46000.258333333331</v>
      </c>
      <c r="M584" s="1623">
        <v>46000.257638888892</v>
      </c>
    </row>
    <row r="585" spans="1:13" s="104" customFormat="1" ht="20.399999999999999" thickTop="1" thickBot="1" x14ac:dyDescent="0.5">
      <c r="A585" s="1583"/>
      <c r="B585" s="1608"/>
      <c r="C585" s="631" t="s">
        <v>2840</v>
      </c>
      <c r="D585" s="319" t="s">
        <v>3231</v>
      </c>
      <c r="E585" s="1530">
        <v>45999.919444444444</v>
      </c>
      <c r="F585" s="1530">
        <v>45999.934027777781</v>
      </c>
      <c r="G585" s="1530"/>
      <c r="H585" s="1530"/>
      <c r="I585" s="596"/>
      <c r="J585" s="1530">
        <f>E585+TIME(8,0,0)</f>
        <v>46000.25277777778</v>
      </c>
      <c r="K585" s="663" t="str">
        <f t="shared" si="207"/>
        <v>00:07:00</v>
      </c>
      <c r="L585" s="1585"/>
      <c r="M585" s="1590"/>
    </row>
    <row r="586" spans="1:13" s="104" customFormat="1" ht="20.399999999999999" thickTop="1" thickBot="1" x14ac:dyDescent="0.5">
      <c r="A586" s="1583"/>
      <c r="B586" s="1608"/>
      <c r="C586" s="1484" t="s">
        <v>1280</v>
      </c>
      <c r="D586" s="86" t="s">
        <v>3242</v>
      </c>
      <c r="E586" s="1481">
        <v>45999.909722222219</v>
      </c>
      <c r="F586" s="1481">
        <v>45999.96875</v>
      </c>
      <c r="G586" s="1481"/>
      <c r="H586" s="1481"/>
      <c r="I586" s="656"/>
      <c r="J586" s="1481">
        <f t="shared" ref="J586:J587" si="208">E586+TIME(8,0,0)</f>
        <v>46000.243055555555</v>
      </c>
      <c r="K586" s="1534" t="str">
        <f t="shared" si="207"/>
        <v>00:21:00</v>
      </c>
      <c r="L586" s="1583"/>
      <c r="M586" s="1624"/>
    </row>
    <row r="587" spans="1:13" s="104" customFormat="1" ht="20.399999999999999" thickTop="1" thickBot="1" x14ac:dyDescent="0.5">
      <c r="A587" s="1469" t="s">
        <v>670</v>
      </c>
      <c r="B587" s="1479" t="s">
        <v>71</v>
      </c>
      <c r="C587" s="1531" t="s">
        <v>978</v>
      </c>
      <c r="D587" s="587" t="s">
        <v>3373</v>
      </c>
      <c r="E587" s="1504">
        <v>46035.587500000001</v>
      </c>
      <c r="F587" s="1504">
        <v>46035.602083333331</v>
      </c>
      <c r="G587" s="1504"/>
      <c r="H587" s="1504"/>
      <c r="I587" s="594"/>
      <c r="J587" s="1472">
        <f t="shared" si="208"/>
        <v>46035.920833333337</v>
      </c>
      <c r="K587" s="662" t="str">
        <f>IF($M$587-J587&lt;0, "-" &amp; TEXT(ABS($M$587-J587),"[hh]:mm:ss"), TEXT($M$587-J587,"[hh]:mm:ss"))</f>
        <v>00:10:00</v>
      </c>
      <c r="L587" s="1472">
        <v>46035.927777777775</v>
      </c>
      <c r="M587" s="1483">
        <v>46035.927777777775</v>
      </c>
    </row>
    <row r="588" spans="1:13" s="104" customFormat="1" ht="20.399999999999999" thickTop="1" thickBot="1" x14ac:dyDescent="0.5">
      <c r="A588" s="1469" t="s">
        <v>670</v>
      </c>
      <c r="B588" s="1479" t="s">
        <v>71</v>
      </c>
      <c r="C588" s="1531" t="s">
        <v>978</v>
      </c>
      <c r="D588" s="587" t="s">
        <v>3417</v>
      </c>
      <c r="E588" s="1504">
        <v>46096.551388888889</v>
      </c>
      <c r="F588" s="1504">
        <v>46096.565972222219</v>
      </c>
      <c r="G588" s="1504"/>
      <c r="H588" s="1504"/>
      <c r="I588" s="594"/>
      <c r="J588" s="1472">
        <f t="shared" ref="J588:J589" si="209">E588+TIME(8,0,0)</f>
        <v>46096.884722222225</v>
      </c>
      <c r="K588" s="662" t="str">
        <f>IF($M$588-J588&lt;0, "-" &amp; TEXT(ABS($M$588-J588),"[hh]:mm:ss"), TEXT($M$588-J588,"[hh]:mm:ss"))</f>
        <v>00:08:00</v>
      </c>
      <c r="L588" s="1472">
        <v>46096.89166666667</v>
      </c>
      <c r="M588" s="1483">
        <v>46096.890277777777</v>
      </c>
    </row>
    <row r="589" spans="1:13" s="104" customFormat="1" ht="20.399999999999999" thickTop="1" thickBot="1" x14ac:dyDescent="0.5">
      <c r="A589" s="1620" t="s">
        <v>670</v>
      </c>
      <c r="B589" s="1621" t="s">
        <v>71</v>
      </c>
      <c r="C589" s="1531" t="s">
        <v>799</v>
      </c>
      <c r="D589" s="587" t="s">
        <v>3467</v>
      </c>
      <c r="E589" s="1504">
        <v>46120.8125</v>
      </c>
      <c r="F589" s="1504">
        <v>46120.823611111111</v>
      </c>
      <c r="G589" s="1504"/>
      <c r="H589" s="1504"/>
      <c r="I589" s="594"/>
      <c r="J589" s="1504">
        <f t="shared" si="209"/>
        <v>46121.145833333336</v>
      </c>
      <c r="K589" s="659" t="str">
        <f>IF($M$589-J589&lt;0, "-" &amp; TEXT(ABS($M$589-J589),"[hh]:mm:ss"), TEXT($M$589-J589,"[hh]:mm:ss"))</f>
        <v>00:08:00</v>
      </c>
      <c r="L589" s="1622">
        <v>46121.151388888888</v>
      </c>
      <c r="M589" s="1623">
        <v>46121.151388888888</v>
      </c>
    </row>
    <row r="590" spans="1:13" s="104" customFormat="1" ht="20.399999999999999" thickTop="1" thickBot="1" x14ac:dyDescent="0.5">
      <c r="A590" s="1583"/>
      <c r="B590" s="1608"/>
      <c r="C590" s="631" t="s">
        <v>2840</v>
      </c>
      <c r="D590" s="319" t="s">
        <v>3468</v>
      </c>
      <c r="E590" s="1530">
        <v>46120.813194444447</v>
      </c>
      <c r="F590" s="1530">
        <v>46120.827777777777</v>
      </c>
      <c r="G590" s="1530"/>
      <c r="H590" s="1530"/>
      <c r="I590" s="596"/>
      <c r="J590" s="1530">
        <f>E590+TIME(8,0,0)</f>
        <v>46121.146527777782</v>
      </c>
      <c r="K590" s="663" t="str">
        <f t="shared" ref="K590:K592" si="210">IF($M$589-J590&lt;0, "-" &amp; TEXT(ABS($M$589-J590),"[hh]:mm:ss"), TEXT($M$589-J590,"[hh]:mm:ss"))</f>
        <v>00:07:00</v>
      </c>
      <c r="L590" s="1585"/>
      <c r="M590" s="1590"/>
    </row>
    <row r="591" spans="1:13" s="104" customFormat="1" ht="20.399999999999999" thickTop="1" thickBot="1" x14ac:dyDescent="0.5">
      <c r="A591" s="1583"/>
      <c r="B591" s="1608"/>
      <c r="C591" s="631" t="s">
        <v>3489</v>
      </c>
      <c r="D591" s="319" t="s">
        <v>3488</v>
      </c>
      <c r="E591" s="1530">
        <v>46120.813888888886</v>
      </c>
      <c r="F591" s="1530">
        <v>46120.828472222223</v>
      </c>
      <c r="G591" s="1530"/>
      <c r="H591" s="1530"/>
      <c r="I591" s="596"/>
      <c r="J591" s="1530">
        <f t="shared" ref="J591" si="211">E591+TIME(8,0,0)</f>
        <v>46121.147222222222</v>
      </c>
      <c r="K591" s="663" t="str">
        <f t="shared" ref="K591" si="212">IF($M$589-J591&lt;0, "-" &amp; TEXT(ABS($M$589-J591),"[hh]:mm:ss"), TEXT($M$589-J591,"[hh]:mm:ss"))</f>
        <v>00:06:00</v>
      </c>
      <c r="L591" s="1585"/>
      <c r="M591" s="1590"/>
    </row>
    <row r="592" spans="1:13" s="104" customFormat="1" ht="20.399999999999999" thickTop="1" thickBot="1" x14ac:dyDescent="0.5">
      <c r="A592" s="1583"/>
      <c r="B592" s="1608"/>
      <c r="C592" s="1484" t="s">
        <v>1280</v>
      </c>
      <c r="D592" s="86" t="s">
        <v>3484</v>
      </c>
      <c r="E592" s="1481">
        <v>46120.813888888886</v>
      </c>
      <c r="F592" s="1481">
        <v>46120.854166666664</v>
      </c>
      <c r="G592" s="1481"/>
      <c r="H592" s="1481"/>
      <c r="I592" s="656"/>
      <c r="J592" s="1481">
        <f t="shared" ref="J592:J593" si="213">E592+TIME(8,0,0)</f>
        <v>46121.147222222222</v>
      </c>
      <c r="K592" s="1534" t="str">
        <f t="shared" si="210"/>
        <v>00:06:00</v>
      </c>
      <c r="L592" s="1583"/>
      <c r="M592" s="1624"/>
    </row>
    <row r="593" spans="1:13" s="104" customFormat="1" ht="20.399999999999999" thickTop="1" thickBot="1" x14ac:dyDescent="0.5">
      <c r="A593" s="1620" t="s">
        <v>670</v>
      </c>
      <c r="B593" s="1621" t="s">
        <v>71</v>
      </c>
      <c r="C593" s="1531" t="s">
        <v>799</v>
      </c>
      <c r="D593" s="587" t="s">
        <v>3564</v>
      </c>
      <c r="E593" s="1504">
        <v>46154.492361111108</v>
      </c>
      <c r="F593" s="1504">
        <v>46154.506249999999</v>
      </c>
      <c r="G593" s="1504"/>
      <c r="H593" s="1504"/>
      <c r="I593" s="594"/>
      <c r="J593" s="1504">
        <f t="shared" si="213"/>
        <v>46154.825694444444</v>
      </c>
      <c r="K593" s="659" t="str">
        <f>IF($M$593-J593&lt;0, "-" &amp; TEXT(ABS($M$593-J593),"[hh]:mm:ss"), TEXT($M$593-J593,"[hh]:mm:ss"))</f>
        <v>00:10:00</v>
      </c>
      <c r="L593" s="1622">
        <v>46154.831944444442</v>
      </c>
      <c r="M593" s="1623">
        <v>46154.832638888889</v>
      </c>
    </row>
    <row r="594" spans="1:13" s="104" customFormat="1" ht="20.399999999999999" thickTop="1" thickBot="1" x14ac:dyDescent="0.5">
      <c r="A594" s="1583"/>
      <c r="B594" s="1608"/>
      <c r="C594" s="631" t="s">
        <v>2840</v>
      </c>
      <c r="D594" s="319" t="s">
        <v>3565</v>
      </c>
      <c r="E594" s="1530">
        <v>46154.493055555555</v>
      </c>
      <c r="F594" s="1530">
        <v>46154.510416666664</v>
      </c>
      <c r="G594" s="1530"/>
      <c r="H594" s="1530"/>
      <c r="I594" s="596"/>
      <c r="J594" s="1530">
        <f>E594+TIME(8,0,0)</f>
        <v>46154.826388888891</v>
      </c>
      <c r="K594" s="663" t="str">
        <f t="shared" ref="K594:K596" si="214">IF($M$593-J594&lt;0, "-" &amp; TEXT(ABS($M$593-J594),"[hh]:mm:ss"), TEXT($M$593-J594,"[hh]:mm:ss"))</f>
        <v>00:09:00</v>
      </c>
      <c r="L594" s="1585"/>
      <c r="M594" s="1590"/>
    </row>
    <row r="595" spans="1:13" s="85" customFormat="1" ht="20.399999999999999" thickTop="1" thickBot="1" x14ac:dyDescent="0.5">
      <c r="A595" s="1583"/>
      <c r="B595" s="1608"/>
      <c r="C595" s="631" t="s">
        <v>781</v>
      </c>
      <c r="D595" s="319" t="s">
        <v>3566</v>
      </c>
      <c r="E595" s="1530">
        <v>46154.493750000001</v>
      </c>
      <c r="F595" s="1530">
        <v>46154.511111111111</v>
      </c>
      <c r="G595" s="1530"/>
      <c r="H595" s="1530"/>
      <c r="I595" s="596"/>
      <c r="J595" s="1530">
        <f t="shared" ref="J595:J597" si="215">E595+TIME(8,0,0)</f>
        <v>46154.827083333337</v>
      </c>
      <c r="K595" s="663" t="str">
        <f t="shared" si="214"/>
        <v>00:08:00</v>
      </c>
      <c r="L595" s="1585"/>
      <c r="M595" s="1590"/>
    </row>
    <row r="596" spans="1:13" s="104" customFormat="1" ht="20.399999999999999" thickTop="1" thickBot="1" x14ac:dyDescent="0.5">
      <c r="A596" s="1583"/>
      <c r="B596" s="1608"/>
      <c r="C596" s="1484" t="s">
        <v>1280</v>
      </c>
      <c r="D596" s="86" t="s">
        <v>3575</v>
      </c>
      <c r="E596" s="1481">
        <v>46154.493750000001</v>
      </c>
      <c r="F596" s="1481">
        <v>46154.541666666664</v>
      </c>
      <c r="G596" s="1481"/>
      <c r="H596" s="1481"/>
      <c r="I596" s="656"/>
      <c r="J596" s="1481">
        <f t="shared" si="215"/>
        <v>46154.827083333337</v>
      </c>
      <c r="K596" s="1534" t="str">
        <f t="shared" si="214"/>
        <v>00:08:00</v>
      </c>
      <c r="L596" s="1583"/>
      <c r="M596" s="1624"/>
    </row>
    <row r="597" spans="1:13" s="104" customFormat="1" ht="20.399999999999999" thickTop="1" thickBot="1" x14ac:dyDescent="0.5">
      <c r="A597" s="1620" t="s">
        <v>670</v>
      </c>
      <c r="B597" s="1621" t="s">
        <v>71</v>
      </c>
      <c r="C597" s="1531" t="s">
        <v>799</v>
      </c>
      <c r="D597" s="587" t="s">
        <v>3671</v>
      </c>
      <c r="E597" s="1504">
        <v>46177.479861111111</v>
      </c>
      <c r="F597" s="1504">
        <v>46177.493750000001</v>
      </c>
      <c r="G597" s="1504"/>
      <c r="H597" s="1504"/>
      <c r="I597" s="594"/>
      <c r="J597" s="1504">
        <f t="shared" si="215"/>
        <v>46177.813194444447</v>
      </c>
      <c r="K597" s="659" t="str">
        <f>IF($M$597-J597&lt;0, "-" &amp; TEXT(ABS($M$597-J597),"[hh]:mm:ss"), TEXT($M$597-J597,"[hh]:mm:ss"))</f>
        <v>00:08:00</v>
      </c>
      <c r="L597" s="1622">
        <v>46177.819444444445</v>
      </c>
      <c r="M597" s="1623">
        <v>46177.818749999999</v>
      </c>
    </row>
    <row r="598" spans="1:13" s="104" customFormat="1" ht="20.399999999999999" thickTop="1" thickBot="1" x14ac:dyDescent="0.5">
      <c r="A598" s="1583"/>
      <c r="B598" s="1608"/>
      <c r="C598" s="631" t="s">
        <v>2840</v>
      </c>
      <c r="D598" s="319" t="s">
        <v>3672</v>
      </c>
      <c r="E598" s="1530">
        <v>46177.480555555558</v>
      </c>
      <c r="F598" s="1530">
        <v>46177.497916666667</v>
      </c>
      <c r="G598" s="1530"/>
      <c r="H598" s="1530"/>
      <c r="I598" s="596"/>
      <c r="J598" s="1530">
        <f>E598+TIME(8,0,0)</f>
        <v>46177.813888888893</v>
      </c>
      <c r="K598" s="663" t="str">
        <f t="shared" ref="K598:K600" si="216">IF($M$597-J598&lt;0, "-" &amp; TEXT(ABS($M$597-J598),"[hh]:mm:ss"), TEXT($M$597-J598,"[hh]:mm:ss"))</f>
        <v>00:07:00</v>
      </c>
      <c r="L598" s="1585"/>
      <c r="M598" s="1590"/>
    </row>
    <row r="599" spans="1:13" s="85" customFormat="1" ht="20.399999999999999" thickTop="1" thickBot="1" x14ac:dyDescent="0.5">
      <c r="A599" s="1583"/>
      <c r="B599" s="1608"/>
      <c r="C599" s="631" t="s">
        <v>781</v>
      </c>
      <c r="D599" s="319" t="s">
        <v>3673</v>
      </c>
      <c r="E599" s="1530">
        <v>46177.481249999997</v>
      </c>
      <c r="F599" s="1530">
        <v>46177.498611111114</v>
      </c>
      <c r="G599" s="1530"/>
      <c r="H599" s="1530"/>
      <c r="I599" s="596"/>
      <c r="J599" s="1530">
        <f t="shared" ref="J599:J601" si="217">E599+TIME(8,0,0)</f>
        <v>46177.814583333333</v>
      </c>
      <c r="K599" s="663" t="str">
        <f t="shared" si="216"/>
        <v>00:06:00</v>
      </c>
      <c r="L599" s="1585"/>
      <c r="M599" s="1590"/>
    </row>
    <row r="600" spans="1:13" s="104" customFormat="1" ht="20.399999999999999" thickTop="1" thickBot="1" x14ac:dyDescent="0.5">
      <c r="A600" s="1583"/>
      <c r="B600" s="1608"/>
      <c r="C600" s="1484" t="s">
        <v>1280</v>
      </c>
      <c r="D600" s="86" t="s">
        <v>3695</v>
      </c>
      <c r="E600" s="1481">
        <v>46177.439583333333</v>
      </c>
      <c r="F600" s="1481">
        <v>46177.520833333336</v>
      </c>
      <c r="G600" s="1481"/>
      <c r="H600" s="1481"/>
      <c r="I600" s="656"/>
      <c r="J600" s="1481">
        <f t="shared" si="217"/>
        <v>46177.772916666669</v>
      </c>
      <c r="K600" s="1534" t="str">
        <f t="shared" si="216"/>
        <v>01:06:00</v>
      </c>
      <c r="L600" s="1583"/>
      <c r="M600" s="1624"/>
    </row>
    <row r="601" spans="1:13" s="104" customFormat="1" ht="20.399999999999999" thickTop="1" thickBot="1" x14ac:dyDescent="0.5">
      <c r="A601" s="1620" t="s">
        <v>670</v>
      </c>
      <c r="B601" s="1621" t="s">
        <v>71</v>
      </c>
      <c r="C601" s="1531" t="s">
        <v>799</v>
      </c>
      <c r="D601" s="587" t="s">
        <v>3806</v>
      </c>
      <c r="E601" s="1504">
        <v>46207.38958333333</v>
      </c>
      <c r="F601" s="1504">
        <v>46207.40347222222</v>
      </c>
      <c r="G601" s="1504"/>
      <c r="H601" s="1504"/>
      <c r="I601" s="594"/>
      <c r="J601" s="1504">
        <f t="shared" si="217"/>
        <v>46207.722916666666</v>
      </c>
      <c r="K601" s="659" t="str">
        <f>IF($M$601-J601&lt;0, "-" &amp; TEXT(ABS($M$601-J601),"[hh]:mm:ss"), TEXT($M$601-J601,"[hh]:mm:ss"))</f>
        <v>00:09:00</v>
      </c>
      <c r="L601" s="1622">
        <v>46207.728472222225</v>
      </c>
      <c r="M601" s="1623">
        <v>46207.729166666664</v>
      </c>
    </row>
    <row r="602" spans="1:13" s="104" customFormat="1" ht="20.399999999999999" thickTop="1" thickBot="1" x14ac:dyDescent="0.5">
      <c r="A602" s="1583"/>
      <c r="B602" s="1608"/>
      <c r="C602" s="631" t="s">
        <v>2840</v>
      </c>
      <c r="D602" s="319" t="s">
        <v>3807</v>
      </c>
      <c r="E602" s="1530">
        <v>46207.390277777777</v>
      </c>
      <c r="F602" s="1530">
        <v>46207.407638888886</v>
      </c>
      <c r="G602" s="1530"/>
      <c r="H602" s="1530"/>
      <c r="I602" s="596"/>
      <c r="J602" s="1530">
        <f>E602+TIME(8,0,0)</f>
        <v>46207.723611111112</v>
      </c>
      <c r="K602" s="663" t="str">
        <f t="shared" ref="K602:K604" si="218">IF($M$601-J602&lt;0, "-" &amp; TEXT(ABS($M$601-J602),"[hh]:mm:ss"), TEXT($M$601-J602,"[hh]:mm:ss"))</f>
        <v>00:08:00</v>
      </c>
      <c r="L602" s="1585"/>
      <c r="M602" s="1590"/>
    </row>
    <row r="603" spans="1:13" s="85" customFormat="1" ht="20.399999999999999" thickTop="1" thickBot="1" x14ac:dyDescent="0.5">
      <c r="A603" s="1583"/>
      <c r="B603" s="1608"/>
      <c r="C603" s="631" t="s">
        <v>781</v>
      </c>
      <c r="D603" s="319" t="s">
        <v>3808</v>
      </c>
      <c r="E603" s="1530">
        <v>46207.390972222223</v>
      </c>
      <c r="F603" s="1530">
        <v>46207.408333333333</v>
      </c>
      <c r="G603" s="1530"/>
      <c r="H603" s="1530"/>
      <c r="I603" s="596"/>
      <c r="J603" s="1530">
        <f t="shared" ref="J603:J604" si="219">E603+TIME(8,0,0)</f>
        <v>46207.724305555559</v>
      </c>
      <c r="K603" s="663" t="str">
        <f t="shared" si="218"/>
        <v>00:07:00</v>
      </c>
      <c r="L603" s="1585"/>
      <c r="M603" s="1590"/>
    </row>
    <row r="604" spans="1:13" s="104" customFormat="1" ht="20.399999999999999" thickTop="1" thickBot="1" x14ac:dyDescent="0.5">
      <c r="A604" s="1583"/>
      <c r="B604" s="1608"/>
      <c r="C604" s="1484" t="s">
        <v>1280</v>
      </c>
      <c r="D604" s="86" t="s">
        <v>3781</v>
      </c>
      <c r="E604" s="1481">
        <v>46207.390972222223</v>
      </c>
      <c r="F604" s="1481">
        <v>46207.4375</v>
      </c>
      <c r="G604" s="1481"/>
      <c r="H604" s="1481"/>
      <c r="I604" s="656"/>
      <c r="J604" s="1481">
        <f t="shared" si="219"/>
        <v>46207.724305555559</v>
      </c>
      <c r="K604" s="1534" t="str">
        <f t="shared" si="218"/>
        <v>00:07:00</v>
      </c>
      <c r="L604" s="1583"/>
      <c r="M604" s="1624"/>
    </row>
    <row r="605" spans="1:13" ht="20.399999999999999" thickTop="1" thickBot="1" x14ac:dyDescent="0.5">
      <c r="A605" s="314"/>
      <c r="B605" s="314"/>
      <c r="C605" s="633"/>
      <c r="D605" s="84"/>
      <c r="E605" s="84"/>
      <c r="F605" s="84"/>
      <c r="G605" s="84"/>
      <c r="H605" s="84"/>
      <c r="I605" s="598"/>
      <c r="J605" s="87"/>
      <c r="K605" s="665"/>
      <c r="L605" s="314"/>
      <c r="M605" s="623"/>
    </row>
    <row r="606" spans="1:13" ht="20.399999999999999" thickTop="1" thickBot="1" x14ac:dyDescent="0.5">
      <c r="A606" s="1620" t="s">
        <v>1201</v>
      </c>
      <c r="B606" s="1621" t="s">
        <v>71</v>
      </c>
      <c r="C606" s="1485" t="s">
        <v>780</v>
      </c>
      <c r="D606" s="587" t="s">
        <v>1875</v>
      </c>
      <c r="E606" s="1496">
        <v>45419.134027777778</v>
      </c>
      <c r="F606" s="1496">
        <v>45419.163194444445</v>
      </c>
      <c r="G606" s="1496"/>
      <c r="H606" s="1496"/>
      <c r="I606" s="594"/>
      <c r="J606" s="1504">
        <f>E606+TIME(8,0,0)</f>
        <v>45419.467361111114</v>
      </c>
      <c r="K606" s="659" t="str">
        <f t="shared" ref="K606:K607" si="220">IF($M$606-J606&lt;0, "-" &amp; TEXT(ABS($M$606-J606),"[hh]:mm:ss"), TEXT($M$606-J606,"[hh]:mm:ss"))</f>
        <v>00:08:00</v>
      </c>
      <c r="L606" s="1622">
        <v>45419.472222222219</v>
      </c>
      <c r="M606" s="1623">
        <v>45419.472916666666</v>
      </c>
    </row>
    <row r="607" spans="1:13" ht="20.399999999999999" thickTop="1" thickBot="1" x14ac:dyDescent="0.5">
      <c r="A607" s="1583"/>
      <c r="B607" s="1608"/>
      <c r="C607" s="1503" t="s">
        <v>780</v>
      </c>
      <c r="D607" s="160" t="s">
        <v>1876</v>
      </c>
      <c r="E607" s="1473">
        <v>45419.134722222225</v>
      </c>
      <c r="F607" s="1473">
        <v>45419.167361111111</v>
      </c>
      <c r="G607" s="1473"/>
      <c r="H607" s="1473"/>
      <c r="I607" s="595"/>
      <c r="J607" s="1514">
        <f>E607+TIME(8,0,0)</f>
        <v>45419.468055555561</v>
      </c>
      <c r="K607" s="661" t="str">
        <f t="shared" si="220"/>
        <v>00:07:00</v>
      </c>
      <c r="L607" s="1585"/>
      <c r="M607" s="1590"/>
    </row>
    <row r="608" spans="1:13" ht="20.399999999999999" thickTop="1" thickBot="1" x14ac:dyDescent="0.5">
      <c r="A608" s="314"/>
      <c r="B608" s="314"/>
      <c r="C608" s="633"/>
      <c r="D608" s="84"/>
      <c r="E608" s="84"/>
      <c r="F608" s="84"/>
      <c r="G608" s="84"/>
      <c r="H608" s="84"/>
      <c r="I608" s="597"/>
      <c r="J608" s="84"/>
      <c r="K608" s="664"/>
      <c r="L608" s="314"/>
      <c r="M608" s="623"/>
    </row>
    <row r="609" spans="1:13" ht="20.399999999999999" thickTop="1" thickBot="1" x14ac:dyDescent="0.5">
      <c r="A609" s="1750" t="s">
        <v>386</v>
      </c>
      <c r="B609" s="1621" t="s">
        <v>388</v>
      </c>
      <c r="C609" s="1485" t="s">
        <v>2047</v>
      </c>
      <c r="D609" s="587"/>
      <c r="E609" s="1496">
        <v>44690.740277777775</v>
      </c>
      <c r="F609" s="1496">
        <v>44690.754166666666</v>
      </c>
      <c r="G609" s="1496"/>
      <c r="H609" s="1496"/>
      <c r="I609" s="594"/>
      <c r="J609" s="1504">
        <f t="shared" ref="J609:J625" si="221">E609+TIME(8,0,0)</f>
        <v>44691.073611111111</v>
      </c>
      <c r="K609" s="659" t="str">
        <f t="shared" ref="K609:K614" si="222">IF($M$609-J609&lt;0, "-" &amp; TEXT(ABS($M$609-J609),"[hh]:mm:ss"), TEXT($M$609-J609,"[hh]:mm:ss"))</f>
        <v>00:10:30</v>
      </c>
      <c r="L609" s="1757">
        <v>0</v>
      </c>
      <c r="M609" s="1751">
        <v>44691.08090277778</v>
      </c>
    </row>
    <row r="610" spans="1:13" ht="19.8" thickTop="1" x14ac:dyDescent="0.45">
      <c r="A610" s="1663"/>
      <c r="B610" s="1655"/>
      <c r="C610" s="1685" t="s">
        <v>3027</v>
      </c>
      <c r="D610" s="1584"/>
      <c r="E610" s="81">
        <v>44690.666666666664</v>
      </c>
      <c r="F610" s="81">
        <v>44690.916666666664</v>
      </c>
      <c r="G610" s="81"/>
      <c r="H610" s="81"/>
      <c r="I610" s="593"/>
      <c r="J610" s="1497">
        <f t="shared" si="221"/>
        <v>44691</v>
      </c>
      <c r="K610" s="660" t="str">
        <f t="shared" si="222"/>
        <v>01:56:30</v>
      </c>
      <c r="L610" s="1663"/>
      <c r="M610" s="1652"/>
    </row>
    <row r="611" spans="1:13" x14ac:dyDescent="0.45">
      <c r="A611" s="1663"/>
      <c r="B611" s="1655"/>
      <c r="C611" s="1690"/>
      <c r="D611" s="1591"/>
      <c r="E611" s="81">
        <v>44690.708333333336</v>
      </c>
      <c r="F611" s="81">
        <v>44690.875</v>
      </c>
      <c r="G611" s="81"/>
      <c r="H611" s="81"/>
      <c r="I611" s="593"/>
      <c r="J611" s="1497">
        <f t="shared" si="221"/>
        <v>44691.041666666672</v>
      </c>
      <c r="K611" s="660" t="str">
        <f t="shared" si="222"/>
        <v>00:56:30</v>
      </c>
      <c r="L611" s="1663"/>
      <c r="M611" s="1652"/>
    </row>
    <row r="612" spans="1:13" x14ac:dyDescent="0.45">
      <c r="A612" s="1663"/>
      <c r="B612" s="1655"/>
      <c r="C612" s="1690"/>
      <c r="D612" s="1591"/>
      <c r="E612" s="81">
        <v>44690.748611111114</v>
      </c>
      <c r="F612" s="81">
        <v>44690.757638888892</v>
      </c>
      <c r="G612" s="81"/>
      <c r="H612" s="81"/>
      <c r="I612" s="593"/>
      <c r="J612" s="1497">
        <f t="shared" si="221"/>
        <v>44691.08194444445</v>
      </c>
      <c r="K612" s="660" t="str">
        <f t="shared" si="222"/>
        <v>-00:01:30</v>
      </c>
      <c r="L612" s="1663"/>
      <c r="M612" s="1652"/>
    </row>
    <row r="613" spans="1:13" x14ac:dyDescent="0.45">
      <c r="A613" s="1663"/>
      <c r="B613" s="1655"/>
      <c r="C613" s="1690"/>
      <c r="D613" s="1591"/>
      <c r="E613" s="81">
        <v>44690.748611111114</v>
      </c>
      <c r="F613" s="81">
        <v>44690.760416666664</v>
      </c>
      <c r="G613" s="81"/>
      <c r="H613" s="81"/>
      <c r="I613" s="593"/>
      <c r="J613" s="1497">
        <f t="shared" si="221"/>
        <v>44691.08194444445</v>
      </c>
      <c r="K613" s="660" t="str">
        <f t="shared" si="222"/>
        <v>-00:01:30</v>
      </c>
      <c r="L613" s="1663"/>
      <c r="M613" s="1652"/>
    </row>
    <row r="614" spans="1:13" ht="19.8" thickBot="1" x14ac:dyDescent="0.5">
      <c r="A614" s="1586"/>
      <c r="B614" s="1639"/>
      <c r="C614" s="1686"/>
      <c r="D614" s="1585"/>
      <c r="E614" s="1514">
        <v>44690.749305555553</v>
      </c>
      <c r="F614" s="1514">
        <v>44690.76458333333</v>
      </c>
      <c r="G614" s="1514"/>
      <c r="H614" s="1514"/>
      <c r="I614" s="656"/>
      <c r="J614" s="1481">
        <f t="shared" si="221"/>
        <v>44691.082638888889</v>
      </c>
      <c r="K614" s="1534" t="str">
        <f t="shared" si="222"/>
        <v>-00:02:30</v>
      </c>
      <c r="L614" s="1586"/>
      <c r="M614" s="1610"/>
    </row>
    <row r="615" spans="1:13" ht="20.399999999999999" thickTop="1" thickBot="1" x14ac:dyDescent="0.5">
      <c r="A615" s="1582" t="s">
        <v>386</v>
      </c>
      <c r="B615" s="1621" t="s">
        <v>388</v>
      </c>
      <c r="C615" s="1485" t="s">
        <v>2047</v>
      </c>
      <c r="D615" s="587"/>
      <c r="E615" s="1496">
        <v>44877.078472222223</v>
      </c>
      <c r="F615" s="1496">
        <v>44877.088888888888</v>
      </c>
      <c r="G615" s="1496"/>
      <c r="H615" s="1496"/>
      <c r="I615" s="594"/>
      <c r="J615" s="1504">
        <f t="shared" si="221"/>
        <v>44877.411805555559</v>
      </c>
      <c r="K615" s="659" t="str">
        <f t="shared" ref="K615:K617" si="223">IF($M$615-J615&lt;0, "-" &amp; TEXT(ABS($M$615-J615),"[hh]:mm:ss"), TEXT($M$615-J615,"[hh]:mm:ss"))</f>
        <v>00:10:12</v>
      </c>
      <c r="L615" s="1640">
        <v>44877.416666666664</v>
      </c>
      <c r="M615" s="1609">
        <v>44877.418888888889</v>
      </c>
    </row>
    <row r="616" spans="1:13" s="85" customFormat="1" ht="20.399999999999999" thickTop="1" thickBot="1" x14ac:dyDescent="0.5">
      <c r="A616" s="1671"/>
      <c r="B616" s="1655"/>
      <c r="C616" s="1612" t="s">
        <v>3027</v>
      </c>
      <c r="D616" s="1584"/>
      <c r="E616" s="83">
        <v>44877.020833333336</v>
      </c>
      <c r="F616" s="83">
        <v>44877.229166666664</v>
      </c>
      <c r="G616" s="83"/>
      <c r="H616" s="83"/>
      <c r="I616" s="593"/>
      <c r="J616" s="1497">
        <f t="shared" si="221"/>
        <v>44877.354166666672</v>
      </c>
      <c r="K616" s="660" t="str">
        <f t="shared" si="223"/>
        <v>01:33:12</v>
      </c>
      <c r="L616" s="1671"/>
      <c r="M616" s="1652"/>
    </row>
    <row r="617" spans="1:13" ht="20.399999999999999" thickTop="1" thickBot="1" x14ac:dyDescent="0.5">
      <c r="A617" s="1586"/>
      <c r="B617" s="1639"/>
      <c r="C617" s="1654"/>
      <c r="D617" s="1585"/>
      <c r="E617" s="1514">
        <v>44877.041666666664</v>
      </c>
      <c r="F617" s="1514">
        <v>44877.208333333336</v>
      </c>
      <c r="G617" s="1514"/>
      <c r="H617" s="1514"/>
      <c r="I617" s="595"/>
      <c r="J617" s="1514">
        <f t="shared" si="221"/>
        <v>44877.375</v>
      </c>
      <c r="K617" s="661" t="str">
        <f t="shared" si="223"/>
        <v>01:03:12</v>
      </c>
      <c r="L617" s="1586"/>
      <c r="M617" s="1610"/>
    </row>
    <row r="618" spans="1:13" ht="20.399999999999999" thickTop="1" thickBot="1" x14ac:dyDescent="0.5">
      <c r="A618" s="1582" t="s">
        <v>386</v>
      </c>
      <c r="B618" s="1621" t="s">
        <v>388</v>
      </c>
      <c r="C618" s="1489" t="s">
        <v>2047</v>
      </c>
      <c r="D618" s="588"/>
      <c r="E618" s="83">
        <v>45056.552083333336</v>
      </c>
      <c r="F618" s="83">
        <v>45056.565972222219</v>
      </c>
      <c r="G618" s="83"/>
      <c r="H618" s="83"/>
      <c r="I618" s="593"/>
      <c r="J618" s="1504">
        <f t="shared" si="221"/>
        <v>45056.885416666672</v>
      </c>
      <c r="K618" s="660" t="str">
        <f t="shared" ref="K618:K621" si="224">IF($M$618-J618&lt;0, "-" &amp; TEXT(ABS($M$618-J618),"[hh]:mm:ss"), TEXT($M$618-J618,"[hh]:mm:ss"))</f>
        <v>00:07:51</v>
      </c>
      <c r="L618" s="1640">
        <v>45056.88958333333</v>
      </c>
      <c r="M618" s="1609">
        <v>45056.890868055554</v>
      </c>
    </row>
    <row r="619" spans="1:13" ht="20.399999999999999" thickTop="1" thickBot="1" x14ac:dyDescent="0.5">
      <c r="A619" s="1671"/>
      <c r="B619" s="1655"/>
      <c r="C619" s="1693" t="s">
        <v>3027</v>
      </c>
      <c r="D619" s="1584"/>
      <c r="E619" s="1530">
        <v>45056.556944444441</v>
      </c>
      <c r="F619" s="1530">
        <v>45056.573611111111</v>
      </c>
      <c r="G619" s="1530"/>
      <c r="H619" s="1530"/>
      <c r="I619" s="596"/>
      <c r="J619" s="1530">
        <f t="shared" si="221"/>
        <v>45056.890277777777</v>
      </c>
      <c r="K619" s="663" t="str">
        <f t="shared" si="224"/>
        <v>00:00:51</v>
      </c>
      <c r="L619" s="1671"/>
      <c r="M619" s="1652"/>
    </row>
    <row r="620" spans="1:13" s="85" customFormat="1" ht="19.8" thickTop="1" x14ac:dyDescent="0.45">
      <c r="A620" s="1671"/>
      <c r="B620" s="1655"/>
      <c r="C620" s="1690"/>
      <c r="D620" s="1591"/>
      <c r="E620" s="1473">
        <v>45056.557638888888</v>
      </c>
      <c r="F620" s="1473">
        <v>45056.576388888891</v>
      </c>
      <c r="G620" s="1473"/>
      <c r="H620" s="1473"/>
      <c r="I620" s="593"/>
      <c r="J620" s="1497">
        <f t="shared" si="221"/>
        <v>45056.890972222223</v>
      </c>
      <c r="K620" s="663" t="str">
        <f t="shared" si="224"/>
        <v>-00:00:09</v>
      </c>
      <c r="L620" s="1671"/>
      <c r="M620" s="1652"/>
    </row>
    <row r="621" spans="1:13" s="104" customFormat="1" ht="19.8" thickBot="1" x14ac:dyDescent="0.5">
      <c r="A621" s="1586"/>
      <c r="B621" s="1639"/>
      <c r="C621" s="1654"/>
      <c r="D621" s="1585"/>
      <c r="E621" s="1514">
        <v>45056.557638888888</v>
      </c>
      <c r="F621" s="1514">
        <v>45056.580555555556</v>
      </c>
      <c r="G621" s="1514"/>
      <c r="H621" s="1514"/>
      <c r="I621" s="656"/>
      <c r="J621" s="1481">
        <f t="shared" si="221"/>
        <v>45056.890972222223</v>
      </c>
      <c r="K621" s="1534" t="str">
        <f t="shared" si="224"/>
        <v>-00:00:09</v>
      </c>
      <c r="L621" s="1586"/>
      <c r="M621" s="1610"/>
    </row>
    <row r="622" spans="1:13" s="104" customFormat="1" ht="20.399999999999999" thickTop="1" thickBot="1" x14ac:dyDescent="0.5">
      <c r="A622" s="1582" t="s">
        <v>386</v>
      </c>
      <c r="B622" s="1621" t="s">
        <v>388</v>
      </c>
      <c r="C622" s="1489" t="s">
        <v>2047</v>
      </c>
      <c r="D622" s="588" t="s">
        <v>1462</v>
      </c>
      <c r="E622" s="83">
        <v>45308.595138888886</v>
      </c>
      <c r="F622" s="83">
        <v>45308.606944444444</v>
      </c>
      <c r="G622" s="83"/>
      <c r="H622" s="83"/>
      <c r="I622" s="593"/>
      <c r="J622" s="1504">
        <f t="shared" si="221"/>
        <v>45308.928472222222</v>
      </c>
      <c r="K622" s="660" t="str">
        <f t="shared" ref="K622:K625" si="225">IF($M$622-J622&lt;0, "-" &amp; TEXT(ABS($M$622-J622),"[hh]:mm:ss"), TEXT($M$622-J622,"[hh]:mm:ss"))</f>
        <v>00:10:30</v>
      </c>
      <c r="L622" s="1640">
        <v>45308.934027777781</v>
      </c>
      <c r="M622" s="1609">
        <v>45308.935763888891</v>
      </c>
    </row>
    <row r="623" spans="1:13" s="104" customFormat="1" ht="20.399999999999999" thickTop="1" thickBot="1" x14ac:dyDescent="0.5">
      <c r="A623" s="1638"/>
      <c r="B623" s="1615"/>
      <c r="C623" s="1693" t="s">
        <v>3027</v>
      </c>
      <c r="D623" s="1530" t="s">
        <v>1465</v>
      </c>
      <c r="E623" s="1530">
        <v>45308.595833333333</v>
      </c>
      <c r="F623" s="1530">
        <v>45308.61041666667</v>
      </c>
      <c r="G623" s="1530"/>
      <c r="H623" s="1530"/>
      <c r="I623" s="596"/>
      <c r="J623" s="1530">
        <f t="shared" si="221"/>
        <v>45308.929166666669</v>
      </c>
      <c r="K623" s="663" t="str">
        <f t="shared" si="225"/>
        <v>00:09:30</v>
      </c>
      <c r="L623" s="1638"/>
      <c r="M623" s="1635"/>
    </row>
    <row r="624" spans="1:13" s="85" customFormat="1" ht="19.8" thickTop="1" x14ac:dyDescent="0.45">
      <c r="A624" s="1638"/>
      <c r="B624" s="1615"/>
      <c r="C624" s="1756"/>
      <c r="D624" s="1530" t="s">
        <v>1463</v>
      </c>
      <c r="E624" s="1473">
        <v>45308.59652777778</v>
      </c>
      <c r="F624" s="1473">
        <v>45308.61041666667</v>
      </c>
      <c r="G624" s="1473"/>
      <c r="H624" s="1473"/>
      <c r="I624" s="593"/>
      <c r="J624" s="1497">
        <f t="shared" si="221"/>
        <v>45308.929861111115</v>
      </c>
      <c r="K624" s="660" t="str">
        <f t="shared" si="225"/>
        <v>00:08:30</v>
      </c>
      <c r="L624" s="1638"/>
      <c r="M624" s="1635"/>
    </row>
    <row r="625" spans="1:13" s="85" customFormat="1" ht="19.8" thickBot="1" x14ac:dyDescent="0.5">
      <c r="A625" s="1583"/>
      <c r="B625" s="1608"/>
      <c r="C625" s="1698"/>
      <c r="D625" s="1481" t="s">
        <v>1464</v>
      </c>
      <c r="E625" s="1514">
        <v>45308.597222222219</v>
      </c>
      <c r="F625" s="1514">
        <v>45308.613194444442</v>
      </c>
      <c r="G625" s="1514"/>
      <c r="H625" s="1514"/>
      <c r="I625" s="656"/>
      <c r="J625" s="1481">
        <f t="shared" si="221"/>
        <v>45308.930555555555</v>
      </c>
      <c r="K625" s="1534" t="str">
        <f t="shared" si="225"/>
        <v>00:07:30</v>
      </c>
      <c r="L625" s="1583"/>
      <c r="M625" s="1624"/>
    </row>
    <row r="626" spans="1:13" s="85" customFormat="1" ht="20.399999999999999" thickTop="1" thickBot="1" x14ac:dyDescent="0.5">
      <c r="A626" s="1582" t="s">
        <v>386</v>
      </c>
      <c r="B626" s="1621" t="s">
        <v>388</v>
      </c>
      <c r="C626" s="1489" t="s">
        <v>2047</v>
      </c>
      <c r="D626" s="588" t="s">
        <v>2428</v>
      </c>
      <c r="E626" s="83">
        <v>45611.627083333333</v>
      </c>
      <c r="F626" s="83">
        <v>45611.638888888891</v>
      </c>
      <c r="G626" s="83"/>
      <c r="H626" s="83"/>
      <c r="I626" s="593"/>
      <c r="J626" s="1504">
        <f t="shared" ref="J626:J632" si="226">E626+TIME(8,0,0)</f>
        <v>45611.960416666669</v>
      </c>
      <c r="K626" s="660" t="str">
        <f t="shared" ref="K626:K632" si="227">IF($M$626-J626&lt;0, "-" &amp; TEXT(ABS($M$626-J626),"[hh]:mm:ss"), TEXT($M$626-J626,"[hh]:mm:ss"))</f>
        <v>00:10:00</v>
      </c>
      <c r="L626" s="1640">
        <v>45611.966666666667</v>
      </c>
      <c r="M626" s="1609">
        <v>45611.967361111114</v>
      </c>
    </row>
    <row r="627" spans="1:13" s="85" customFormat="1" ht="19.8" thickTop="1" x14ac:dyDescent="0.45">
      <c r="A627" s="1619"/>
      <c r="B627" s="1615"/>
      <c r="C627" s="1613" t="s">
        <v>3027</v>
      </c>
      <c r="D627" s="1530" t="s">
        <v>2433</v>
      </c>
      <c r="E627" s="1530">
        <v>45611.628472222219</v>
      </c>
      <c r="F627" s="1530">
        <v>45611.626388888886</v>
      </c>
      <c r="G627" s="1530"/>
      <c r="H627" s="1530"/>
      <c r="I627" s="596"/>
      <c r="J627" s="1530">
        <f>E627+TIME(8,0,0)</f>
        <v>45611.961805555555</v>
      </c>
      <c r="K627" s="663" t="str">
        <f t="shared" si="227"/>
        <v>00:08:00</v>
      </c>
      <c r="L627" s="1591"/>
      <c r="M627" s="1589"/>
    </row>
    <row r="628" spans="1:13" s="104" customFormat="1" x14ac:dyDescent="0.45">
      <c r="A628" s="1619"/>
      <c r="B628" s="1615"/>
      <c r="C628" s="1651"/>
      <c r="D628" s="1530" t="s">
        <v>2431</v>
      </c>
      <c r="E628" s="1530">
        <v>45611.628472222219</v>
      </c>
      <c r="F628" s="1530">
        <v>45611.626388888886</v>
      </c>
      <c r="G628" s="1530"/>
      <c r="H628" s="1530"/>
      <c r="I628" s="596"/>
      <c r="J628" s="1530">
        <f>E628+TIME(8,0,0)</f>
        <v>45611.961805555555</v>
      </c>
      <c r="K628" s="663" t="str">
        <f t="shared" si="227"/>
        <v>00:08:00</v>
      </c>
      <c r="L628" s="1591"/>
      <c r="M628" s="1589"/>
    </row>
    <row r="629" spans="1:13" s="104" customFormat="1" x14ac:dyDescent="0.45">
      <c r="A629" s="1619"/>
      <c r="B629" s="1615"/>
      <c r="C629" s="1651"/>
      <c r="D629" s="1530" t="s">
        <v>2432</v>
      </c>
      <c r="E629" s="1497">
        <v>45611.629166666666</v>
      </c>
      <c r="F629" s="1497">
        <v>45611.626388888886</v>
      </c>
      <c r="G629" s="1497"/>
      <c r="H629" s="1497"/>
      <c r="I629" s="593"/>
      <c r="J629" s="1497">
        <f>E629+TIME(8,0,0)</f>
        <v>45611.962500000001</v>
      </c>
      <c r="K629" s="660" t="str">
        <f t="shared" si="227"/>
        <v>00:07:00</v>
      </c>
      <c r="L629" s="1591"/>
      <c r="M629" s="1589"/>
    </row>
    <row r="630" spans="1:13" s="104" customFormat="1" x14ac:dyDescent="0.45">
      <c r="A630" s="1638"/>
      <c r="B630" s="1615"/>
      <c r="C630" s="1651"/>
      <c r="D630" s="1530" t="s">
        <v>2281</v>
      </c>
      <c r="E630" s="1530">
        <v>45611.541666666664</v>
      </c>
      <c r="F630" s="1530">
        <v>45611.666666666664</v>
      </c>
      <c r="G630" s="1530"/>
      <c r="H630" s="1530"/>
      <c r="I630" s="596"/>
      <c r="J630" s="1530">
        <f t="shared" si="226"/>
        <v>45611.875</v>
      </c>
      <c r="K630" s="663" t="str">
        <f t="shared" si="227"/>
        <v>02:13:00</v>
      </c>
      <c r="L630" s="1638"/>
      <c r="M630" s="1635"/>
    </row>
    <row r="631" spans="1:13" s="85" customFormat="1" collapsed="1" x14ac:dyDescent="0.45">
      <c r="A631" s="1638"/>
      <c r="B631" s="1615"/>
      <c r="C631" s="1651"/>
      <c r="D631" s="1530" t="s">
        <v>2282</v>
      </c>
      <c r="E631" s="1473">
        <v>45611.541666666664</v>
      </c>
      <c r="F631" s="1473">
        <v>45611.666666666664</v>
      </c>
      <c r="G631" s="1473"/>
      <c r="H631" s="1473"/>
      <c r="I631" s="593"/>
      <c r="J631" s="1497">
        <f t="shared" si="226"/>
        <v>45611.875</v>
      </c>
      <c r="K631" s="660" t="str">
        <f t="shared" si="227"/>
        <v>02:13:00</v>
      </c>
      <c r="L631" s="1638"/>
      <c r="M631" s="1635"/>
    </row>
    <row r="632" spans="1:13" s="85" customFormat="1" ht="19.8" thickBot="1" x14ac:dyDescent="0.5">
      <c r="A632" s="1583"/>
      <c r="B632" s="1608"/>
      <c r="C632" s="1612"/>
      <c r="D632" s="1481" t="s">
        <v>2283</v>
      </c>
      <c r="E632" s="1514">
        <v>45611.541666666664</v>
      </c>
      <c r="F632" s="1514">
        <v>45611.666666666664</v>
      </c>
      <c r="G632" s="1514"/>
      <c r="H632" s="1514"/>
      <c r="I632" s="656"/>
      <c r="J632" s="1481">
        <f t="shared" si="226"/>
        <v>45611.875</v>
      </c>
      <c r="K632" s="1534" t="str">
        <f t="shared" si="227"/>
        <v>02:13:00</v>
      </c>
      <c r="L632" s="1583"/>
      <c r="M632" s="1624"/>
    </row>
    <row r="633" spans="1:13" s="85" customFormat="1" ht="20.399999999999999" thickTop="1" thickBot="1" x14ac:dyDescent="0.5">
      <c r="A633" s="1582" t="s">
        <v>386</v>
      </c>
      <c r="B633" s="1621" t="s">
        <v>388</v>
      </c>
      <c r="C633" s="1489" t="s">
        <v>2047</v>
      </c>
      <c r="D633" s="588" t="s">
        <v>2879</v>
      </c>
      <c r="E633" s="83">
        <v>45852.895833333336</v>
      </c>
      <c r="F633" s="83">
        <v>45852.907638888886</v>
      </c>
      <c r="G633" s="83"/>
      <c r="H633" s="83"/>
      <c r="I633" s="593"/>
      <c r="J633" s="1504">
        <f t="shared" ref="J633" si="228">E633+TIME(8,0,0)</f>
        <v>45853.229166666672</v>
      </c>
      <c r="K633" s="660" t="str">
        <f t="shared" ref="K633:K639" si="229">IF($M$633-J633&lt;0, "-" &amp; TEXT(ABS($M$633-J633),"[hh]:mm:ss"), TEXT($M$633-J633,"[hh]:mm:ss"))</f>
        <v>00:04:00</v>
      </c>
      <c r="L633" s="1640">
        <v>45853.236111111109</v>
      </c>
      <c r="M633" s="1609">
        <v>45853.231944444444</v>
      </c>
    </row>
    <row r="634" spans="1:13" s="85" customFormat="1" ht="19.8" thickTop="1" x14ac:dyDescent="0.45">
      <c r="A634" s="1619"/>
      <c r="B634" s="1615"/>
      <c r="C634" s="1613" t="s">
        <v>3027</v>
      </c>
      <c r="D634" s="1530" t="s">
        <v>2880</v>
      </c>
      <c r="E634" s="1530">
        <v>45852.897222222222</v>
      </c>
      <c r="F634" s="1530">
        <v>45852.911111111112</v>
      </c>
      <c r="G634" s="1530"/>
      <c r="H634" s="1530"/>
      <c r="I634" s="596"/>
      <c r="J634" s="1530">
        <f>E634+TIME(8,0,0)</f>
        <v>45853.230555555558</v>
      </c>
      <c r="K634" s="663" t="str">
        <f t="shared" si="229"/>
        <v>00:02:00</v>
      </c>
      <c r="L634" s="1591"/>
      <c r="M634" s="1589"/>
    </row>
    <row r="635" spans="1:13" s="104" customFormat="1" x14ac:dyDescent="0.45">
      <c r="A635" s="1619"/>
      <c r="B635" s="1615"/>
      <c r="C635" s="1651"/>
      <c r="D635" s="1530" t="s">
        <v>2881</v>
      </c>
      <c r="E635" s="1530">
        <v>45852.897916666669</v>
      </c>
      <c r="F635" s="1530">
        <v>45852.911111111112</v>
      </c>
      <c r="G635" s="1530"/>
      <c r="H635" s="1530"/>
      <c r="I635" s="596"/>
      <c r="J635" s="1530">
        <f>E635+TIME(8,0,0)</f>
        <v>45853.231250000004</v>
      </c>
      <c r="K635" s="663" t="str">
        <f t="shared" si="229"/>
        <v>00:01:00</v>
      </c>
      <c r="L635" s="1591"/>
      <c r="M635" s="1589"/>
    </row>
    <row r="636" spans="1:13" s="104" customFormat="1" x14ac:dyDescent="0.45">
      <c r="A636" s="1619"/>
      <c r="B636" s="1615"/>
      <c r="C636" s="1651"/>
      <c r="D636" s="1530" t="s">
        <v>2882</v>
      </c>
      <c r="E636" s="1497">
        <v>45852.897916666669</v>
      </c>
      <c r="F636" s="1497">
        <v>45852.913888888892</v>
      </c>
      <c r="G636" s="1497"/>
      <c r="H636" s="1497"/>
      <c r="I636" s="593"/>
      <c r="J636" s="1497">
        <f>E636+TIME(8,0,0)</f>
        <v>45853.231250000004</v>
      </c>
      <c r="K636" s="660" t="str">
        <f t="shared" si="229"/>
        <v>00:01:00</v>
      </c>
      <c r="L636" s="1591"/>
      <c r="M636" s="1589"/>
    </row>
    <row r="637" spans="1:13" s="104" customFormat="1" x14ac:dyDescent="0.45">
      <c r="A637" s="1638"/>
      <c r="B637" s="1615"/>
      <c r="C637" s="1651"/>
      <c r="D637" s="1530" t="s">
        <v>2867</v>
      </c>
      <c r="E637" s="1530">
        <v>45852.75</v>
      </c>
      <c r="F637" s="1530">
        <v>45856.916666666664</v>
      </c>
      <c r="G637" s="1530"/>
      <c r="H637" s="1530"/>
      <c r="I637" s="596"/>
      <c r="J637" s="1530">
        <f t="shared" ref="J637:J640" si="230">E637+TIME(8,0,0)</f>
        <v>45853.083333333336</v>
      </c>
      <c r="K637" s="663" t="str">
        <f t="shared" si="229"/>
        <v>03:34:00</v>
      </c>
      <c r="L637" s="1638"/>
      <c r="M637" s="1635"/>
    </row>
    <row r="638" spans="1:13" x14ac:dyDescent="0.45">
      <c r="A638" s="1638"/>
      <c r="B638" s="1615"/>
      <c r="C638" s="1651"/>
      <c r="D638" s="1530" t="s">
        <v>2868</v>
      </c>
      <c r="E638" s="1473">
        <v>45852.75</v>
      </c>
      <c r="F638" s="1473">
        <v>45856.916666666664</v>
      </c>
      <c r="G638" s="1473"/>
      <c r="H638" s="1473"/>
      <c r="I638" s="593"/>
      <c r="J638" s="1497">
        <f t="shared" si="230"/>
        <v>45853.083333333336</v>
      </c>
      <c r="K638" s="660" t="str">
        <f t="shared" si="229"/>
        <v>03:34:00</v>
      </c>
      <c r="L638" s="1638"/>
      <c r="M638" s="1635"/>
    </row>
    <row r="639" spans="1:13" ht="19.8" thickBot="1" x14ac:dyDescent="0.5">
      <c r="A639" s="1583"/>
      <c r="B639" s="1608"/>
      <c r="C639" s="1612"/>
      <c r="D639" s="1481" t="s">
        <v>2869</v>
      </c>
      <c r="E639" s="1514">
        <v>45852.75</v>
      </c>
      <c r="F639" s="1514">
        <v>45856.916666666664</v>
      </c>
      <c r="G639" s="1514"/>
      <c r="H639" s="1514"/>
      <c r="I639" s="656"/>
      <c r="J639" s="1481">
        <f t="shared" si="230"/>
        <v>45853.083333333336</v>
      </c>
      <c r="K639" s="1534" t="str">
        <f t="shared" si="229"/>
        <v>03:34:00</v>
      </c>
      <c r="L639" s="1583"/>
      <c r="M639" s="1624"/>
    </row>
    <row r="640" spans="1:13" s="85" customFormat="1" ht="20.399999999999999" thickTop="1" thickBot="1" x14ac:dyDescent="0.5">
      <c r="A640" s="1582" t="s">
        <v>386</v>
      </c>
      <c r="B640" s="1621" t="s">
        <v>388</v>
      </c>
      <c r="C640" s="1489" t="s">
        <v>1280</v>
      </c>
      <c r="D640" s="588" t="s">
        <v>3569</v>
      </c>
      <c r="E640" s="83">
        <v>46153</v>
      </c>
      <c r="F640" s="83">
        <v>46155.020833333336</v>
      </c>
      <c r="G640" s="83"/>
      <c r="H640" s="83"/>
      <c r="I640" s="593"/>
      <c r="J640" s="1504">
        <f t="shared" si="230"/>
        <v>46153.333333333336</v>
      </c>
      <c r="K640" s="660" t="str">
        <f>IF($M$640-J640&lt;0, "-" &amp; TEXT(ABS($M$640-J640),"[hh]:mm:ss"), TEXT($M$640-J640,"[hh]:mm:ss"))</f>
        <v>00:14:00</v>
      </c>
      <c r="L640" s="1640">
        <v>46153.343055555553</v>
      </c>
      <c r="M640" s="1609">
        <v>46153.343055555553</v>
      </c>
    </row>
    <row r="641" spans="1:13" s="85" customFormat="1" ht="19.8" thickTop="1" x14ac:dyDescent="0.45">
      <c r="A641" s="1619"/>
      <c r="B641" s="1615"/>
      <c r="C641" s="1613" t="s">
        <v>3027</v>
      </c>
      <c r="D641" s="1530" t="s">
        <v>3571</v>
      </c>
      <c r="E641" s="1530">
        <v>46153.003472222219</v>
      </c>
      <c r="F641" s="1530">
        <v>46153.020138888889</v>
      </c>
      <c r="G641" s="1530"/>
      <c r="H641" s="1530"/>
      <c r="I641" s="596"/>
      <c r="J641" s="1530">
        <f>E641+TIME(8,0,0)</f>
        <v>46153.336805555555</v>
      </c>
      <c r="K641" s="663" t="str">
        <f t="shared" ref="K641:K642" si="231">IF($M$640-J641&lt;0, "-" &amp; TEXT(ABS($M$640-J641),"[hh]:mm:ss"), TEXT($M$640-J641,"[hh]:mm:ss"))</f>
        <v>00:09:00</v>
      </c>
      <c r="L641" s="1591"/>
      <c r="M641" s="1589"/>
    </row>
    <row r="642" spans="1:13" s="104" customFormat="1" ht="19.8" thickBot="1" x14ac:dyDescent="0.5">
      <c r="A642" s="1583"/>
      <c r="B642" s="1608"/>
      <c r="C642" s="1612"/>
      <c r="D642" s="1481" t="s">
        <v>3536</v>
      </c>
      <c r="E642" s="1514">
        <v>46152.916666666664</v>
      </c>
      <c r="F642" s="1514">
        <v>46156.083333333336</v>
      </c>
      <c r="G642" s="1514"/>
      <c r="H642" s="1514"/>
      <c r="I642" s="656"/>
      <c r="J642" s="1481">
        <f t="shared" ref="J642" si="232">E642+TIME(8,0,0)</f>
        <v>46153.25</v>
      </c>
      <c r="K642" s="1534" t="str">
        <f t="shared" si="231"/>
        <v>02:14:00</v>
      </c>
      <c r="L642" s="1583"/>
      <c r="M642" s="1624"/>
    </row>
    <row r="643" spans="1:13" ht="20.399999999999999" thickTop="1" thickBot="1" x14ac:dyDescent="0.5">
      <c r="A643" s="314"/>
      <c r="B643" s="314"/>
      <c r="C643" s="633"/>
      <c r="D643" s="84"/>
      <c r="E643" s="84"/>
      <c r="F643" s="84"/>
      <c r="G643" s="84"/>
      <c r="H643" s="84"/>
      <c r="I643" s="599"/>
      <c r="J643" s="90"/>
      <c r="K643" s="666"/>
      <c r="L643" s="314"/>
      <c r="M643" s="623"/>
    </row>
    <row r="644" spans="1:13" s="85" customFormat="1" ht="20.399999999999999" thickTop="1" thickBot="1" x14ac:dyDescent="0.5">
      <c r="A644" s="1582" t="s">
        <v>543</v>
      </c>
      <c r="B644" s="1621" t="s">
        <v>388</v>
      </c>
      <c r="C644" s="1489" t="s">
        <v>2047</v>
      </c>
      <c r="D644" s="588" t="s">
        <v>2720</v>
      </c>
      <c r="E644" s="83">
        <v>44817.547222222223</v>
      </c>
      <c r="F644" s="83">
        <v>44817.599305555559</v>
      </c>
      <c r="G644" s="83"/>
      <c r="H644" s="83"/>
      <c r="I644" s="593"/>
      <c r="J644" s="1504">
        <f t="shared" ref="J644:J661" si="233">E644+TIME(8,0,0)</f>
        <v>44817.880555555559</v>
      </c>
      <c r="K644" s="660" t="str">
        <f t="shared" ref="K644:K646" si="234">IF($M$644-J644&lt;0, "-" &amp; TEXT(ABS($M$644-J644),"[hh]:mm:ss"), TEXT($M$644-J644,"[hh]:mm:ss"))</f>
        <v>00:10:47</v>
      </c>
      <c r="L644" s="1640">
        <v>44817.895833333336</v>
      </c>
      <c r="M644" s="1609">
        <v>44817.888043981482</v>
      </c>
    </row>
    <row r="645" spans="1:13" ht="20.399999999999999" thickTop="1" thickBot="1" x14ac:dyDescent="0.5">
      <c r="A645" s="1583"/>
      <c r="B645" s="1608"/>
      <c r="C645" s="1489" t="s">
        <v>981</v>
      </c>
      <c r="D645" s="160" t="s">
        <v>2718</v>
      </c>
      <c r="E645" s="1473">
        <v>44817.5</v>
      </c>
      <c r="F645" s="1473">
        <v>44817.666666666664</v>
      </c>
      <c r="G645" s="1473"/>
      <c r="H645" s="1473"/>
      <c r="I645" s="600"/>
      <c r="J645" s="1473">
        <f t="shared" ref="J645" si="235">E645+TIME(8,0,0)</f>
        <v>44817.833333333336</v>
      </c>
      <c r="K645" s="667" t="str">
        <f t="shared" si="234"/>
        <v>01:18:47</v>
      </c>
      <c r="L645" s="1585"/>
      <c r="M645" s="1590"/>
    </row>
    <row r="646" spans="1:13" ht="20.399999999999999" thickTop="1" thickBot="1" x14ac:dyDescent="0.5">
      <c r="A646" s="1586"/>
      <c r="B646" s="1639"/>
      <c r="C646" s="1474" t="s">
        <v>3027</v>
      </c>
      <c r="D646" s="82" t="s">
        <v>2719</v>
      </c>
      <c r="E646" s="1514">
        <v>44817.5</v>
      </c>
      <c r="F646" s="1514">
        <v>44817.666666666664</v>
      </c>
      <c r="G646" s="1514"/>
      <c r="H646" s="1514"/>
      <c r="I646" s="595"/>
      <c r="J646" s="1514">
        <f t="shared" si="233"/>
        <v>44817.833333333336</v>
      </c>
      <c r="K646" s="661" t="str">
        <f t="shared" si="234"/>
        <v>01:18:47</v>
      </c>
      <c r="L646" s="1586"/>
      <c r="M646" s="1610"/>
    </row>
    <row r="647" spans="1:13" ht="20.399999999999999" thickTop="1" thickBot="1" x14ac:dyDescent="0.5">
      <c r="A647" s="1582" t="s">
        <v>543</v>
      </c>
      <c r="B647" s="1621" t="s">
        <v>388</v>
      </c>
      <c r="C647" s="1485" t="s">
        <v>2047</v>
      </c>
      <c r="D647" s="587" t="s">
        <v>2721</v>
      </c>
      <c r="E647" s="1496">
        <v>44934.909722222219</v>
      </c>
      <c r="F647" s="1496">
        <v>44935.052083333336</v>
      </c>
      <c r="G647" s="1496"/>
      <c r="H647" s="1496"/>
      <c r="I647" s="594"/>
      <c r="J647" s="1504">
        <f t="shared" si="233"/>
        <v>44935.243055555555</v>
      </c>
      <c r="K647" s="659" t="str">
        <f t="shared" ref="K647:K649" si="236">IF($M$647-J647&lt;0, "-" &amp; TEXT(ABS($M$647-J647),"[hh]:mm:ss"), TEXT($M$647-J647,"[hh]:mm:ss"))</f>
        <v>00:10:00</v>
      </c>
      <c r="L647" s="1640">
        <v>44935.291666666664</v>
      </c>
      <c r="M647" s="1609">
        <v>44935.25</v>
      </c>
    </row>
    <row r="648" spans="1:13" ht="19.8" thickTop="1" x14ac:dyDescent="0.45">
      <c r="A648" s="1671"/>
      <c r="B648" s="1655"/>
      <c r="C648" s="1489" t="s">
        <v>981</v>
      </c>
      <c r="D648" s="588"/>
      <c r="E648" s="83">
        <v>44934.914583333331</v>
      </c>
      <c r="F648" s="83">
        <v>44935.077777777777</v>
      </c>
      <c r="G648" s="83"/>
      <c r="H648" s="83"/>
      <c r="I648" s="593"/>
      <c r="J648" s="1530">
        <f t="shared" si="233"/>
        <v>44935.247916666667</v>
      </c>
      <c r="K648" s="660" t="str">
        <f t="shared" si="236"/>
        <v>00:03:00</v>
      </c>
      <c r="L648" s="1671"/>
      <c r="M648" s="1652"/>
    </row>
    <row r="649" spans="1:13" ht="19.8" thickBot="1" x14ac:dyDescent="0.5">
      <c r="A649" s="1586"/>
      <c r="B649" s="1639"/>
      <c r="C649" s="1474" t="s">
        <v>3027</v>
      </c>
      <c r="D649" s="82"/>
      <c r="E649" s="1514">
        <v>44934.895833333336</v>
      </c>
      <c r="F649" s="1514">
        <v>44935.083333333336</v>
      </c>
      <c r="G649" s="1514"/>
      <c r="H649" s="1514"/>
      <c r="I649" s="656"/>
      <c r="J649" s="1481">
        <f t="shared" si="233"/>
        <v>44935.229166666672</v>
      </c>
      <c r="K649" s="1534" t="str">
        <f t="shared" si="236"/>
        <v>00:30:00</v>
      </c>
      <c r="L649" s="1586"/>
      <c r="M649" s="1610"/>
    </row>
    <row r="650" spans="1:13" ht="20.399999999999999" thickTop="1" thickBot="1" x14ac:dyDescent="0.5">
      <c r="A650" s="1583" t="s">
        <v>543</v>
      </c>
      <c r="B650" s="1608" t="s">
        <v>388</v>
      </c>
      <c r="C650" s="1485" t="s">
        <v>2047</v>
      </c>
      <c r="D650" s="587" t="s">
        <v>1250</v>
      </c>
      <c r="E650" s="1504">
        <v>45233.613888888889</v>
      </c>
      <c r="F650" s="1504">
        <v>45233.707638888889</v>
      </c>
      <c r="G650" s="1504"/>
      <c r="H650" s="1504"/>
      <c r="I650" s="594"/>
      <c r="J650" s="1504">
        <f t="shared" si="233"/>
        <v>45233.947222222225</v>
      </c>
      <c r="K650" s="659" t="str">
        <f t="shared" ref="K650:K653" si="237">IF($M$650-J650&lt;0, "-" &amp; TEXT(ABS($M$650-J650),"[hh]:mm:ss"), TEXT($M$650-J650,"[hh]:mm:ss"))</f>
        <v>00:10:00</v>
      </c>
      <c r="L650" s="1585">
        <v>45233.947916666664</v>
      </c>
      <c r="M650" s="1590">
        <v>45233.95416666667</v>
      </c>
    </row>
    <row r="651" spans="1:13" ht="20.399999999999999" thickTop="1" thickBot="1" x14ac:dyDescent="0.5">
      <c r="A651" s="1583"/>
      <c r="B651" s="1608"/>
      <c r="C651" s="1613" t="s">
        <v>3027</v>
      </c>
      <c r="D651" s="319" t="s">
        <v>1251</v>
      </c>
      <c r="E651" s="1530">
        <v>45233.615277777775</v>
      </c>
      <c r="F651" s="1530">
        <v>45233.711111111108</v>
      </c>
      <c r="G651" s="1530"/>
      <c r="H651" s="1530"/>
      <c r="I651" s="596"/>
      <c r="J651" s="1530">
        <f t="shared" si="233"/>
        <v>45233.948611111111</v>
      </c>
      <c r="K651" s="663" t="str">
        <f t="shared" si="237"/>
        <v>00:08:00</v>
      </c>
      <c r="L651" s="1585"/>
      <c r="M651" s="1590"/>
    </row>
    <row r="652" spans="1:13" s="104" customFormat="1" ht="20.399999999999999" thickTop="1" thickBot="1" x14ac:dyDescent="0.5">
      <c r="A652" s="1583"/>
      <c r="B652" s="1608"/>
      <c r="C652" s="1617"/>
      <c r="D652" s="319" t="s">
        <v>1252</v>
      </c>
      <c r="E652" s="1530">
        <v>45233.616666666669</v>
      </c>
      <c r="F652" s="1530">
        <v>45233.714583333334</v>
      </c>
      <c r="G652" s="1530"/>
      <c r="H652" s="1530"/>
      <c r="I652" s="596"/>
      <c r="J652" s="1530">
        <f t="shared" si="233"/>
        <v>45233.950000000004</v>
      </c>
      <c r="K652" s="663" t="str">
        <f t="shared" si="237"/>
        <v>00:06:00</v>
      </c>
      <c r="L652" s="1585"/>
      <c r="M652" s="1590"/>
    </row>
    <row r="653" spans="1:13" s="104" customFormat="1" ht="20.399999999999999" thickTop="1" thickBot="1" x14ac:dyDescent="0.5">
      <c r="A653" s="1583"/>
      <c r="B653" s="1608"/>
      <c r="C653" s="1474" t="s">
        <v>981</v>
      </c>
      <c r="D653" s="82" t="s">
        <v>1253</v>
      </c>
      <c r="E653" s="1514">
        <v>45233.618055555555</v>
      </c>
      <c r="F653" s="1514">
        <v>45233.715277777781</v>
      </c>
      <c r="G653" s="1514"/>
      <c r="H653" s="1514"/>
      <c r="I653" s="595"/>
      <c r="J653" s="1514">
        <f t="shared" si="233"/>
        <v>45233.951388888891</v>
      </c>
      <c r="K653" s="661" t="str">
        <f t="shared" si="237"/>
        <v>00:04:00</v>
      </c>
      <c r="L653" s="1583"/>
      <c r="M653" s="1624"/>
    </row>
    <row r="654" spans="1:13" s="104" customFormat="1" ht="19.8" thickTop="1" x14ac:dyDescent="0.45">
      <c r="A654" s="1618" t="s">
        <v>543</v>
      </c>
      <c r="B654" s="1607" t="s">
        <v>388</v>
      </c>
      <c r="C654" s="1485" t="s">
        <v>1280</v>
      </c>
      <c r="D654" s="587" t="s">
        <v>2023</v>
      </c>
      <c r="E654" s="1504">
        <v>45472.479166666664</v>
      </c>
      <c r="F654" s="1504">
        <v>45472.5625</v>
      </c>
      <c r="G654" s="1504"/>
      <c r="H654" s="1504"/>
      <c r="I654" s="594"/>
      <c r="J654" s="1504">
        <f t="shared" si="233"/>
        <v>45472.8125</v>
      </c>
      <c r="K654" s="659" t="str">
        <f t="shared" ref="K654:K661" si="238">IF($M$654-J654&lt;0, "-" &amp; TEXT(ABS($M$654-J654),"[hh]:mm:ss"), TEXT($M$654-J654,"[hh]:mm:ss"))</f>
        <v>00:27:00</v>
      </c>
      <c r="L654" s="1587">
        <v>45472.831250000003</v>
      </c>
      <c r="M654" s="1588">
        <v>45472.831250000003</v>
      </c>
    </row>
    <row r="655" spans="1:13" s="104" customFormat="1" x14ac:dyDescent="0.45">
      <c r="A655" s="1619"/>
      <c r="B655" s="1615"/>
      <c r="C655" s="1489" t="s">
        <v>2047</v>
      </c>
      <c r="D655" s="588" t="s">
        <v>2017</v>
      </c>
      <c r="E655" s="1497">
        <v>45472.490972222222</v>
      </c>
      <c r="F655" s="1497">
        <v>45472.560416666667</v>
      </c>
      <c r="G655" s="1497"/>
      <c r="H655" s="1497"/>
      <c r="I655" s="593"/>
      <c r="J655" s="1497">
        <f t="shared" si="233"/>
        <v>45472.824305555558</v>
      </c>
      <c r="K655" s="660" t="str">
        <f t="shared" si="238"/>
        <v>00:10:00</v>
      </c>
      <c r="L655" s="1591"/>
      <c r="M655" s="1589"/>
    </row>
    <row r="656" spans="1:13" s="104" customFormat="1" x14ac:dyDescent="0.45">
      <c r="A656" s="1619"/>
      <c r="B656" s="1615"/>
      <c r="C656" s="1613" t="s">
        <v>3027</v>
      </c>
      <c r="D656" s="319" t="s">
        <v>2019</v>
      </c>
      <c r="E656" s="1530">
        <v>45472.492361111108</v>
      </c>
      <c r="F656" s="1530">
        <v>45472.564583333333</v>
      </c>
      <c r="G656" s="1530"/>
      <c r="H656" s="1530"/>
      <c r="I656" s="596"/>
      <c r="J656" s="1530">
        <f t="shared" si="233"/>
        <v>45472.825694444444</v>
      </c>
      <c r="K656" s="663" t="str">
        <f t="shared" si="238"/>
        <v>00:08:00</v>
      </c>
      <c r="L656" s="1591"/>
      <c r="M656" s="1589"/>
    </row>
    <row r="657" spans="1:13" s="104" customFormat="1" x14ac:dyDescent="0.45">
      <c r="A657" s="1619"/>
      <c r="B657" s="1615"/>
      <c r="C657" s="1617"/>
      <c r="D657" s="319" t="s">
        <v>2020</v>
      </c>
      <c r="E657" s="1530">
        <v>45472.493055555555</v>
      </c>
      <c r="F657" s="1530">
        <v>45472.568055555559</v>
      </c>
      <c r="G657" s="1530"/>
      <c r="H657" s="1530"/>
      <c r="I657" s="596"/>
      <c r="J657" s="1530">
        <f t="shared" si="233"/>
        <v>45472.826388888891</v>
      </c>
      <c r="K657" s="663" t="str">
        <f t="shared" si="238"/>
        <v>00:07:00</v>
      </c>
      <c r="L657" s="1591"/>
      <c r="M657" s="1589"/>
    </row>
    <row r="658" spans="1:13" s="104" customFormat="1" x14ac:dyDescent="0.45">
      <c r="A658" s="1619"/>
      <c r="B658" s="1615"/>
      <c r="C658" s="1486" t="s">
        <v>981</v>
      </c>
      <c r="D658" s="183" t="s">
        <v>2021</v>
      </c>
      <c r="E658" s="1505">
        <v>45472.495138888888</v>
      </c>
      <c r="F658" s="1505">
        <v>45472.568749999999</v>
      </c>
      <c r="G658" s="1530"/>
      <c r="H658" s="1530"/>
      <c r="I658" s="596"/>
      <c r="J658" s="1530">
        <f>E658+TIME(8,0,0)</f>
        <v>45472.828472222223</v>
      </c>
      <c r="K658" s="663" t="str">
        <f t="shared" si="238"/>
        <v>00:04:00</v>
      </c>
      <c r="L658" s="1591"/>
      <c r="M658" s="1589"/>
    </row>
    <row r="659" spans="1:13" s="104" customFormat="1" x14ac:dyDescent="0.45">
      <c r="A659" s="1619"/>
      <c r="B659" s="1615"/>
      <c r="C659" s="1613" t="s">
        <v>3027</v>
      </c>
      <c r="D659" s="319" t="s">
        <v>1998</v>
      </c>
      <c r="E659" s="1530">
        <v>45472.458333333336</v>
      </c>
      <c r="F659" s="1530">
        <v>45472.625</v>
      </c>
      <c r="G659" s="1530"/>
      <c r="H659" s="1530"/>
      <c r="I659" s="596"/>
      <c r="J659" s="1530">
        <f>E659+TIME(8,0,0)</f>
        <v>45472.791666666672</v>
      </c>
      <c r="K659" s="663" t="str">
        <f t="shared" si="238"/>
        <v>00:57:00</v>
      </c>
      <c r="L659" s="1591"/>
      <c r="M659" s="1589"/>
    </row>
    <row r="660" spans="1:13" s="104" customFormat="1" x14ac:dyDescent="0.45">
      <c r="A660" s="1619"/>
      <c r="B660" s="1615"/>
      <c r="C660" s="1617"/>
      <c r="D660" s="319" t="s">
        <v>1999</v>
      </c>
      <c r="E660" s="1530">
        <v>45472.458333333336</v>
      </c>
      <c r="F660" s="1530">
        <v>45472.625</v>
      </c>
      <c r="G660" s="1530"/>
      <c r="H660" s="1530"/>
      <c r="I660" s="596"/>
      <c r="J660" s="1530">
        <f t="shared" si="233"/>
        <v>45472.791666666672</v>
      </c>
      <c r="K660" s="663" t="str">
        <f t="shared" si="238"/>
        <v>00:57:00</v>
      </c>
      <c r="L660" s="1591"/>
      <c r="M660" s="1589"/>
    </row>
    <row r="661" spans="1:13" s="104" customFormat="1" ht="19.8" thickBot="1" x14ac:dyDescent="0.5">
      <c r="A661" s="1583"/>
      <c r="B661" s="1608"/>
      <c r="C661" s="1484" t="s">
        <v>981</v>
      </c>
      <c r="D661" s="82" t="s">
        <v>1995</v>
      </c>
      <c r="E661" s="1514">
        <v>45472.458333333336</v>
      </c>
      <c r="F661" s="1514">
        <v>45472.625</v>
      </c>
      <c r="G661" s="1514"/>
      <c r="H661" s="1514"/>
      <c r="I661" s="595"/>
      <c r="J661" s="1514">
        <f t="shared" si="233"/>
        <v>45472.791666666672</v>
      </c>
      <c r="K661" s="661" t="str">
        <f t="shared" si="238"/>
        <v>00:57:00</v>
      </c>
      <c r="L661" s="1585"/>
      <c r="M661" s="1590"/>
    </row>
    <row r="662" spans="1:13" s="104" customFormat="1" ht="20.399999999999999" thickTop="1" thickBot="1" x14ac:dyDescent="0.5">
      <c r="A662" s="1582" t="s">
        <v>543</v>
      </c>
      <c r="B662" s="1621" t="s">
        <v>388</v>
      </c>
      <c r="C662" s="1489" t="s">
        <v>1280</v>
      </c>
      <c r="D662" s="588" t="s">
        <v>2077</v>
      </c>
      <c r="E662" s="83">
        <v>45526.5</v>
      </c>
      <c r="F662" s="83">
        <v>45526.583333333336</v>
      </c>
      <c r="G662" s="83"/>
      <c r="H662" s="83"/>
      <c r="I662" s="593"/>
      <c r="J662" s="1504">
        <f t="shared" ref="J662:J667" si="239">E662+TIME(8,0,0)</f>
        <v>45526.833333333336</v>
      </c>
      <c r="K662" s="660" t="str">
        <f t="shared" ref="K662:K667" si="240">IF($M$662-J662&lt;0, "-" &amp; TEXT(ABS($M$662-J662),"[hh]:mm:ss"), TEXT($M$662-J662,"[hh]:mm:ss"))</f>
        <v>00:25:00</v>
      </c>
      <c r="L662" s="1640">
        <v>45526.850694444445</v>
      </c>
      <c r="M662" s="1609">
        <v>45526.850694444445</v>
      </c>
    </row>
    <row r="663" spans="1:13" s="104" customFormat="1" ht="20.399999999999999" thickTop="1" thickBot="1" x14ac:dyDescent="0.5">
      <c r="A663" s="1583"/>
      <c r="B663" s="1608"/>
      <c r="C663" s="1613" t="s">
        <v>3027</v>
      </c>
      <c r="D663" s="1530" t="s">
        <v>2069</v>
      </c>
      <c r="E663" s="1530">
        <v>45526.511805555558</v>
      </c>
      <c r="F663" s="1530">
        <v>45526.566666666666</v>
      </c>
      <c r="G663" s="1530"/>
      <c r="H663" s="1530"/>
      <c r="I663" s="596"/>
      <c r="J663" s="1530">
        <f t="shared" si="239"/>
        <v>45526.845138888893</v>
      </c>
      <c r="K663" s="663" t="str">
        <f t="shared" si="240"/>
        <v>00:08:00</v>
      </c>
      <c r="L663" s="1585"/>
      <c r="M663" s="1590"/>
    </row>
    <row r="664" spans="1:13" s="104" customFormat="1" ht="20.399999999999999" thickTop="1" thickBot="1" x14ac:dyDescent="0.5">
      <c r="A664" s="1583"/>
      <c r="B664" s="1608"/>
      <c r="C664" s="1617"/>
      <c r="D664" s="1530" t="s">
        <v>2070</v>
      </c>
      <c r="E664" s="1530">
        <v>45526.512499999997</v>
      </c>
      <c r="F664" s="1530">
        <v>45526.570138888892</v>
      </c>
      <c r="G664" s="1530"/>
      <c r="H664" s="1530"/>
      <c r="I664" s="596"/>
      <c r="J664" s="1530">
        <f>E664+TIME(8,0,0)</f>
        <v>45526.845833333333</v>
      </c>
      <c r="K664" s="663" t="str">
        <f t="shared" si="240"/>
        <v>00:07:00</v>
      </c>
      <c r="L664" s="1585"/>
      <c r="M664" s="1590"/>
    </row>
    <row r="665" spans="1:13" s="85" customFormat="1" ht="20.399999999999999" thickTop="1" thickBot="1" x14ac:dyDescent="0.5">
      <c r="A665" s="1583"/>
      <c r="B665" s="1608"/>
      <c r="C665" s="1489" t="s">
        <v>981</v>
      </c>
      <c r="D665" s="588" t="s">
        <v>2071</v>
      </c>
      <c r="E665" s="1497">
        <v>45526.515277777777</v>
      </c>
      <c r="F665" s="1497">
        <v>45526.570833333331</v>
      </c>
      <c r="G665" s="1497"/>
      <c r="H665" s="1497"/>
      <c r="I665" s="593"/>
      <c r="J665" s="1497">
        <f>E665+TIME(8,0,0)</f>
        <v>45526.848611111112</v>
      </c>
      <c r="K665" s="660" t="str">
        <f t="shared" si="240"/>
        <v>00:03:00</v>
      </c>
      <c r="L665" s="1585"/>
      <c r="M665" s="1590"/>
    </row>
    <row r="666" spans="1:13" s="104" customFormat="1" ht="20.399999999999999" thickTop="1" thickBot="1" x14ac:dyDescent="0.5">
      <c r="A666" s="1583"/>
      <c r="B666" s="1608"/>
      <c r="C666" s="1613" t="s">
        <v>3027</v>
      </c>
      <c r="D666" s="160" t="s">
        <v>2061</v>
      </c>
      <c r="E666" s="1473">
        <v>45526.375</v>
      </c>
      <c r="F666" s="1473">
        <v>45526.625</v>
      </c>
      <c r="G666" s="1473"/>
      <c r="H666" s="1473"/>
      <c r="I666" s="600"/>
      <c r="J666" s="1473">
        <f>E666+TIME(8,0,0)</f>
        <v>45526.708333333336</v>
      </c>
      <c r="K666" s="667" t="str">
        <f t="shared" si="240"/>
        <v>03:25:00</v>
      </c>
      <c r="L666" s="1585"/>
      <c r="M666" s="1590"/>
    </row>
    <row r="667" spans="1:13" s="104" customFormat="1" ht="20.399999999999999" thickTop="1" thickBot="1" x14ac:dyDescent="0.5">
      <c r="A667" s="1583"/>
      <c r="B667" s="1608"/>
      <c r="C667" s="1612"/>
      <c r="D667" s="82" t="s">
        <v>2059</v>
      </c>
      <c r="E667" s="1514">
        <v>45526.375</v>
      </c>
      <c r="F667" s="1514">
        <v>45526.625</v>
      </c>
      <c r="G667" s="1514"/>
      <c r="H667" s="1514"/>
      <c r="I667" s="595"/>
      <c r="J667" s="1514">
        <f t="shared" si="239"/>
        <v>45526.708333333336</v>
      </c>
      <c r="K667" s="661" t="str">
        <f t="shared" si="240"/>
        <v>03:25:00</v>
      </c>
      <c r="L667" s="1583"/>
      <c r="M667" s="1624"/>
    </row>
    <row r="668" spans="1:13" s="104" customFormat="1" ht="20.399999999999999" thickTop="1" thickBot="1" x14ac:dyDescent="0.5">
      <c r="A668" s="1582" t="s">
        <v>543</v>
      </c>
      <c r="B668" s="1621" t="s">
        <v>388</v>
      </c>
      <c r="C668" s="1611" t="s">
        <v>1280</v>
      </c>
      <c r="D668" s="588" t="s">
        <v>2728</v>
      </c>
      <c r="E668" s="83">
        <v>45745.666666666664</v>
      </c>
      <c r="F668" s="83">
        <v>45745.708333333336</v>
      </c>
      <c r="G668" s="83"/>
      <c r="H668" s="83"/>
      <c r="I668" s="593"/>
      <c r="J668" s="1504">
        <f t="shared" ref="J668:J670" si="241">E668+TIME(8,0,0)</f>
        <v>45746</v>
      </c>
      <c r="K668" s="660" t="str">
        <f t="shared" ref="K668:K674" si="242">IF($M$668-J668&lt;0, "-" &amp; TEXT(ABS($M$668-J668),"[hh]:mm:ss"), TEXT($M$668-J668,"[hh]:mm:ss"))</f>
        <v>00:05:00</v>
      </c>
      <c r="L668" s="1640">
        <v>45746.003472222219</v>
      </c>
      <c r="M668" s="1609">
        <v>45746.003472222219</v>
      </c>
    </row>
    <row r="669" spans="1:13" s="104" customFormat="1" ht="20.399999999999999" thickTop="1" thickBot="1" x14ac:dyDescent="0.5">
      <c r="A669" s="1583"/>
      <c r="B669" s="1608"/>
      <c r="C669" s="1617"/>
      <c r="D669" s="588" t="s">
        <v>2717</v>
      </c>
      <c r="E669" s="1497">
        <v>45745.666666666664</v>
      </c>
      <c r="F669" s="1497">
        <v>45745.708333333336</v>
      </c>
      <c r="G669" s="1497"/>
      <c r="H669" s="1497"/>
      <c r="I669" s="593"/>
      <c r="J669" s="1497">
        <f t="shared" ref="J669" si="243">E669+TIME(8,0,0)</f>
        <v>45746</v>
      </c>
      <c r="K669" s="660" t="str">
        <f t="shared" si="242"/>
        <v>00:05:00</v>
      </c>
      <c r="L669" s="1585"/>
      <c r="M669" s="1590"/>
    </row>
    <row r="670" spans="1:13" s="104" customFormat="1" ht="20.399999999999999" thickTop="1" thickBot="1" x14ac:dyDescent="0.5">
      <c r="A670" s="1583"/>
      <c r="B670" s="1608"/>
      <c r="C670" s="1613" t="s">
        <v>3027</v>
      </c>
      <c r="D670" s="1530" t="s">
        <v>2714</v>
      </c>
      <c r="E670" s="1530">
        <v>45745.664583333331</v>
      </c>
      <c r="F670" s="1530">
        <v>45745.71875</v>
      </c>
      <c r="G670" s="1530"/>
      <c r="H670" s="1530"/>
      <c r="I670" s="596"/>
      <c r="J670" s="1530">
        <f t="shared" si="241"/>
        <v>45745.997916666667</v>
      </c>
      <c r="K670" s="663" t="str">
        <f t="shared" si="242"/>
        <v>00:08:00</v>
      </c>
      <c r="L670" s="1585"/>
      <c r="M670" s="1590"/>
    </row>
    <row r="671" spans="1:13" s="104" customFormat="1" ht="20.399999999999999" thickTop="1" thickBot="1" x14ac:dyDescent="0.5">
      <c r="A671" s="1583"/>
      <c r="B671" s="1608"/>
      <c r="C671" s="1617"/>
      <c r="D671" s="1530" t="s">
        <v>2716</v>
      </c>
      <c r="E671" s="1530">
        <v>45745.666666666664</v>
      </c>
      <c r="F671" s="1530">
        <v>45745.72152777778</v>
      </c>
      <c r="G671" s="1530"/>
      <c r="H671" s="1530"/>
      <c r="I671" s="596"/>
      <c r="J671" s="1530">
        <f>E671+TIME(8,0,0)</f>
        <v>45746</v>
      </c>
      <c r="K671" s="663" t="str">
        <f t="shared" si="242"/>
        <v>00:05:00</v>
      </c>
      <c r="L671" s="1585"/>
      <c r="M671" s="1590"/>
    </row>
    <row r="672" spans="1:13" s="85" customFormat="1" ht="20.399999999999999" thickTop="1" thickBot="1" x14ac:dyDescent="0.5">
      <c r="A672" s="1583"/>
      <c r="B672" s="1608"/>
      <c r="C672" s="1489" t="s">
        <v>806</v>
      </c>
      <c r="D672" s="588" t="s">
        <v>2724</v>
      </c>
      <c r="E672" s="1497">
        <v>45745.666666666664</v>
      </c>
      <c r="F672" s="1497">
        <v>45745.725694444445</v>
      </c>
      <c r="G672" s="1497"/>
      <c r="H672" s="1497"/>
      <c r="I672" s="593"/>
      <c r="J672" s="1497">
        <f>E672+TIME(8,0,0)</f>
        <v>45746</v>
      </c>
      <c r="K672" s="660" t="str">
        <f t="shared" si="242"/>
        <v>00:05:00</v>
      </c>
      <c r="L672" s="1585"/>
      <c r="M672" s="1590"/>
    </row>
    <row r="673" spans="1:13" s="104" customFormat="1" ht="20.399999999999999" thickTop="1" thickBot="1" x14ac:dyDescent="0.5">
      <c r="A673" s="1583"/>
      <c r="B673" s="1608"/>
      <c r="C673" s="1613" t="s">
        <v>3027</v>
      </c>
      <c r="D673" s="160" t="s">
        <v>2682</v>
      </c>
      <c r="E673" s="1473">
        <v>45745.666666666664</v>
      </c>
      <c r="F673" s="1473">
        <v>45745.833333333336</v>
      </c>
      <c r="G673" s="1473"/>
      <c r="H673" s="1473"/>
      <c r="I673" s="600"/>
      <c r="J673" s="1473">
        <f>E673+TIME(8,0,0)</f>
        <v>45746</v>
      </c>
      <c r="K673" s="667" t="str">
        <f t="shared" si="242"/>
        <v>00:05:00</v>
      </c>
      <c r="L673" s="1585"/>
      <c r="M673" s="1590"/>
    </row>
    <row r="674" spans="1:13" s="104" customFormat="1" ht="20.399999999999999" thickTop="1" thickBot="1" x14ac:dyDescent="0.5">
      <c r="A674" s="1583"/>
      <c r="B674" s="1608"/>
      <c r="C674" s="1612"/>
      <c r="D674" s="82" t="s">
        <v>2683</v>
      </c>
      <c r="E674" s="1514">
        <v>45745.666666666664</v>
      </c>
      <c r="F674" s="1514">
        <v>45745.833333333336</v>
      </c>
      <c r="G674" s="1514"/>
      <c r="H674" s="1514"/>
      <c r="I674" s="595"/>
      <c r="J674" s="1514">
        <f t="shared" ref="J674:J676" si="244">E674+TIME(8,0,0)</f>
        <v>45746</v>
      </c>
      <c r="K674" s="661" t="str">
        <f t="shared" si="242"/>
        <v>00:05:00</v>
      </c>
      <c r="L674" s="1583"/>
      <c r="M674" s="1624"/>
    </row>
    <row r="675" spans="1:13" s="104" customFormat="1" ht="20.399999999999999" thickTop="1" thickBot="1" x14ac:dyDescent="0.5">
      <c r="A675" s="1582" t="s">
        <v>543</v>
      </c>
      <c r="B675" s="1621" t="s">
        <v>388</v>
      </c>
      <c r="C675" s="1491" t="s">
        <v>1280</v>
      </c>
      <c r="D675" s="588" t="s">
        <v>2830</v>
      </c>
      <c r="E675" s="83">
        <v>45797.458333333336</v>
      </c>
      <c r="F675" s="83">
        <v>45797.583333333336</v>
      </c>
      <c r="G675" s="83"/>
      <c r="H675" s="83"/>
      <c r="I675" s="593"/>
      <c r="J675" s="1504">
        <f t="shared" si="244"/>
        <v>45797.791666666672</v>
      </c>
      <c r="K675" s="660" t="str">
        <f t="shared" ref="K675:K680" si="245">IF($M$675-J675&lt;0, "-" &amp; TEXT(ABS($M$675-J675),"[hh]:mm:ss"), TEXT($M$675-J675,"[hh]:mm:ss"))</f>
        <v>00:50:00</v>
      </c>
      <c r="L675" s="1640">
        <v>45797.826388888891</v>
      </c>
      <c r="M675" s="1609">
        <v>45797.826388888891</v>
      </c>
    </row>
    <row r="676" spans="1:13" s="104" customFormat="1" ht="20.399999999999999" thickTop="1" thickBot="1" x14ac:dyDescent="0.5">
      <c r="A676" s="1583"/>
      <c r="B676" s="1608"/>
      <c r="C676" s="1613" t="s">
        <v>3027</v>
      </c>
      <c r="D676" s="1530" t="s">
        <v>2817</v>
      </c>
      <c r="E676" s="1530">
        <v>45797.487500000003</v>
      </c>
      <c r="F676" s="1530">
        <v>45797.549305555556</v>
      </c>
      <c r="G676" s="1530"/>
      <c r="H676" s="1530"/>
      <c r="I676" s="596"/>
      <c r="J676" s="1530">
        <f t="shared" si="244"/>
        <v>45797.820833333339</v>
      </c>
      <c r="K676" s="663" t="str">
        <f t="shared" si="245"/>
        <v>00:08:00</v>
      </c>
      <c r="L676" s="1585"/>
      <c r="M676" s="1590"/>
    </row>
    <row r="677" spans="1:13" s="104" customFormat="1" ht="20.399999999999999" thickTop="1" thickBot="1" x14ac:dyDescent="0.5">
      <c r="A677" s="1583"/>
      <c r="B677" s="1608"/>
      <c r="C677" s="1617"/>
      <c r="D677" s="1530" t="s">
        <v>2815</v>
      </c>
      <c r="E677" s="1530">
        <v>45797.488888888889</v>
      </c>
      <c r="F677" s="1530">
        <v>45797.552777777775</v>
      </c>
      <c r="G677" s="1530"/>
      <c r="H677" s="1530"/>
      <c r="I677" s="596"/>
      <c r="J677" s="1530">
        <f>E677+TIME(8,0,0)</f>
        <v>45797.822222222225</v>
      </c>
      <c r="K677" s="663" t="str">
        <f t="shared" si="245"/>
        <v>00:06:00</v>
      </c>
      <c r="L677" s="1585"/>
      <c r="M677" s="1590"/>
    </row>
    <row r="678" spans="1:13" s="85" customFormat="1" ht="20.399999999999999" thickTop="1" thickBot="1" x14ac:dyDescent="0.5">
      <c r="A678" s="1583"/>
      <c r="B678" s="1608"/>
      <c r="C678" s="1489" t="s">
        <v>806</v>
      </c>
      <c r="D678" s="588" t="s">
        <v>2824</v>
      </c>
      <c r="E678" s="1497">
        <v>45797.490972222222</v>
      </c>
      <c r="F678" s="1497">
        <v>45797.553472222222</v>
      </c>
      <c r="G678" s="1497"/>
      <c r="H678" s="1497"/>
      <c r="I678" s="593"/>
      <c r="J678" s="1497">
        <f>E678+TIME(8,0,0)</f>
        <v>45797.824305555558</v>
      </c>
      <c r="K678" s="660" t="str">
        <f t="shared" si="245"/>
        <v>00:03:00</v>
      </c>
      <c r="L678" s="1585"/>
      <c r="M678" s="1590"/>
    </row>
    <row r="679" spans="1:13" s="104" customFormat="1" ht="20.399999999999999" thickTop="1" thickBot="1" x14ac:dyDescent="0.5">
      <c r="A679" s="1583"/>
      <c r="B679" s="1608"/>
      <c r="C679" s="1613" t="s">
        <v>3027</v>
      </c>
      <c r="D679" s="160" t="s">
        <v>2816</v>
      </c>
      <c r="E679" s="1473">
        <v>45797.458333333336</v>
      </c>
      <c r="F679" s="1473">
        <v>45797.625</v>
      </c>
      <c r="G679" s="1473"/>
      <c r="H679" s="1473"/>
      <c r="I679" s="600"/>
      <c r="J679" s="1473">
        <f>E679+TIME(8,0,0)</f>
        <v>45797.791666666672</v>
      </c>
      <c r="K679" s="667" t="str">
        <f t="shared" si="245"/>
        <v>00:50:00</v>
      </c>
      <c r="L679" s="1585"/>
      <c r="M679" s="1590"/>
    </row>
    <row r="680" spans="1:13" s="104" customFormat="1" ht="20.399999999999999" thickTop="1" thickBot="1" x14ac:dyDescent="0.5">
      <c r="A680" s="1583"/>
      <c r="B680" s="1608"/>
      <c r="C680" s="1612"/>
      <c r="D680" s="82" t="s">
        <v>2781</v>
      </c>
      <c r="E680" s="1514">
        <v>45797.458333333336</v>
      </c>
      <c r="F680" s="1514">
        <v>45797.625</v>
      </c>
      <c r="G680" s="1514"/>
      <c r="H680" s="1514"/>
      <c r="I680" s="595"/>
      <c r="J680" s="1514">
        <f t="shared" ref="J680:J682" si="246">E680+TIME(8,0,0)</f>
        <v>45797.791666666672</v>
      </c>
      <c r="K680" s="661" t="str">
        <f t="shared" si="245"/>
        <v>00:50:00</v>
      </c>
      <c r="L680" s="1583"/>
      <c r="M680" s="1624"/>
    </row>
    <row r="681" spans="1:13" s="104" customFormat="1" ht="20.399999999999999" thickTop="1" thickBot="1" x14ac:dyDescent="0.5">
      <c r="A681" s="1582" t="s">
        <v>543</v>
      </c>
      <c r="B681" s="1621" t="s">
        <v>388</v>
      </c>
      <c r="C681" s="1491" t="s">
        <v>1280</v>
      </c>
      <c r="D681" s="587" t="s">
        <v>2996</v>
      </c>
      <c r="E681" s="1504">
        <v>45909.041666666664</v>
      </c>
      <c r="F681" s="1504">
        <v>45909.166666666664</v>
      </c>
      <c r="G681" s="1504"/>
      <c r="H681" s="1504"/>
      <c r="I681" s="594"/>
      <c r="J681" s="1504">
        <f t="shared" si="246"/>
        <v>45909.375</v>
      </c>
      <c r="K681" s="659" t="str">
        <f t="shared" ref="K681:K684" si="247">IF($M$681-J681&lt;0, "-" &amp; TEXT(ABS($M$681-J681),"[hh]:mm:ss"), TEXT($M$681-J681,"[hh]:mm:ss"))</f>
        <v>01:00:00</v>
      </c>
      <c r="L681" s="1640">
        <v>45909.416666666664</v>
      </c>
      <c r="M681" s="1609">
        <v>45909.416666666664</v>
      </c>
    </row>
    <row r="682" spans="1:13" s="104" customFormat="1" ht="20.399999999999999" thickTop="1" thickBot="1" x14ac:dyDescent="0.5">
      <c r="A682" s="1583"/>
      <c r="B682" s="1608"/>
      <c r="C682" s="1613" t="s">
        <v>3027</v>
      </c>
      <c r="D682" s="160" t="s">
        <v>2992</v>
      </c>
      <c r="E682" s="1473">
        <v>45909.077777777777</v>
      </c>
      <c r="F682" s="1473">
        <v>45909.173611111109</v>
      </c>
      <c r="G682" s="1530"/>
      <c r="H682" s="1530"/>
      <c r="I682" s="596"/>
      <c r="J682" s="1530">
        <f t="shared" si="246"/>
        <v>45909.411111111112</v>
      </c>
      <c r="K682" s="663" t="str">
        <f t="shared" si="247"/>
        <v>00:08:00</v>
      </c>
      <c r="L682" s="1585"/>
      <c r="M682" s="1590"/>
    </row>
    <row r="683" spans="1:13" s="104" customFormat="1" ht="20.399999999999999" thickTop="1" thickBot="1" x14ac:dyDescent="0.5">
      <c r="A683" s="1583"/>
      <c r="B683" s="1608"/>
      <c r="C683" s="1617"/>
      <c r="D683" s="1530" t="s">
        <v>2993</v>
      </c>
      <c r="E683" s="1530">
        <v>45909.07916666667</v>
      </c>
      <c r="F683" s="1530">
        <v>45909.176388888889</v>
      </c>
      <c r="G683" s="1530"/>
      <c r="H683" s="1530"/>
      <c r="I683" s="596"/>
      <c r="J683" s="1530">
        <f>E683+TIME(8,0,0)</f>
        <v>45909.412500000006</v>
      </c>
      <c r="K683" s="663" t="str">
        <f t="shared" si="247"/>
        <v>00:06:00</v>
      </c>
      <c r="L683" s="1585"/>
      <c r="M683" s="1590"/>
    </row>
    <row r="684" spans="1:13" s="104" customFormat="1" ht="20.399999999999999" thickTop="1" thickBot="1" x14ac:dyDescent="0.5">
      <c r="A684" s="1583"/>
      <c r="B684" s="1608"/>
      <c r="C684" s="1484" t="s">
        <v>806</v>
      </c>
      <c r="D684" s="86" t="s">
        <v>2995</v>
      </c>
      <c r="E684" s="1481">
        <v>45909.081250000003</v>
      </c>
      <c r="F684" s="1481">
        <v>45909.177777777775</v>
      </c>
      <c r="G684" s="1481"/>
      <c r="H684" s="1481"/>
      <c r="I684" s="656"/>
      <c r="J684" s="1481">
        <f>E684+TIME(8,0,0)</f>
        <v>45909.414583333339</v>
      </c>
      <c r="K684" s="1534" t="str">
        <f t="shared" si="247"/>
        <v>00:03:00</v>
      </c>
      <c r="L684" s="1585"/>
      <c r="M684" s="1590"/>
    </row>
    <row r="685" spans="1:13" s="104" customFormat="1" ht="20.399999999999999" thickTop="1" thickBot="1" x14ac:dyDescent="0.5">
      <c r="A685" s="1582" t="s">
        <v>543</v>
      </c>
      <c r="B685" s="1621" t="s">
        <v>388</v>
      </c>
      <c r="C685" s="1611" t="s">
        <v>3027</v>
      </c>
      <c r="D685" s="587" t="s">
        <v>3116</v>
      </c>
      <c r="E685" s="1504">
        <v>45964.152083333334</v>
      </c>
      <c r="F685" s="1504">
        <v>45964.168055555558</v>
      </c>
      <c r="G685" s="1504"/>
      <c r="H685" s="1504"/>
      <c r="I685" s="594"/>
      <c r="J685" s="1504">
        <f t="shared" ref="J685:J688" si="248">E685+TIME(8,0,0)</f>
        <v>45964.48541666667</v>
      </c>
      <c r="K685" s="659" t="str">
        <f t="shared" ref="K685:K689" si="249">IF($M$685-J685&lt;0, "-" &amp; TEXT(ABS($M$685-J685),"[HH].mm:ss"), TEXT($M$685-J685,"[HH].MM.SS"))</f>
        <v>00.08.00</v>
      </c>
      <c r="L685" s="1640">
        <v>45964.490972222222</v>
      </c>
      <c r="M685" s="1609">
        <v>45964.490972222222</v>
      </c>
    </row>
    <row r="686" spans="1:13" s="104" customFormat="1" ht="20.399999999999999" thickTop="1" thickBot="1" x14ac:dyDescent="0.5">
      <c r="A686" s="1583"/>
      <c r="B686" s="1608"/>
      <c r="C686" s="1617"/>
      <c r="D686" s="1530" t="s">
        <v>3117</v>
      </c>
      <c r="E686" s="1530">
        <v>45964.15347222222</v>
      </c>
      <c r="F686" s="1530">
        <v>45964.17083333333</v>
      </c>
      <c r="G686" s="1530"/>
      <c r="H686" s="1530"/>
      <c r="I686" s="596"/>
      <c r="J686" s="1530">
        <f>E686+TIME(8,0,0)</f>
        <v>45964.486805555556</v>
      </c>
      <c r="K686" s="663" t="str">
        <f t="shared" si="249"/>
        <v>00.06.00</v>
      </c>
      <c r="L686" s="1585"/>
      <c r="M686" s="1590"/>
    </row>
    <row r="687" spans="1:13" s="104" customFormat="1" ht="20.399999999999999" thickTop="1" thickBot="1" x14ac:dyDescent="0.5">
      <c r="A687" s="1583"/>
      <c r="B687" s="1608"/>
      <c r="C687" s="1503" t="s">
        <v>981</v>
      </c>
      <c r="D687" s="1530" t="s">
        <v>3118</v>
      </c>
      <c r="E687" s="1530">
        <v>45964.155555555553</v>
      </c>
      <c r="F687" s="1530">
        <v>45964.172222222223</v>
      </c>
      <c r="G687" s="1530"/>
      <c r="H687" s="1530"/>
      <c r="I687" s="596"/>
      <c r="J687" s="1530">
        <f>E687+TIME(8,0,0)</f>
        <v>45964.488888888889</v>
      </c>
      <c r="K687" s="663" t="str">
        <f t="shared" si="249"/>
        <v>00.03.00</v>
      </c>
      <c r="L687" s="1585"/>
      <c r="M687" s="1590"/>
    </row>
    <row r="688" spans="1:13" s="104" customFormat="1" ht="20.399999999999999" collapsed="1" thickTop="1" thickBot="1" x14ac:dyDescent="0.5">
      <c r="A688" s="1583"/>
      <c r="B688" s="1608"/>
      <c r="C688" s="1613" t="s">
        <v>3027</v>
      </c>
      <c r="D688" s="1530" t="s">
        <v>3056</v>
      </c>
      <c r="E688" s="1530">
        <v>45964.125</v>
      </c>
      <c r="F688" s="1530">
        <v>45964.291666666664</v>
      </c>
      <c r="G688" s="1497"/>
      <c r="H688" s="1497"/>
      <c r="I688" s="596"/>
      <c r="J688" s="1530">
        <f t="shared" si="248"/>
        <v>45964.458333333336</v>
      </c>
      <c r="K688" s="663" t="str">
        <f t="shared" si="249"/>
        <v>00.47.00</v>
      </c>
      <c r="L688" s="1585"/>
      <c r="M688" s="1590"/>
    </row>
    <row r="689" spans="1:13" s="104" customFormat="1" ht="20.399999999999999" thickTop="1" thickBot="1" x14ac:dyDescent="0.5">
      <c r="A689" s="1583"/>
      <c r="B689" s="1608"/>
      <c r="C689" s="1612"/>
      <c r="D689" s="86" t="s">
        <v>3057</v>
      </c>
      <c r="E689" s="1481">
        <v>45964.125</v>
      </c>
      <c r="F689" s="1481">
        <v>45964.291666666664</v>
      </c>
      <c r="G689" s="1481"/>
      <c r="H689" s="1481"/>
      <c r="I689" s="656"/>
      <c r="J689" s="1481">
        <f>E689+TIME(8,0,0)</f>
        <v>45964.458333333336</v>
      </c>
      <c r="K689" s="1534" t="str">
        <f t="shared" si="249"/>
        <v>00.47.00</v>
      </c>
      <c r="L689" s="1585"/>
      <c r="M689" s="1590"/>
    </row>
    <row r="690" spans="1:13" s="104" customFormat="1" ht="20.399999999999999" thickTop="1" thickBot="1" x14ac:dyDescent="0.5">
      <c r="A690" s="1582" t="s">
        <v>543</v>
      </c>
      <c r="B690" s="1621" t="s">
        <v>388</v>
      </c>
      <c r="C690" s="1611" t="s">
        <v>1280</v>
      </c>
      <c r="D690" s="587" t="s">
        <v>3214</v>
      </c>
      <c r="E690" s="1504">
        <v>45991.5</v>
      </c>
      <c r="F690" s="1504">
        <v>45991.541666666664</v>
      </c>
      <c r="G690" s="1504"/>
      <c r="H690" s="1504"/>
      <c r="I690" s="594"/>
      <c r="J690" s="1504">
        <f t="shared" ref="J690" si="250">E690+TIME(8,0,0)</f>
        <v>45991.833333333336</v>
      </c>
      <c r="K690" s="659" t="str">
        <f t="shared" ref="K690:K696" si="251">IF($M$690-J690&lt;0, "-" &amp; TEXT(ABS($M$690-J690),"[hh].mm:ss"), TEXT($M$690-J690,"[hh].mm.ss"))</f>
        <v>00.20.00</v>
      </c>
      <c r="L690" s="1640">
        <v>45991.847222222219</v>
      </c>
      <c r="M690" s="1609">
        <v>45991.847222222219</v>
      </c>
    </row>
    <row r="691" spans="1:13" s="104" customFormat="1" ht="20.399999999999999" thickTop="1" thickBot="1" x14ac:dyDescent="0.5">
      <c r="A691" s="1583"/>
      <c r="B691" s="1608"/>
      <c r="C691" s="1617"/>
      <c r="D691" s="588" t="s">
        <v>3212</v>
      </c>
      <c r="E691" s="1497">
        <v>45991.506944444445</v>
      </c>
      <c r="F691" s="1497">
        <v>45991.5625</v>
      </c>
      <c r="G691" s="1497"/>
      <c r="H691" s="1497"/>
      <c r="I691" s="593"/>
      <c r="J691" s="1497">
        <f t="shared" ref="J691" si="252">E691+TIME(8,0,0)</f>
        <v>45991.840277777781</v>
      </c>
      <c r="K691" s="660" t="str">
        <f t="shared" si="251"/>
        <v>00.10.00</v>
      </c>
      <c r="L691" s="1585"/>
      <c r="M691" s="1590"/>
    </row>
    <row r="692" spans="1:13" s="104" customFormat="1" ht="20.399999999999999" thickTop="1" thickBot="1" x14ac:dyDescent="0.5">
      <c r="A692" s="1583"/>
      <c r="B692" s="1608"/>
      <c r="C692" s="1651" t="s">
        <v>3027</v>
      </c>
      <c r="D692" s="591" t="s">
        <v>3210</v>
      </c>
      <c r="E692" s="1497">
        <v>45991.508333333331</v>
      </c>
      <c r="F692" s="1497">
        <v>45991.5625</v>
      </c>
      <c r="G692" s="1497"/>
      <c r="H692" s="1497"/>
      <c r="I692" s="593"/>
      <c r="J692" s="1497">
        <f t="shared" ref="J692" si="253">E692+TIME(8,0,0)</f>
        <v>45991.841666666667</v>
      </c>
      <c r="K692" s="660" t="str">
        <f t="shared" si="251"/>
        <v>00.08.00</v>
      </c>
      <c r="L692" s="1585"/>
      <c r="M692" s="1590"/>
    </row>
    <row r="693" spans="1:13" s="104" customFormat="1" ht="20.399999999999999" thickTop="1" thickBot="1" x14ac:dyDescent="0.5">
      <c r="A693" s="1583"/>
      <c r="B693" s="1608"/>
      <c r="C693" s="1617"/>
      <c r="D693" s="280" t="s">
        <v>3250</v>
      </c>
      <c r="E693" s="1530">
        <v>45991.509722222225</v>
      </c>
      <c r="F693" s="1530">
        <v>45991.56527777778</v>
      </c>
      <c r="G693" s="1530"/>
      <c r="H693" s="1530"/>
      <c r="I693" s="596"/>
      <c r="J693" s="1530">
        <f>E693+TIME(8,0,0)</f>
        <v>45991.843055555561</v>
      </c>
      <c r="K693" s="663" t="str">
        <f t="shared" si="251"/>
        <v>00.06.00</v>
      </c>
      <c r="L693" s="1585"/>
      <c r="M693" s="1590"/>
    </row>
    <row r="694" spans="1:13" s="104" customFormat="1" ht="20.399999999999999" thickTop="1" thickBot="1" x14ac:dyDescent="0.5">
      <c r="A694" s="1583"/>
      <c r="B694" s="1608"/>
      <c r="C694" s="1503" t="s">
        <v>981</v>
      </c>
      <c r="D694" s="1530" t="s">
        <v>3213</v>
      </c>
      <c r="E694" s="1530">
        <v>45991.511805555558</v>
      </c>
      <c r="F694" s="1530">
        <v>45991.566666666666</v>
      </c>
      <c r="G694" s="1530"/>
      <c r="H694" s="1530"/>
      <c r="I694" s="596"/>
      <c r="J694" s="1530">
        <f>E694+TIME(8,0,0)</f>
        <v>45991.845138888893</v>
      </c>
      <c r="K694" s="663" t="str">
        <f t="shared" si="251"/>
        <v>00.03.00</v>
      </c>
      <c r="L694" s="1585"/>
      <c r="M694" s="1590"/>
    </row>
    <row r="695" spans="1:13" ht="20.399999999999999" thickTop="1" thickBot="1" x14ac:dyDescent="0.5">
      <c r="A695" s="1583"/>
      <c r="B695" s="1608"/>
      <c r="C695" s="1613" t="s">
        <v>3027</v>
      </c>
      <c r="D695" s="1530" t="s">
        <v>3141</v>
      </c>
      <c r="E695" s="1530">
        <v>45991.416666666664</v>
      </c>
      <c r="F695" s="1530">
        <v>45991.583333333336</v>
      </c>
      <c r="G695" s="1497"/>
      <c r="H695" s="1497"/>
      <c r="I695" s="596"/>
      <c r="J695" s="1530">
        <f t="shared" ref="J695" si="254">E695+TIME(8,0,0)</f>
        <v>45991.75</v>
      </c>
      <c r="K695" s="663" t="str">
        <f t="shared" si="251"/>
        <v>02.20.00</v>
      </c>
      <c r="L695" s="1585"/>
      <c r="M695" s="1590"/>
    </row>
    <row r="696" spans="1:13" ht="20.399999999999999" thickTop="1" thickBot="1" x14ac:dyDescent="0.5">
      <c r="A696" s="1583"/>
      <c r="B696" s="1608"/>
      <c r="C696" s="1612"/>
      <c r="D696" s="86" t="s">
        <v>3142</v>
      </c>
      <c r="E696" s="1481">
        <v>45991.416666666664</v>
      </c>
      <c r="F696" s="1481">
        <v>45991.583333333336</v>
      </c>
      <c r="G696" s="1481"/>
      <c r="H696" s="1481"/>
      <c r="I696" s="656"/>
      <c r="J696" s="1481">
        <f>E696+TIME(8,0,0)</f>
        <v>45991.75</v>
      </c>
      <c r="K696" s="1534" t="str">
        <f t="shared" si="251"/>
        <v>02.20.00</v>
      </c>
      <c r="L696" s="1585"/>
      <c r="M696" s="1590"/>
    </row>
    <row r="697" spans="1:13" s="104" customFormat="1" ht="20.399999999999999" thickTop="1" thickBot="1" x14ac:dyDescent="0.5">
      <c r="A697" s="1582" t="s">
        <v>543</v>
      </c>
      <c r="B697" s="1621" t="s">
        <v>388</v>
      </c>
      <c r="C697" s="680" t="s">
        <v>1280</v>
      </c>
      <c r="D697" s="587" t="s">
        <v>3333</v>
      </c>
      <c r="E697" s="1504">
        <v>46021.9375</v>
      </c>
      <c r="F697" s="1504">
        <v>46022.965277777781</v>
      </c>
      <c r="G697" s="1504"/>
      <c r="H697" s="1504"/>
      <c r="I697" s="594"/>
      <c r="J697" s="1504">
        <f t="shared" ref="J697:J698" si="255">E697+TIME(8,0,0)</f>
        <v>46022.270833333336</v>
      </c>
      <c r="K697" s="659" t="str">
        <f>IF($M$697-J697&lt;0, "-" &amp; TEXT(ABS($M$697-J697),"[hh].mm:ss"), TEXT($M$697-J697,"[hh].mm.ss"))</f>
        <v>00.10.00</v>
      </c>
      <c r="L697" s="1640">
        <v>46022.277777777781</v>
      </c>
      <c r="M697" s="1609">
        <v>46022.277777777781</v>
      </c>
    </row>
    <row r="698" spans="1:13" s="104" customFormat="1" ht="20.399999999999999" thickTop="1" thickBot="1" x14ac:dyDescent="0.5">
      <c r="A698" s="1583"/>
      <c r="B698" s="1608"/>
      <c r="C698" s="1651" t="s">
        <v>3027</v>
      </c>
      <c r="D698" s="591" t="s">
        <v>3325</v>
      </c>
      <c r="E698" s="1497">
        <v>46021.938888888886</v>
      </c>
      <c r="F698" s="1497">
        <v>46021.965277777781</v>
      </c>
      <c r="G698" s="1497"/>
      <c r="H698" s="1497"/>
      <c r="I698" s="593"/>
      <c r="J698" s="1497">
        <f t="shared" si="255"/>
        <v>46022.272222222222</v>
      </c>
      <c r="K698" s="660" t="str">
        <f t="shared" ref="K698:K702" si="256">IF($M$697-J698&lt;0, "-" &amp; TEXT(ABS($M$697-J698),"[hh].mm:ss"), TEXT($M$697-J698,"[hh].mm.ss"))</f>
        <v>00.08.00</v>
      </c>
      <c r="L698" s="1585"/>
      <c r="M698" s="1590"/>
    </row>
    <row r="699" spans="1:13" s="104" customFormat="1" ht="20.399999999999999" thickTop="1" thickBot="1" x14ac:dyDescent="0.5">
      <c r="A699" s="1583"/>
      <c r="B699" s="1608"/>
      <c r="C699" s="1617"/>
      <c r="D699" s="280" t="s">
        <v>3326</v>
      </c>
      <c r="E699" s="1530">
        <v>46021.94027777778</v>
      </c>
      <c r="F699" s="1530">
        <v>46021.968055555553</v>
      </c>
      <c r="G699" s="1530"/>
      <c r="H699" s="1530"/>
      <c r="I699" s="596"/>
      <c r="J699" s="1530">
        <f>E699+TIME(8,0,0)</f>
        <v>46022.273611111115</v>
      </c>
      <c r="K699" s="663" t="str">
        <f t="shared" si="256"/>
        <v>00.06.00</v>
      </c>
      <c r="L699" s="1585"/>
      <c r="M699" s="1590"/>
    </row>
    <row r="700" spans="1:13" s="104" customFormat="1" ht="20.399999999999999" thickTop="1" thickBot="1" x14ac:dyDescent="0.5">
      <c r="A700" s="1583"/>
      <c r="B700" s="1608"/>
      <c r="C700" s="1503" t="s">
        <v>981</v>
      </c>
      <c r="D700" s="1530" t="s">
        <v>3331</v>
      </c>
      <c r="E700" s="1530">
        <v>46021.938888888886</v>
      </c>
      <c r="F700" s="1530">
        <v>46021.965277777781</v>
      </c>
      <c r="G700" s="1530"/>
      <c r="H700" s="1530"/>
      <c r="I700" s="596"/>
      <c r="J700" s="1530">
        <f>E700+TIME(8,0,0)</f>
        <v>46022.272222222222</v>
      </c>
      <c r="K700" s="663" t="str">
        <f t="shared" si="256"/>
        <v>00.08.00</v>
      </c>
      <c r="L700" s="1585"/>
      <c r="M700" s="1590"/>
    </row>
    <row r="701" spans="1:13" s="104" customFormat="1" ht="20.399999999999999" thickTop="1" thickBot="1" x14ac:dyDescent="0.5">
      <c r="A701" s="1583"/>
      <c r="B701" s="1608"/>
      <c r="C701" s="1613" t="s">
        <v>3027</v>
      </c>
      <c r="D701" s="1530" t="s">
        <v>3305</v>
      </c>
      <c r="E701" s="1530">
        <v>46021.875</v>
      </c>
      <c r="F701" s="1530">
        <v>46024.993055555555</v>
      </c>
      <c r="G701" s="1497"/>
      <c r="H701" s="1497"/>
      <c r="I701" s="596"/>
      <c r="J701" s="1530">
        <f t="shared" ref="J701" si="257">E701+TIME(8,0,0)</f>
        <v>46022.208333333336</v>
      </c>
      <c r="K701" s="663" t="str">
        <f t="shared" si="256"/>
        <v>01.40.00</v>
      </c>
      <c r="L701" s="1585"/>
      <c r="M701" s="1590"/>
    </row>
    <row r="702" spans="1:13" s="104" customFormat="1" ht="20.399999999999999" thickTop="1" thickBot="1" x14ac:dyDescent="0.5">
      <c r="A702" s="1583"/>
      <c r="B702" s="1608"/>
      <c r="C702" s="1612"/>
      <c r="D702" s="86" t="s">
        <v>3306</v>
      </c>
      <c r="E702" s="1481">
        <v>46021.875</v>
      </c>
      <c r="F702" s="1481">
        <v>46024.993055555555</v>
      </c>
      <c r="G702" s="1481"/>
      <c r="H702" s="1481"/>
      <c r="I702" s="656"/>
      <c r="J702" s="1481">
        <f>E702+TIME(8,0,0)</f>
        <v>46022.208333333336</v>
      </c>
      <c r="K702" s="1534" t="str">
        <f t="shared" si="256"/>
        <v>01.40.00</v>
      </c>
      <c r="L702" s="1585"/>
      <c r="M702" s="1590"/>
    </row>
    <row r="703" spans="1:13" s="104" customFormat="1" ht="20.399999999999999" thickTop="1" thickBot="1" x14ac:dyDescent="0.5">
      <c r="A703" s="1582" t="s">
        <v>543</v>
      </c>
      <c r="B703" s="1621" t="s">
        <v>388</v>
      </c>
      <c r="C703" s="680" t="s">
        <v>1280</v>
      </c>
      <c r="D703" s="587" t="s">
        <v>3650</v>
      </c>
      <c r="E703" s="1504">
        <v>46168.666666666664</v>
      </c>
      <c r="F703" s="1504">
        <v>46169.729166666664</v>
      </c>
      <c r="G703" s="1504"/>
      <c r="H703" s="1504"/>
      <c r="I703" s="594"/>
      <c r="J703" s="1504">
        <f t="shared" ref="J703:J704" si="258">E703+TIME(8,0,0)</f>
        <v>46169</v>
      </c>
      <c r="K703" s="659" t="str">
        <f>IF($M$703-J703&lt;0, "-" &amp; TEXT(ABS($M$703-J703),"[hh].mm:ss"), TEXT($M$703-J703,"[hh].mm.ss"))</f>
        <v>00.16.00</v>
      </c>
      <c r="L703" s="1640">
        <v>46169.011111111111</v>
      </c>
      <c r="M703" s="1609">
        <v>46169.011111111111</v>
      </c>
    </row>
    <row r="704" spans="1:13" s="104" customFormat="1" ht="20.399999999999999" thickTop="1" thickBot="1" x14ac:dyDescent="0.5">
      <c r="A704" s="1583"/>
      <c r="B704" s="1608"/>
      <c r="C704" s="1594" t="s">
        <v>3027</v>
      </c>
      <c r="D704" s="591" t="s">
        <v>3612</v>
      </c>
      <c r="E704" s="1497">
        <v>46168.672222222223</v>
      </c>
      <c r="F704" s="1497">
        <v>46168.713888888888</v>
      </c>
      <c r="G704" s="1497"/>
      <c r="H704" s="1497"/>
      <c r="I704" s="593"/>
      <c r="J704" s="1497">
        <f t="shared" si="258"/>
        <v>46169.005555555559</v>
      </c>
      <c r="K704" s="660" t="str">
        <f t="shared" ref="K704:K707" si="259">IF($M$703-J704&lt;0, "-" &amp; TEXT(ABS($M$703-J704),"[hh].mm:ss"), TEXT($M$703-J704,"[hh].mm.ss"))</f>
        <v>00.08.00</v>
      </c>
      <c r="L704" s="1585"/>
      <c r="M704" s="1590"/>
    </row>
    <row r="705" spans="1:13" s="104" customFormat="1" ht="20.399999999999999" thickTop="1" thickBot="1" x14ac:dyDescent="0.5">
      <c r="A705" s="1583"/>
      <c r="B705" s="1608"/>
      <c r="C705" s="1595"/>
      <c r="D705" s="280" t="s">
        <v>3614</v>
      </c>
      <c r="E705" s="1530">
        <v>46168.673611111109</v>
      </c>
      <c r="F705" s="1530">
        <v>46168.716666666667</v>
      </c>
      <c r="G705" s="1530"/>
      <c r="H705" s="1530"/>
      <c r="I705" s="596"/>
      <c r="J705" s="1530">
        <f>E705+TIME(8,0,0)</f>
        <v>46169.006944444445</v>
      </c>
      <c r="K705" s="663" t="str">
        <f t="shared" si="259"/>
        <v>00.06.00</v>
      </c>
      <c r="L705" s="1585"/>
      <c r="M705" s="1590"/>
    </row>
    <row r="706" spans="1:13" s="104" customFormat="1" ht="20.399999999999999" thickTop="1" thickBot="1" x14ac:dyDescent="0.5">
      <c r="A706" s="1583"/>
      <c r="B706" s="1608"/>
      <c r="C706" s="1595"/>
      <c r="D706" s="1530" t="s">
        <v>3537</v>
      </c>
      <c r="E706" s="1530">
        <v>46168.666666666664</v>
      </c>
      <c r="F706" s="1530">
        <v>46172.916666666664</v>
      </c>
      <c r="G706" s="1497"/>
      <c r="H706" s="1497"/>
      <c r="I706" s="596"/>
      <c r="J706" s="1530">
        <f t="shared" ref="J706" si="260">E706+TIME(8,0,0)</f>
        <v>46169</v>
      </c>
      <c r="K706" s="663" t="str">
        <f t="shared" si="259"/>
        <v>00.16.00</v>
      </c>
      <c r="L706" s="1585"/>
      <c r="M706" s="1590"/>
    </row>
    <row r="707" spans="1:13" s="104" customFormat="1" ht="20.399999999999999" thickTop="1" thickBot="1" x14ac:dyDescent="0.5">
      <c r="A707" s="1583"/>
      <c r="B707" s="1608"/>
      <c r="C707" s="1625"/>
      <c r="D707" s="86" t="s">
        <v>3538</v>
      </c>
      <c r="E707" s="1481">
        <v>46168.666666666664</v>
      </c>
      <c r="F707" s="1481">
        <v>46172.916666666664</v>
      </c>
      <c r="G707" s="1481"/>
      <c r="H707" s="1481"/>
      <c r="I707" s="656"/>
      <c r="J707" s="1481">
        <f>E707+TIME(8,0,0)</f>
        <v>46169</v>
      </c>
      <c r="K707" s="1534" t="str">
        <f t="shared" si="259"/>
        <v>00.16.00</v>
      </c>
      <c r="L707" s="1585"/>
      <c r="M707" s="1590"/>
    </row>
    <row r="708" spans="1:13" s="104" customFormat="1" ht="20.399999999999999" thickTop="1" thickBot="1" x14ac:dyDescent="0.5">
      <c r="A708" s="1582" t="s">
        <v>543</v>
      </c>
      <c r="B708" s="1621" t="s">
        <v>388</v>
      </c>
      <c r="C708" s="680" t="s">
        <v>1280</v>
      </c>
      <c r="D708" s="587" t="s">
        <v>3755</v>
      </c>
      <c r="E708" s="1504">
        <v>46196.083333333336</v>
      </c>
      <c r="F708" s="1504">
        <v>46198.125</v>
      </c>
      <c r="G708" s="1504"/>
      <c r="H708" s="1504"/>
      <c r="I708" s="594"/>
      <c r="J708" s="1504">
        <f t="shared" ref="J708:J709" si="261">E708+TIME(8,0,0)</f>
        <v>46196.416666666672</v>
      </c>
      <c r="K708" s="659" t="str">
        <f t="shared" ref="K708:K713" si="262">IF($M$708-J708&lt;0, "-" &amp; TEXT(ABS($M$708-J708),"[hh].mm:ss"), TEXT($M$708-J708,"[hh].mm.ss"))</f>
        <v>00.10.00</v>
      </c>
      <c r="L708" s="1640">
        <v>46196.423611111109</v>
      </c>
      <c r="M708" s="1609">
        <v>46196.423611111109</v>
      </c>
    </row>
    <row r="709" spans="1:13" s="104" customFormat="1" ht="20.399999999999999" thickTop="1" thickBot="1" x14ac:dyDescent="0.5">
      <c r="A709" s="1583"/>
      <c r="B709" s="1608"/>
      <c r="C709" s="1594" t="s">
        <v>3027</v>
      </c>
      <c r="D709" s="1337" t="s">
        <v>3749</v>
      </c>
      <c r="E709" s="1530">
        <v>46196.084722222222</v>
      </c>
      <c r="F709" s="1530">
        <v>46196.125</v>
      </c>
      <c r="G709" s="1530"/>
      <c r="H709" s="1530"/>
      <c r="I709" s="596"/>
      <c r="J709" s="1530">
        <f t="shared" si="261"/>
        <v>46196.418055555558</v>
      </c>
      <c r="K709" s="663" t="str">
        <f t="shared" si="262"/>
        <v>00.08.00</v>
      </c>
      <c r="L709" s="1585"/>
      <c r="M709" s="1590"/>
    </row>
    <row r="710" spans="1:13" s="104" customFormat="1" ht="20.399999999999999" thickTop="1" thickBot="1" x14ac:dyDescent="0.5">
      <c r="A710" s="1583"/>
      <c r="B710" s="1608"/>
      <c r="C710" s="1595"/>
      <c r="D710" s="1338" t="s">
        <v>3747</v>
      </c>
      <c r="E710" s="1505">
        <v>46196.086111111108</v>
      </c>
      <c r="F710" s="1505">
        <v>46196.12777777778</v>
      </c>
      <c r="G710" s="1505"/>
      <c r="H710" s="1505"/>
      <c r="I710" s="605"/>
      <c r="J710" s="1505">
        <f>E710+TIME(8,0,0)</f>
        <v>46196.419444444444</v>
      </c>
      <c r="K710" s="673" t="str">
        <f t="shared" si="262"/>
        <v>00.06.00</v>
      </c>
      <c r="L710" s="1585"/>
      <c r="M710" s="1590"/>
    </row>
    <row r="711" spans="1:13" s="104" customFormat="1" ht="20.399999999999999" thickTop="1" thickBot="1" x14ac:dyDescent="0.5">
      <c r="A711" s="1583"/>
      <c r="B711" s="1689"/>
      <c r="C711" s="1339" t="s">
        <v>806</v>
      </c>
      <c r="D711" s="280" t="s">
        <v>3751</v>
      </c>
      <c r="E711" s="1530">
        <v>46196.088194444441</v>
      </c>
      <c r="F711" s="1530">
        <v>46196.129166666666</v>
      </c>
      <c r="G711" s="1530"/>
      <c r="H711" s="1530"/>
      <c r="I711" s="596"/>
      <c r="J711" s="1530">
        <f>E711+TIME(8,0,0)</f>
        <v>46196.421527777777</v>
      </c>
      <c r="K711" s="663" t="str">
        <f t="shared" ref="K711" si="263">IF($M$708-J711&lt;0, "-" &amp; TEXT(ABS($M$708-J711),"[hh].mm:ss"), TEXT($M$708-J711,"[hh].mm.ss"))</f>
        <v>00.03.00</v>
      </c>
      <c r="L711" s="1585"/>
      <c r="M711" s="1590"/>
    </row>
    <row r="712" spans="1:13" s="104" customFormat="1" ht="20.399999999999999" thickTop="1" thickBot="1" x14ac:dyDescent="0.5">
      <c r="A712" s="1583"/>
      <c r="B712" s="1608"/>
      <c r="C712" s="1595" t="s">
        <v>3027</v>
      </c>
      <c r="D712" s="1497" t="s">
        <v>3699</v>
      </c>
      <c r="E712" s="1497">
        <v>46196.083333333336</v>
      </c>
      <c r="F712" s="1497">
        <v>46199.25</v>
      </c>
      <c r="G712" s="1497"/>
      <c r="H712" s="1497"/>
      <c r="I712" s="593"/>
      <c r="J712" s="1497">
        <f t="shared" ref="J712" si="264">E712+TIME(8,0,0)</f>
        <v>46196.416666666672</v>
      </c>
      <c r="K712" s="660" t="str">
        <f t="shared" si="262"/>
        <v>00.10.00</v>
      </c>
      <c r="L712" s="1585"/>
      <c r="M712" s="1590"/>
    </row>
    <row r="713" spans="1:13" s="104" customFormat="1" ht="20.399999999999999" thickTop="1" thickBot="1" x14ac:dyDescent="0.5">
      <c r="A713" s="1583"/>
      <c r="B713" s="1608"/>
      <c r="C713" s="1595"/>
      <c r="D713" s="588" t="s">
        <v>3700</v>
      </c>
      <c r="E713" s="1497">
        <v>46196.083333333336</v>
      </c>
      <c r="F713" s="1497">
        <v>46199.25</v>
      </c>
      <c r="G713" s="1497"/>
      <c r="H713" s="1497"/>
      <c r="I713" s="593"/>
      <c r="J713" s="1497">
        <f>E713+TIME(8,0,0)</f>
        <v>46196.416666666672</v>
      </c>
      <c r="K713" s="660" t="str">
        <f t="shared" si="262"/>
        <v>00.10.00</v>
      </c>
      <c r="L713" s="1585"/>
      <c r="M713" s="1590"/>
    </row>
    <row r="714" spans="1:13" s="104" customFormat="1" ht="20.399999999999999" thickTop="1" thickBot="1" x14ac:dyDescent="0.5">
      <c r="A714" s="1580" t="s">
        <v>543</v>
      </c>
      <c r="B714" s="1677" t="s">
        <v>388</v>
      </c>
      <c r="C714" s="1288" t="s">
        <v>1280</v>
      </c>
      <c r="D714" s="358"/>
      <c r="E714" s="1493"/>
      <c r="F714" s="1493"/>
      <c r="G714" s="1493"/>
      <c r="H714" s="1493"/>
      <c r="I714" s="606"/>
      <c r="J714" s="1493">
        <f t="shared" ref="J714:J715" si="265">E714+TIME(8,0,0)</f>
        <v>0.33333333333333331</v>
      </c>
      <c r="K714" s="674" t="str">
        <f>IF($M$714-J714&lt;0, "-" &amp; TEXT(ABS($M$714-J714),"[hh].mm:ss"), TEXT($M$714-J714,"[hh].mm.ss"))</f>
        <v>1109292.00.00</v>
      </c>
      <c r="L714" s="1678">
        <v>46220.833333333336</v>
      </c>
      <c r="M714" s="1665">
        <v>46220.833333333336</v>
      </c>
    </row>
    <row r="715" spans="1:13" s="104" customFormat="1" ht="20.399999999999999" thickTop="1" thickBot="1" x14ac:dyDescent="0.5">
      <c r="A715" s="1581"/>
      <c r="B715" s="1600"/>
      <c r="C715" s="1592" t="s">
        <v>3027</v>
      </c>
      <c r="D715" s="1289"/>
      <c r="E715" s="590"/>
      <c r="F715" s="590"/>
      <c r="G715" s="590"/>
      <c r="H715" s="590"/>
      <c r="I715" s="601"/>
      <c r="J715" s="590">
        <f t="shared" si="265"/>
        <v>0.33333333333333331</v>
      </c>
      <c r="K715" s="668" t="str">
        <f t="shared" ref="K715:K718" si="266">IF($M$714-J715&lt;0, "-" &amp; TEXT(ABS($M$714-J715),"[hh].mm:ss"), TEXT($M$714-J715,"[hh].mm.ss"))</f>
        <v>1109292.00.00</v>
      </c>
      <c r="L715" s="1603"/>
      <c r="M715" s="1606"/>
    </row>
    <row r="716" spans="1:13" s="104" customFormat="1" ht="20.399999999999999" thickTop="1" thickBot="1" x14ac:dyDescent="0.5">
      <c r="A716" s="1581"/>
      <c r="B716" s="1600"/>
      <c r="C716" s="1626"/>
      <c r="D716" s="1290"/>
      <c r="E716" s="305"/>
      <c r="F716" s="305"/>
      <c r="G716" s="305"/>
      <c r="H716" s="305"/>
      <c r="I716" s="602"/>
      <c r="J716" s="305">
        <f>E716+TIME(8,0,0)</f>
        <v>0.33333333333333331</v>
      </c>
      <c r="K716" s="669" t="str">
        <f t="shared" si="266"/>
        <v>1109292.00.00</v>
      </c>
      <c r="L716" s="1603"/>
      <c r="M716" s="1606"/>
    </row>
    <row r="717" spans="1:13" s="104" customFormat="1" ht="20.399999999999999" thickTop="1" thickBot="1" x14ac:dyDescent="0.5">
      <c r="A717" s="1581"/>
      <c r="B717" s="1600"/>
      <c r="C717" s="1626"/>
      <c r="D717" s="305" t="s">
        <v>3794</v>
      </c>
      <c r="E717" s="305">
        <v>46220.458333333336</v>
      </c>
      <c r="F717" s="305">
        <v>46223.583333333336</v>
      </c>
      <c r="G717" s="590"/>
      <c r="H717" s="590"/>
      <c r="I717" s="602"/>
      <c r="J717" s="305">
        <f t="shared" ref="J717" si="267">E717+TIME(8,0,0)</f>
        <v>46220.791666666672</v>
      </c>
      <c r="K717" s="669" t="str">
        <f t="shared" si="266"/>
        <v>01.00.00</v>
      </c>
      <c r="L717" s="1603"/>
      <c r="M717" s="1606"/>
    </row>
    <row r="718" spans="1:13" s="104" customFormat="1" ht="20.399999999999999" thickTop="1" thickBot="1" x14ac:dyDescent="0.5">
      <c r="A718" s="1581"/>
      <c r="B718" s="1600"/>
      <c r="C718" s="1627"/>
      <c r="D718" s="129" t="s">
        <v>3793</v>
      </c>
      <c r="E718" s="1476">
        <v>46220.458333333336</v>
      </c>
      <c r="F718" s="1476">
        <v>46223.583333333336</v>
      </c>
      <c r="G718" s="1476"/>
      <c r="H718" s="1476"/>
      <c r="I718" s="603"/>
      <c r="J718" s="1476">
        <f>E718+TIME(8,0,0)</f>
        <v>46220.791666666672</v>
      </c>
      <c r="K718" s="670" t="str">
        <f t="shared" si="266"/>
        <v>01.00.00</v>
      </c>
      <c r="L718" s="1603"/>
      <c r="M718" s="1606"/>
    </row>
    <row r="719" spans="1:13" ht="20.399999999999999" thickTop="1" thickBot="1" x14ac:dyDescent="0.5">
      <c r="A719" s="314"/>
      <c r="B719" s="314"/>
      <c r="C719" s="633"/>
      <c r="D719" s="84"/>
      <c r="E719" s="84"/>
      <c r="F719" s="84"/>
      <c r="G719" s="84"/>
      <c r="H719" s="84"/>
      <c r="I719" s="597"/>
      <c r="J719" s="84"/>
      <c r="K719" s="664"/>
      <c r="L719" s="314"/>
      <c r="M719" s="623"/>
    </row>
    <row r="720" spans="1:13" ht="20.399999999999999" thickTop="1" thickBot="1" x14ac:dyDescent="0.5">
      <c r="A720" s="1470" t="s">
        <v>1587</v>
      </c>
      <c r="B720" s="1480" t="s">
        <v>388</v>
      </c>
      <c r="C720" s="1485" t="s">
        <v>1336</v>
      </c>
      <c r="D720" s="587" t="s">
        <v>2675</v>
      </c>
      <c r="E720" s="1504">
        <v>44187.186805555553</v>
      </c>
      <c r="F720" s="1504">
        <v>44187.210416666669</v>
      </c>
      <c r="G720" s="1504"/>
      <c r="H720" s="1504"/>
      <c r="I720" s="594"/>
      <c r="J720" s="1504">
        <f t="shared" ref="J720:J724" si="268">E720+TIME(8,0,0)</f>
        <v>44187.520138888889</v>
      </c>
      <c r="K720" s="659" t="str">
        <f>IF($M$720-J720&lt;0, "-" &amp; TEXT(ABS($M$720-J720),"[hh]:mm:ss"), TEXT($M$720-J720,"[hh]:mm:ss"))</f>
        <v>00:08:00</v>
      </c>
      <c r="L720" s="1481">
        <v>44187.192361111112</v>
      </c>
      <c r="M720" s="1482">
        <v>44187.525694444441</v>
      </c>
    </row>
    <row r="721" spans="1:13" ht="19.8" thickTop="1" x14ac:dyDescent="0.45">
      <c r="A721" s="1618" t="s">
        <v>1416</v>
      </c>
      <c r="B721" s="1607" t="s">
        <v>999</v>
      </c>
      <c r="C721" s="643" t="s">
        <v>781</v>
      </c>
      <c r="D721" s="184" t="s">
        <v>1635</v>
      </c>
      <c r="E721" s="185">
        <v>45371.072916666664</v>
      </c>
      <c r="F721" s="185">
        <v>45371.094444444447</v>
      </c>
      <c r="G721" s="185"/>
      <c r="H721" s="185"/>
      <c r="I721" s="609"/>
      <c r="J721" s="185">
        <f t="shared" si="268"/>
        <v>45371.40625</v>
      </c>
      <c r="K721" s="672" t="str">
        <f t="shared" ref="K721:K724" si="269">IF($M$721-J721&lt;0, "-" &amp; TEXT(ABS($M$721-J721),"[hh]:mm:ss"), TEXT($M$721-J721,"[hh]:mm:ss"))</f>
        <v>00:10:00</v>
      </c>
      <c r="L721" s="1679">
        <v>45371.412499999999</v>
      </c>
      <c r="M721" s="1687">
        <v>45371.413194444445</v>
      </c>
    </row>
    <row r="722" spans="1:13" x14ac:dyDescent="0.45">
      <c r="A722" s="1619"/>
      <c r="B722" s="1615"/>
      <c r="C722" s="1613" t="s">
        <v>3027</v>
      </c>
      <c r="D722" s="319" t="s">
        <v>1653</v>
      </c>
      <c r="E722" s="1530">
        <v>45371.074305555558</v>
      </c>
      <c r="F722" s="1530">
        <v>45371.097916666666</v>
      </c>
      <c r="G722" s="1530"/>
      <c r="H722" s="1530"/>
      <c r="I722" s="596"/>
      <c r="J722" s="1530">
        <f t="shared" si="268"/>
        <v>45371.407638888893</v>
      </c>
      <c r="K722" s="663" t="str">
        <f t="shared" si="269"/>
        <v>00:08:00</v>
      </c>
      <c r="L722" s="1591"/>
      <c r="M722" s="1589"/>
    </row>
    <row r="723" spans="1:13" collapsed="1" x14ac:dyDescent="0.45">
      <c r="A723" s="1619"/>
      <c r="B723" s="1615"/>
      <c r="C723" s="1617"/>
      <c r="D723" s="1530" t="s">
        <v>1654</v>
      </c>
      <c r="E723" s="1530">
        <v>45371.074305555558</v>
      </c>
      <c r="F723" s="1530">
        <v>45371.099305555559</v>
      </c>
      <c r="G723" s="1530"/>
      <c r="H723" s="1530"/>
      <c r="I723" s="596"/>
      <c r="J723" s="1530">
        <f t="shared" si="268"/>
        <v>45371.407638888893</v>
      </c>
      <c r="K723" s="663" t="str">
        <f t="shared" si="269"/>
        <v>00:08:00</v>
      </c>
      <c r="L723" s="1591"/>
      <c r="M723" s="1589"/>
    </row>
    <row r="724" spans="1:13" ht="19.8" thickBot="1" x14ac:dyDescent="0.5">
      <c r="A724" s="1583"/>
      <c r="B724" s="1608"/>
      <c r="C724" s="1484" t="s">
        <v>806</v>
      </c>
      <c r="D724" s="86" t="s">
        <v>1655</v>
      </c>
      <c r="E724" s="1481">
        <v>45371.074999999997</v>
      </c>
      <c r="F724" s="1481">
        <v>45374.102777777778</v>
      </c>
      <c r="G724" s="1481"/>
      <c r="H724" s="1481"/>
      <c r="I724" s="656"/>
      <c r="J724" s="1481">
        <f t="shared" si="268"/>
        <v>45371.408333333333</v>
      </c>
      <c r="K724" s="1534" t="str">
        <f t="shared" si="269"/>
        <v>00:07:00</v>
      </c>
      <c r="L724" s="1585"/>
      <c r="M724" s="1590"/>
    </row>
    <row r="725" spans="1:13" s="104" customFormat="1" ht="20.399999999999999" thickTop="1" thickBot="1" x14ac:dyDescent="0.5">
      <c r="A725" s="314"/>
      <c r="B725" s="314"/>
      <c r="C725" s="641"/>
      <c r="D725" s="87"/>
      <c r="E725" s="87"/>
      <c r="F725" s="87"/>
      <c r="G725" s="87"/>
      <c r="H725" s="87"/>
      <c r="I725" s="598"/>
      <c r="J725" s="87"/>
      <c r="K725" s="665"/>
      <c r="L725" s="314"/>
      <c r="M725" s="623"/>
    </row>
    <row r="726" spans="1:13" s="104" customFormat="1" ht="19.8" thickTop="1" x14ac:dyDescent="0.45">
      <c r="A726" s="1618" t="s">
        <v>1416</v>
      </c>
      <c r="B726" s="1607" t="s">
        <v>1931</v>
      </c>
      <c r="C726" s="643" t="s">
        <v>1407</v>
      </c>
      <c r="D726" s="184" t="s">
        <v>2653</v>
      </c>
      <c r="E726" s="185">
        <v>45727.666666666664</v>
      </c>
      <c r="F726" s="185">
        <v>45727.75</v>
      </c>
      <c r="G726" s="185"/>
      <c r="H726" s="185"/>
      <c r="I726" s="609"/>
      <c r="J726" s="185">
        <f t="shared" ref="J726" si="270">E726+TIME(8,0,0)</f>
        <v>45728</v>
      </c>
      <c r="K726" s="672" t="str">
        <f t="shared" ref="K726:K730" si="271">IF($M$726-J726&lt;0, "-" &amp; TEXT(ABS($M$726-J726),"[hh]:mm:ss"), TEXT($M$726-J726,"[hh]:mm:ss"))</f>
        <v>00:38:00</v>
      </c>
      <c r="L726" s="1679">
        <v>45728.026388888888</v>
      </c>
      <c r="M726" s="1687">
        <v>45728.026388888888</v>
      </c>
    </row>
    <row r="727" spans="1:13" s="104" customFormat="1" x14ac:dyDescent="0.45">
      <c r="A727" s="1619"/>
      <c r="B727" s="1615"/>
      <c r="C727" s="1613" t="s">
        <v>789</v>
      </c>
      <c r="D727" s="1530" t="s">
        <v>2632</v>
      </c>
      <c r="E727" s="1530">
        <v>45727.645833333336</v>
      </c>
      <c r="F727" s="1530">
        <v>45727.854166666664</v>
      </c>
      <c r="G727" s="1530"/>
      <c r="H727" s="1530"/>
      <c r="I727" s="596"/>
      <c r="J727" s="1530">
        <f t="shared" ref="J727:J735" si="272">E727+TIME(8,0,0)</f>
        <v>45727.979166666672</v>
      </c>
      <c r="K727" s="663" t="str">
        <f t="shared" si="271"/>
        <v>01:08:00</v>
      </c>
      <c r="L727" s="1591"/>
      <c r="M727" s="1589"/>
    </row>
    <row r="728" spans="1:13" s="104" customFormat="1" x14ac:dyDescent="0.45">
      <c r="A728" s="1619"/>
      <c r="B728" s="1615"/>
      <c r="C728" s="1617"/>
      <c r="D728" s="319" t="s">
        <v>2654</v>
      </c>
      <c r="E728" s="1530">
        <v>45727.666666666664</v>
      </c>
      <c r="F728" s="1530">
        <v>45727.724999999999</v>
      </c>
      <c r="G728" s="1530"/>
      <c r="H728" s="1530"/>
      <c r="I728" s="596"/>
      <c r="J728" s="1530">
        <f t="shared" si="272"/>
        <v>45728</v>
      </c>
      <c r="K728" s="663" t="str">
        <f t="shared" si="271"/>
        <v>00:38:00</v>
      </c>
      <c r="L728" s="1591"/>
      <c r="M728" s="1589"/>
    </row>
    <row r="729" spans="1:13" s="104" customFormat="1" collapsed="1" x14ac:dyDescent="0.45">
      <c r="A729" s="1619"/>
      <c r="B729" s="1615"/>
      <c r="C729" s="1512" t="s">
        <v>2657</v>
      </c>
      <c r="D729" s="319" t="s">
        <v>2662</v>
      </c>
      <c r="E729" s="1530">
        <v>45727.688194444447</v>
      </c>
      <c r="F729" s="1530">
        <v>45727.711805555555</v>
      </c>
      <c r="G729" s="1530"/>
      <c r="H729" s="1530"/>
      <c r="I729" s="596"/>
      <c r="J729" s="1530">
        <f t="shared" si="272"/>
        <v>45728.021527777782</v>
      </c>
      <c r="K729" s="663" t="str">
        <f t="shared" si="271"/>
        <v>00:07:00</v>
      </c>
      <c r="L729" s="1591"/>
      <c r="M729" s="1589"/>
    </row>
    <row r="730" spans="1:13" s="104" customFormat="1" ht="19.8" thickBot="1" x14ac:dyDescent="0.5">
      <c r="A730" s="1583"/>
      <c r="B730" s="1608"/>
      <c r="C730" s="1484" t="s">
        <v>1337</v>
      </c>
      <c r="D730" s="86" t="s">
        <v>2656</v>
      </c>
      <c r="E730" s="1481">
        <v>45727.688194444447</v>
      </c>
      <c r="F730" s="1481">
        <v>45727.711805555555</v>
      </c>
      <c r="G730" s="1481"/>
      <c r="H730" s="1481"/>
      <c r="I730" s="656"/>
      <c r="J730" s="1481">
        <f t="shared" si="272"/>
        <v>45728.021527777782</v>
      </c>
      <c r="K730" s="1534" t="str">
        <f t="shared" si="271"/>
        <v>00:07:00</v>
      </c>
      <c r="L730" s="1585"/>
      <c r="M730" s="1590"/>
    </row>
    <row r="731" spans="1:13" s="104" customFormat="1" ht="19.8" thickTop="1" x14ac:dyDescent="0.45">
      <c r="A731" s="1618" t="s">
        <v>1416</v>
      </c>
      <c r="B731" s="1607" t="s">
        <v>1931</v>
      </c>
      <c r="C731" s="643" t="s">
        <v>1407</v>
      </c>
      <c r="D731" s="184" t="s">
        <v>3478</v>
      </c>
      <c r="E731" s="185">
        <v>46119.520833333336</v>
      </c>
      <c r="F731" s="185">
        <v>46119.604166666664</v>
      </c>
      <c r="G731" s="185"/>
      <c r="H731" s="185"/>
      <c r="I731" s="609"/>
      <c r="J731" s="185">
        <f t="shared" si="272"/>
        <v>46119.854166666672</v>
      </c>
      <c r="K731" s="672" t="str">
        <f t="shared" ref="K731:K735" si="273">IF($M$731-J731&lt;0, "-" &amp; TEXT(ABS($M$731-J731),"[hh]:mm:ss"), TEXT($M$731-J731,"[hh]:mm:ss"))</f>
        <v>01:02:00</v>
      </c>
      <c r="L731" s="1679">
        <v>46119.897222222222</v>
      </c>
      <c r="M731" s="1687">
        <v>46119.897222222222</v>
      </c>
    </row>
    <row r="732" spans="1:13" s="104" customFormat="1" x14ac:dyDescent="0.45">
      <c r="A732" s="1619"/>
      <c r="B732" s="1615"/>
      <c r="C732" s="1613" t="s">
        <v>789</v>
      </c>
      <c r="D732" s="319" t="s">
        <v>3448</v>
      </c>
      <c r="E732" s="1530">
        <v>46119.541666666664</v>
      </c>
      <c r="F732" s="1530">
        <v>46119.645833333336</v>
      </c>
      <c r="G732" s="1530"/>
      <c r="H732" s="1530"/>
      <c r="I732" s="596"/>
      <c r="J732" s="1530">
        <f t="shared" si="272"/>
        <v>46119.875</v>
      </c>
      <c r="K732" s="663" t="str">
        <f t="shared" si="273"/>
        <v>00:32:00</v>
      </c>
      <c r="L732" s="1591"/>
      <c r="M732" s="1589"/>
    </row>
    <row r="733" spans="1:13" s="104" customFormat="1" x14ac:dyDescent="0.45">
      <c r="A733" s="1619"/>
      <c r="B733" s="1615"/>
      <c r="C733" s="1617"/>
      <c r="D733" s="1530" t="s">
        <v>3465</v>
      </c>
      <c r="E733" s="1530">
        <v>46119.558333333334</v>
      </c>
      <c r="F733" s="1530">
        <v>46119.574305555558</v>
      </c>
      <c r="G733" s="1530"/>
      <c r="H733" s="1530"/>
      <c r="I733" s="596"/>
      <c r="J733" s="1530">
        <f t="shared" si="272"/>
        <v>46119.89166666667</v>
      </c>
      <c r="K733" s="663" t="str">
        <f t="shared" si="273"/>
        <v>00:08:00</v>
      </c>
      <c r="L733" s="1591"/>
      <c r="M733" s="1589"/>
    </row>
    <row r="734" spans="1:13" s="104" customFormat="1" x14ac:dyDescent="0.45">
      <c r="A734" s="1619"/>
      <c r="B734" s="1615"/>
      <c r="C734" s="1595" t="s">
        <v>1337</v>
      </c>
      <c r="D734" s="319" t="s">
        <v>3471</v>
      </c>
      <c r="E734" s="1530">
        <v>46119.541666666664</v>
      </c>
      <c r="F734" s="1530">
        <v>46119.645833333336</v>
      </c>
      <c r="G734" s="1530"/>
      <c r="H734" s="1530"/>
      <c r="I734" s="596"/>
      <c r="J734" s="1530">
        <f t="shared" si="272"/>
        <v>46119.875</v>
      </c>
      <c r="K734" s="663" t="str">
        <f t="shared" si="273"/>
        <v>00:32:00</v>
      </c>
      <c r="L734" s="1591"/>
      <c r="M734" s="1589"/>
    </row>
    <row r="735" spans="1:13" s="104" customFormat="1" ht="19.8" thickBot="1" x14ac:dyDescent="0.5">
      <c r="A735" s="1583"/>
      <c r="B735" s="1608"/>
      <c r="C735" s="1625"/>
      <c r="D735" s="86" t="s">
        <v>3472</v>
      </c>
      <c r="E735" s="1481">
        <v>46119.541666666664</v>
      </c>
      <c r="F735" s="1481">
        <v>46119.645833333336</v>
      </c>
      <c r="G735" s="1481"/>
      <c r="H735" s="1481"/>
      <c r="I735" s="656"/>
      <c r="J735" s="1481">
        <f t="shared" si="272"/>
        <v>46119.875</v>
      </c>
      <c r="K735" s="1534" t="str">
        <f t="shared" si="273"/>
        <v>00:32:00</v>
      </c>
      <c r="L735" s="1585"/>
      <c r="M735" s="1590"/>
    </row>
    <row r="736" spans="1:13" s="104" customFormat="1" ht="19.8" thickTop="1" x14ac:dyDescent="0.45">
      <c r="A736" s="1618" t="s">
        <v>1416</v>
      </c>
      <c r="B736" s="1607" t="s">
        <v>1931</v>
      </c>
      <c r="C736" s="1485" t="s">
        <v>1407</v>
      </c>
      <c r="D736" s="587" t="s">
        <v>3601</v>
      </c>
      <c r="E736" s="1504">
        <v>46159.569444444445</v>
      </c>
      <c r="F736" s="1504">
        <v>46160.652777777781</v>
      </c>
      <c r="G736" s="1504"/>
      <c r="H736" s="1504"/>
      <c r="I736" s="594"/>
      <c r="J736" s="1504">
        <f t="shared" ref="J736:J739" si="274">E736+TIME(8,0,0)</f>
        <v>46159.902777777781</v>
      </c>
      <c r="K736" s="659" t="str">
        <f>IF($M$736-J736&lt;0, "-" &amp; TEXT(ABS($M$736-J736),"[hh]:mm:ss"), TEXT($M$736-J736,"[hh]:mm:ss"))</f>
        <v>01:02:00</v>
      </c>
      <c r="L736" s="1587">
        <v>46159.945833333331</v>
      </c>
      <c r="M736" s="1588">
        <v>46159.945833333331</v>
      </c>
    </row>
    <row r="737" spans="1:13" s="104" customFormat="1" x14ac:dyDescent="0.45">
      <c r="A737" s="1619"/>
      <c r="B737" s="1615"/>
      <c r="C737" s="1512" t="s">
        <v>789</v>
      </c>
      <c r="D737" s="319" t="s">
        <v>3581</v>
      </c>
      <c r="E737" s="1530">
        <v>46159.606944444444</v>
      </c>
      <c r="F737" s="1530">
        <v>46159.622916666667</v>
      </c>
      <c r="G737" s="1530"/>
      <c r="H737" s="1530"/>
      <c r="I737" s="596"/>
      <c r="J737" s="1530">
        <f t="shared" si="274"/>
        <v>46159.94027777778</v>
      </c>
      <c r="K737" s="663" t="str">
        <f t="shared" ref="K737:K739" si="275">IF($M$736-J737&lt;0, "-" &amp; TEXT(ABS($M$736-J737),"[hh]:mm:ss"), TEXT($M$736-J737,"[hh]:mm:ss"))</f>
        <v>00:08:00</v>
      </c>
      <c r="L737" s="1591"/>
      <c r="M737" s="1589"/>
    </row>
    <row r="738" spans="1:13" s="104" customFormat="1" x14ac:dyDescent="0.45">
      <c r="A738" s="1619"/>
      <c r="B738" s="1615"/>
      <c r="C738" s="1594" t="s">
        <v>1337</v>
      </c>
      <c r="D738" s="183" t="s">
        <v>3594</v>
      </c>
      <c r="E738" s="1505">
        <v>46159.607638888891</v>
      </c>
      <c r="F738" s="1505">
        <v>46159.630555555559</v>
      </c>
      <c r="G738" s="1505"/>
      <c r="H738" s="1505"/>
      <c r="I738" s="605"/>
      <c r="J738" s="1505">
        <f t="shared" ref="J738" si="276">E738+TIME(8,0,0)</f>
        <v>46159.940972222226</v>
      </c>
      <c r="K738" s="673" t="str">
        <f t="shared" ref="K738" si="277">IF($M$736-J738&lt;0, "-" &amp; TEXT(ABS($M$736-J738),"[hh]:mm:ss"), TEXT($M$736-J738,"[hh]:mm:ss"))</f>
        <v>00:07:00</v>
      </c>
      <c r="L738" s="1591"/>
      <c r="M738" s="1589"/>
    </row>
    <row r="739" spans="1:13" s="104" customFormat="1" ht="19.8" thickBot="1" x14ac:dyDescent="0.5">
      <c r="A739" s="1583"/>
      <c r="B739" s="1608"/>
      <c r="C739" s="1625"/>
      <c r="D739" s="82" t="s">
        <v>3598</v>
      </c>
      <c r="E739" s="1514">
        <v>46159.607638888891</v>
      </c>
      <c r="F739" s="1514">
        <v>46159.625</v>
      </c>
      <c r="G739" s="1514"/>
      <c r="H739" s="1514"/>
      <c r="I739" s="595"/>
      <c r="J739" s="1514">
        <f t="shared" si="274"/>
        <v>46159.940972222226</v>
      </c>
      <c r="K739" s="661" t="str">
        <f t="shared" si="275"/>
        <v>00:07:00</v>
      </c>
      <c r="L739" s="1585"/>
      <c r="M739" s="1590"/>
    </row>
    <row r="740" spans="1:13" s="104" customFormat="1" ht="19.8" thickTop="1" x14ac:dyDescent="0.45">
      <c r="A740" s="1618" t="s">
        <v>1416</v>
      </c>
      <c r="B740" s="1607" t="s">
        <v>1931</v>
      </c>
      <c r="C740" s="1485" t="s">
        <v>1407</v>
      </c>
      <c r="D740" s="587" t="s">
        <v>3696</v>
      </c>
      <c r="E740" s="1504">
        <v>46178.229166666664</v>
      </c>
      <c r="F740" s="1504">
        <v>46179.3125</v>
      </c>
      <c r="G740" s="1504"/>
      <c r="H740" s="1504"/>
      <c r="I740" s="594"/>
      <c r="J740" s="1504">
        <f t="shared" ref="J740:J742" si="278">E740+TIME(8,0,0)</f>
        <v>46178.5625</v>
      </c>
      <c r="K740" s="659" t="str">
        <f>IF($M$740-J740&lt;0, "-" &amp; TEXT(ABS($M$7191-J740),"[hh]:mm:ss"), TEXT($M$740-J740,"[hh]:mm:ss"))</f>
        <v>01:04:00</v>
      </c>
      <c r="L740" s="1587">
        <v>46178.606249999997</v>
      </c>
      <c r="M740" s="1588">
        <v>46178.606944444444</v>
      </c>
    </row>
    <row r="741" spans="1:13" s="104" customFormat="1" x14ac:dyDescent="0.45">
      <c r="A741" s="1619"/>
      <c r="B741" s="1615"/>
      <c r="C741" s="1594" t="s">
        <v>789</v>
      </c>
      <c r="D741" s="588" t="s">
        <v>3693</v>
      </c>
      <c r="E741" s="1497">
        <v>46178.267361111109</v>
      </c>
      <c r="F741" s="1497">
        <v>46178.283333333333</v>
      </c>
      <c r="G741" s="1497"/>
      <c r="H741" s="1497"/>
      <c r="I741" s="593"/>
      <c r="J741" s="1497">
        <f t="shared" ref="J741" si="279">E741+TIME(8,0,0)</f>
        <v>46178.600694444445</v>
      </c>
      <c r="K741" s="660" t="str">
        <f>IF($M$740-J741&lt;0, "-" &amp; TEXT(ABS($M$740-J741),"[hh]:mm:ss"), TEXT($M$740-J741,"[hh]:mm:ss"))</f>
        <v>00:09:00</v>
      </c>
      <c r="L741" s="1591"/>
      <c r="M741" s="1589"/>
    </row>
    <row r="742" spans="1:13" s="104" customFormat="1" ht="19.8" thickBot="1" x14ac:dyDescent="0.5">
      <c r="A742" s="1583"/>
      <c r="B742" s="1608"/>
      <c r="C742" s="1625"/>
      <c r="D742" s="82" t="s">
        <v>3669</v>
      </c>
      <c r="E742" s="1514">
        <v>46178.208333333336</v>
      </c>
      <c r="F742" s="1514">
        <v>46181.375</v>
      </c>
      <c r="G742" s="1514"/>
      <c r="H742" s="1514"/>
      <c r="I742" s="595"/>
      <c r="J742" s="1514">
        <f t="shared" si="278"/>
        <v>46178.541666666672</v>
      </c>
      <c r="K742" s="661" t="str">
        <f>IF($M$740-J742&lt;0, "-" &amp; TEXT(ABS($M$740-J742),"[hh]:mm:ss"), TEXT($M$740-J742,"[hh]:mm:ss"))</f>
        <v>01:34:00</v>
      </c>
      <c r="L742" s="1585"/>
      <c r="M742" s="1590"/>
    </row>
    <row r="743" spans="1:13" s="104" customFormat="1" ht="19.8" thickTop="1" x14ac:dyDescent="0.45">
      <c r="A743" s="1596" t="s">
        <v>1416</v>
      </c>
      <c r="B743" s="1598" t="s">
        <v>1931</v>
      </c>
      <c r="C743" s="638" t="s">
        <v>1407</v>
      </c>
      <c r="D743" s="358"/>
      <c r="E743" s="1493"/>
      <c r="F743" s="1493"/>
      <c r="G743" s="1493"/>
      <c r="H743" s="1493"/>
      <c r="I743" s="606"/>
      <c r="J743" s="1493">
        <f t="shared" ref="J743:J747" si="280">E743+TIME(8,0,0)</f>
        <v>0.33333333333333331</v>
      </c>
      <c r="K743" s="674" t="str">
        <f>IF($M$743-J743&lt;0, "-" &amp; TEXT(ABS($M$743-J743),"[hh]:mm:ss"), TEXT($M$743-J743,"[hh]:mm:ss"))</f>
        <v>-08:00:00</v>
      </c>
      <c r="L743" s="1601"/>
      <c r="M743" s="1604"/>
    </row>
    <row r="744" spans="1:13" s="104" customFormat="1" x14ac:dyDescent="0.45">
      <c r="A744" s="1597"/>
      <c r="B744" s="1599"/>
      <c r="C744" s="1592" t="s">
        <v>789</v>
      </c>
      <c r="D744" s="315"/>
      <c r="E744" s="590"/>
      <c r="F744" s="590"/>
      <c r="G744" s="590"/>
      <c r="H744" s="590"/>
      <c r="I744" s="601"/>
      <c r="J744" s="590">
        <f t="shared" si="280"/>
        <v>0.33333333333333331</v>
      </c>
      <c r="K744" s="668" t="str">
        <f t="shared" ref="K744:K747" si="281">IF($M$743-J744&lt;0, "-" &amp; TEXT(ABS($M$743-J744),"[hh]:mm:ss"), TEXT($M$743-J744,"[hh]:mm:ss"))</f>
        <v>-08:00:00</v>
      </c>
      <c r="L744" s="1602"/>
      <c r="M744" s="1605"/>
    </row>
    <row r="745" spans="1:13" s="104" customFormat="1" x14ac:dyDescent="0.45">
      <c r="A745" s="1597"/>
      <c r="B745" s="1599"/>
      <c r="C745" s="1593"/>
      <c r="D745" s="316"/>
      <c r="E745" s="305"/>
      <c r="F745" s="305"/>
      <c r="G745" s="305"/>
      <c r="H745" s="305"/>
      <c r="I745" s="602"/>
      <c r="J745" s="305">
        <f t="shared" si="280"/>
        <v>0.33333333333333331</v>
      </c>
      <c r="K745" s="669" t="str">
        <f t="shared" si="281"/>
        <v>-08:00:00</v>
      </c>
      <c r="L745" s="1602"/>
      <c r="M745" s="1605"/>
    </row>
    <row r="746" spans="1:13" s="104" customFormat="1" x14ac:dyDescent="0.45">
      <c r="A746" s="1597"/>
      <c r="B746" s="1599"/>
      <c r="C746" s="1592" t="s">
        <v>1304</v>
      </c>
      <c r="D746" s="315"/>
      <c r="E746" s="590"/>
      <c r="F746" s="590"/>
      <c r="G746" s="590"/>
      <c r="H746" s="590"/>
      <c r="I746" s="601"/>
      <c r="J746" s="590">
        <f t="shared" si="280"/>
        <v>0.33333333333333331</v>
      </c>
      <c r="K746" s="668" t="str">
        <f t="shared" si="281"/>
        <v>-08:00:00</v>
      </c>
      <c r="L746" s="1602"/>
      <c r="M746" s="1605"/>
    </row>
    <row r="747" spans="1:13" s="104" customFormat="1" x14ac:dyDescent="0.45">
      <c r="A747" s="1597"/>
      <c r="B747" s="1599"/>
      <c r="C747" s="1626"/>
      <c r="D747" s="315"/>
      <c r="E747" s="590"/>
      <c r="F747" s="590"/>
      <c r="G747" s="590"/>
      <c r="H747" s="590"/>
      <c r="I747" s="601"/>
      <c r="J747" s="590">
        <f t="shared" si="280"/>
        <v>0.33333333333333331</v>
      </c>
      <c r="K747" s="668" t="str">
        <f t="shared" si="281"/>
        <v>-08:00:00</v>
      </c>
      <c r="L747" s="1602"/>
      <c r="M747" s="1605"/>
    </row>
    <row r="748" spans="1:13" s="104" customFormat="1" x14ac:dyDescent="0.45">
      <c r="A748" s="1597"/>
      <c r="B748" s="1599"/>
      <c r="C748" s="1626"/>
      <c r="D748" s="315"/>
      <c r="E748" s="590"/>
      <c r="F748" s="590"/>
      <c r="G748" s="590"/>
      <c r="H748" s="590"/>
      <c r="I748" s="601"/>
      <c r="J748" s="590">
        <f t="shared" ref="J748:J749" si="282">E748+TIME(8,0,0)</f>
        <v>0.33333333333333331</v>
      </c>
      <c r="K748" s="668" t="str">
        <f t="shared" ref="K748:K749" si="283">IF($M$743-J748&lt;0, "-" &amp; TEXT(ABS($M$743-J748),"[hh]:mm:ss"), TEXT($M$743-J748,"[hh]:mm:ss"))</f>
        <v>-08:00:00</v>
      </c>
      <c r="L748" s="1602"/>
      <c r="M748" s="1605"/>
    </row>
    <row r="749" spans="1:13" s="104" customFormat="1" ht="19.8" thickBot="1" x14ac:dyDescent="0.5">
      <c r="A749" s="1581"/>
      <c r="B749" s="1600"/>
      <c r="C749" s="1627"/>
      <c r="D749" s="129"/>
      <c r="E749" s="1476"/>
      <c r="F749" s="1476"/>
      <c r="G749" s="1476"/>
      <c r="H749" s="1476"/>
      <c r="I749" s="603"/>
      <c r="J749" s="1476">
        <f t="shared" si="282"/>
        <v>0.33333333333333331</v>
      </c>
      <c r="K749" s="670" t="str">
        <f t="shared" si="283"/>
        <v>-08:00:00</v>
      </c>
      <c r="L749" s="1603"/>
      <c r="M749" s="1606"/>
    </row>
    <row r="750" spans="1:13" s="104" customFormat="1" ht="20.399999999999999" thickTop="1" thickBot="1" x14ac:dyDescent="0.5">
      <c r="A750" s="314"/>
      <c r="B750" s="314"/>
      <c r="C750" s="635"/>
      <c r="D750" s="90"/>
      <c r="E750" s="90"/>
      <c r="F750" s="90"/>
      <c r="G750" s="90"/>
      <c r="H750" s="90"/>
      <c r="I750" s="599"/>
      <c r="J750" s="90"/>
      <c r="K750" s="666"/>
      <c r="L750" s="314"/>
      <c r="M750" s="623"/>
    </row>
    <row r="751" spans="1:13" s="104" customFormat="1" ht="19.8" thickTop="1" x14ac:dyDescent="0.45">
      <c r="A751" s="1618" t="s">
        <v>1753</v>
      </c>
      <c r="B751" s="1607" t="s">
        <v>999</v>
      </c>
      <c r="C751" s="1489" t="s">
        <v>1407</v>
      </c>
      <c r="D751" s="588" t="s">
        <v>2584</v>
      </c>
      <c r="E751" s="1497">
        <v>45699.375</v>
      </c>
      <c r="F751" s="1497">
        <v>45699.458333333336</v>
      </c>
      <c r="G751" s="1497"/>
      <c r="H751" s="1497"/>
      <c r="I751" s="593"/>
      <c r="J751" s="1497">
        <f t="shared" ref="J751:J757" si="284">E751+TIME(8,0,0)</f>
        <v>45699.708333333336</v>
      </c>
      <c r="K751" s="660" t="str">
        <f t="shared" ref="K751:K757" si="285">IF($M$751-J751&lt;0, "-" &amp; TEXT(ABS($M$751-J751),"[hh]:mm:ss"), TEXT($M$751-J751,"[hh]:mm:ss"))</f>
        <v>00:30:00</v>
      </c>
      <c r="L751" s="1679">
        <v>45699.731249999997</v>
      </c>
      <c r="M751" s="1687">
        <v>45699.729166666664</v>
      </c>
    </row>
    <row r="752" spans="1:13" s="104" customFormat="1" x14ac:dyDescent="0.45">
      <c r="A752" s="1619"/>
      <c r="B752" s="1615"/>
      <c r="C752" s="1651" t="s">
        <v>801</v>
      </c>
      <c r="D752" s="588" t="s">
        <v>2580</v>
      </c>
      <c r="E752" s="1497">
        <v>45699.390277777777</v>
      </c>
      <c r="F752" s="1497">
        <v>45699.425000000003</v>
      </c>
      <c r="G752" s="1497"/>
      <c r="H752" s="1497"/>
      <c r="I752" s="593"/>
      <c r="J752" s="1497">
        <f t="shared" si="284"/>
        <v>45699.723611111112</v>
      </c>
      <c r="K752" s="660" t="str">
        <f t="shared" si="285"/>
        <v>00:08:00</v>
      </c>
      <c r="L752" s="1591"/>
      <c r="M752" s="1589"/>
    </row>
    <row r="753" spans="1:13" s="104" customFormat="1" x14ac:dyDescent="0.45">
      <c r="A753" s="1619"/>
      <c r="B753" s="1615"/>
      <c r="C753" s="1651"/>
      <c r="D753" s="588" t="s">
        <v>2581</v>
      </c>
      <c r="E753" s="1497">
        <v>45699.390972222223</v>
      </c>
      <c r="F753" s="1497">
        <v>45699.427777777775</v>
      </c>
      <c r="G753" s="1497"/>
      <c r="H753" s="1497"/>
      <c r="I753" s="593"/>
      <c r="J753" s="1497">
        <f t="shared" si="284"/>
        <v>45699.724305555559</v>
      </c>
      <c r="K753" s="660" t="str">
        <f t="shared" si="285"/>
        <v>00:07:00</v>
      </c>
      <c r="L753" s="1591"/>
      <c r="M753" s="1589"/>
    </row>
    <row r="754" spans="1:13" s="104" customFormat="1" x14ac:dyDescent="0.45">
      <c r="A754" s="1619"/>
      <c r="B754" s="1615"/>
      <c r="C754" s="1651"/>
      <c r="D754" s="588" t="s">
        <v>2582</v>
      </c>
      <c r="E754" s="1497">
        <v>45699.390972222223</v>
      </c>
      <c r="F754" s="1497">
        <v>45699.426388888889</v>
      </c>
      <c r="G754" s="1497"/>
      <c r="H754" s="1497"/>
      <c r="I754" s="593"/>
      <c r="J754" s="1497">
        <f t="shared" si="284"/>
        <v>45699.724305555559</v>
      </c>
      <c r="K754" s="660" t="str">
        <f t="shared" si="285"/>
        <v>00:07:00</v>
      </c>
      <c r="L754" s="1591"/>
      <c r="M754" s="1589"/>
    </row>
    <row r="755" spans="1:13" s="104" customFormat="1" x14ac:dyDescent="0.45">
      <c r="A755" s="1619"/>
      <c r="B755" s="1615"/>
      <c r="C755" s="1651"/>
      <c r="D755" s="319" t="s">
        <v>2557</v>
      </c>
      <c r="E755" s="1530">
        <v>45699.375</v>
      </c>
      <c r="F755" s="1530">
        <v>45699.541666666664</v>
      </c>
      <c r="G755" s="1530"/>
      <c r="H755" s="1530"/>
      <c r="I755" s="596"/>
      <c r="J755" s="1530">
        <f t="shared" si="284"/>
        <v>45699.708333333336</v>
      </c>
      <c r="K755" s="663" t="str">
        <f t="shared" si="285"/>
        <v>00:30:00</v>
      </c>
      <c r="L755" s="1591"/>
      <c r="M755" s="1589"/>
    </row>
    <row r="756" spans="1:13" s="104" customFormat="1" x14ac:dyDescent="0.45">
      <c r="A756" s="1619"/>
      <c r="B756" s="1615"/>
      <c r="C756" s="1651"/>
      <c r="D756" s="1530" t="s">
        <v>2558</v>
      </c>
      <c r="E756" s="1530">
        <v>45699.375</v>
      </c>
      <c r="F756" s="1530">
        <v>45699.541666666664</v>
      </c>
      <c r="G756" s="1530"/>
      <c r="H756" s="1530"/>
      <c r="I756" s="596"/>
      <c r="J756" s="1530">
        <f t="shared" si="284"/>
        <v>45699.708333333336</v>
      </c>
      <c r="K756" s="663" t="str">
        <f t="shared" si="285"/>
        <v>00:30:00</v>
      </c>
      <c r="L756" s="1591"/>
      <c r="M756" s="1589"/>
    </row>
    <row r="757" spans="1:13" s="104" customFormat="1" ht="19.8" thickBot="1" x14ac:dyDescent="0.5">
      <c r="A757" s="1583"/>
      <c r="B757" s="1608"/>
      <c r="C757" s="1612"/>
      <c r="D757" s="86" t="s">
        <v>2559</v>
      </c>
      <c r="E757" s="1481">
        <v>45699.375</v>
      </c>
      <c r="F757" s="1481">
        <v>45699.541666666664</v>
      </c>
      <c r="G757" s="1481"/>
      <c r="H757" s="1481"/>
      <c r="I757" s="656"/>
      <c r="J757" s="1481">
        <f t="shared" si="284"/>
        <v>45699.708333333336</v>
      </c>
      <c r="K757" s="1534" t="str">
        <f t="shared" si="285"/>
        <v>00:30:00</v>
      </c>
      <c r="L757" s="1585"/>
      <c r="M757" s="1590"/>
    </row>
    <row r="758" spans="1:13" s="104" customFormat="1" ht="20.399999999999999" thickTop="1" thickBot="1" x14ac:dyDescent="0.5">
      <c r="A758" s="314"/>
      <c r="B758" s="314"/>
      <c r="C758" s="641"/>
      <c r="D758" s="87"/>
      <c r="E758" s="87"/>
      <c r="F758" s="87"/>
      <c r="G758" s="87"/>
      <c r="H758" s="87"/>
      <c r="I758" s="598"/>
      <c r="J758" s="87"/>
      <c r="K758" s="665"/>
      <c r="L758" s="314"/>
      <c r="M758" s="623"/>
    </row>
    <row r="759" spans="1:13" s="104" customFormat="1" ht="19.8" thickTop="1" x14ac:dyDescent="0.45">
      <c r="A759" s="1618" t="s">
        <v>1753</v>
      </c>
      <c r="B759" s="1607" t="s">
        <v>1931</v>
      </c>
      <c r="C759" s="643" t="s">
        <v>1407</v>
      </c>
      <c r="D759" s="184" t="s">
        <v>2903</v>
      </c>
      <c r="E759" s="185">
        <v>45868.28402777778</v>
      </c>
      <c r="F759" s="185">
        <v>45868.367361111108</v>
      </c>
      <c r="G759" s="185"/>
      <c r="H759" s="185"/>
      <c r="I759" s="609"/>
      <c r="J759" s="185">
        <f t="shared" ref="J759:J789" si="286">E759+TIME(8,0,0)</f>
        <v>45868.617361111115</v>
      </c>
      <c r="K759" s="672" t="str">
        <f t="shared" ref="K759:K763" si="287">IF($M$759-J759&lt;0, "-" &amp; TEXT(ABS($M$759-J759),"[hh]:mm:ss"), TEXT($M$759-J759,"[hh]:mm:ss"))</f>
        <v>01:00:00</v>
      </c>
      <c r="L759" s="1679">
        <v>45868.659722222219</v>
      </c>
      <c r="M759" s="1687">
        <v>45868.65902777778</v>
      </c>
    </row>
    <row r="760" spans="1:13" s="104" customFormat="1" x14ac:dyDescent="0.45">
      <c r="A760" s="1619"/>
      <c r="B760" s="1615"/>
      <c r="C760" s="1613" t="s">
        <v>801</v>
      </c>
      <c r="D760" s="588" t="s">
        <v>2898</v>
      </c>
      <c r="E760" s="1497">
        <v>45868.320138888892</v>
      </c>
      <c r="F760" s="1497">
        <v>45868.338194444441</v>
      </c>
      <c r="G760" s="1497"/>
      <c r="H760" s="1497"/>
      <c r="I760" s="593"/>
      <c r="J760" s="1497">
        <f t="shared" si="286"/>
        <v>45868.653472222228</v>
      </c>
      <c r="K760" s="660" t="str">
        <f t="shared" si="287"/>
        <v>00:08:00</v>
      </c>
      <c r="L760" s="1591"/>
      <c r="M760" s="1589"/>
    </row>
    <row r="761" spans="1:13" s="104" customFormat="1" x14ac:dyDescent="0.45">
      <c r="A761" s="1619"/>
      <c r="B761" s="1615"/>
      <c r="C761" s="1651"/>
      <c r="D761" s="319" t="s">
        <v>2899</v>
      </c>
      <c r="E761" s="1530">
        <v>45868.320833333331</v>
      </c>
      <c r="F761" s="1530">
        <v>45868.345833333333</v>
      </c>
      <c r="G761" s="1530"/>
      <c r="H761" s="1530"/>
      <c r="I761" s="596"/>
      <c r="J761" s="1530">
        <f t="shared" si="286"/>
        <v>45868.654166666667</v>
      </c>
      <c r="K761" s="663" t="str">
        <f t="shared" si="287"/>
        <v>00:07:00</v>
      </c>
      <c r="L761" s="1591"/>
      <c r="M761" s="1589"/>
    </row>
    <row r="762" spans="1:13" s="104" customFormat="1" x14ac:dyDescent="0.45">
      <c r="A762" s="1619"/>
      <c r="B762" s="1615"/>
      <c r="C762" s="1651"/>
      <c r="D762" s="1530" t="s">
        <v>2885</v>
      </c>
      <c r="E762" s="1530">
        <v>45868.333333333336</v>
      </c>
      <c r="F762" s="1530">
        <v>45868.5</v>
      </c>
      <c r="G762" s="1530"/>
      <c r="H762" s="1530"/>
      <c r="I762" s="596"/>
      <c r="J762" s="1530">
        <f t="shared" si="286"/>
        <v>45868.666666666672</v>
      </c>
      <c r="K762" s="663" t="str">
        <f t="shared" si="287"/>
        <v>-00:11:00</v>
      </c>
      <c r="L762" s="1591"/>
      <c r="M762" s="1589"/>
    </row>
    <row r="763" spans="1:13" s="104" customFormat="1" ht="19.8" thickBot="1" x14ac:dyDescent="0.5">
      <c r="A763" s="1583"/>
      <c r="B763" s="1608"/>
      <c r="C763" s="1612"/>
      <c r="D763" s="86" t="s">
        <v>2886</v>
      </c>
      <c r="E763" s="1481">
        <v>45868.333333333336</v>
      </c>
      <c r="F763" s="1481">
        <v>45868.5</v>
      </c>
      <c r="G763" s="1481"/>
      <c r="H763" s="1481"/>
      <c r="I763" s="656"/>
      <c r="J763" s="1481">
        <f t="shared" si="286"/>
        <v>45868.666666666672</v>
      </c>
      <c r="K763" s="1534" t="str">
        <f t="shared" si="287"/>
        <v>-00:11:00</v>
      </c>
      <c r="L763" s="1585"/>
      <c r="M763" s="1590"/>
    </row>
    <row r="764" spans="1:13" s="104" customFormat="1" ht="19.8" thickTop="1" x14ac:dyDescent="0.45">
      <c r="A764" s="1618" t="s">
        <v>1753</v>
      </c>
      <c r="B764" s="1607" t="s">
        <v>1931</v>
      </c>
      <c r="C764" s="643" t="s">
        <v>1407</v>
      </c>
      <c r="D764" s="184" t="s">
        <v>2964</v>
      </c>
      <c r="E764" s="185">
        <v>45894.756944444445</v>
      </c>
      <c r="F764" s="185">
        <v>45894.833333333336</v>
      </c>
      <c r="G764" s="185"/>
      <c r="H764" s="185"/>
      <c r="I764" s="609"/>
      <c r="J764" s="185">
        <f t="shared" si="286"/>
        <v>45895.090277777781</v>
      </c>
      <c r="K764" s="672" t="str">
        <f t="shared" ref="K764:K768" si="288">IF($M$764-J764&lt;0, "-" &amp; TEXT(ABS($M$764-J764),"[hh]:mm:ss"), TEXT($M$764-J764,"[hh]:mm:ss"))</f>
        <v>00:58:00</v>
      </c>
      <c r="L764" s="1679">
        <v>45895.130555555559</v>
      </c>
      <c r="M764" s="1687">
        <v>45895.130555555559</v>
      </c>
    </row>
    <row r="765" spans="1:13" s="104" customFormat="1" x14ac:dyDescent="0.45">
      <c r="A765" s="1619"/>
      <c r="B765" s="1615"/>
      <c r="C765" s="1613" t="s">
        <v>801</v>
      </c>
      <c r="D765" s="588" t="s">
        <v>2968</v>
      </c>
      <c r="E765" s="1497">
        <v>45894.791666666664</v>
      </c>
      <c r="F765" s="1497">
        <v>45894.809027777781</v>
      </c>
      <c r="G765" s="1497"/>
      <c r="H765" s="1497"/>
      <c r="I765" s="593"/>
      <c r="J765" s="1497">
        <f t="shared" si="286"/>
        <v>45895.125</v>
      </c>
      <c r="K765" s="660" t="str">
        <f t="shared" si="288"/>
        <v>00:08:00</v>
      </c>
      <c r="L765" s="1591"/>
      <c r="M765" s="1589"/>
    </row>
    <row r="766" spans="1:13" s="104" customFormat="1" x14ac:dyDescent="0.45">
      <c r="A766" s="1619"/>
      <c r="B766" s="1615"/>
      <c r="C766" s="1651"/>
      <c r="D766" s="319" t="s">
        <v>2969</v>
      </c>
      <c r="E766" s="1530">
        <v>45894.792361111111</v>
      </c>
      <c r="F766" s="1530">
        <v>45894.816666666666</v>
      </c>
      <c r="G766" s="1530"/>
      <c r="H766" s="1530"/>
      <c r="I766" s="596"/>
      <c r="J766" s="1530">
        <f t="shared" si="286"/>
        <v>45895.125694444447</v>
      </c>
      <c r="K766" s="663" t="str">
        <f t="shared" si="288"/>
        <v>00:07:00</v>
      </c>
      <c r="L766" s="1591"/>
      <c r="M766" s="1589"/>
    </row>
    <row r="767" spans="1:13" s="104" customFormat="1" x14ac:dyDescent="0.45">
      <c r="A767" s="1619"/>
      <c r="B767" s="1615"/>
      <c r="C767" s="1651"/>
      <c r="D767" s="319" t="s">
        <v>2952</v>
      </c>
      <c r="E767" s="1530">
        <v>45894.75</v>
      </c>
      <c r="F767" s="1530">
        <v>45894.875</v>
      </c>
      <c r="G767" s="1530"/>
      <c r="H767" s="1530"/>
      <c r="I767" s="596"/>
      <c r="J767" s="1530">
        <f t="shared" si="286"/>
        <v>45895.083333333336</v>
      </c>
      <c r="K767" s="663" t="str">
        <f t="shared" si="288"/>
        <v>01:08:00</v>
      </c>
      <c r="L767" s="1591"/>
      <c r="M767" s="1589"/>
    </row>
    <row r="768" spans="1:13" s="104" customFormat="1" ht="19.8" thickBot="1" x14ac:dyDescent="0.5">
      <c r="A768" s="1583"/>
      <c r="B768" s="1608"/>
      <c r="C768" s="1612"/>
      <c r="D768" s="1514" t="s">
        <v>2953</v>
      </c>
      <c r="E768" s="1514">
        <v>45894.75</v>
      </c>
      <c r="F768" s="1514">
        <v>45894.875</v>
      </c>
      <c r="G768" s="1481"/>
      <c r="H768" s="1481"/>
      <c r="I768" s="656"/>
      <c r="J768" s="1481">
        <f t="shared" si="286"/>
        <v>45895.083333333336</v>
      </c>
      <c r="K768" s="1534" t="str">
        <f t="shared" si="288"/>
        <v>01:08:00</v>
      </c>
      <c r="L768" s="1585"/>
      <c r="M768" s="1590"/>
    </row>
    <row r="769" spans="1:13" s="104" customFormat="1" ht="19.8" thickTop="1" x14ac:dyDescent="0.45">
      <c r="A769" s="1618" t="s">
        <v>1753</v>
      </c>
      <c r="B769" s="1607" t="s">
        <v>1931</v>
      </c>
      <c r="C769" s="643" t="s">
        <v>1407</v>
      </c>
      <c r="D769" s="184" t="s">
        <v>3050</v>
      </c>
      <c r="E769" s="185">
        <v>45946.020833333336</v>
      </c>
      <c r="F769" s="185">
        <v>45946.104166666664</v>
      </c>
      <c r="G769" s="185"/>
      <c r="H769" s="185"/>
      <c r="I769" s="609"/>
      <c r="J769" s="185">
        <f t="shared" si="286"/>
        <v>45946.354166666672</v>
      </c>
      <c r="K769" s="672" t="str">
        <f t="shared" ref="K769:K771" si="289">IF($M$769-J769&lt;0, "-" &amp; TEXT(ABS($M$769-J769),"[hh]:mm:ss"), TEXT($M$769-J769,"[hh]:mm:ss"))</f>
        <v>01:03:00</v>
      </c>
      <c r="L769" s="1679">
        <v>45946.397916666669</v>
      </c>
      <c r="M769" s="1687">
        <v>45946.397916666669</v>
      </c>
    </row>
    <row r="770" spans="1:13" s="104" customFormat="1" x14ac:dyDescent="0.45">
      <c r="A770" s="1619"/>
      <c r="B770" s="1615"/>
      <c r="C770" s="1651" t="s">
        <v>3027</v>
      </c>
      <c r="D770" s="319" t="s">
        <v>3032</v>
      </c>
      <c r="E770" s="1530">
        <v>45946.059027777781</v>
      </c>
      <c r="F770" s="1530">
        <v>45946.077777777777</v>
      </c>
      <c r="G770" s="1530"/>
      <c r="H770" s="1530"/>
      <c r="I770" s="596"/>
      <c r="J770" s="1530">
        <f t="shared" si="286"/>
        <v>45946.392361111117</v>
      </c>
      <c r="K770" s="663" t="str">
        <f t="shared" si="289"/>
        <v>00:08:00</v>
      </c>
      <c r="L770" s="1591"/>
      <c r="M770" s="1589"/>
    </row>
    <row r="771" spans="1:13" s="104" customFormat="1" ht="19.8" thickBot="1" x14ac:dyDescent="0.5">
      <c r="A771" s="1583"/>
      <c r="B771" s="1608"/>
      <c r="C771" s="1612"/>
      <c r="D771" s="1514" t="s">
        <v>3033</v>
      </c>
      <c r="E771" s="1514">
        <v>45946.05972222222</v>
      </c>
      <c r="F771" s="1514">
        <v>45946.085416666669</v>
      </c>
      <c r="G771" s="1481"/>
      <c r="H771" s="1481"/>
      <c r="I771" s="656"/>
      <c r="J771" s="1481">
        <f t="shared" si="286"/>
        <v>45946.393055555556</v>
      </c>
      <c r="K771" s="1534" t="str">
        <f t="shared" si="289"/>
        <v>00:07:00</v>
      </c>
      <c r="L771" s="1585"/>
      <c r="M771" s="1590"/>
    </row>
    <row r="772" spans="1:13" s="104" customFormat="1" ht="19.8" thickTop="1" x14ac:dyDescent="0.45">
      <c r="A772" s="1618" t="s">
        <v>1753</v>
      </c>
      <c r="B772" s="1607" t="s">
        <v>1931</v>
      </c>
      <c r="C772" s="1611" t="s">
        <v>1407</v>
      </c>
      <c r="D772" s="184" t="s">
        <v>3236</v>
      </c>
      <c r="E772" s="185">
        <v>45997.270833333336</v>
      </c>
      <c r="F772" s="185">
        <v>45998.354166666664</v>
      </c>
      <c r="G772" s="185"/>
      <c r="H772" s="185"/>
      <c r="I772" s="609"/>
      <c r="J772" s="185">
        <f t="shared" si="286"/>
        <v>45997.604166666672</v>
      </c>
      <c r="K772" s="672" t="str">
        <f t="shared" ref="K772:K777" si="290">IF($M$772-J772&lt;0, "-" &amp; TEXT(ABS($M$772-J772),"[hh]:mm:ss"), TEXT($M$772-J772,"[hh]:mm:ss"))</f>
        <v>01:23:00</v>
      </c>
      <c r="L772" s="1679">
        <v>45997.661805555559</v>
      </c>
      <c r="M772" s="1687">
        <v>45997.661805555559</v>
      </c>
    </row>
    <row r="773" spans="1:13" s="104" customFormat="1" x14ac:dyDescent="0.45">
      <c r="A773" s="1619"/>
      <c r="B773" s="1615"/>
      <c r="C773" s="1617"/>
      <c r="D773" s="588" t="s">
        <v>3228</v>
      </c>
      <c r="E773" s="1497">
        <v>45997.322916666664</v>
      </c>
      <c r="F773" s="1497">
        <v>45997.340277777781</v>
      </c>
      <c r="G773" s="1497"/>
      <c r="H773" s="1497"/>
      <c r="I773" s="593"/>
      <c r="J773" s="1497">
        <f t="shared" si="286"/>
        <v>45997.65625</v>
      </c>
      <c r="K773" s="660" t="str">
        <f t="shared" si="290"/>
        <v>00:08:00</v>
      </c>
      <c r="L773" s="1591"/>
      <c r="M773" s="1589"/>
    </row>
    <row r="774" spans="1:13" s="104" customFormat="1" x14ac:dyDescent="0.45">
      <c r="A774" s="1619"/>
      <c r="B774" s="1615"/>
      <c r="C774" s="1613" t="s">
        <v>3027</v>
      </c>
      <c r="D774" s="588" t="s">
        <v>3217</v>
      </c>
      <c r="E774" s="1497">
        <v>45997.322916666664</v>
      </c>
      <c r="F774" s="1497">
        <v>45997.340277777781</v>
      </c>
      <c r="G774" s="1497"/>
      <c r="H774" s="1497"/>
      <c r="I774" s="593"/>
      <c r="J774" s="1497">
        <f t="shared" si="286"/>
        <v>45997.65625</v>
      </c>
      <c r="K774" s="660" t="str">
        <f t="shared" si="290"/>
        <v>00:08:00</v>
      </c>
      <c r="L774" s="1591"/>
      <c r="M774" s="1589"/>
    </row>
    <row r="775" spans="1:13" s="104" customFormat="1" x14ac:dyDescent="0.45">
      <c r="A775" s="1619"/>
      <c r="B775" s="1615"/>
      <c r="C775" s="1651"/>
      <c r="D775" s="319" t="s">
        <v>3218</v>
      </c>
      <c r="E775" s="1530">
        <v>45997.323611111111</v>
      </c>
      <c r="F775" s="1530">
        <v>45997.347916666666</v>
      </c>
      <c r="G775" s="1530"/>
      <c r="H775" s="1530"/>
      <c r="I775" s="596"/>
      <c r="J775" s="1530">
        <f t="shared" si="286"/>
        <v>45997.656944444447</v>
      </c>
      <c r="K775" s="663" t="str">
        <f t="shared" si="290"/>
        <v>00:07:00</v>
      </c>
      <c r="L775" s="1591"/>
      <c r="M775" s="1589"/>
    </row>
    <row r="776" spans="1:13" s="104" customFormat="1" x14ac:dyDescent="0.45">
      <c r="A776" s="1619"/>
      <c r="B776" s="1615"/>
      <c r="C776" s="1651"/>
      <c r="D776" s="319" t="s">
        <v>3200</v>
      </c>
      <c r="E776" s="1530">
        <v>45996.458333333336</v>
      </c>
      <c r="F776" s="1530">
        <v>45996.625</v>
      </c>
      <c r="G776" s="1530"/>
      <c r="H776" s="1530"/>
      <c r="I776" s="596"/>
      <c r="J776" s="1530">
        <f t="shared" si="286"/>
        <v>45996.791666666672</v>
      </c>
      <c r="K776" s="663" t="str">
        <f t="shared" si="290"/>
        <v>20:53:00</v>
      </c>
      <c r="L776" s="1591"/>
      <c r="M776" s="1589"/>
    </row>
    <row r="777" spans="1:13" s="85" customFormat="1" ht="19.8" thickBot="1" x14ac:dyDescent="0.5">
      <c r="A777" s="1583"/>
      <c r="B777" s="1608"/>
      <c r="C777" s="1612"/>
      <c r="D777" s="1514" t="s">
        <v>3201</v>
      </c>
      <c r="E777" s="1514">
        <v>45996.458333333336</v>
      </c>
      <c r="F777" s="1514">
        <v>45996.625</v>
      </c>
      <c r="G777" s="1481"/>
      <c r="H777" s="1481"/>
      <c r="I777" s="656"/>
      <c r="J777" s="1481">
        <f t="shared" si="286"/>
        <v>45996.791666666672</v>
      </c>
      <c r="K777" s="1534" t="str">
        <f t="shared" si="290"/>
        <v>20:53:00</v>
      </c>
      <c r="L777" s="1585"/>
      <c r="M777" s="1590"/>
    </row>
    <row r="778" spans="1:13" s="104" customFormat="1" ht="19.8" thickTop="1" x14ac:dyDescent="0.45">
      <c r="A778" s="1618" t="s">
        <v>1753</v>
      </c>
      <c r="B778" s="1607" t="s">
        <v>1931</v>
      </c>
      <c r="C778" s="1491" t="s">
        <v>1407</v>
      </c>
      <c r="D778" s="184" t="s">
        <v>3320</v>
      </c>
      <c r="E778" s="185">
        <v>46016.9375</v>
      </c>
      <c r="F778" s="185">
        <v>46018.020833333336</v>
      </c>
      <c r="G778" s="185"/>
      <c r="H778" s="185"/>
      <c r="I778" s="609"/>
      <c r="J778" s="185">
        <f t="shared" si="286"/>
        <v>46017.270833333336</v>
      </c>
      <c r="K778" s="672" t="str">
        <f>IF($M$778-J778&lt;0, "-" &amp; TEXT(ABS($M$778-J778),"[hh]:mm:ss"), TEXT($M$778-J778,"[hh]:mm:ss"))</f>
        <v>00:56:00</v>
      </c>
      <c r="L778" s="1679">
        <v>46017.30972222222</v>
      </c>
      <c r="M778" s="1687">
        <v>46017.30972222222</v>
      </c>
    </row>
    <row r="779" spans="1:13" s="104" customFormat="1" x14ac:dyDescent="0.45">
      <c r="A779" s="1619"/>
      <c r="B779" s="1615"/>
      <c r="C779" s="1613" t="s">
        <v>3027</v>
      </c>
      <c r="D779" s="588" t="s">
        <v>3308</v>
      </c>
      <c r="E779" s="1497">
        <v>46016.970833333333</v>
      </c>
      <c r="F779" s="1497">
        <v>46016.988194444442</v>
      </c>
      <c r="G779" s="1497"/>
      <c r="H779" s="1497"/>
      <c r="I779" s="593"/>
      <c r="J779" s="1497">
        <f t="shared" si="286"/>
        <v>46017.304166666669</v>
      </c>
      <c r="K779" s="660" t="str">
        <f t="shared" ref="K779:K782" si="291">IF($M$778-J779&lt;0, "-" &amp; TEXT(ABS($M$778-J779),"[hh]:mm:ss"), TEXT($M$778-J779,"[hh]:mm:ss"))</f>
        <v>00:08:00</v>
      </c>
      <c r="L779" s="1591"/>
      <c r="M779" s="1589"/>
    </row>
    <row r="780" spans="1:13" s="104" customFormat="1" x14ac:dyDescent="0.45">
      <c r="A780" s="1619"/>
      <c r="B780" s="1615"/>
      <c r="C780" s="1651"/>
      <c r="D780" s="319" t="s">
        <v>3309</v>
      </c>
      <c r="E780" s="1530">
        <v>46016.97152777778</v>
      </c>
      <c r="F780" s="1530">
        <v>46016.995833333334</v>
      </c>
      <c r="G780" s="1530"/>
      <c r="H780" s="1530"/>
      <c r="I780" s="596"/>
      <c r="J780" s="1530">
        <f t="shared" si="286"/>
        <v>46017.304861111115</v>
      </c>
      <c r="K780" s="663" t="str">
        <f t="shared" si="291"/>
        <v>00:07:00</v>
      </c>
      <c r="L780" s="1591"/>
      <c r="M780" s="1589"/>
    </row>
    <row r="781" spans="1:13" s="104" customFormat="1" x14ac:dyDescent="0.45">
      <c r="A781" s="1619"/>
      <c r="B781" s="1615"/>
      <c r="C781" s="1651"/>
      <c r="D781" s="319" t="s">
        <v>3296</v>
      </c>
      <c r="E781" s="1530">
        <v>46016.916666666664</v>
      </c>
      <c r="F781" s="1530">
        <v>46017.041666666664</v>
      </c>
      <c r="G781" s="1530"/>
      <c r="H781" s="1530"/>
      <c r="I781" s="596"/>
      <c r="J781" s="1530">
        <f t="shared" si="286"/>
        <v>46017.25</v>
      </c>
      <c r="K781" s="663" t="str">
        <f t="shared" si="291"/>
        <v>01:26:00</v>
      </c>
      <c r="L781" s="1591"/>
      <c r="M781" s="1589"/>
    </row>
    <row r="782" spans="1:13" s="85" customFormat="1" ht="19.8" thickBot="1" x14ac:dyDescent="0.5">
      <c r="A782" s="1583"/>
      <c r="B782" s="1608"/>
      <c r="C782" s="1612"/>
      <c r="D782" s="1514" t="s">
        <v>3297</v>
      </c>
      <c r="E782" s="1514">
        <v>46016.916666666664</v>
      </c>
      <c r="F782" s="1514">
        <v>46017.041666666664</v>
      </c>
      <c r="G782" s="1481"/>
      <c r="H782" s="1481"/>
      <c r="I782" s="656"/>
      <c r="J782" s="1481">
        <f t="shared" si="286"/>
        <v>46017.25</v>
      </c>
      <c r="K782" s="1534" t="str">
        <f t="shared" si="291"/>
        <v>01:26:00</v>
      </c>
      <c r="L782" s="1585"/>
      <c r="M782" s="1590"/>
    </row>
    <row r="783" spans="1:13" s="104" customFormat="1" ht="19.8" thickTop="1" x14ac:dyDescent="0.45">
      <c r="A783" s="1618" t="s">
        <v>1753</v>
      </c>
      <c r="B783" s="1607" t="s">
        <v>1931</v>
      </c>
      <c r="C783" s="1491" t="s">
        <v>1407</v>
      </c>
      <c r="D783" s="184" t="s">
        <v>3357</v>
      </c>
      <c r="E783" s="185">
        <v>46035.604166666664</v>
      </c>
      <c r="F783" s="185">
        <v>46035.6875</v>
      </c>
      <c r="G783" s="185"/>
      <c r="H783" s="185"/>
      <c r="I783" s="609"/>
      <c r="J783" s="185">
        <f t="shared" si="286"/>
        <v>46035.9375</v>
      </c>
      <c r="K783" s="672" t="str">
        <f>IF($M$783-J783&lt;0, "-" &amp; TEXT(ABS($M$783-J783),"[hh]:mm:ss"), TEXT($M$783-J783,"[hh]:mm:ss"))</f>
        <v>00:55:00</v>
      </c>
      <c r="L783" s="1679">
        <v>46035.975694444445</v>
      </c>
      <c r="M783" s="1687">
        <v>46035.975694444445</v>
      </c>
    </row>
    <row r="784" spans="1:13" s="104" customFormat="1" x14ac:dyDescent="0.45">
      <c r="A784" s="1619"/>
      <c r="B784" s="1615"/>
      <c r="C784" s="1613" t="s">
        <v>3027</v>
      </c>
      <c r="D784" s="319" t="s">
        <v>3358</v>
      </c>
      <c r="E784" s="1530">
        <v>46035.636805555558</v>
      </c>
      <c r="F784" s="1530">
        <v>46035.654166666667</v>
      </c>
      <c r="G784" s="1497"/>
      <c r="H784" s="1497"/>
      <c r="I784" s="593"/>
      <c r="J784" s="1497">
        <f t="shared" si="286"/>
        <v>46035.970138888893</v>
      </c>
      <c r="K784" s="660" t="str">
        <f>IF($M$783-J784&lt;0, "-" &amp; TEXT(ABS($M$783-J784),"[hh]:mm:ss"), TEXT($M$783-J784,"[hh]:mm:ss"))</f>
        <v>00:08:00</v>
      </c>
      <c r="L784" s="1591"/>
      <c r="M784" s="1589"/>
    </row>
    <row r="785" spans="1:13" s="85" customFormat="1" ht="19.8" thickBot="1" x14ac:dyDescent="0.5">
      <c r="A785" s="1583"/>
      <c r="B785" s="1608"/>
      <c r="C785" s="1612"/>
      <c r="D785" s="1514" t="s">
        <v>3359</v>
      </c>
      <c r="E785" s="1514">
        <v>46035.637499999997</v>
      </c>
      <c r="F785" s="1514">
        <v>46035.661805555559</v>
      </c>
      <c r="G785" s="1481"/>
      <c r="H785" s="1481"/>
      <c r="I785" s="656"/>
      <c r="J785" s="1481">
        <f t="shared" si="286"/>
        <v>46035.970833333333</v>
      </c>
      <c r="K785" s="1534" t="str">
        <f>IF($M$783-J785&lt;0, "-" &amp; TEXT(ABS($M$783-J785),"[hh]:mm:ss"), TEXT($M$783-J785,"[hh]:mm:ss"))</f>
        <v>00:07:00</v>
      </c>
      <c r="L785" s="1585"/>
      <c r="M785" s="1590"/>
    </row>
    <row r="786" spans="1:13" s="104" customFormat="1" ht="19.8" thickTop="1" x14ac:dyDescent="0.45">
      <c r="A786" s="1618" t="s">
        <v>1753</v>
      </c>
      <c r="B786" s="1607" t="s">
        <v>1931</v>
      </c>
      <c r="C786" s="1680" t="s">
        <v>1407</v>
      </c>
      <c r="D786" s="1504" t="s">
        <v>3423</v>
      </c>
      <c r="E786" s="1504">
        <v>46093.819444444445</v>
      </c>
      <c r="F786" s="1504">
        <v>46094.868055555555</v>
      </c>
      <c r="G786" s="1504"/>
      <c r="H786" s="1504"/>
      <c r="I786" s="594"/>
      <c r="J786" s="1504">
        <f t="shared" si="286"/>
        <v>46094.152777777781</v>
      </c>
      <c r="K786" s="659" t="str">
        <f>IF($M$786-J786&lt;0, "-" &amp; TEXT(ABS($M$786-J786),"[hh]:mm:ss"), TEXT($M$786-J786,"[hh]:mm:ss"))</f>
        <v>00:08:00</v>
      </c>
      <c r="L786" s="1679">
        <v>46094.158333333333</v>
      </c>
      <c r="M786" s="1687">
        <v>46094.158333333333</v>
      </c>
    </row>
    <row r="787" spans="1:13" s="104" customFormat="1" x14ac:dyDescent="0.45">
      <c r="A787" s="1619"/>
      <c r="B787" s="1615"/>
      <c r="C787" s="1628"/>
      <c r="D787" s="1530" t="s">
        <v>3421</v>
      </c>
      <c r="E787" s="1530">
        <v>46093.819444444445</v>
      </c>
      <c r="F787" s="1530">
        <v>46093.951388888891</v>
      </c>
      <c r="G787" s="1530"/>
      <c r="H787" s="1530"/>
      <c r="I787" s="596"/>
      <c r="J787" s="1530">
        <f t="shared" si="286"/>
        <v>46094.152777777781</v>
      </c>
      <c r="K787" s="663" t="str">
        <f>IF($M$786-J787&lt;0, "-" &amp; TEXT(ABS($M$786-J787),"[hh]:mm:ss"), TEXT($M$786-J787,"[hh]:mm:ss"))</f>
        <v>00:08:00</v>
      </c>
      <c r="L787" s="1591"/>
      <c r="M787" s="1589"/>
    </row>
    <row r="788" spans="1:13" s="104" customFormat="1" x14ac:dyDescent="0.45">
      <c r="A788" s="1619"/>
      <c r="B788" s="1615"/>
      <c r="C788" s="1613" t="s">
        <v>3027</v>
      </c>
      <c r="D788" s="588" t="s">
        <v>3418</v>
      </c>
      <c r="E788" s="1497">
        <v>46093.819444444445</v>
      </c>
      <c r="F788" s="1497">
        <v>46093.836805555555</v>
      </c>
      <c r="G788" s="1497"/>
      <c r="H788" s="1497"/>
      <c r="I788" s="593"/>
      <c r="J788" s="1497">
        <f t="shared" si="286"/>
        <v>46094.152777777781</v>
      </c>
      <c r="K788" s="660" t="str">
        <f t="shared" ref="K788:K789" si="292">IF($M$786-J788&lt;0, "-" &amp; TEXT(ABS($M$786-J788),"[hh]:mm:ss"), TEXT($M$786-J788,"[hh]:mm:ss"))</f>
        <v>00:08:00</v>
      </c>
      <c r="L788" s="1591"/>
      <c r="M788" s="1589"/>
    </row>
    <row r="789" spans="1:13" s="85" customFormat="1" ht="19.8" thickBot="1" x14ac:dyDescent="0.5">
      <c r="A789" s="1583"/>
      <c r="B789" s="1608"/>
      <c r="C789" s="1612"/>
      <c r="D789" s="1514" t="s">
        <v>3419</v>
      </c>
      <c r="E789" s="1514">
        <v>46093.820138888892</v>
      </c>
      <c r="F789" s="1514">
        <v>46093.844444444447</v>
      </c>
      <c r="G789" s="1481"/>
      <c r="H789" s="1481"/>
      <c r="I789" s="656"/>
      <c r="J789" s="1481">
        <f t="shared" si="286"/>
        <v>46094.153472222228</v>
      </c>
      <c r="K789" s="1534" t="str">
        <f t="shared" si="292"/>
        <v>00:07:00</v>
      </c>
      <c r="L789" s="1585"/>
      <c r="M789" s="1590"/>
    </row>
    <row r="790" spans="1:13" s="104" customFormat="1" ht="19.8" thickTop="1" x14ac:dyDescent="0.45">
      <c r="A790" s="1618" t="s">
        <v>1753</v>
      </c>
      <c r="B790" s="1607" t="s">
        <v>1931</v>
      </c>
      <c r="C790" s="1518" t="s">
        <v>1407</v>
      </c>
      <c r="D790" s="1504" t="s">
        <v>3799</v>
      </c>
      <c r="E790" s="1504">
        <v>46208.520833333336</v>
      </c>
      <c r="F790" s="1504">
        <v>46209.604166666664</v>
      </c>
      <c r="G790" s="1504"/>
      <c r="H790" s="1504"/>
      <c r="I790" s="594"/>
      <c r="J790" s="1504">
        <f t="shared" ref="J790:J791" si="293">E790+TIME(8,0,0)</f>
        <v>46208.854166666672</v>
      </c>
      <c r="K790" s="659" t="str">
        <f t="shared" ref="K790:K793" si="294">IF($M$790-J790&lt;0, "-" &amp; TEXT(ABS($M$790-J790),"[hh]:mm:ss"), TEXT($M$790-J790,"[hh]:mm:ss"))</f>
        <v>01:13:00</v>
      </c>
      <c r="L790" s="1679">
        <v>46208.902777777781</v>
      </c>
      <c r="M790" s="1687">
        <v>46208.904861111114</v>
      </c>
    </row>
    <row r="791" spans="1:13" s="104" customFormat="1" x14ac:dyDescent="0.45">
      <c r="A791" s="1619"/>
      <c r="B791" s="1615"/>
      <c r="C791" s="1512" t="s">
        <v>1636</v>
      </c>
      <c r="D791" s="319" t="s">
        <v>3801</v>
      </c>
      <c r="E791" s="1530">
        <v>46208.563888888886</v>
      </c>
      <c r="F791" s="1530">
        <v>46208.581250000003</v>
      </c>
      <c r="G791" s="1530"/>
      <c r="H791" s="1530"/>
      <c r="I791" s="596"/>
      <c r="J791" s="1530">
        <f t="shared" si="293"/>
        <v>46208.897222222222</v>
      </c>
      <c r="K791" s="663" t="str">
        <f t="shared" si="294"/>
        <v>00:11:00</v>
      </c>
      <c r="L791" s="1591"/>
      <c r="M791" s="1589"/>
    </row>
    <row r="792" spans="1:13" s="104" customFormat="1" x14ac:dyDescent="0.45">
      <c r="A792" s="1619"/>
      <c r="B792" s="1615"/>
      <c r="C792" s="1595" t="s">
        <v>1304</v>
      </c>
      <c r="D792" s="588" t="s">
        <v>3809</v>
      </c>
      <c r="E792" s="1497">
        <v>46208.564583333333</v>
      </c>
      <c r="F792" s="1497">
        <v>46208.588888888888</v>
      </c>
      <c r="G792" s="1497"/>
      <c r="H792" s="1497"/>
      <c r="I792" s="593"/>
      <c r="J792" s="1497">
        <f t="shared" ref="J792:J793" si="295">E792+TIME(8,0,0)</f>
        <v>46208.897916666669</v>
      </c>
      <c r="K792" s="660" t="str">
        <f t="shared" si="294"/>
        <v>00:10:00</v>
      </c>
      <c r="L792" s="1591"/>
      <c r="M792" s="1589"/>
    </row>
    <row r="793" spans="1:13" s="85" customFormat="1" ht="19.8" thickBot="1" x14ac:dyDescent="0.5">
      <c r="A793" s="1583"/>
      <c r="B793" s="1608"/>
      <c r="C793" s="1625"/>
      <c r="D793" s="588" t="s">
        <v>3810</v>
      </c>
      <c r="E793" s="1497">
        <v>46208.564583333333</v>
      </c>
      <c r="F793" s="1497">
        <v>46208.582638888889</v>
      </c>
      <c r="G793" s="1481"/>
      <c r="H793" s="1481"/>
      <c r="I793" s="656"/>
      <c r="J793" s="1481">
        <f t="shared" si="295"/>
        <v>46208.897916666669</v>
      </c>
      <c r="K793" s="1534" t="str">
        <f t="shared" si="294"/>
        <v>00:10:00</v>
      </c>
      <c r="L793" s="1585"/>
      <c r="M793" s="1590"/>
    </row>
    <row r="794" spans="1:13" ht="20.399999999999999" thickTop="1" thickBot="1" x14ac:dyDescent="0.5">
      <c r="A794" s="314"/>
      <c r="B794" s="314"/>
      <c r="C794" s="641"/>
      <c r="D794" s="87"/>
      <c r="E794" s="87"/>
      <c r="F794" s="87"/>
      <c r="G794" s="87"/>
      <c r="H794" s="87"/>
      <c r="I794" s="598"/>
      <c r="J794" s="84"/>
      <c r="K794" s="665"/>
      <c r="L794" s="314"/>
      <c r="M794" s="623"/>
    </row>
    <row r="795" spans="1:13" s="104" customFormat="1" ht="19.8" thickTop="1" x14ac:dyDescent="0.45">
      <c r="A795" s="1596" t="s">
        <v>1987</v>
      </c>
      <c r="B795" s="1598" t="s">
        <v>999</v>
      </c>
      <c r="C795" s="699"/>
      <c r="D795" s="1493"/>
      <c r="E795" s="1493"/>
      <c r="F795" s="1493"/>
      <c r="G795" s="1493"/>
      <c r="H795" s="1493"/>
      <c r="I795" s="606"/>
      <c r="J795" s="1493">
        <f t="shared" ref="J795:J798" si="296">E795+TIME(8,0,0)</f>
        <v>0.33333333333333331</v>
      </c>
      <c r="K795" s="674" t="str">
        <f>IF($M$795-J795&lt;0, "-" &amp; TEXT(ABS($M$795-J795),"[hh]:mm:ss"), TEXT($M$795-J795,"[hh]:mm:ss"))</f>
        <v>-08:00:00</v>
      </c>
      <c r="L795" s="1688"/>
      <c r="M795" s="1738"/>
    </row>
    <row r="796" spans="1:13" s="104" customFormat="1" x14ac:dyDescent="0.45">
      <c r="A796" s="1597"/>
      <c r="B796" s="1599"/>
      <c r="C796" s="1513"/>
      <c r="D796" s="305"/>
      <c r="E796" s="305"/>
      <c r="F796" s="305"/>
      <c r="G796" s="305"/>
      <c r="H796" s="305"/>
      <c r="I796" s="602"/>
      <c r="J796" s="305">
        <f t="shared" si="296"/>
        <v>0.33333333333333331</v>
      </c>
      <c r="K796" s="669" t="str">
        <f t="shared" ref="K796:K798" si="297">IF($M$795-J796&lt;0, "-" &amp; TEXT(ABS($M$795-J796),"[hh]:mm:ss"), TEXT($M$795-J796,"[hh]:mm:ss"))</f>
        <v>-08:00:00</v>
      </c>
      <c r="L796" s="1602"/>
      <c r="M796" s="1605"/>
    </row>
    <row r="797" spans="1:13" s="104" customFormat="1" x14ac:dyDescent="0.45">
      <c r="A797" s="1597"/>
      <c r="B797" s="1599"/>
      <c r="C797" s="1154"/>
      <c r="D797" s="315"/>
      <c r="E797" s="590"/>
      <c r="F797" s="590"/>
      <c r="G797" s="590"/>
      <c r="H797" s="590"/>
      <c r="I797" s="601"/>
      <c r="J797" s="590">
        <f t="shared" si="296"/>
        <v>0.33333333333333331</v>
      </c>
      <c r="K797" s="668" t="str">
        <f t="shared" si="297"/>
        <v>-08:00:00</v>
      </c>
      <c r="L797" s="1602"/>
      <c r="M797" s="1605"/>
    </row>
    <row r="798" spans="1:13" s="85" customFormat="1" ht="19.8" thickBot="1" x14ac:dyDescent="0.5">
      <c r="A798" s="1581"/>
      <c r="B798" s="1600"/>
      <c r="C798" s="1468"/>
      <c r="D798" s="1495"/>
      <c r="E798" s="1495"/>
      <c r="F798" s="1495"/>
      <c r="G798" s="1476"/>
      <c r="H798" s="1476"/>
      <c r="I798" s="603"/>
      <c r="J798" s="1476">
        <f t="shared" si="296"/>
        <v>0.33333333333333331</v>
      </c>
      <c r="K798" s="670" t="str">
        <f t="shared" si="297"/>
        <v>-08:00:00</v>
      </c>
      <c r="L798" s="1603"/>
      <c r="M798" s="1606"/>
    </row>
    <row r="799" spans="1:13" ht="20.399999999999999" thickTop="1" thickBot="1" x14ac:dyDescent="0.5">
      <c r="A799" s="314"/>
      <c r="B799" s="314"/>
      <c r="C799" s="641"/>
      <c r="D799" s="87"/>
      <c r="E799" s="87"/>
      <c r="F799" s="87"/>
      <c r="G799" s="87"/>
      <c r="H799" s="87"/>
      <c r="I799" s="598"/>
      <c r="J799" s="84"/>
      <c r="K799" s="665"/>
      <c r="L799" s="314"/>
      <c r="M799" s="623"/>
    </row>
    <row r="800" spans="1:13" s="104" customFormat="1" ht="19.8" thickTop="1" x14ac:dyDescent="0.45">
      <c r="A800" s="1596" t="s">
        <v>3493</v>
      </c>
      <c r="B800" s="1598" t="s">
        <v>999</v>
      </c>
      <c r="C800" s="699"/>
      <c r="D800" s="1493"/>
      <c r="E800" s="1493"/>
      <c r="F800" s="1493"/>
      <c r="G800" s="1493"/>
      <c r="H800" s="1493"/>
      <c r="I800" s="606"/>
      <c r="J800" s="1493">
        <f t="shared" ref="J800:J803" si="298">E800+TIME(8,0,0)</f>
        <v>0.33333333333333331</v>
      </c>
      <c r="K800" s="674" t="str">
        <f>IF($M$800-J800&lt;0, "-" &amp; TEXT(ABS($M$800-J800),"[hh]:mm:ss"), TEXT($M$800-J800,"[hh]:mm:ss"))</f>
        <v>-08:00:00</v>
      </c>
      <c r="L800" s="1688"/>
      <c r="M800" s="1738"/>
    </row>
    <row r="801" spans="1:13" s="104" customFormat="1" x14ac:dyDescent="0.45">
      <c r="A801" s="1597"/>
      <c r="B801" s="1599"/>
      <c r="C801" s="1513"/>
      <c r="D801" s="305"/>
      <c r="E801" s="305"/>
      <c r="F801" s="305"/>
      <c r="G801" s="305"/>
      <c r="H801" s="305"/>
      <c r="I801" s="602"/>
      <c r="J801" s="305">
        <f t="shared" si="298"/>
        <v>0.33333333333333331</v>
      </c>
      <c r="K801" s="669" t="str">
        <f t="shared" ref="K801:K803" si="299">IF($M$800-J801&lt;0, "-" &amp; TEXT(ABS($M$800-J801),"[hh]:mm:ss"), TEXT($M$800-J801,"[hh]:mm:ss"))</f>
        <v>-08:00:00</v>
      </c>
      <c r="L801" s="1602"/>
      <c r="M801" s="1605"/>
    </row>
    <row r="802" spans="1:13" s="104" customFormat="1" x14ac:dyDescent="0.45">
      <c r="A802" s="1597"/>
      <c r="B802" s="1599"/>
      <c r="C802" s="1154"/>
      <c r="D802" s="315"/>
      <c r="E802" s="590"/>
      <c r="F802" s="590"/>
      <c r="G802" s="590"/>
      <c r="H802" s="590"/>
      <c r="I802" s="601"/>
      <c r="J802" s="590">
        <f t="shared" si="298"/>
        <v>0.33333333333333331</v>
      </c>
      <c r="K802" s="668" t="str">
        <f t="shared" si="299"/>
        <v>-08:00:00</v>
      </c>
      <c r="L802" s="1602"/>
      <c r="M802" s="1605"/>
    </row>
    <row r="803" spans="1:13" s="85" customFormat="1" ht="19.8" thickBot="1" x14ac:dyDescent="0.5">
      <c r="A803" s="1581"/>
      <c r="B803" s="1600"/>
      <c r="C803" s="1468"/>
      <c r="D803" s="1495"/>
      <c r="E803" s="1495"/>
      <c r="F803" s="1495"/>
      <c r="G803" s="1476"/>
      <c r="H803" s="1476"/>
      <c r="I803" s="603"/>
      <c r="J803" s="1476">
        <f t="shared" si="298"/>
        <v>0.33333333333333331</v>
      </c>
      <c r="K803" s="670" t="str">
        <f t="shared" si="299"/>
        <v>-08:00:00</v>
      </c>
      <c r="L803" s="1603"/>
      <c r="M803" s="1606"/>
    </row>
    <row r="804" spans="1:13" s="104" customFormat="1" ht="20.399999999999999" thickTop="1" thickBot="1" x14ac:dyDescent="0.5">
      <c r="A804" s="314"/>
      <c r="B804" s="314"/>
      <c r="C804" s="641"/>
      <c r="D804" s="87"/>
      <c r="E804" s="87"/>
      <c r="F804" s="87"/>
      <c r="G804" s="87"/>
      <c r="H804" s="87"/>
      <c r="I804" s="598"/>
      <c r="J804" s="84"/>
      <c r="K804" s="665"/>
      <c r="L804" s="314"/>
      <c r="M804" s="623"/>
    </row>
    <row r="805" spans="1:13" s="104" customFormat="1" ht="19.8" thickTop="1" x14ac:dyDescent="0.45">
      <c r="A805" s="1596" t="s">
        <v>3491</v>
      </c>
      <c r="B805" s="1598" t="s">
        <v>1931</v>
      </c>
      <c r="C805" s="699" t="s">
        <v>1280</v>
      </c>
      <c r="D805" s="1493" t="s">
        <v>3800</v>
      </c>
      <c r="E805" s="1493">
        <v>46213.194444444445</v>
      </c>
      <c r="F805" s="1493">
        <v>46214.319444444445</v>
      </c>
      <c r="G805" s="1493"/>
      <c r="H805" s="1493"/>
      <c r="I805" s="606"/>
      <c r="J805" s="1493">
        <f t="shared" ref="J805:J809" si="300">E805+TIME(8,0,0)</f>
        <v>46213.527777777781</v>
      </c>
      <c r="K805" s="674" t="str">
        <f>IF($M$805-J805&lt;0, "-" &amp; TEXT(ABS($M$805-J805),"[hh]:mm:ss"), TEXT($M$805-J805,"[hh]:mm:ss"))</f>
        <v>00:40:00</v>
      </c>
      <c r="L805" s="1688">
        <v>46213.555555555555</v>
      </c>
      <c r="M805" s="1738">
        <v>46213.555555555555</v>
      </c>
    </row>
    <row r="806" spans="1:13" s="104" customFormat="1" x14ac:dyDescent="0.45">
      <c r="A806" s="1597"/>
      <c r="B806" s="1599"/>
      <c r="C806" s="1592" t="s">
        <v>781</v>
      </c>
      <c r="D806" s="305" t="s">
        <v>3782</v>
      </c>
      <c r="E806" s="305">
        <v>46213.216666666667</v>
      </c>
      <c r="F806" s="305">
        <v>46213.304861111108</v>
      </c>
      <c r="G806" s="305"/>
      <c r="H806" s="305"/>
      <c r="I806" s="602"/>
      <c r="J806" s="305">
        <f t="shared" si="300"/>
        <v>46213.55</v>
      </c>
      <c r="K806" s="669" t="str">
        <f t="shared" ref="K806:K809" si="301">IF($M$805-J806&lt;0, "-" &amp; TEXT(ABS($M$805-J806),"[hh]:mm:ss"), TEXT($M$805-J806,"[hh]:mm:ss"))</f>
        <v>00:08:00</v>
      </c>
      <c r="L806" s="1602"/>
      <c r="M806" s="1605"/>
    </row>
    <row r="807" spans="1:13" s="104" customFormat="1" x14ac:dyDescent="0.45">
      <c r="A807" s="1597"/>
      <c r="B807" s="1599"/>
      <c r="C807" s="1593"/>
      <c r="D807" s="315" t="s">
        <v>3784</v>
      </c>
      <c r="E807" s="590">
        <v>46213.217361111114</v>
      </c>
      <c r="F807" s="590">
        <v>46213.304861111108</v>
      </c>
      <c r="G807" s="590"/>
      <c r="H807" s="590"/>
      <c r="I807" s="601"/>
      <c r="J807" s="590">
        <f t="shared" ref="J807" si="302">E807+TIME(8,0,0)</f>
        <v>46213.55069444445</v>
      </c>
      <c r="K807" s="668" t="str">
        <f t="shared" ref="K807" si="303">IF($M$805-J807&lt;0, "-" &amp; TEXT(ABS($M$805-J807),"[hh]:mm:ss"), TEXT($M$805-J807,"[hh]:mm:ss"))</f>
        <v>00:07:00</v>
      </c>
      <c r="L807" s="1602"/>
      <c r="M807" s="1605"/>
    </row>
    <row r="808" spans="1:13" s="104" customFormat="1" x14ac:dyDescent="0.45">
      <c r="A808" s="1597"/>
      <c r="B808" s="1599"/>
      <c r="C808" s="1592" t="s">
        <v>801</v>
      </c>
      <c r="D808" s="315" t="s">
        <v>3791</v>
      </c>
      <c r="E808" s="590">
        <v>46213.217361111114</v>
      </c>
      <c r="F808" s="590">
        <v>46213.304861111108</v>
      </c>
      <c r="G808" s="590"/>
      <c r="H808" s="590"/>
      <c r="I808" s="601"/>
      <c r="J808" s="590">
        <f t="shared" si="300"/>
        <v>46213.55069444445</v>
      </c>
      <c r="K808" s="668" t="str">
        <f t="shared" si="301"/>
        <v>00:07:00</v>
      </c>
      <c r="L808" s="1602"/>
      <c r="M808" s="1605"/>
    </row>
    <row r="809" spans="1:13" s="85" customFormat="1" ht="19.8" thickBot="1" x14ac:dyDescent="0.5">
      <c r="A809" s="1581"/>
      <c r="B809" s="1600"/>
      <c r="C809" s="1627"/>
      <c r="D809" s="1495" t="s">
        <v>3757</v>
      </c>
      <c r="E809" s="1495">
        <v>46213.208333333336</v>
      </c>
      <c r="F809" s="1495">
        <v>46216.375</v>
      </c>
      <c r="G809" s="1476"/>
      <c r="H809" s="1476"/>
      <c r="I809" s="603"/>
      <c r="J809" s="1476">
        <f t="shared" si="300"/>
        <v>46213.541666666672</v>
      </c>
      <c r="K809" s="670" t="str">
        <f t="shared" si="301"/>
        <v>00:20:00</v>
      </c>
      <c r="L809" s="1603"/>
      <c r="M809" s="1606"/>
    </row>
    <row r="810" spans="1:13" s="104" customFormat="1" ht="20.399999999999999" thickTop="1" thickBot="1" x14ac:dyDescent="0.5">
      <c r="A810" s="314"/>
      <c r="B810" s="314"/>
      <c r="C810" s="641"/>
      <c r="D810" s="87"/>
      <c r="E810" s="87"/>
      <c r="F810" s="87"/>
      <c r="G810" s="87"/>
      <c r="H810" s="87"/>
      <c r="I810" s="598"/>
      <c r="J810" s="84"/>
      <c r="K810" s="665"/>
      <c r="L810" s="314"/>
      <c r="M810" s="623"/>
    </row>
    <row r="811" spans="1:13" ht="20.399999999999999" collapsed="1" thickTop="1" thickBot="1" x14ac:dyDescent="0.5">
      <c r="A811" s="1620" t="s">
        <v>357</v>
      </c>
      <c r="B811" s="1608" t="s">
        <v>9</v>
      </c>
      <c r="C811" s="1485" t="s">
        <v>784</v>
      </c>
      <c r="D811" s="587"/>
      <c r="E811" s="1496">
        <v>44650.095833333333</v>
      </c>
      <c r="F811" s="1496">
        <v>44650.118055555555</v>
      </c>
      <c r="G811" s="1496"/>
      <c r="H811" s="1496"/>
      <c r="I811" s="594"/>
      <c r="J811" s="1504">
        <f>E811+TIME(8,0,0)</f>
        <v>44650.429166666669</v>
      </c>
      <c r="K811" s="659" t="str">
        <f t="shared" ref="K811:K812" si="304">IF($M$811-J811&lt;0, "-" &amp; TEXT(ABS($M$811-J811),"[hh]:mm:ss"), TEXT($M$811-J811,"[hh]:mm:ss"))</f>
        <v>00:11:00</v>
      </c>
      <c r="L811" s="1622">
        <v>0</v>
      </c>
      <c r="M811" s="1623">
        <v>44650.436805555553</v>
      </c>
    </row>
    <row r="812" spans="1:13" x14ac:dyDescent="0.45">
      <c r="A812" s="1586"/>
      <c r="B812" s="1639"/>
      <c r="C812" s="1474" t="s">
        <v>785</v>
      </c>
      <c r="D812" s="82"/>
      <c r="E812" s="1514">
        <v>44650.111111111109</v>
      </c>
      <c r="F812" s="1514">
        <v>44650.136111111111</v>
      </c>
      <c r="G812" s="1514"/>
      <c r="H812" s="1514"/>
      <c r="I812" s="595"/>
      <c r="J812" s="1514">
        <f>E812+TIME(8,0,0)</f>
        <v>44650.444444444445</v>
      </c>
      <c r="K812" s="661" t="str">
        <f t="shared" si="304"/>
        <v>-00:11:00</v>
      </c>
      <c r="L812" s="1586"/>
      <c r="M812" s="1610"/>
    </row>
    <row r="813" spans="1:13" ht="20.399999999999999" thickTop="1" thickBot="1" x14ac:dyDescent="0.5">
      <c r="A813" s="1582" t="s">
        <v>357</v>
      </c>
      <c r="B813" s="1621" t="s">
        <v>9</v>
      </c>
      <c r="C813" s="1485" t="s">
        <v>784</v>
      </c>
      <c r="D813" s="587"/>
      <c r="E813" s="1496">
        <v>45000.48333333333</v>
      </c>
      <c r="F813" s="1496">
        <v>45000.49722222222</v>
      </c>
      <c r="G813" s="1496"/>
      <c r="H813" s="1496"/>
      <c r="I813" s="594"/>
      <c r="J813" s="1504">
        <f>E813+TIME(8,0,0)</f>
        <v>45000.816666666666</v>
      </c>
      <c r="K813" s="659" t="str">
        <f t="shared" ref="K813:K814" si="305">IF($M$813-J813&lt;0, "-" &amp; TEXT(ABS($M$813-J813),"[hh]:mm:ss"), TEXT($M$813-J813,"[hh]:mm:ss"))</f>
        <v>00:05:00</v>
      </c>
      <c r="L813" s="1640">
        <v>45000.820833333331</v>
      </c>
      <c r="M813" s="1609">
        <v>45000.820138888892</v>
      </c>
    </row>
    <row r="814" spans="1:13" ht="20.399999999999999" thickTop="1" thickBot="1" x14ac:dyDescent="0.5">
      <c r="A814" s="1586"/>
      <c r="B814" s="1639"/>
      <c r="C814" s="1484" t="s">
        <v>785</v>
      </c>
      <c r="D814" s="86"/>
      <c r="E814" s="1481">
        <v>45000.498611111114</v>
      </c>
      <c r="F814" s="1481">
        <v>45000.513194444444</v>
      </c>
      <c r="G814" s="1481"/>
      <c r="H814" s="1481"/>
      <c r="I814" s="656"/>
      <c r="J814" s="1481">
        <f>E814+TIME(8,0,0)</f>
        <v>45000.83194444445</v>
      </c>
      <c r="K814" s="1534" t="str">
        <f t="shared" si="305"/>
        <v>-00:17:00</v>
      </c>
      <c r="L814" s="1586"/>
      <c r="M814" s="1610"/>
    </row>
    <row r="815" spans="1:13" ht="20.399999999999999" thickTop="1" thickBot="1" x14ac:dyDescent="0.5">
      <c r="A815" s="314"/>
      <c r="B815" s="314"/>
      <c r="C815" s="633"/>
      <c r="D815" s="84"/>
      <c r="E815" s="84"/>
      <c r="F815" s="84"/>
      <c r="G815" s="84"/>
      <c r="H815" s="84"/>
      <c r="I815" s="599"/>
      <c r="J815" s="90"/>
      <c r="K815" s="666"/>
      <c r="L815" s="314"/>
      <c r="M815" s="623"/>
    </row>
    <row r="816" spans="1:13" s="85" customFormat="1" ht="20.399999999999999" thickTop="1" thickBot="1" x14ac:dyDescent="0.5">
      <c r="A816" s="1583" t="s">
        <v>1260</v>
      </c>
      <c r="B816" s="1608" t="s">
        <v>1257</v>
      </c>
      <c r="C816" s="1661" t="s">
        <v>803</v>
      </c>
      <c r="D816" s="1587"/>
      <c r="E816" s="83">
        <v>44911.208333333336</v>
      </c>
      <c r="F816" s="83">
        <v>44911.344444444447</v>
      </c>
      <c r="G816" s="83"/>
      <c r="H816" s="83"/>
      <c r="I816" s="593"/>
      <c r="J816" s="1504">
        <f t="shared" ref="J816:J823" si="306">E816+TIME(8,0,0)</f>
        <v>44911.541666666672</v>
      </c>
      <c r="K816" s="660" t="str">
        <f t="shared" ref="K816:K821" si="307">IF($M$816-J816&lt;0, "-" &amp; TEXT(ABS($M$816-J816),"[hh]:mm:ss"), TEXT($M$816-J816,"[hh]:mm:ss"))</f>
        <v>01:17:00</v>
      </c>
      <c r="L816" s="1585">
        <v>44911.607638888891</v>
      </c>
      <c r="M816" s="1590">
        <v>44911.595138888886</v>
      </c>
    </row>
    <row r="817" spans="1:13" ht="19.8" thickTop="1" x14ac:dyDescent="0.45">
      <c r="A817" s="1671"/>
      <c r="B817" s="1655"/>
      <c r="C817" s="1686"/>
      <c r="D817" s="1684"/>
      <c r="E817" s="83">
        <v>44911.243750000001</v>
      </c>
      <c r="F817" s="83">
        <v>44911.344444444447</v>
      </c>
      <c r="G817" s="83"/>
      <c r="H817" s="83"/>
      <c r="I817" s="593"/>
      <c r="J817" s="1497">
        <f t="shared" si="306"/>
        <v>44911.577083333337</v>
      </c>
      <c r="K817" s="660" t="str">
        <f t="shared" si="307"/>
        <v>00:26:00</v>
      </c>
      <c r="L817" s="1671"/>
      <c r="M817" s="1652"/>
    </row>
    <row r="818" spans="1:13" x14ac:dyDescent="0.45">
      <c r="A818" s="1671"/>
      <c r="B818" s="1655"/>
      <c r="C818" s="1685" t="s">
        <v>780</v>
      </c>
      <c r="D818" s="1584"/>
      <c r="E818" s="83">
        <v>44911.243055555555</v>
      </c>
      <c r="F818" s="83">
        <v>44911.336805555555</v>
      </c>
      <c r="G818" s="83"/>
      <c r="H818" s="83"/>
      <c r="I818" s="593"/>
      <c r="J818" s="1497">
        <f t="shared" si="306"/>
        <v>44911.576388888891</v>
      </c>
      <c r="K818" s="660" t="str">
        <f t="shared" si="307"/>
        <v>00:27:00</v>
      </c>
      <c r="L818" s="1671"/>
      <c r="M818" s="1652"/>
    </row>
    <row r="819" spans="1:13" x14ac:dyDescent="0.45">
      <c r="A819" s="1671"/>
      <c r="B819" s="1655"/>
      <c r="C819" s="1686"/>
      <c r="D819" s="1684"/>
      <c r="E819" s="83">
        <v>44911.243055555555</v>
      </c>
      <c r="F819" s="83">
        <v>44911.337500000001</v>
      </c>
      <c r="G819" s="83"/>
      <c r="H819" s="83"/>
      <c r="I819" s="593"/>
      <c r="J819" s="1497">
        <f t="shared" si="306"/>
        <v>44911.576388888891</v>
      </c>
      <c r="K819" s="660" t="str">
        <f t="shared" si="307"/>
        <v>00:27:00</v>
      </c>
      <c r="L819" s="1671"/>
      <c r="M819" s="1652"/>
    </row>
    <row r="820" spans="1:13" s="104" customFormat="1" collapsed="1" x14ac:dyDescent="0.45">
      <c r="A820" s="1671"/>
      <c r="B820" s="1655"/>
      <c r="C820" s="1512" t="s">
        <v>1280</v>
      </c>
      <c r="D820" s="319"/>
      <c r="E820" s="81">
        <v>44911.208333333336</v>
      </c>
      <c r="F820" s="81">
        <v>44911.5</v>
      </c>
      <c r="G820" s="81"/>
      <c r="H820" s="81"/>
      <c r="I820" s="593"/>
      <c r="J820" s="1497">
        <f t="shared" si="306"/>
        <v>44911.541666666672</v>
      </c>
      <c r="K820" s="660" t="str">
        <f t="shared" si="307"/>
        <v>01:17:00</v>
      </c>
      <c r="L820" s="1671"/>
      <c r="M820" s="1652"/>
    </row>
    <row r="821" spans="1:13" s="104" customFormat="1" ht="19.8" thickBot="1" x14ac:dyDescent="0.5">
      <c r="A821" s="1586"/>
      <c r="B821" s="1639"/>
      <c r="C821" s="1484" t="s">
        <v>796</v>
      </c>
      <c r="D821" s="86"/>
      <c r="E821" s="1481">
        <v>44911.166666666664</v>
      </c>
      <c r="F821" s="1481">
        <v>44911.416666666664</v>
      </c>
      <c r="G821" s="1481"/>
      <c r="H821" s="1481"/>
      <c r="I821" s="656"/>
      <c r="J821" s="1514">
        <f t="shared" si="306"/>
        <v>44911.5</v>
      </c>
      <c r="K821" s="1534" t="str">
        <f t="shared" si="307"/>
        <v>02:17:00</v>
      </c>
      <c r="L821" s="1586"/>
      <c r="M821" s="1610"/>
    </row>
    <row r="822" spans="1:13" ht="20.399999999999999" thickTop="1" thickBot="1" x14ac:dyDescent="0.5">
      <c r="A822" s="1580" t="s">
        <v>357</v>
      </c>
      <c r="B822" s="1677" t="s">
        <v>1257</v>
      </c>
      <c r="C822" s="638"/>
      <c r="D822" s="358"/>
      <c r="E822" s="406"/>
      <c r="F822" s="406"/>
      <c r="G822" s="406"/>
      <c r="H822" s="406"/>
      <c r="I822" s="606"/>
      <c r="J822" s="1493">
        <f t="shared" si="306"/>
        <v>0.33333333333333331</v>
      </c>
      <c r="K822" s="674" t="str">
        <f t="shared" ref="K822:K823" si="308">IF($M$822-J822&lt;0, "-" &amp; TEXT(ABS($M$822-J822),"[hh]:mm:ss"), TEXT($M$822-J822,"[hh]:mm:ss"))</f>
        <v>-08:00:00</v>
      </c>
      <c r="L822" s="1678"/>
      <c r="M822" s="1665"/>
    </row>
    <row r="823" spans="1:13" ht="20.399999999999999" thickTop="1" thickBot="1" x14ac:dyDescent="0.5">
      <c r="A823" s="1581"/>
      <c r="B823" s="1600"/>
      <c r="C823" s="1516"/>
      <c r="D823" s="129"/>
      <c r="E823" s="1476"/>
      <c r="F823" s="1476"/>
      <c r="G823" s="1476"/>
      <c r="H823" s="1476"/>
      <c r="I823" s="603"/>
      <c r="J823" s="1476">
        <f t="shared" si="306"/>
        <v>0.33333333333333331</v>
      </c>
      <c r="K823" s="670" t="str">
        <f t="shared" si="308"/>
        <v>-08:00:00</v>
      </c>
      <c r="L823" s="1581"/>
      <c r="M823" s="1650"/>
    </row>
    <row r="824" spans="1:13" ht="20.399999999999999" thickTop="1" thickBot="1" x14ac:dyDescent="0.5">
      <c r="A824" s="314"/>
      <c r="B824" s="314"/>
      <c r="C824" s="633"/>
      <c r="D824" s="84"/>
      <c r="E824" s="84"/>
      <c r="F824" s="84"/>
      <c r="G824" s="84"/>
      <c r="H824" s="84"/>
      <c r="I824" s="597"/>
      <c r="J824" s="84"/>
      <c r="K824" s="664"/>
      <c r="L824" s="314"/>
      <c r="M824" s="623"/>
    </row>
    <row r="825" spans="1:13" ht="19.8" thickTop="1" x14ac:dyDescent="0.45">
      <c r="A825" s="1637" t="s">
        <v>501</v>
      </c>
      <c r="B825" s="1658" t="s">
        <v>800</v>
      </c>
      <c r="C825" s="1531" t="s">
        <v>1409</v>
      </c>
      <c r="D825" s="157"/>
      <c r="E825" s="1504">
        <v>44841.548611111109</v>
      </c>
      <c r="F825" s="1504">
        <v>44841.568749999999</v>
      </c>
      <c r="G825" s="1504"/>
      <c r="H825" s="1504"/>
      <c r="I825" s="594"/>
      <c r="J825" s="1504">
        <f t="shared" ref="J825:J834" si="309">E825+TIME(8,0,0)</f>
        <v>44841.881944444445</v>
      </c>
      <c r="K825" s="659" t="str">
        <f t="shared" ref="K825:K828" si="310">IF($M$825-J825&lt;0, "-" &amp; TEXT(ABS($M$825-J825),"[hh]:mm:ss"), TEXT($M$825-J825,"[hh]:mm:ss"))</f>
        <v>00:00:00</v>
      </c>
      <c r="L825" s="1664">
        <v>44841.888888888891</v>
      </c>
      <c r="M825" s="1634">
        <v>44841.881944444445</v>
      </c>
    </row>
    <row r="826" spans="1:13" x14ac:dyDescent="0.45">
      <c r="A826" s="1619"/>
      <c r="B826" s="1615"/>
      <c r="C826" s="1508" t="s">
        <v>1410</v>
      </c>
      <c r="D826" s="159"/>
      <c r="E826" s="1497">
        <v>44841.548611111109</v>
      </c>
      <c r="F826" s="1497">
        <v>44841.568749999999</v>
      </c>
      <c r="G826" s="1497"/>
      <c r="H826" s="1497"/>
      <c r="I826" s="593"/>
      <c r="J826" s="1497">
        <f t="shared" si="309"/>
        <v>44841.881944444445</v>
      </c>
      <c r="K826" s="660" t="str">
        <f t="shared" si="310"/>
        <v>00:00:00</v>
      </c>
      <c r="L826" s="1591"/>
      <c r="M826" s="1589"/>
    </row>
    <row r="827" spans="1:13" s="104" customFormat="1" collapsed="1" x14ac:dyDescent="0.45">
      <c r="A827" s="1663"/>
      <c r="B827" s="1655"/>
      <c r="C827" s="1512" t="s">
        <v>788</v>
      </c>
      <c r="D827" s="319"/>
      <c r="E827" s="81">
        <v>44841.548611111109</v>
      </c>
      <c r="F827" s="81">
        <v>44841.578472222223</v>
      </c>
      <c r="G827" s="81"/>
      <c r="H827" s="81"/>
      <c r="I827" s="593"/>
      <c r="J827" s="1530">
        <f t="shared" si="309"/>
        <v>44841.881944444445</v>
      </c>
      <c r="K827" s="660" t="str">
        <f t="shared" si="310"/>
        <v>00:00:00</v>
      </c>
      <c r="L827" s="1663"/>
      <c r="M827" s="1652"/>
    </row>
    <row r="828" spans="1:13" s="104" customFormat="1" ht="19.8" thickBot="1" x14ac:dyDescent="0.5">
      <c r="A828" s="1586"/>
      <c r="B828" s="1639"/>
      <c r="C828" s="634" t="s">
        <v>796</v>
      </c>
      <c r="D828" s="158"/>
      <c r="E828" s="1514">
        <v>44841.416666666664</v>
      </c>
      <c r="F828" s="1514">
        <v>44841.666666666664</v>
      </c>
      <c r="G828" s="1514"/>
      <c r="H828" s="1514"/>
      <c r="I828" s="595"/>
      <c r="J828" s="1514">
        <f t="shared" si="309"/>
        <v>44841.75</v>
      </c>
      <c r="K828" s="661" t="str">
        <f t="shared" si="310"/>
        <v>03:10:00</v>
      </c>
      <c r="L828" s="1586"/>
      <c r="M828" s="1610"/>
    </row>
    <row r="829" spans="1:13" s="104" customFormat="1" ht="19.8" thickTop="1" x14ac:dyDescent="0.45">
      <c r="A829" s="1618" t="s">
        <v>501</v>
      </c>
      <c r="B829" s="1607" t="s">
        <v>800</v>
      </c>
      <c r="C829" s="1681" t="s">
        <v>1280</v>
      </c>
      <c r="D829" s="526" t="s">
        <v>3152</v>
      </c>
      <c r="E829" s="1504">
        <v>45969.833333333336</v>
      </c>
      <c r="F829" s="1504">
        <v>45969.916666666664</v>
      </c>
      <c r="G829" s="1504"/>
      <c r="H829" s="1504"/>
      <c r="I829" s="594"/>
      <c r="J829" s="1504">
        <f t="shared" si="309"/>
        <v>45970.166666666672</v>
      </c>
      <c r="K829" s="659" t="str">
        <f t="shared" ref="K829:K834" si="311">IF($M$829-J829&lt;0, "-" &amp; TEXT(ABS($M$829-J829),"[hh]:mm:ss"), TEXT($M$829-J829,"[hh]:mm:ss"))</f>
        <v>01:01:00</v>
      </c>
      <c r="L829" s="1587">
        <v>45970.208333333336</v>
      </c>
      <c r="M829" s="1588">
        <v>45970.209027777775</v>
      </c>
    </row>
    <row r="830" spans="1:13" s="104" customFormat="1" x14ac:dyDescent="0.45">
      <c r="A830" s="1619"/>
      <c r="B830" s="1615"/>
      <c r="C830" s="1683"/>
      <c r="D830" s="1528" t="s">
        <v>3155</v>
      </c>
      <c r="E830" s="1497">
        <v>45969.833333333336</v>
      </c>
      <c r="F830" s="1497">
        <v>45969.916666666664</v>
      </c>
      <c r="G830" s="1497"/>
      <c r="H830" s="1497"/>
      <c r="I830" s="593"/>
      <c r="J830" s="1497">
        <f t="shared" si="309"/>
        <v>45970.166666666672</v>
      </c>
      <c r="K830" s="660" t="str">
        <f t="shared" si="311"/>
        <v>01:01:00</v>
      </c>
      <c r="L830" s="1591"/>
      <c r="M830" s="1589"/>
    </row>
    <row r="831" spans="1:13" s="104" customFormat="1" x14ac:dyDescent="0.45">
      <c r="A831" s="1619"/>
      <c r="B831" s="1615"/>
      <c r="C831" s="1508" t="s">
        <v>790</v>
      </c>
      <c r="D831" s="1528" t="s">
        <v>3140</v>
      </c>
      <c r="E831" s="1497">
        <v>45969.868750000001</v>
      </c>
      <c r="F831" s="1497">
        <v>45969.883333333331</v>
      </c>
      <c r="G831" s="1497"/>
      <c r="H831" s="1497"/>
      <c r="I831" s="593"/>
      <c r="J831" s="1497">
        <f t="shared" si="309"/>
        <v>45970.202083333337</v>
      </c>
      <c r="K831" s="660" t="str">
        <f t="shared" si="311"/>
        <v>00:10:00</v>
      </c>
      <c r="L831" s="1591"/>
      <c r="M831" s="1589"/>
    </row>
    <row r="832" spans="1:13" s="104" customFormat="1" x14ac:dyDescent="0.45">
      <c r="A832" s="1619"/>
      <c r="B832" s="1615"/>
      <c r="C832" s="1512" t="s">
        <v>788</v>
      </c>
      <c r="D832" s="1530" t="s">
        <v>3144</v>
      </c>
      <c r="E832" s="1530">
        <v>45969.869444444441</v>
      </c>
      <c r="F832" s="1530">
        <v>45969.890277777777</v>
      </c>
      <c r="G832" s="1530"/>
      <c r="H832" s="1530"/>
      <c r="I832" s="593"/>
      <c r="J832" s="1530">
        <f t="shared" si="309"/>
        <v>45970.202777777777</v>
      </c>
      <c r="K832" s="660" t="str">
        <f t="shared" si="311"/>
        <v>00:09:00</v>
      </c>
      <c r="L832" s="1591"/>
      <c r="M832" s="1589"/>
    </row>
    <row r="833" spans="1:13" s="85" customFormat="1" x14ac:dyDescent="0.45">
      <c r="A833" s="1619"/>
      <c r="B833" s="1615"/>
      <c r="C833" s="1489" t="s">
        <v>2076</v>
      </c>
      <c r="D833" s="1528" t="s">
        <v>3147</v>
      </c>
      <c r="E833" s="1497">
        <v>45969.870138888888</v>
      </c>
      <c r="F833" s="1497">
        <v>45969.897222222222</v>
      </c>
      <c r="G833" s="1497"/>
      <c r="H833" s="1497"/>
      <c r="I833" s="593"/>
      <c r="J833" s="1497">
        <f t="shared" si="309"/>
        <v>45970.203472222223</v>
      </c>
      <c r="K833" s="660" t="str">
        <f t="shared" si="311"/>
        <v>00:08:00</v>
      </c>
      <c r="L833" s="1591"/>
      <c r="M833" s="1589"/>
    </row>
    <row r="834" spans="1:13" ht="19.8" thickBot="1" x14ac:dyDescent="0.5">
      <c r="A834" s="1583"/>
      <c r="B834" s="1608"/>
      <c r="C834" s="1484" t="s">
        <v>788</v>
      </c>
      <c r="D834" s="527" t="s">
        <v>3099</v>
      </c>
      <c r="E834" s="1481">
        <v>45969.833333333336</v>
      </c>
      <c r="F834" s="1481">
        <v>45969.996527777781</v>
      </c>
      <c r="G834" s="1481"/>
      <c r="H834" s="1481"/>
      <c r="I834" s="656"/>
      <c r="J834" s="1481">
        <f t="shared" si="309"/>
        <v>45970.166666666672</v>
      </c>
      <c r="K834" s="1534" t="str">
        <f t="shared" si="311"/>
        <v>01:01:00</v>
      </c>
      <c r="L834" s="1585"/>
      <c r="M834" s="1590"/>
    </row>
    <row r="835" spans="1:13" ht="20.399999999999999" thickTop="1" thickBot="1" x14ac:dyDescent="0.5">
      <c r="A835" s="85"/>
      <c r="B835" s="85"/>
      <c r="C835" s="645"/>
      <c r="D835" s="131"/>
      <c r="E835" s="90"/>
      <c r="F835" s="90"/>
      <c r="G835" s="90"/>
      <c r="H835" s="90"/>
      <c r="I835" s="599"/>
      <c r="J835" s="90"/>
      <c r="K835" s="666"/>
      <c r="L835" s="85"/>
      <c r="M835" s="625"/>
    </row>
    <row r="836" spans="1:13" ht="19.8" thickTop="1" x14ac:dyDescent="0.45">
      <c r="A836" s="1637" t="s">
        <v>501</v>
      </c>
      <c r="B836" s="1658" t="s">
        <v>791</v>
      </c>
      <c r="C836" s="1661" t="s">
        <v>790</v>
      </c>
      <c r="D836" s="1587"/>
      <c r="E836" s="83">
        <v>44681.138194444444</v>
      </c>
      <c r="F836" s="83">
        <v>44681.19027777778</v>
      </c>
      <c r="G836" s="83"/>
      <c r="H836" s="83"/>
      <c r="I836" s="593"/>
      <c r="J836" s="1504">
        <f>E836+TIME(8,0,0)</f>
        <v>44681.47152777778</v>
      </c>
      <c r="K836" s="660" t="str">
        <f t="shared" ref="K836:K839" si="312">IF($M$836-J836&lt;0, "-" &amp; TEXT(ABS($M$836-J836),"[hh]:mm:ss"), TEXT($M$836-J836,"[hh]:mm:ss"))</f>
        <v>00:11:00</v>
      </c>
      <c r="L836" s="1752">
        <v>0</v>
      </c>
      <c r="M836" s="1634">
        <v>44681.479166666664</v>
      </c>
    </row>
    <row r="837" spans="1:13" s="85" customFormat="1" x14ac:dyDescent="0.45">
      <c r="A837" s="1663"/>
      <c r="B837" s="1655"/>
      <c r="C837" s="1686"/>
      <c r="D837" s="1684"/>
      <c r="E837" s="81">
        <v>44681.138888888891</v>
      </c>
      <c r="F837" s="81">
        <v>44681.192361111112</v>
      </c>
      <c r="G837" s="81"/>
      <c r="H837" s="81"/>
      <c r="I837" s="593"/>
      <c r="J837" s="1497">
        <f>E837+TIME(8,0,0)</f>
        <v>44681.472222222226</v>
      </c>
      <c r="K837" s="660" t="str">
        <f t="shared" si="312"/>
        <v>00:10:00</v>
      </c>
      <c r="L837" s="1753"/>
      <c r="M837" s="1652"/>
    </row>
    <row r="838" spans="1:13" s="85" customFormat="1" ht="19.8" thickBot="1" x14ac:dyDescent="0.5">
      <c r="A838" s="1663"/>
      <c r="B838" s="1655"/>
      <c r="C838" s="1512" t="s">
        <v>801</v>
      </c>
      <c r="D838" s="319"/>
      <c r="E838" s="1530">
        <v>44681.125</v>
      </c>
      <c r="F838" s="1530">
        <v>44681.291666666664</v>
      </c>
      <c r="G838" s="1530"/>
      <c r="H838" s="1530"/>
      <c r="I838" s="596"/>
      <c r="J838" s="1530">
        <f>E838+TIME(8,0,0)</f>
        <v>44681.458333333336</v>
      </c>
      <c r="K838" s="663" t="str">
        <f t="shared" si="312"/>
        <v>00:30:00</v>
      </c>
      <c r="L838" s="1585">
        <v>0</v>
      </c>
      <c r="M838" s="1652"/>
    </row>
    <row r="839" spans="1:13" s="104" customFormat="1" ht="20.399999999999999" thickTop="1" thickBot="1" x14ac:dyDescent="0.5">
      <c r="A839" s="1586"/>
      <c r="B839" s="1639"/>
      <c r="C839" s="1474" t="s">
        <v>785</v>
      </c>
      <c r="D839" s="82"/>
      <c r="E839" s="1514">
        <v>44681.147222222222</v>
      </c>
      <c r="F839" s="1514">
        <v>44681.209027777775</v>
      </c>
      <c r="G839" s="1514"/>
      <c r="H839" s="1514"/>
      <c r="I839" s="656"/>
      <c r="J839" s="1514">
        <f>E839+TIME(8,0,0)</f>
        <v>44681.480555555558</v>
      </c>
      <c r="K839" s="1534" t="str">
        <f t="shared" si="312"/>
        <v>-00:02:00</v>
      </c>
      <c r="L839" s="1586"/>
      <c r="M839" s="1610"/>
    </row>
    <row r="840" spans="1:13" s="104" customFormat="1" ht="20.399999999999999" thickTop="1" thickBot="1" x14ac:dyDescent="0.5">
      <c r="A840" s="85"/>
      <c r="B840" s="85"/>
      <c r="C840" s="641"/>
      <c r="D840" s="87"/>
      <c r="E840" s="84"/>
      <c r="F840" s="84"/>
      <c r="G840" s="84"/>
      <c r="H840" s="84"/>
      <c r="I840" s="597"/>
      <c r="J840" s="84"/>
      <c r="K840" s="664"/>
      <c r="L840" s="85"/>
      <c r="M840" s="625"/>
    </row>
    <row r="841" spans="1:13" s="104" customFormat="1" ht="19.8" thickTop="1" x14ac:dyDescent="0.45">
      <c r="A841" s="1637" t="s">
        <v>501</v>
      </c>
      <c r="B841" s="1658" t="s">
        <v>1380</v>
      </c>
      <c r="C841" s="1485" t="s">
        <v>795</v>
      </c>
      <c r="D841" s="1492" t="s">
        <v>1391</v>
      </c>
      <c r="E841" s="1497">
        <v>45285.930555555555</v>
      </c>
      <c r="F841" s="1497">
        <v>45285.961805555555</v>
      </c>
      <c r="G841" s="1497"/>
      <c r="H841" s="1497"/>
      <c r="I841" s="593"/>
      <c r="J841" s="1497">
        <f t="shared" ref="J841:J846" si="313">E841+TIME(8,0,0)</f>
        <v>45286.263888888891</v>
      </c>
      <c r="K841" s="660" t="str">
        <f t="shared" ref="K841:K846" si="314">IF($M$841-J841&lt;0, "-" &amp; TEXT(ABS($M$841-J841),"[hh]:mm:ss"), TEXT($M$841-J841,"[hh]:mm:ss"))</f>
        <v>00:19:00</v>
      </c>
      <c r="L841" s="1587">
        <v>44681.263888888891</v>
      </c>
      <c r="M841" s="1634">
        <v>45286.277083333334</v>
      </c>
    </row>
    <row r="842" spans="1:13" s="104" customFormat="1" x14ac:dyDescent="0.45">
      <c r="A842" s="1619"/>
      <c r="B842" s="1615"/>
      <c r="C842" s="1523" t="s">
        <v>781</v>
      </c>
      <c r="D842" s="1497" t="s">
        <v>1392</v>
      </c>
      <c r="E842" s="81">
        <v>45285.930555555555</v>
      </c>
      <c r="F842" s="81">
        <v>45285.964583333334</v>
      </c>
      <c r="G842" s="81"/>
      <c r="H842" s="81"/>
      <c r="I842" s="593"/>
      <c r="J842" s="1497">
        <f t="shared" si="313"/>
        <v>45286.263888888891</v>
      </c>
      <c r="K842" s="660" t="str">
        <f t="shared" si="314"/>
        <v>00:19:00</v>
      </c>
      <c r="L842" s="1591"/>
      <c r="M842" s="1635"/>
    </row>
    <row r="843" spans="1:13" s="104" customFormat="1" x14ac:dyDescent="0.45">
      <c r="A843" s="1619"/>
      <c r="B843" s="1615"/>
      <c r="C843" s="1523" t="s">
        <v>1407</v>
      </c>
      <c r="D843" s="588" t="s">
        <v>1408</v>
      </c>
      <c r="E843" s="1530">
        <v>45285.916666666664</v>
      </c>
      <c r="F843" s="1530">
        <v>45285.999305555553</v>
      </c>
      <c r="G843" s="1530"/>
      <c r="H843" s="1530"/>
      <c r="I843" s="593"/>
      <c r="J843" s="1497">
        <f t="shared" si="313"/>
        <v>45286.25</v>
      </c>
      <c r="K843" s="660" t="str">
        <f t="shared" si="314"/>
        <v>00:39:00</v>
      </c>
      <c r="L843" s="1591"/>
      <c r="M843" s="1635"/>
    </row>
    <row r="844" spans="1:13" s="85" customFormat="1" x14ac:dyDescent="0.45">
      <c r="A844" s="1619"/>
      <c r="B844" s="1615"/>
      <c r="C844" s="1523" t="s">
        <v>1280</v>
      </c>
      <c r="D844" s="588" t="s">
        <v>1406</v>
      </c>
      <c r="E844" s="1530">
        <v>45285.916666666664</v>
      </c>
      <c r="F844" s="1530">
        <v>45286</v>
      </c>
      <c r="G844" s="1530"/>
      <c r="H844" s="1530"/>
      <c r="I844" s="593"/>
      <c r="J844" s="1497">
        <f t="shared" si="313"/>
        <v>45286.25</v>
      </c>
      <c r="K844" s="660" t="str">
        <f t="shared" si="314"/>
        <v>00:39:00</v>
      </c>
      <c r="L844" s="1591"/>
      <c r="M844" s="1635"/>
    </row>
    <row r="845" spans="1:13" x14ac:dyDescent="0.45">
      <c r="A845" s="1619"/>
      <c r="B845" s="1615"/>
      <c r="C845" s="1512" t="s">
        <v>1304</v>
      </c>
      <c r="D845" s="319" t="s">
        <v>1404</v>
      </c>
      <c r="E845" s="1530">
        <v>45285.931250000001</v>
      </c>
      <c r="F845" s="1530">
        <v>45285.972222222219</v>
      </c>
      <c r="G845" s="1530"/>
      <c r="H845" s="1530"/>
      <c r="I845" s="596"/>
      <c r="J845" s="1530">
        <f t="shared" si="313"/>
        <v>45286.264583333337</v>
      </c>
      <c r="K845" s="663" t="str">
        <f t="shared" si="314"/>
        <v>00:18:00</v>
      </c>
      <c r="L845" s="1591"/>
      <c r="M845" s="1635"/>
    </row>
    <row r="846" spans="1:13" ht="19.8" thickBot="1" x14ac:dyDescent="0.5">
      <c r="A846" s="1583"/>
      <c r="B846" s="1608"/>
      <c r="C846" s="1503" t="s">
        <v>785</v>
      </c>
      <c r="D846" s="160" t="s">
        <v>1396</v>
      </c>
      <c r="E846" s="1473">
        <v>45285.932638888888</v>
      </c>
      <c r="F846" s="1473">
        <v>45285.981944444444</v>
      </c>
      <c r="G846" s="1473"/>
      <c r="H846" s="1473"/>
      <c r="I846" s="656"/>
      <c r="J846" s="1514">
        <f t="shared" si="313"/>
        <v>45286.265972222223</v>
      </c>
      <c r="K846" s="1534" t="str">
        <f t="shared" si="314"/>
        <v>00:16:00</v>
      </c>
      <c r="L846" s="1585"/>
      <c r="M846" s="1624"/>
    </row>
    <row r="847" spans="1:13" ht="20.399999999999999" thickTop="1" thickBot="1" x14ac:dyDescent="0.5">
      <c r="A847" s="314"/>
      <c r="B847" s="314"/>
      <c r="C847" s="633"/>
      <c r="D847" s="84"/>
      <c r="E847" s="84"/>
      <c r="F847" s="84"/>
      <c r="G847" s="84"/>
      <c r="H847" s="84"/>
      <c r="I847" s="599"/>
      <c r="J847" s="90"/>
      <c r="K847" s="666"/>
      <c r="L847" s="314"/>
      <c r="M847" s="623"/>
    </row>
    <row r="848" spans="1:13" ht="19.8" thickTop="1" x14ac:dyDescent="0.45">
      <c r="A848" s="1637" t="s">
        <v>1754</v>
      </c>
      <c r="B848" s="1658" t="s">
        <v>1931</v>
      </c>
      <c r="C848" s="1681" t="s">
        <v>1407</v>
      </c>
      <c r="D848" s="157" t="s">
        <v>2451</v>
      </c>
      <c r="E848" s="1504">
        <v>45626.5625</v>
      </c>
      <c r="F848" s="1504">
        <v>45627.020833333336</v>
      </c>
      <c r="G848" s="1504"/>
      <c r="H848" s="1504"/>
      <c r="I848" s="594"/>
      <c r="J848" s="1504">
        <f t="shared" ref="J848:J867" si="315">E848+TIME(8,0,0)</f>
        <v>45626.895833333336</v>
      </c>
      <c r="K848" s="659" t="str">
        <f t="shared" ref="K848:K852" si="316">IF($M$848-J848&lt;0, "-" &amp; TEXT(ABS($M$848-J848),"[hh]:mm:ss"), TEXT($M$848-J848,"[hh]:mm:ss"))</f>
        <v>00:55:00</v>
      </c>
      <c r="L848" s="1664">
        <v>45626.934027777781</v>
      </c>
      <c r="M848" s="1634">
        <v>45626.934027777781</v>
      </c>
    </row>
    <row r="849" spans="1:13" x14ac:dyDescent="0.45">
      <c r="A849" s="1619"/>
      <c r="B849" s="1615"/>
      <c r="C849" s="1682"/>
      <c r="D849" s="159" t="s">
        <v>2449</v>
      </c>
      <c r="E849" s="1497">
        <v>45626.5625</v>
      </c>
      <c r="F849" s="1497">
        <v>45627.020833333336</v>
      </c>
      <c r="G849" s="1497"/>
      <c r="H849" s="1497"/>
      <c r="I849" s="593"/>
      <c r="J849" s="1497">
        <f t="shared" si="315"/>
        <v>45626.895833333336</v>
      </c>
      <c r="K849" s="660" t="str">
        <f t="shared" si="316"/>
        <v>00:55:00</v>
      </c>
      <c r="L849" s="1591"/>
      <c r="M849" s="1589"/>
    </row>
    <row r="850" spans="1:13" x14ac:dyDescent="0.45">
      <c r="A850" s="1619"/>
      <c r="B850" s="1615"/>
      <c r="C850" s="1683"/>
      <c r="D850" s="319" t="s">
        <v>2450</v>
      </c>
      <c r="E850" s="81">
        <v>45626.5625</v>
      </c>
      <c r="F850" s="81">
        <v>45627.020833333336</v>
      </c>
      <c r="G850" s="81"/>
      <c r="H850" s="81"/>
      <c r="I850" s="593"/>
      <c r="J850" s="1530">
        <f t="shared" si="315"/>
        <v>45626.895833333336</v>
      </c>
      <c r="K850" s="660" t="str">
        <f t="shared" si="316"/>
        <v>00:55:00</v>
      </c>
      <c r="L850" s="1619"/>
      <c r="M850" s="1635"/>
    </row>
    <row r="851" spans="1:13" s="104" customFormat="1" x14ac:dyDescent="0.45">
      <c r="A851" s="1619"/>
      <c r="B851" s="1615"/>
      <c r="C851" s="1667" t="s">
        <v>801</v>
      </c>
      <c r="D851" s="183" t="s">
        <v>2477</v>
      </c>
      <c r="E851" s="1505">
        <v>45626.595138888886</v>
      </c>
      <c r="F851" s="1505">
        <v>45626.672222222223</v>
      </c>
      <c r="G851" s="1505"/>
      <c r="H851" s="1505"/>
      <c r="I851" s="600"/>
      <c r="J851" s="1505">
        <f t="shared" si="315"/>
        <v>45626.928472222222</v>
      </c>
      <c r="K851" s="667" t="str">
        <f t="shared" si="316"/>
        <v>00:08:00</v>
      </c>
      <c r="L851" s="1619"/>
      <c r="M851" s="1635"/>
    </row>
    <row r="852" spans="1:13" s="104" customFormat="1" ht="19.8" thickBot="1" x14ac:dyDescent="0.5">
      <c r="A852" s="1583"/>
      <c r="B852" s="1608"/>
      <c r="C852" s="1668"/>
      <c r="D852" s="158" t="s">
        <v>2437</v>
      </c>
      <c r="E852" s="1514">
        <v>45626.5</v>
      </c>
      <c r="F852" s="1514">
        <v>45626.666666666664</v>
      </c>
      <c r="G852" s="1514"/>
      <c r="H852" s="1514"/>
      <c r="I852" s="595"/>
      <c r="J852" s="1514">
        <f t="shared" si="315"/>
        <v>45626.833333333336</v>
      </c>
      <c r="K852" s="661" t="str">
        <f t="shared" si="316"/>
        <v>02:25:00</v>
      </c>
      <c r="L852" s="1583"/>
      <c r="M852" s="1624"/>
    </row>
    <row r="853" spans="1:13" s="104" customFormat="1" ht="19.8" thickTop="1" x14ac:dyDescent="0.45">
      <c r="A853" s="1637" t="s">
        <v>1754</v>
      </c>
      <c r="B853" s="1658" t="s">
        <v>1931</v>
      </c>
      <c r="C853" s="1507" t="s">
        <v>1407</v>
      </c>
      <c r="D853" s="157" t="s">
        <v>2918</v>
      </c>
      <c r="E853" s="1504">
        <v>45873.416666666664</v>
      </c>
      <c r="F853" s="1504">
        <v>45873.472222222219</v>
      </c>
      <c r="G853" s="1504"/>
      <c r="H853" s="1504"/>
      <c r="I853" s="594"/>
      <c r="J853" s="1504">
        <f t="shared" si="315"/>
        <v>45873.75</v>
      </c>
      <c r="K853" s="659" t="str">
        <f t="shared" ref="K853:K855" si="317">IF($M$853-J853&lt;0, "-" &amp; TEXT(ABS($M$853-J853),"[hh]:mm:ss"), TEXT($M$853-J853,"[hh]:mm:ss"))</f>
        <v>00:21:00</v>
      </c>
      <c r="L853" s="1664">
        <v>45873.765277777777</v>
      </c>
      <c r="M853" s="1634">
        <v>45873.76458333333</v>
      </c>
    </row>
    <row r="854" spans="1:13" s="104" customFormat="1" collapsed="1" x14ac:dyDescent="0.45">
      <c r="A854" s="1619"/>
      <c r="B854" s="1615"/>
      <c r="C854" s="1667" t="s">
        <v>801</v>
      </c>
      <c r="D854" s="183" t="s">
        <v>2900</v>
      </c>
      <c r="E854" s="1505">
        <v>45873.426388888889</v>
      </c>
      <c r="F854" s="1505">
        <v>45873.445833333331</v>
      </c>
      <c r="G854" s="1505"/>
      <c r="H854" s="1505"/>
      <c r="I854" s="600"/>
      <c r="J854" s="1505">
        <f t="shared" si="315"/>
        <v>45873.759722222225</v>
      </c>
      <c r="K854" s="667" t="str">
        <f t="shared" si="317"/>
        <v>00:07:00</v>
      </c>
      <c r="L854" s="1619"/>
      <c r="M854" s="1635"/>
    </row>
    <row r="855" spans="1:13" s="104" customFormat="1" ht="19.8" thickBot="1" x14ac:dyDescent="0.5">
      <c r="A855" s="1583"/>
      <c r="B855" s="1608"/>
      <c r="C855" s="1668"/>
      <c r="D855" s="158" t="s">
        <v>2887</v>
      </c>
      <c r="E855" s="1514">
        <v>45873.333333333336</v>
      </c>
      <c r="F855" s="1514">
        <v>45873.5</v>
      </c>
      <c r="G855" s="1514"/>
      <c r="H855" s="1514"/>
      <c r="I855" s="595"/>
      <c r="J855" s="1514">
        <f t="shared" si="315"/>
        <v>45873.666666666672</v>
      </c>
      <c r="K855" s="661" t="str">
        <f t="shared" si="317"/>
        <v>02:21:00</v>
      </c>
      <c r="L855" s="1583"/>
      <c r="M855" s="1624"/>
    </row>
    <row r="856" spans="1:13" s="104" customFormat="1" ht="19.8" thickTop="1" x14ac:dyDescent="0.45">
      <c r="A856" s="1637" t="s">
        <v>1754</v>
      </c>
      <c r="B856" s="1658" t="s">
        <v>1931</v>
      </c>
      <c r="C856" s="1507" t="s">
        <v>1407</v>
      </c>
      <c r="D856" s="157" t="s">
        <v>3154</v>
      </c>
      <c r="E856" s="1504">
        <v>45971.100694444445</v>
      </c>
      <c r="F856" s="1504">
        <v>45971.152777777781</v>
      </c>
      <c r="G856" s="1504"/>
      <c r="H856" s="1504"/>
      <c r="I856" s="594"/>
      <c r="J856" s="1504">
        <f t="shared" si="315"/>
        <v>45971.434027777781</v>
      </c>
      <c r="K856" s="659" t="str">
        <f t="shared" ref="K856:K858" si="318">IF($M$856-J856&lt;0, "-" &amp; TEXT(ABS($M$856-J856),"[hh]:mm:ss"), TEXT($M$856-J856,"[hh]:mm:ss"))</f>
        <v>00:16:00</v>
      </c>
      <c r="L856" s="1664">
        <v>45971.445833333331</v>
      </c>
      <c r="M856" s="1634">
        <v>45971.445138888892</v>
      </c>
    </row>
    <row r="857" spans="1:13" s="85" customFormat="1" x14ac:dyDescent="0.45">
      <c r="A857" s="1619"/>
      <c r="B857" s="1615"/>
      <c r="C857" s="1667" t="s">
        <v>801</v>
      </c>
      <c r="D857" s="183" t="s">
        <v>3123</v>
      </c>
      <c r="E857" s="1505">
        <v>45971.107638888891</v>
      </c>
      <c r="F857" s="1505">
        <v>45971.127083333333</v>
      </c>
      <c r="G857" s="1505"/>
      <c r="H857" s="1505"/>
      <c r="I857" s="600"/>
      <c r="J857" s="1505">
        <f t="shared" si="315"/>
        <v>45971.440972222226</v>
      </c>
      <c r="K857" s="667" t="str">
        <f t="shared" si="318"/>
        <v>00:06:00</v>
      </c>
      <c r="L857" s="1619"/>
      <c r="M857" s="1635"/>
    </row>
    <row r="858" spans="1:13" s="104" customFormat="1" ht="19.8" thickBot="1" x14ac:dyDescent="0.5">
      <c r="A858" s="1583"/>
      <c r="B858" s="1608"/>
      <c r="C858" s="1668"/>
      <c r="D858" s="158" t="s">
        <v>3107</v>
      </c>
      <c r="E858" s="1514">
        <v>45971.083333333336</v>
      </c>
      <c r="F858" s="1514">
        <v>45971.25</v>
      </c>
      <c r="G858" s="1514"/>
      <c r="H858" s="1514"/>
      <c r="I858" s="595"/>
      <c r="J858" s="1514">
        <f t="shared" si="315"/>
        <v>45971.416666666672</v>
      </c>
      <c r="K858" s="661" t="str">
        <f t="shared" si="318"/>
        <v>00:41:00</v>
      </c>
      <c r="L858" s="1583"/>
      <c r="M858" s="1624"/>
    </row>
    <row r="859" spans="1:13" s="104" customFormat="1" ht="19.8" thickTop="1" x14ac:dyDescent="0.45">
      <c r="A859" s="1637" t="s">
        <v>1754</v>
      </c>
      <c r="B859" s="1658" t="s">
        <v>1931</v>
      </c>
      <c r="C859" s="1507" t="s">
        <v>1407</v>
      </c>
      <c r="D859" s="157" t="s">
        <v>3283</v>
      </c>
      <c r="E859" s="1504">
        <v>46002.916666666664</v>
      </c>
      <c r="F859" s="1504">
        <v>46004</v>
      </c>
      <c r="G859" s="1504"/>
      <c r="H859" s="1504"/>
      <c r="I859" s="594"/>
      <c r="J859" s="1504">
        <f t="shared" si="315"/>
        <v>46003.25</v>
      </c>
      <c r="K859" s="659" t="str">
        <f t="shared" ref="K859:K861" si="319">IF($M$859-J859&lt;0, "-" &amp; TEXT(ABS($M$859-J859),"[hh]:mm:ss"), TEXT($M$859-J859,"[hh]:mm:ss"))</f>
        <v>01:00:00</v>
      </c>
      <c r="L859" s="1664">
        <v>46003.291666666664</v>
      </c>
      <c r="M859" s="1634">
        <v>46003.291666666664</v>
      </c>
    </row>
    <row r="860" spans="1:13" s="85" customFormat="1" x14ac:dyDescent="0.45">
      <c r="A860" s="1619"/>
      <c r="B860" s="1615"/>
      <c r="C860" s="1667" t="s">
        <v>801</v>
      </c>
      <c r="D860" s="183" t="s">
        <v>3224</v>
      </c>
      <c r="E860" s="1505">
        <v>46002.953472222223</v>
      </c>
      <c r="F860" s="1505">
        <v>46002.972916666666</v>
      </c>
      <c r="G860" s="1505"/>
      <c r="H860" s="1505"/>
      <c r="I860" s="600"/>
      <c r="J860" s="1505">
        <f t="shared" si="315"/>
        <v>46003.286805555559</v>
      </c>
      <c r="K860" s="667" t="str">
        <f t="shared" si="319"/>
        <v>00:07:00</v>
      </c>
      <c r="L860" s="1619"/>
      <c r="M860" s="1635"/>
    </row>
    <row r="861" spans="1:13" s="104" customFormat="1" ht="19.8" thickBot="1" x14ac:dyDescent="0.5">
      <c r="A861" s="1583"/>
      <c r="B861" s="1608"/>
      <c r="C861" s="1668"/>
      <c r="D861" s="158" t="s">
        <v>3207</v>
      </c>
      <c r="E861" s="1514">
        <v>46002.958333333336</v>
      </c>
      <c r="F861" s="1514">
        <v>46003.083333333336</v>
      </c>
      <c r="G861" s="1514"/>
      <c r="H861" s="1514"/>
      <c r="I861" s="595"/>
      <c r="J861" s="1514">
        <f t="shared" si="315"/>
        <v>46003.291666666672</v>
      </c>
      <c r="K861" s="661" t="str">
        <f t="shared" si="319"/>
        <v>-00:00:00</v>
      </c>
      <c r="L861" s="1583"/>
      <c r="M861" s="1624"/>
    </row>
    <row r="862" spans="1:13" s="104" customFormat="1" ht="19.8" thickTop="1" x14ac:dyDescent="0.45">
      <c r="A862" s="1637" t="s">
        <v>1754</v>
      </c>
      <c r="B862" s="1658" t="s">
        <v>1931</v>
      </c>
      <c r="C862" s="1507" t="s">
        <v>1407</v>
      </c>
      <c r="D862" s="157" t="s">
        <v>3383</v>
      </c>
      <c r="E862" s="1504">
        <v>46041.284722222219</v>
      </c>
      <c r="F862" s="1504">
        <v>46041.368055555555</v>
      </c>
      <c r="G862" s="1504"/>
      <c r="H862" s="1504"/>
      <c r="I862" s="594"/>
      <c r="J862" s="1504">
        <f t="shared" si="315"/>
        <v>46041.618055555555</v>
      </c>
      <c r="K862" s="659" t="str">
        <f>IF($M$862-J862&lt;0, "-" &amp; TEXT(ABS($M$862-J862),"[hh]:mm:ss"), TEXT($M$862-J862,"[hh]:mm:ss"))</f>
        <v>00:58:00</v>
      </c>
      <c r="L862" s="1664">
        <v>46041.658333333333</v>
      </c>
      <c r="M862" s="1634">
        <v>46041.658333333333</v>
      </c>
    </row>
    <row r="863" spans="1:13" s="85" customFormat="1" x14ac:dyDescent="0.45">
      <c r="A863" s="1619"/>
      <c r="B863" s="1615"/>
      <c r="C863" s="1667" t="s">
        <v>801</v>
      </c>
      <c r="D863" s="183" t="s">
        <v>3355</v>
      </c>
      <c r="E863" s="1505">
        <v>46041.320138888892</v>
      </c>
      <c r="F863" s="1505">
        <v>46041.338888888888</v>
      </c>
      <c r="G863" s="1505"/>
      <c r="H863" s="1505"/>
      <c r="I863" s="600"/>
      <c r="J863" s="1505">
        <f t="shared" si="315"/>
        <v>46041.653472222228</v>
      </c>
      <c r="K863" s="667" t="str">
        <f t="shared" ref="K863:K864" si="320">IF($M$862-J863&lt;0, "-" &amp; TEXT(ABS($M$862-J863),"[hh]:mm:ss"), TEXT($M$862-J863,"[hh]:mm:ss"))</f>
        <v>00:07:00</v>
      </c>
      <c r="L863" s="1619"/>
      <c r="M863" s="1635"/>
    </row>
    <row r="864" spans="1:13" s="104" customFormat="1" ht="19.8" thickBot="1" x14ac:dyDescent="0.5">
      <c r="A864" s="1583"/>
      <c r="B864" s="1608"/>
      <c r="C864" s="1668"/>
      <c r="D864" s="158" t="s">
        <v>3351</v>
      </c>
      <c r="E864" s="1514">
        <v>46041.291666666664</v>
      </c>
      <c r="F864" s="1514">
        <v>46041.458333333336</v>
      </c>
      <c r="G864" s="1514"/>
      <c r="H864" s="1514"/>
      <c r="I864" s="595"/>
      <c r="J864" s="1514">
        <f t="shared" si="315"/>
        <v>46041.625</v>
      </c>
      <c r="K864" s="661" t="str">
        <f t="shared" si="320"/>
        <v>00:48:00</v>
      </c>
      <c r="L864" s="1583"/>
      <c r="M864" s="1624"/>
    </row>
    <row r="865" spans="1:13" s="104" customFormat="1" ht="19.8" thickTop="1" x14ac:dyDescent="0.45">
      <c r="A865" s="1637" t="s">
        <v>1754</v>
      </c>
      <c r="B865" s="1658" t="s">
        <v>1931</v>
      </c>
      <c r="C865" s="1507" t="s">
        <v>1407</v>
      </c>
      <c r="D865" s="157" t="s">
        <v>3739</v>
      </c>
      <c r="E865" s="1504">
        <v>46190.104166666664</v>
      </c>
      <c r="F865" s="1504">
        <v>46191.152777777781</v>
      </c>
      <c r="G865" s="1504"/>
      <c r="H865" s="1504"/>
      <c r="I865" s="594"/>
      <c r="J865" s="1504">
        <f t="shared" si="315"/>
        <v>46190.4375</v>
      </c>
      <c r="K865" s="659" t="str">
        <f>IF($M$865-J865&lt;0, "-" &amp; TEXT(ABS($M$865-J865),"[hh]:mm:ss"), TEXT($M$865-J865,"[hh]:mm:ss"))</f>
        <v>00:14:00</v>
      </c>
      <c r="L865" s="1664">
        <v>46190.447222222225</v>
      </c>
      <c r="M865" s="1634">
        <v>46190.447222222225</v>
      </c>
    </row>
    <row r="866" spans="1:13" s="85" customFormat="1" x14ac:dyDescent="0.45">
      <c r="A866" s="1619"/>
      <c r="B866" s="1615"/>
      <c r="C866" s="1667" t="s">
        <v>801</v>
      </c>
      <c r="D866" s="183" t="s">
        <v>3730</v>
      </c>
      <c r="E866" s="1505">
        <v>46190.109027777777</v>
      </c>
      <c r="F866" s="1505">
        <v>46190.129166666666</v>
      </c>
      <c r="G866" s="1505"/>
      <c r="H866" s="1505"/>
      <c r="I866" s="600"/>
      <c r="J866" s="1505">
        <f t="shared" si="315"/>
        <v>46190.442361111112</v>
      </c>
      <c r="K866" s="667" t="str">
        <f t="shared" ref="K866:K867" si="321">IF($M$865-J866&lt;0, "-" &amp; TEXT(ABS($M$865-J866),"[hh]:mm:ss"), TEXT($M$865-J866,"[hh]:mm:ss"))</f>
        <v>00:07:00</v>
      </c>
      <c r="L866" s="1619"/>
      <c r="M866" s="1635"/>
    </row>
    <row r="867" spans="1:13" s="104" customFormat="1" ht="19.8" thickBot="1" x14ac:dyDescent="0.5">
      <c r="A867" s="1583"/>
      <c r="B867" s="1608"/>
      <c r="C867" s="1668"/>
      <c r="D867" s="158" t="s">
        <v>3729</v>
      </c>
      <c r="E867" s="1514">
        <v>46190.083333333336</v>
      </c>
      <c r="F867" s="1514">
        <v>46190.25</v>
      </c>
      <c r="G867" s="1514"/>
      <c r="H867" s="1514"/>
      <c r="I867" s="595"/>
      <c r="J867" s="1514">
        <f t="shared" si="315"/>
        <v>46190.416666666672</v>
      </c>
      <c r="K867" s="661" t="str">
        <f t="shared" si="321"/>
        <v>00:44:00</v>
      </c>
      <c r="L867" s="1583"/>
      <c r="M867" s="1624"/>
    </row>
    <row r="868" spans="1:13" s="104" customFormat="1" ht="20.399999999999999" thickTop="1" thickBot="1" x14ac:dyDescent="0.5">
      <c r="A868" s="85"/>
      <c r="B868" s="85"/>
      <c r="C868" s="646"/>
      <c r="D868" s="525"/>
      <c r="E868" s="84"/>
      <c r="F868" s="84"/>
      <c r="G868" s="84"/>
      <c r="H868" s="84"/>
      <c r="I868" s="597"/>
      <c r="J868" s="84"/>
      <c r="K868" s="664"/>
      <c r="L868" s="85"/>
      <c r="M868" s="625"/>
    </row>
    <row r="869" spans="1:13" s="104" customFormat="1" ht="20.399999999999999" thickTop="1" thickBot="1" x14ac:dyDescent="0.5">
      <c r="A869" s="1488" t="s">
        <v>3204</v>
      </c>
      <c r="B869" s="1479" t="s">
        <v>1184</v>
      </c>
      <c r="C869" s="636" t="s">
        <v>784</v>
      </c>
      <c r="D869" s="89" t="s">
        <v>3312</v>
      </c>
      <c r="E869" s="1472">
        <v>46014.07916666667</v>
      </c>
      <c r="F869" s="1472">
        <v>46014.176388888889</v>
      </c>
      <c r="G869" s="1472"/>
      <c r="H869" s="1472"/>
      <c r="I869" s="592"/>
      <c r="J869" s="1472">
        <f>E869+TIME(8,0,0)</f>
        <v>46014.412500000006</v>
      </c>
      <c r="K869" s="662" t="str">
        <f t="shared" ref="K869" si="322">IF($M$869-J869&lt;0, "-" &amp; TEXT(ABS($M$869-J869),"[hh]:mm:ss"), TEXT($M$869-J869,"[hh]:mm:ss"))</f>
        <v>00:06:00</v>
      </c>
      <c r="L869" s="1472">
        <v>46014.416666666664</v>
      </c>
      <c r="M869" s="1471">
        <v>46014.416666666664</v>
      </c>
    </row>
    <row r="870" spans="1:13" s="104" customFormat="1" ht="20.399999999999999" thickTop="1" thickBot="1" x14ac:dyDescent="0.5">
      <c r="A870" s="85"/>
      <c r="B870" s="85"/>
      <c r="C870" s="657"/>
      <c r="D870" s="658"/>
      <c r="E870" s="90"/>
      <c r="F870" s="90"/>
      <c r="G870" s="90"/>
      <c r="H870" s="90"/>
      <c r="I870" s="599"/>
      <c r="J870" s="90"/>
      <c r="K870" s="666"/>
      <c r="L870" s="85"/>
      <c r="M870" s="625"/>
    </row>
    <row r="871" spans="1:13" s="104" customFormat="1" ht="20.399999999999999" thickTop="1" thickBot="1" x14ac:dyDescent="0.5">
      <c r="A871" s="1488" t="s">
        <v>3502</v>
      </c>
      <c r="B871" s="1479" t="s">
        <v>1184</v>
      </c>
      <c r="C871" s="636" t="s">
        <v>3753</v>
      </c>
      <c r="D871" s="89"/>
      <c r="E871" s="1472"/>
      <c r="F871" s="1472"/>
      <c r="G871" s="1472"/>
      <c r="H871" s="1472"/>
      <c r="I871" s="592"/>
      <c r="J871" s="1472"/>
      <c r="K871" s="662"/>
      <c r="L871" s="1472">
        <v>46174.694444444445</v>
      </c>
      <c r="M871" s="1471">
        <v>46174.694444444445</v>
      </c>
    </row>
    <row r="872" spans="1:13" s="104" customFormat="1" ht="20.399999999999999" thickTop="1" thickBot="1" x14ac:dyDescent="0.5">
      <c r="A872" s="1506" t="s">
        <v>3502</v>
      </c>
      <c r="B872" s="1517" t="s">
        <v>1184</v>
      </c>
      <c r="C872" s="1162"/>
      <c r="D872" s="1163"/>
      <c r="E872" s="1509"/>
      <c r="F872" s="1509"/>
      <c r="G872" s="1509"/>
      <c r="H872" s="1509"/>
      <c r="I872" s="1158"/>
      <c r="J872" s="1509">
        <f>E872+TIME(8,0,0)</f>
        <v>0.33333333333333331</v>
      </c>
      <c r="K872" s="1159" t="str">
        <f>IF($M$872-J872&lt;0, "-" &amp; TEXT(ABS($M$872-J872),"[hh]:mm:ss"), TEXT($M$872-J872,"[hh]:mm:ss"))</f>
        <v>-08:00:00</v>
      </c>
      <c r="L872" s="1509"/>
      <c r="M872" s="1532"/>
    </row>
    <row r="873" spans="1:13" s="104" customFormat="1" ht="20.399999999999999" thickTop="1" thickBot="1" x14ac:dyDescent="0.5">
      <c r="A873" s="85"/>
      <c r="B873" s="85"/>
      <c r="C873" s="657"/>
      <c r="D873" s="658"/>
      <c r="E873" s="90"/>
      <c r="F873" s="90"/>
      <c r="G873" s="90"/>
      <c r="H873" s="90"/>
      <c r="I873" s="599"/>
      <c r="J873" s="90"/>
      <c r="K873" s="666"/>
      <c r="L873" s="85"/>
      <c r="M873" s="625"/>
    </row>
    <row r="874" spans="1:13" s="104" customFormat="1" ht="19.8" thickTop="1" x14ac:dyDescent="0.45">
      <c r="A874" s="1636" t="s">
        <v>3108</v>
      </c>
      <c r="B874" s="1745" t="s">
        <v>800</v>
      </c>
      <c r="C874" s="647" t="s">
        <v>1409</v>
      </c>
      <c r="D874" s="477"/>
      <c r="E874" s="1493"/>
      <c r="F874" s="1493"/>
      <c r="G874" s="1493"/>
      <c r="H874" s="1493"/>
      <c r="I874" s="606"/>
      <c r="J874" s="1493">
        <f>E874+TIME(8,0,0)</f>
        <v>0.33333333333333331</v>
      </c>
      <c r="K874" s="674" t="str">
        <f t="shared" ref="K874:K877" si="323">IF($M$874-J874&lt;0, "-" &amp; TEXT(ABS($M$874-J874),"[hh]:mm:ss"), TEXT($M$874-J874,"[hh]:mm:ss"))</f>
        <v>-08:00:00</v>
      </c>
      <c r="L874" s="1734"/>
      <c r="M874" s="1669"/>
    </row>
    <row r="875" spans="1:13" s="104" customFormat="1" x14ac:dyDescent="0.45">
      <c r="A875" s="1597"/>
      <c r="B875" s="1599"/>
      <c r="C875" s="648" t="s">
        <v>1410</v>
      </c>
      <c r="D875" s="512"/>
      <c r="E875" s="590"/>
      <c r="F875" s="590"/>
      <c r="G875" s="590"/>
      <c r="H875" s="590"/>
      <c r="I875" s="601"/>
      <c r="J875" s="590">
        <f>E875+TIME(8,0,0)</f>
        <v>0.33333333333333331</v>
      </c>
      <c r="K875" s="668" t="str">
        <f t="shared" si="323"/>
        <v>-08:00:00</v>
      </c>
      <c r="L875" s="1602"/>
      <c r="M875" s="1605"/>
    </row>
    <row r="876" spans="1:13" s="85" customFormat="1" x14ac:dyDescent="0.45">
      <c r="A876" s="1597"/>
      <c r="B876" s="1599"/>
      <c r="C876" s="1672" t="s">
        <v>788</v>
      </c>
      <c r="D876" s="316"/>
      <c r="E876" s="513"/>
      <c r="F876" s="513"/>
      <c r="G876" s="513"/>
      <c r="H876" s="513"/>
      <c r="I876" s="601"/>
      <c r="J876" s="305">
        <f>E876+TIME(8,0,0)</f>
        <v>0.33333333333333331</v>
      </c>
      <c r="K876" s="668" t="str">
        <f t="shared" si="323"/>
        <v>-08:00:00</v>
      </c>
      <c r="L876" s="1597"/>
      <c r="M876" s="1670"/>
    </row>
    <row r="877" spans="1:13" ht="19.8" thickBot="1" x14ac:dyDescent="0.5">
      <c r="A877" s="1581"/>
      <c r="B877" s="1600"/>
      <c r="C877" s="1673"/>
      <c r="D877" s="498"/>
      <c r="E877" s="1495"/>
      <c r="F877" s="1495"/>
      <c r="G877" s="1495"/>
      <c r="H877" s="1495"/>
      <c r="I877" s="608"/>
      <c r="J877" s="1495">
        <f>E877+TIME(8,0,0)</f>
        <v>0.33333333333333331</v>
      </c>
      <c r="K877" s="676" t="str">
        <f t="shared" si="323"/>
        <v>-08:00:00</v>
      </c>
      <c r="L877" s="1581"/>
      <c r="M877" s="1650"/>
    </row>
    <row r="878" spans="1:13" ht="20.399999999999999" thickTop="1" thickBot="1" x14ac:dyDescent="0.5">
      <c r="A878" s="132"/>
      <c r="B878" s="132"/>
      <c r="C878" s="645"/>
      <c r="D878" s="131"/>
      <c r="E878" s="84"/>
      <c r="F878" s="84"/>
      <c r="G878" s="84"/>
      <c r="H878" s="84"/>
      <c r="I878" s="597"/>
      <c r="J878" s="84"/>
      <c r="K878" s="664"/>
      <c r="L878" s="132"/>
      <c r="M878" s="622"/>
    </row>
    <row r="879" spans="1:13" ht="20.399999999999999" thickTop="1" thickBot="1" x14ac:dyDescent="0.5">
      <c r="A879" s="1582" t="s">
        <v>409</v>
      </c>
      <c r="B879" s="1621" t="s">
        <v>1184</v>
      </c>
      <c r="C879" s="1531" t="s">
        <v>3272</v>
      </c>
      <c r="D879" s="157"/>
      <c r="E879" s="1496">
        <v>44810.092361111114</v>
      </c>
      <c r="F879" s="1496">
        <v>44810.117361111108</v>
      </c>
      <c r="G879" s="1496"/>
      <c r="H879" s="1496"/>
      <c r="I879" s="594"/>
      <c r="J879" s="1504">
        <f t="shared" ref="J879:J909" si="324">E879+TIME(8,0,0)</f>
        <v>44810.42569444445</v>
      </c>
      <c r="K879" s="659" t="str">
        <f>IF($M$879-J879&lt;0, "-" &amp; TEXT(ABS($M$879-J879),"[hh]:mm:ss"), TEXT($M$879-J879,"[hh]:mm:ss"))</f>
        <v>00:11:00</v>
      </c>
      <c r="L879" s="1640">
        <v>44810.434027777781</v>
      </c>
      <c r="M879" s="1609">
        <v>44810.433333333334</v>
      </c>
    </row>
    <row r="880" spans="1:13" ht="20.399999999999999" thickTop="1" thickBot="1" x14ac:dyDescent="0.5">
      <c r="A880" s="1586"/>
      <c r="B880" s="1639"/>
      <c r="C880" s="1474" t="s">
        <v>797</v>
      </c>
      <c r="D880" s="82"/>
      <c r="E880" s="1514">
        <v>44810.041666666664</v>
      </c>
      <c r="F880" s="1514">
        <v>44810.25</v>
      </c>
      <c r="G880" s="1514"/>
      <c r="H880" s="1514"/>
      <c r="I880" s="595"/>
      <c r="J880" s="1514">
        <f t="shared" si="324"/>
        <v>44810.375</v>
      </c>
      <c r="K880" s="661" t="str">
        <f>IF($M$879-J880&lt;0, "-" &amp; TEXT(ABS($M$879-J880),"[hh]:mm:ss"), TEXT($M$879-J880,"[hh]:mm:ss"))</f>
        <v>01:24:00</v>
      </c>
      <c r="L880" s="1586"/>
      <c r="M880" s="1610"/>
    </row>
    <row r="881" spans="1:13" ht="20.399999999999999" thickTop="1" thickBot="1" x14ac:dyDescent="0.5">
      <c r="A881" s="1582" t="s">
        <v>409</v>
      </c>
      <c r="B881" s="1621" t="s">
        <v>9</v>
      </c>
      <c r="C881" s="1485" t="s">
        <v>784</v>
      </c>
      <c r="D881" s="587"/>
      <c r="E881" s="1496">
        <v>45007.375</v>
      </c>
      <c r="F881" s="1496">
        <v>45007.38958333333</v>
      </c>
      <c r="G881" s="1496"/>
      <c r="H881" s="1496"/>
      <c r="I881" s="594"/>
      <c r="J881" s="1504">
        <f t="shared" si="324"/>
        <v>45007.708333333336</v>
      </c>
      <c r="K881" s="659" t="str">
        <f>IF($M$881-J881&lt;0, "-" &amp; TEXT(ABS($M$881-J881),"[hh]:mm:ss"), TEXT($M$881-J881,"[hh]:mm:ss"))</f>
        <v>00:09:00</v>
      </c>
      <c r="L881" s="1640">
        <v>45007.713194444441</v>
      </c>
      <c r="M881" s="1609">
        <v>45007.714583333334</v>
      </c>
    </row>
    <row r="882" spans="1:13" s="85" customFormat="1" ht="19.8" thickTop="1" x14ac:dyDescent="0.45">
      <c r="A882" s="1671"/>
      <c r="B882" s="1655"/>
      <c r="C882" s="1489" t="s">
        <v>807</v>
      </c>
      <c r="D882" s="588"/>
      <c r="E882" s="83">
        <v>45007.375694444447</v>
      </c>
      <c r="F882" s="83">
        <v>45007.393055555556</v>
      </c>
      <c r="G882" s="83"/>
      <c r="H882" s="83"/>
      <c r="I882" s="593"/>
      <c r="J882" s="1530">
        <f t="shared" si="324"/>
        <v>45007.709027777782</v>
      </c>
      <c r="K882" s="660" t="str">
        <f t="shared" ref="K882:K883" si="325">IF($M$881-J882&lt;0, "-" &amp; TEXT(ABS($M$881-J882),"[hh]:mm:ss"), TEXT($M$881-J882,"[hh]:mm:ss"))</f>
        <v>00:08:00</v>
      </c>
      <c r="L882" s="1671"/>
      <c r="M882" s="1652"/>
    </row>
    <row r="883" spans="1:13" ht="19.8" thickBot="1" x14ac:dyDescent="0.5">
      <c r="A883" s="1586"/>
      <c r="B883" s="1639"/>
      <c r="C883" s="1474" t="s">
        <v>785</v>
      </c>
      <c r="D883" s="82"/>
      <c r="E883" s="1514">
        <v>45007.37777777778</v>
      </c>
      <c r="F883" s="1514">
        <v>45007.404166666667</v>
      </c>
      <c r="G883" s="1514"/>
      <c r="H883" s="1514"/>
      <c r="I883" s="656"/>
      <c r="J883" s="1481">
        <f t="shared" si="324"/>
        <v>45007.711111111115</v>
      </c>
      <c r="K883" s="1534" t="str">
        <f t="shared" si="325"/>
        <v>00:05:00</v>
      </c>
      <c r="L883" s="1586"/>
      <c r="M883" s="1610"/>
    </row>
    <row r="884" spans="1:13" ht="20.399999999999999" thickTop="1" thickBot="1" x14ac:dyDescent="0.5">
      <c r="A884" s="1583" t="s">
        <v>988</v>
      </c>
      <c r="B884" s="1608" t="s">
        <v>9</v>
      </c>
      <c r="C884" s="1508" t="s">
        <v>3272</v>
      </c>
      <c r="D884" s="159"/>
      <c r="E884" s="83">
        <v>45086.099305555559</v>
      </c>
      <c r="F884" s="83">
        <v>45086.120833333334</v>
      </c>
      <c r="G884" s="83"/>
      <c r="H884" s="83"/>
      <c r="I884" s="593"/>
      <c r="J884" s="1504">
        <f t="shared" si="324"/>
        <v>45086.432638888895</v>
      </c>
      <c r="K884" s="660" t="str">
        <f>IF($M$884-J884&lt;0, "-" &amp; TEXT(ABS($M$884-J884),"[hh]:mm:ss"), TEXT($M$884-J884,"[hh]:mm:ss"))</f>
        <v>00:12:00</v>
      </c>
      <c r="L884" s="1585">
        <v>45086.439583333333</v>
      </c>
      <c r="M884" s="1590">
        <v>45086.440972222219</v>
      </c>
    </row>
    <row r="885" spans="1:13" ht="20.399999999999999" thickTop="1" thickBot="1" x14ac:dyDescent="0.5">
      <c r="A885" s="1583"/>
      <c r="B885" s="1608"/>
      <c r="C885" s="1474" t="s">
        <v>981</v>
      </c>
      <c r="D885" s="82"/>
      <c r="E885" s="1514">
        <v>45086.101388888892</v>
      </c>
      <c r="F885" s="1514">
        <v>45086.131249999999</v>
      </c>
      <c r="G885" s="1514"/>
      <c r="H885" s="1514"/>
      <c r="I885" s="656"/>
      <c r="J885" s="1481">
        <f t="shared" si="324"/>
        <v>45086.434722222228</v>
      </c>
      <c r="K885" s="1534" t="str">
        <f>IF($M$884-J885&lt;0, "-" &amp; TEXT(ABS($M$884-J885),"[hh]:mm:ss"), TEXT($M$884-J885,"[hh]:mm:ss"))</f>
        <v>00:09:00</v>
      </c>
      <c r="L885" s="1583"/>
      <c r="M885" s="1624"/>
    </row>
    <row r="886" spans="1:13" ht="20.399999999999999" thickTop="1" thickBot="1" x14ac:dyDescent="0.5">
      <c r="A886" s="1618" t="s">
        <v>988</v>
      </c>
      <c r="B886" s="1607" t="s">
        <v>9</v>
      </c>
      <c r="C886" s="1485" t="s">
        <v>1001</v>
      </c>
      <c r="D886" s="587" t="s">
        <v>1002</v>
      </c>
      <c r="E886" s="1504">
        <v>45127.132638888892</v>
      </c>
      <c r="F886" s="1504">
        <v>45127.151388888888</v>
      </c>
      <c r="G886" s="1504"/>
      <c r="H886" s="1504"/>
      <c r="I886" s="594"/>
      <c r="J886" s="1504">
        <f t="shared" si="324"/>
        <v>45127.465972222228</v>
      </c>
      <c r="K886" s="659" t="str">
        <f>IF($M$886-J886&lt;0, "-" &amp; TEXT(ABS($M$886-J886),"[hh]:mm:ss"), TEXT($M$886-J886,"[hh]:mm:ss"))</f>
        <v>00:09:00</v>
      </c>
      <c r="L886" s="1585">
        <v>45127.472222222219</v>
      </c>
      <c r="M886" s="1590">
        <v>45127.472222222219</v>
      </c>
    </row>
    <row r="887" spans="1:13" ht="20.399999999999999" thickTop="1" thickBot="1" x14ac:dyDescent="0.5">
      <c r="A887" s="1583"/>
      <c r="B887" s="1608"/>
      <c r="C887" s="1484" t="s">
        <v>977</v>
      </c>
      <c r="D887" s="86" t="s">
        <v>1423</v>
      </c>
      <c r="E887" s="1481">
        <v>45127.134722222225</v>
      </c>
      <c r="F887" s="1481">
        <v>45127.162499999999</v>
      </c>
      <c r="G887" s="1481"/>
      <c r="H887" s="1481"/>
      <c r="I887" s="656"/>
      <c r="J887" s="1481">
        <f t="shared" si="324"/>
        <v>45127.468055555561</v>
      </c>
      <c r="K887" s="1534" t="str">
        <f>IF($M$886-J887&lt;0, "-" &amp; TEXT(ABS($M$886-J887),"[hh]:mm:ss"), TEXT($M$886-J887,"[hh]:mm:ss"))</f>
        <v>00:06:00</v>
      </c>
      <c r="L887" s="1583"/>
      <c r="M887" s="1624"/>
    </row>
    <row r="888" spans="1:13" ht="19.8" thickTop="1" x14ac:dyDescent="0.45">
      <c r="A888" s="1618" t="s">
        <v>988</v>
      </c>
      <c r="B888" s="1607" t="s">
        <v>9</v>
      </c>
      <c r="C888" s="1485" t="s">
        <v>784</v>
      </c>
      <c r="D888" s="587" t="s">
        <v>1397</v>
      </c>
      <c r="E888" s="1504">
        <v>45285.03402777778</v>
      </c>
      <c r="F888" s="1504">
        <v>45285.061111111114</v>
      </c>
      <c r="G888" s="1504"/>
      <c r="H888" s="1504"/>
      <c r="I888" s="594"/>
      <c r="J888" s="1504">
        <f t="shared" si="324"/>
        <v>45285.367361111115</v>
      </c>
      <c r="K888" s="659" t="str">
        <f>IF($M$888-J888&lt;0, "-" &amp; TEXT(ABS($M$888-J888),"[hh]:mm:ss"), TEXT($M$888-J888,"[hh]:mm:ss"))</f>
        <v>00:11:00</v>
      </c>
      <c r="L888" s="1587">
        <v>45285.375</v>
      </c>
      <c r="M888" s="1588">
        <v>45285.375</v>
      </c>
    </row>
    <row r="889" spans="1:13" x14ac:dyDescent="0.45">
      <c r="A889" s="1619"/>
      <c r="B889" s="1615"/>
      <c r="C889" s="1512" t="s">
        <v>780</v>
      </c>
      <c r="D889" s="319" t="s">
        <v>1398</v>
      </c>
      <c r="E889" s="1530">
        <v>45285.034722222219</v>
      </c>
      <c r="F889" s="1530">
        <v>45285.064583333333</v>
      </c>
      <c r="G889" s="1530"/>
      <c r="H889" s="1530"/>
      <c r="I889" s="596"/>
      <c r="J889" s="1530">
        <f t="shared" si="324"/>
        <v>45285.368055555555</v>
      </c>
      <c r="K889" s="663" t="str">
        <f t="shared" ref="K889:K890" si="326">IF($M$888-J889&lt;0, "-" &amp; TEXT(ABS($M$888-J889),"[hh]:mm:ss"), TEXT($M$888-J889,"[hh]:mm:ss"))</f>
        <v>00:10:00</v>
      </c>
      <c r="L889" s="1591"/>
      <c r="M889" s="1589"/>
    </row>
    <row r="890" spans="1:13" ht="19.8" thickBot="1" x14ac:dyDescent="0.5">
      <c r="A890" s="1583"/>
      <c r="B890" s="1608"/>
      <c r="C890" s="632" t="s">
        <v>785</v>
      </c>
      <c r="D890" s="86" t="s">
        <v>1403</v>
      </c>
      <c r="E890" s="1481">
        <v>45285.036111111112</v>
      </c>
      <c r="F890" s="1481">
        <v>45285.078472222223</v>
      </c>
      <c r="G890" s="1481"/>
      <c r="H890" s="1481"/>
      <c r="I890" s="656"/>
      <c r="J890" s="1481">
        <f t="shared" si="324"/>
        <v>45285.369444444448</v>
      </c>
      <c r="K890" s="1534" t="str">
        <f t="shared" si="326"/>
        <v>00:08:00</v>
      </c>
      <c r="L890" s="1585"/>
      <c r="M890" s="1590"/>
    </row>
    <row r="891" spans="1:13" ht="19.8" thickTop="1" x14ac:dyDescent="0.45">
      <c r="A891" s="1659" t="s">
        <v>988</v>
      </c>
      <c r="B891" s="1607" t="s">
        <v>1184</v>
      </c>
      <c r="C891" s="1485" t="s">
        <v>784</v>
      </c>
      <c r="D891" s="587" t="s">
        <v>1399</v>
      </c>
      <c r="E891" s="1504">
        <v>45287.28402777778</v>
      </c>
      <c r="F891" s="1504">
        <v>45287.30972222222</v>
      </c>
      <c r="G891" s="1504"/>
      <c r="H891" s="1504"/>
      <c r="I891" s="594"/>
      <c r="J891" s="1504">
        <f t="shared" si="324"/>
        <v>45287.617361111115</v>
      </c>
      <c r="K891" s="659" t="str">
        <f>IF($M$891-J891&lt;0, "-" &amp; TEXT(ABS($M$891-J891),"[hh]:mm:ss"), TEXT($M$891-J891,"[hh]:mm:ss"))</f>
        <v>00:01:00</v>
      </c>
      <c r="L891" s="1587">
        <v>45287.625</v>
      </c>
      <c r="M891" s="1588">
        <v>45287.618055555555</v>
      </c>
    </row>
    <row r="892" spans="1:13" x14ac:dyDescent="0.45">
      <c r="A892" s="1666"/>
      <c r="B892" s="1615"/>
      <c r="C892" s="1512" t="s">
        <v>1001</v>
      </c>
      <c r="D892" s="319" t="s">
        <v>1400</v>
      </c>
      <c r="E892" s="1530">
        <v>45287.284722222219</v>
      </c>
      <c r="F892" s="1530">
        <v>45287.314583333333</v>
      </c>
      <c r="G892" s="1530"/>
      <c r="H892" s="1530"/>
      <c r="I892" s="596"/>
      <c r="J892" s="1530">
        <f t="shared" si="324"/>
        <v>45287.618055555555</v>
      </c>
      <c r="K892" s="663" t="str">
        <f t="shared" ref="K892:K893" si="327">IF($M$891-J892&lt;0, "-" &amp; TEXT(ABS($M$891-J892),"[hh]:mm:ss"), TEXT($M$891-J892,"[hh]:mm:ss"))</f>
        <v>00:00:00</v>
      </c>
      <c r="L892" s="1591"/>
      <c r="M892" s="1589"/>
    </row>
    <row r="893" spans="1:13" ht="19.8" thickBot="1" x14ac:dyDescent="0.5">
      <c r="A893" s="1660"/>
      <c r="B893" s="1608"/>
      <c r="C893" s="632" t="s">
        <v>785</v>
      </c>
      <c r="D893" s="86" t="s">
        <v>1402</v>
      </c>
      <c r="E893" s="1481">
        <v>45287.286111111112</v>
      </c>
      <c r="F893" s="1481">
        <v>45287.328472222223</v>
      </c>
      <c r="G893" s="1481"/>
      <c r="H893" s="1481"/>
      <c r="I893" s="656"/>
      <c r="J893" s="1481">
        <f t="shared" si="324"/>
        <v>45287.619444444448</v>
      </c>
      <c r="K893" s="1534" t="str">
        <f t="shared" si="327"/>
        <v>-00:02:00</v>
      </c>
      <c r="L893" s="1585"/>
      <c r="M893" s="1590"/>
    </row>
    <row r="894" spans="1:13" ht="19.8" thickTop="1" x14ac:dyDescent="0.45">
      <c r="A894" s="1659" t="s">
        <v>988</v>
      </c>
      <c r="B894" s="1607" t="s">
        <v>1184</v>
      </c>
      <c r="C894" s="1485" t="s">
        <v>784</v>
      </c>
      <c r="D894" s="587" t="s">
        <v>1434</v>
      </c>
      <c r="E894" s="1504">
        <v>45296.464583333334</v>
      </c>
      <c r="F894" s="1504">
        <v>45296.480555555558</v>
      </c>
      <c r="G894" s="1504"/>
      <c r="H894" s="1504"/>
      <c r="I894" s="594"/>
      <c r="J894" s="1504">
        <f t="shared" si="324"/>
        <v>45296.79791666667</v>
      </c>
      <c r="K894" s="659" t="str">
        <f t="shared" ref="K894:K896" si="328">IF($M$894-J894&lt;0, "-" &amp; TEXT(ABS($M$894-J894),"[hh]:mm:ss"), TEXT($M$894-J894,"[hh]:mm:ss"))</f>
        <v>00:11:00</v>
      </c>
      <c r="L894" s="1587">
        <v>45296.798611111109</v>
      </c>
      <c r="M894" s="1588">
        <v>45296.805555555555</v>
      </c>
    </row>
    <row r="895" spans="1:13" s="104" customFormat="1" x14ac:dyDescent="0.45">
      <c r="A895" s="1666"/>
      <c r="B895" s="1615"/>
      <c r="C895" s="1512" t="s">
        <v>780</v>
      </c>
      <c r="D895" s="319" t="s">
        <v>1435</v>
      </c>
      <c r="E895" s="1530">
        <v>45296.46597222222</v>
      </c>
      <c r="F895" s="1530">
        <v>45296.484722222223</v>
      </c>
      <c r="G895" s="1530"/>
      <c r="H895" s="1530"/>
      <c r="I895" s="596"/>
      <c r="J895" s="1530">
        <f t="shared" si="324"/>
        <v>45296.799305555556</v>
      </c>
      <c r="K895" s="663" t="str">
        <f t="shared" si="328"/>
        <v>00:09:00</v>
      </c>
      <c r="L895" s="1591"/>
      <c r="M895" s="1589"/>
    </row>
    <row r="896" spans="1:13" s="104" customFormat="1" ht="19.8" thickBot="1" x14ac:dyDescent="0.5">
      <c r="A896" s="1660"/>
      <c r="B896" s="1608"/>
      <c r="C896" s="632" t="s">
        <v>785</v>
      </c>
      <c r="D896" s="86" t="s">
        <v>1386</v>
      </c>
      <c r="E896" s="1481">
        <v>45296.416666666664</v>
      </c>
      <c r="F896" s="1481">
        <v>45296.625</v>
      </c>
      <c r="G896" s="1481"/>
      <c r="H896" s="1481"/>
      <c r="I896" s="656"/>
      <c r="J896" s="1481">
        <f t="shared" si="324"/>
        <v>45296.75</v>
      </c>
      <c r="K896" s="1534" t="str">
        <f t="shared" si="328"/>
        <v>01:20:00</v>
      </c>
      <c r="L896" s="1585"/>
      <c r="M896" s="1590"/>
    </row>
    <row r="897" spans="1:13" s="104" customFormat="1" ht="19.8" thickTop="1" x14ac:dyDescent="0.45">
      <c r="A897" s="1659" t="s">
        <v>988</v>
      </c>
      <c r="B897" s="1607" t="s">
        <v>1184</v>
      </c>
      <c r="C897" s="1485" t="s">
        <v>784</v>
      </c>
      <c r="D897" s="587" t="s">
        <v>1443</v>
      </c>
      <c r="E897" s="1504">
        <v>45302.154166666667</v>
      </c>
      <c r="F897" s="1504">
        <v>45302.173611111109</v>
      </c>
      <c r="G897" s="1504"/>
      <c r="H897" s="1504"/>
      <c r="I897" s="594"/>
      <c r="J897" s="1504">
        <f t="shared" si="324"/>
        <v>45302.487500000003</v>
      </c>
      <c r="K897" s="659" t="str">
        <f t="shared" ref="K897:K900" si="329">IF($M$897-J897&lt;0, "-" &amp; TEXT(ABS($M$897-J897),"[hh]:mm:ss"), TEXT($M$897-J897,"[hh]:mm:ss"))</f>
        <v>00:10:00</v>
      </c>
      <c r="L897" s="1587">
        <v>45302.493055555555</v>
      </c>
      <c r="M897" s="1588">
        <v>45302.494444444441</v>
      </c>
    </row>
    <row r="898" spans="1:13" s="104" customFormat="1" x14ac:dyDescent="0.45">
      <c r="A898" s="1666"/>
      <c r="B898" s="1615"/>
      <c r="C898" s="1512" t="s">
        <v>780</v>
      </c>
      <c r="D898" s="319" t="s">
        <v>1444</v>
      </c>
      <c r="E898" s="1530">
        <v>45302.154861111114</v>
      </c>
      <c r="F898" s="1530">
        <v>45302.178472222222</v>
      </c>
      <c r="G898" s="1530"/>
      <c r="H898" s="1530"/>
      <c r="I898" s="596"/>
      <c r="J898" s="1530">
        <f t="shared" si="324"/>
        <v>45302.48819444445</v>
      </c>
      <c r="K898" s="663" t="str">
        <f t="shared" si="329"/>
        <v>00:09:00</v>
      </c>
      <c r="L898" s="1591"/>
      <c r="M898" s="1589"/>
    </row>
    <row r="899" spans="1:13" s="104" customFormat="1" x14ac:dyDescent="0.45">
      <c r="A899" s="1666"/>
      <c r="B899" s="1615"/>
      <c r="C899" s="1512" t="s">
        <v>1336</v>
      </c>
      <c r="D899" s="319" t="s">
        <v>1447</v>
      </c>
      <c r="E899" s="1530">
        <v>45302.15625</v>
      </c>
      <c r="F899" s="1530">
        <v>45302.196527777778</v>
      </c>
      <c r="G899" s="1530"/>
      <c r="H899" s="1530"/>
      <c r="I899" s="596"/>
      <c r="J899" s="1530">
        <f t="shared" si="324"/>
        <v>45302.489583333336</v>
      </c>
      <c r="K899" s="663" t="str">
        <f t="shared" si="329"/>
        <v>00:07:00</v>
      </c>
      <c r="L899" s="1591"/>
      <c r="M899" s="1589"/>
    </row>
    <row r="900" spans="1:13" s="104" customFormat="1" ht="19.8" thickBot="1" x14ac:dyDescent="0.5">
      <c r="A900" s="1660"/>
      <c r="B900" s="1608"/>
      <c r="C900" s="632" t="s">
        <v>785</v>
      </c>
      <c r="D900" s="86" t="s">
        <v>1446</v>
      </c>
      <c r="E900" s="1481">
        <v>45302.15625</v>
      </c>
      <c r="F900" s="1481">
        <v>45302.196527777778</v>
      </c>
      <c r="G900" s="1481"/>
      <c r="H900" s="1481"/>
      <c r="I900" s="656"/>
      <c r="J900" s="1481">
        <f t="shared" si="324"/>
        <v>45302.489583333336</v>
      </c>
      <c r="K900" s="1534" t="str">
        <f t="shared" si="329"/>
        <v>00:07:00</v>
      </c>
      <c r="L900" s="1585"/>
      <c r="M900" s="1590"/>
    </row>
    <row r="901" spans="1:13" s="104" customFormat="1" ht="19.8" thickTop="1" x14ac:dyDescent="0.45">
      <c r="A901" s="1740" t="s">
        <v>2691</v>
      </c>
      <c r="B901" s="1644" t="s">
        <v>1184</v>
      </c>
      <c r="C901" s="934" t="s">
        <v>784</v>
      </c>
      <c r="D901" s="935" t="s">
        <v>2633</v>
      </c>
      <c r="E901" s="936">
        <v>45717.410416666666</v>
      </c>
      <c r="F901" s="936">
        <v>45717.442361111112</v>
      </c>
      <c r="G901" s="936"/>
      <c r="H901" s="936"/>
      <c r="I901" s="937"/>
      <c r="J901" s="936">
        <f t="shared" si="324"/>
        <v>45717.743750000001</v>
      </c>
      <c r="K901" s="938" t="str">
        <f t="shared" ref="K901:K905" si="330">IF($M$901-J901&lt;0, "-" &amp; TEXT(ABS($M$901-J901),"[hh]:mm:ss"), TEXT($M$901-J901,"[hh]:mm:ss"))</f>
        <v>00:10:00</v>
      </c>
      <c r="L901" s="1674">
        <v>45717.750694444447</v>
      </c>
      <c r="M901" s="1641">
        <v>45717.750694444447</v>
      </c>
    </row>
    <row r="902" spans="1:13" s="104" customFormat="1" x14ac:dyDescent="0.45">
      <c r="A902" s="1741"/>
      <c r="B902" s="1645"/>
      <c r="C902" s="939" t="s">
        <v>1336</v>
      </c>
      <c r="D902" s="940" t="s">
        <v>2638</v>
      </c>
      <c r="E902" s="941">
        <v>45717.413194444445</v>
      </c>
      <c r="F902" s="941">
        <v>45717.45416666667</v>
      </c>
      <c r="G902" s="941"/>
      <c r="H902" s="941"/>
      <c r="I902" s="942"/>
      <c r="J902" s="941">
        <f t="shared" si="324"/>
        <v>45717.746527777781</v>
      </c>
      <c r="K902" s="943" t="str">
        <f t="shared" si="330"/>
        <v>00:06:00</v>
      </c>
      <c r="L902" s="1675"/>
      <c r="M902" s="1642"/>
    </row>
    <row r="903" spans="1:13" s="104" customFormat="1" x14ac:dyDescent="0.45">
      <c r="A903" s="1741"/>
      <c r="B903" s="1645"/>
      <c r="C903" s="944" t="s">
        <v>785</v>
      </c>
      <c r="D903" s="945" t="s">
        <v>2635</v>
      </c>
      <c r="E903" s="946">
        <v>45717.413194444445</v>
      </c>
      <c r="F903" s="946">
        <v>45717.45416666667</v>
      </c>
      <c r="G903" s="946"/>
      <c r="H903" s="946"/>
      <c r="I903" s="947"/>
      <c r="J903" s="946">
        <f t="shared" si="324"/>
        <v>45717.746527777781</v>
      </c>
      <c r="K903" s="948" t="str">
        <f t="shared" si="330"/>
        <v>00:06:00</v>
      </c>
      <c r="L903" s="1675"/>
      <c r="M903" s="1642"/>
    </row>
    <row r="904" spans="1:13" s="104" customFormat="1" x14ac:dyDescent="0.45">
      <c r="A904" s="1741"/>
      <c r="B904" s="1645"/>
      <c r="C904" s="939" t="s">
        <v>1336</v>
      </c>
      <c r="D904" s="940" t="s">
        <v>2624</v>
      </c>
      <c r="E904" s="941">
        <v>45717.375</v>
      </c>
      <c r="F904" s="941">
        <v>45717.541666666664</v>
      </c>
      <c r="G904" s="941"/>
      <c r="H904" s="941"/>
      <c r="I904" s="942"/>
      <c r="J904" s="941">
        <f t="shared" si="324"/>
        <v>45717.708333333336</v>
      </c>
      <c r="K904" s="943" t="str">
        <f t="shared" si="330"/>
        <v>01:01:00</v>
      </c>
      <c r="L904" s="1675"/>
      <c r="M904" s="1642"/>
    </row>
    <row r="905" spans="1:13" s="104" customFormat="1" ht="19.8" thickBot="1" x14ac:dyDescent="0.5">
      <c r="A905" s="1742"/>
      <c r="B905" s="1646"/>
      <c r="C905" s="949" t="s">
        <v>785</v>
      </c>
      <c r="D905" s="950" t="s">
        <v>2621</v>
      </c>
      <c r="E905" s="1535">
        <v>45717.375</v>
      </c>
      <c r="F905" s="1535">
        <v>45717.541666666664</v>
      </c>
      <c r="G905" s="1535"/>
      <c r="H905" s="1535"/>
      <c r="I905" s="951"/>
      <c r="J905" s="1535">
        <f t="shared" si="324"/>
        <v>45717.708333333336</v>
      </c>
      <c r="K905" s="952" t="str">
        <f t="shared" si="330"/>
        <v>01:01:00</v>
      </c>
      <c r="L905" s="1676"/>
      <c r="M905" s="1643"/>
    </row>
    <row r="906" spans="1:13" s="104" customFormat="1" ht="19.8" thickTop="1" x14ac:dyDescent="0.45">
      <c r="A906" s="1659" t="s">
        <v>988</v>
      </c>
      <c r="B906" s="1607" t="s">
        <v>1184</v>
      </c>
      <c r="C906" s="1531" t="s">
        <v>1336</v>
      </c>
      <c r="D906" s="587" t="s">
        <v>3226</v>
      </c>
      <c r="E906" s="1504">
        <v>45996.370833333334</v>
      </c>
      <c r="F906" s="1504">
        <v>45996.412499999999</v>
      </c>
      <c r="G906" s="1504"/>
      <c r="H906" s="1504"/>
      <c r="I906" s="594"/>
      <c r="J906" s="1504">
        <f t="shared" si="324"/>
        <v>45996.70416666667</v>
      </c>
      <c r="K906" s="659" t="str">
        <f t="shared" ref="K906:K907" si="331">IF($M$906-J906&lt;0, "-" &amp; TEXT(ABS($M$906-J906),"[hh]:mm:ss"), TEXT($M$906-J906,"[hh]:mm:ss"))</f>
        <v>00:06:00</v>
      </c>
      <c r="L906" s="1587">
        <v>45996.708333333336</v>
      </c>
      <c r="M906" s="1588">
        <v>45996.708333333336</v>
      </c>
    </row>
    <row r="907" spans="1:13" ht="19.8" thickBot="1" x14ac:dyDescent="0.5">
      <c r="A907" s="1660"/>
      <c r="B907" s="1608"/>
      <c r="C907" s="1484" t="s">
        <v>977</v>
      </c>
      <c r="D907" s="86" t="s">
        <v>3225</v>
      </c>
      <c r="E907" s="1481">
        <v>45996.370833333334</v>
      </c>
      <c r="F907" s="1481">
        <v>45996.412499999999</v>
      </c>
      <c r="G907" s="1481"/>
      <c r="H907" s="1481"/>
      <c r="I907" s="656"/>
      <c r="J907" s="1481">
        <f t="shared" si="324"/>
        <v>45996.70416666667</v>
      </c>
      <c r="K907" s="1534" t="str">
        <f t="shared" si="331"/>
        <v>00:06:00</v>
      </c>
      <c r="L907" s="1585"/>
      <c r="M907" s="1590"/>
    </row>
    <row r="908" spans="1:13" s="104" customFormat="1" ht="20.399999999999999" thickTop="1" thickBot="1" x14ac:dyDescent="0.5">
      <c r="A908" s="1647" t="s">
        <v>988</v>
      </c>
      <c r="B908" s="1598" t="s">
        <v>1184</v>
      </c>
      <c r="C908" s="647" t="s">
        <v>784</v>
      </c>
      <c r="D908" s="358" t="s">
        <v>3482</v>
      </c>
      <c r="E908" s="1493">
        <v>46126.162499999999</v>
      </c>
      <c r="F908" s="1493">
        <v>46126.177083333336</v>
      </c>
      <c r="G908" s="1493"/>
      <c r="H908" s="1493"/>
      <c r="I908" s="606"/>
      <c r="J908" s="1493">
        <f t="shared" si="324"/>
        <v>46126.495833333334</v>
      </c>
      <c r="K908" s="674" t="str">
        <f>IF($M$908-J908&lt;0, "-" &amp; TEXT(ABS($M$908-J908),"[hh]:mm:ss"), TEXT($M$908-J908,"[hh]:mm:ss"))</f>
        <v>00:06:00</v>
      </c>
      <c r="L908" s="1603">
        <v>46126.5</v>
      </c>
      <c r="M908" s="1606">
        <v>46126.5</v>
      </c>
    </row>
    <row r="909" spans="1:13" s="104" customFormat="1" ht="20.399999999999999" thickTop="1" thickBot="1" x14ac:dyDescent="0.5">
      <c r="A909" s="1649"/>
      <c r="B909" s="1600"/>
      <c r="C909" s="1516" t="s">
        <v>780</v>
      </c>
      <c r="D909" s="129" t="s">
        <v>3483</v>
      </c>
      <c r="E909" s="1476">
        <v>46126.163888888892</v>
      </c>
      <c r="F909" s="1476">
        <v>46126.190972222219</v>
      </c>
      <c r="G909" s="1476"/>
      <c r="H909" s="1476"/>
      <c r="I909" s="603"/>
      <c r="J909" s="1476">
        <f t="shared" si="324"/>
        <v>46126.497222222228</v>
      </c>
      <c r="K909" s="670" t="str">
        <f>IF($M$908-J909&lt;0, "-" &amp; TEXT(ABS($M$908-J909),"[hh]:mm:ss"), TEXT($M$908-J909,"[hh]:mm:ss"))</f>
        <v>00:04:00</v>
      </c>
      <c r="L909" s="1581"/>
      <c r="M909" s="1650"/>
    </row>
    <row r="910" spans="1:13" ht="20.399999999999999" thickTop="1" thickBot="1" x14ac:dyDescent="0.5">
      <c r="A910" s="314"/>
      <c r="B910" s="314"/>
      <c r="C910" s="633"/>
      <c r="D910" s="84"/>
      <c r="E910" s="84"/>
      <c r="F910" s="84"/>
      <c r="G910" s="84"/>
      <c r="H910" s="84"/>
      <c r="I910" s="599"/>
      <c r="J910" s="90"/>
      <c r="K910" s="666"/>
      <c r="L910" s="314"/>
      <c r="M910" s="623"/>
    </row>
    <row r="911" spans="1:13" ht="19.8" thickTop="1" x14ac:dyDescent="0.45">
      <c r="A911" s="1637" t="s">
        <v>988</v>
      </c>
      <c r="B911" s="1658" t="s">
        <v>52</v>
      </c>
      <c r="C911" s="1485" t="s">
        <v>780</v>
      </c>
      <c r="D911" s="587"/>
      <c r="E911" s="1496">
        <v>44796.1</v>
      </c>
      <c r="F911" s="1496">
        <v>44796.113888888889</v>
      </c>
      <c r="G911" s="1496"/>
      <c r="H911" s="1496"/>
      <c r="I911" s="594"/>
      <c r="J911" s="1504">
        <f t="shared" ref="J911:J929" si="332">E911+TIME(8,0,0)</f>
        <v>44796.433333333334</v>
      </c>
      <c r="K911" s="659" t="str">
        <f t="shared" ref="K911:K913" si="333">IF($M$911-J911&lt;0, "-" &amp; TEXT(ABS($M$911-J911),"[hh]:mm:ss"), TEXT($M$911-J911,"[hh]:mm:ss"))</f>
        <v>00:12:00</v>
      </c>
      <c r="L911" s="1664">
        <v>44796.4375</v>
      </c>
      <c r="M911" s="1634">
        <v>44796.441666666666</v>
      </c>
    </row>
    <row r="912" spans="1:13" x14ac:dyDescent="0.45">
      <c r="A912" s="1663"/>
      <c r="B912" s="1655"/>
      <c r="C912" s="1512" t="s">
        <v>795</v>
      </c>
      <c r="D912" s="319"/>
      <c r="E912" s="81">
        <v>44796.101388888892</v>
      </c>
      <c r="F912" s="81">
        <v>44796.118055555555</v>
      </c>
      <c r="G912" s="81"/>
      <c r="H912" s="81"/>
      <c r="I912" s="596"/>
      <c r="J912" s="1497">
        <f t="shared" si="332"/>
        <v>44796.434722222228</v>
      </c>
      <c r="K912" s="660" t="str">
        <f t="shared" si="333"/>
        <v>00:10:00</v>
      </c>
      <c r="L912" s="1663"/>
      <c r="M912" s="1652"/>
    </row>
    <row r="913" spans="1:13" ht="19.8" thickBot="1" x14ac:dyDescent="0.5">
      <c r="A913" s="1586"/>
      <c r="B913" s="1639"/>
      <c r="C913" s="1474" t="s">
        <v>796</v>
      </c>
      <c r="D913" s="82"/>
      <c r="E913" s="1514">
        <v>44796.083333333336</v>
      </c>
      <c r="F913" s="1514">
        <v>44796.166666666664</v>
      </c>
      <c r="G913" s="1514"/>
      <c r="H913" s="1514"/>
      <c r="I913" s="656"/>
      <c r="J913" s="1481">
        <f t="shared" si="332"/>
        <v>44796.416666666672</v>
      </c>
      <c r="K913" s="1534" t="str">
        <f t="shared" si="333"/>
        <v>00:36:00</v>
      </c>
      <c r="L913" s="1586"/>
      <c r="M913" s="1610"/>
    </row>
    <row r="914" spans="1:13" ht="20.399999999999999" thickTop="1" thickBot="1" x14ac:dyDescent="0.5">
      <c r="A914" s="1582" t="s">
        <v>988</v>
      </c>
      <c r="B914" s="1621" t="s">
        <v>1257</v>
      </c>
      <c r="C914" s="1661" t="s">
        <v>1001</v>
      </c>
      <c r="D914" s="1504" t="s">
        <v>1178</v>
      </c>
      <c r="E914" s="1496">
        <v>45152.223611111112</v>
      </c>
      <c r="F914" s="1496">
        <v>45152.241666666669</v>
      </c>
      <c r="G914" s="1496"/>
      <c r="H914" s="1496"/>
      <c r="I914" s="594"/>
      <c r="J914" s="1504">
        <f t="shared" si="332"/>
        <v>45152.556944444448</v>
      </c>
      <c r="K914" s="659" t="str">
        <f t="shared" ref="K914:K917" si="334">IF($M$914-J914&lt;0, "-" &amp; TEXT(ABS($M$914-J914),"[hh]:mm:ss"), TEXT($M$914-J914,"[hh]:mm:ss"))</f>
        <v>00:10:00</v>
      </c>
      <c r="L914" s="1640">
        <v>45152.5625</v>
      </c>
      <c r="M914" s="1609">
        <v>45152.563888888886</v>
      </c>
    </row>
    <row r="915" spans="1:13" ht="19.8" thickTop="1" x14ac:dyDescent="0.45">
      <c r="A915" s="1638"/>
      <c r="B915" s="1615"/>
      <c r="C915" s="1662"/>
      <c r="D915" s="1497" t="s">
        <v>1179</v>
      </c>
      <c r="E915" s="83">
        <v>45152.224305555559</v>
      </c>
      <c r="F915" s="83">
        <v>45152.243055555555</v>
      </c>
      <c r="G915" s="83"/>
      <c r="H915" s="83"/>
      <c r="I915" s="593"/>
      <c r="J915" s="1530">
        <f t="shared" si="332"/>
        <v>45152.557638888895</v>
      </c>
      <c r="K915" s="660" t="str">
        <f t="shared" si="334"/>
        <v>00:09:00</v>
      </c>
      <c r="L915" s="1638"/>
      <c r="M915" s="1635"/>
    </row>
    <row r="916" spans="1:13" x14ac:dyDescent="0.45">
      <c r="A916" s="1619"/>
      <c r="B916" s="1615"/>
      <c r="C916" s="1475" t="s">
        <v>795</v>
      </c>
      <c r="D916" s="160" t="s">
        <v>1180</v>
      </c>
      <c r="E916" s="1473">
        <v>45152.225694444445</v>
      </c>
      <c r="F916" s="1473">
        <v>45152.248611111114</v>
      </c>
      <c r="G916" s="1473"/>
      <c r="H916" s="1473"/>
      <c r="I916" s="596"/>
      <c r="J916" s="1530">
        <f t="shared" si="332"/>
        <v>45152.559027777781</v>
      </c>
      <c r="K916" s="663" t="str">
        <f t="shared" si="334"/>
        <v>00:07:00</v>
      </c>
      <c r="L916" s="1619"/>
      <c r="M916" s="1635"/>
    </row>
    <row r="917" spans="1:13" ht="19.8" thickBot="1" x14ac:dyDescent="0.5">
      <c r="A917" s="1583"/>
      <c r="B917" s="1608"/>
      <c r="C917" s="1474" t="s">
        <v>1280</v>
      </c>
      <c r="D917" s="82" t="s">
        <v>1320</v>
      </c>
      <c r="E917" s="1514">
        <v>45152.208333333336</v>
      </c>
      <c r="F917" s="1514">
        <v>45152.25</v>
      </c>
      <c r="G917" s="1514"/>
      <c r="H917" s="1514"/>
      <c r="I917" s="656"/>
      <c r="J917" s="1481">
        <f t="shared" si="332"/>
        <v>45152.541666666672</v>
      </c>
      <c r="K917" s="1534" t="str">
        <f t="shared" si="334"/>
        <v>00:32:00</v>
      </c>
      <c r="L917" s="1583"/>
      <c r="M917" s="1624"/>
    </row>
    <row r="918" spans="1:13" ht="20.399999999999999" thickTop="1" thickBot="1" x14ac:dyDescent="0.5">
      <c r="A918" s="1618" t="s">
        <v>988</v>
      </c>
      <c r="B918" s="1631" t="s">
        <v>1257</v>
      </c>
      <c r="C918" s="1611" t="s">
        <v>780</v>
      </c>
      <c r="D918" s="1504" t="s">
        <v>2121</v>
      </c>
      <c r="E918" s="1504">
        <v>45555.397916666669</v>
      </c>
      <c r="F918" s="1504">
        <v>45555.415277777778</v>
      </c>
      <c r="G918" s="1504"/>
      <c r="H918" s="1504"/>
      <c r="I918" s="594"/>
      <c r="J918" s="1504">
        <f t="shared" si="332"/>
        <v>45555.731250000004</v>
      </c>
      <c r="K918" s="659" t="str">
        <f t="shared" ref="K918:K921" si="335">IF($M$918-J918&lt;0, "-" &amp; TEXT(ABS($M$918-J918),"[hh]:mm:ss"), TEXT($M$918-J918,"[hh]:mm:ss"))</f>
        <v>00:10:00</v>
      </c>
      <c r="L918" s="1640">
        <v>45555.738194444442</v>
      </c>
      <c r="M918" s="1588">
        <v>45555.738194444442</v>
      </c>
    </row>
    <row r="919" spans="1:13" ht="20.399999999999999" thickTop="1" thickBot="1" x14ac:dyDescent="0.5">
      <c r="A919" s="1619"/>
      <c r="B919" s="1631"/>
      <c r="C919" s="1617"/>
      <c r="D919" s="1497" t="s">
        <v>2122</v>
      </c>
      <c r="E919" s="1497">
        <v>45555.397916666669</v>
      </c>
      <c r="F919" s="1497">
        <v>45555.417361111111</v>
      </c>
      <c r="G919" s="1497"/>
      <c r="H919" s="1497"/>
      <c r="I919" s="593"/>
      <c r="J919" s="1497">
        <f t="shared" si="332"/>
        <v>45555.731250000004</v>
      </c>
      <c r="K919" s="660" t="str">
        <f t="shared" si="335"/>
        <v>00:10:00</v>
      </c>
      <c r="L919" s="1638"/>
      <c r="M919" s="1589"/>
    </row>
    <row r="920" spans="1:13" s="104" customFormat="1" ht="20.399999999999999" thickTop="1" thickBot="1" x14ac:dyDescent="0.5">
      <c r="A920" s="1619"/>
      <c r="B920" s="1631"/>
      <c r="C920" s="649" t="s">
        <v>3273</v>
      </c>
      <c r="D920" s="319" t="s">
        <v>2123</v>
      </c>
      <c r="E920" s="1530">
        <v>45555.398611111108</v>
      </c>
      <c r="F920" s="1530">
        <v>45555.422222222223</v>
      </c>
      <c r="G920" s="1530"/>
      <c r="H920" s="1530"/>
      <c r="I920" s="596"/>
      <c r="J920" s="1530">
        <f t="shared" si="332"/>
        <v>45555.731944444444</v>
      </c>
      <c r="K920" s="663" t="str">
        <f t="shared" si="335"/>
        <v>00:09:00</v>
      </c>
      <c r="L920" s="1619"/>
      <c r="M920" s="1589"/>
    </row>
    <row r="921" spans="1:13" s="104" customFormat="1" ht="20.399999999999999" thickTop="1" thickBot="1" x14ac:dyDescent="0.5">
      <c r="A921" s="1583"/>
      <c r="B921" s="1631"/>
      <c r="C921" s="632" t="s">
        <v>1407</v>
      </c>
      <c r="D921" s="86" t="s">
        <v>2127</v>
      </c>
      <c r="E921" s="1481">
        <v>45555.402777777781</v>
      </c>
      <c r="F921" s="1481">
        <v>45555.416666666664</v>
      </c>
      <c r="G921" s="1481"/>
      <c r="H921" s="1481"/>
      <c r="I921" s="656"/>
      <c r="J921" s="1481">
        <f t="shared" si="332"/>
        <v>45555.736111111117</v>
      </c>
      <c r="K921" s="1534" t="str">
        <f t="shared" si="335"/>
        <v>00:03:00</v>
      </c>
      <c r="L921" s="1583"/>
      <c r="M921" s="1590"/>
    </row>
    <row r="922" spans="1:13" s="104" customFormat="1" ht="20.399999999999999" thickTop="1" thickBot="1" x14ac:dyDescent="0.5">
      <c r="A922" s="1582" t="s">
        <v>988</v>
      </c>
      <c r="B922" s="1621" t="s">
        <v>1257</v>
      </c>
      <c r="C922" s="1485" t="s">
        <v>1407</v>
      </c>
      <c r="D922" s="587" t="s">
        <v>2482</v>
      </c>
      <c r="E922" s="1496">
        <v>45630.166666666664</v>
      </c>
      <c r="F922" s="1496">
        <v>45630.208333333336</v>
      </c>
      <c r="G922" s="1496"/>
      <c r="H922" s="1496"/>
      <c r="I922" s="594"/>
      <c r="J922" s="1504">
        <f t="shared" si="332"/>
        <v>45630.5</v>
      </c>
      <c r="K922" s="659" t="str">
        <f t="shared" ref="K922:K925" si="336">IF($M$922-J922&lt;0, "-" &amp; TEXT(ABS($M$922-J922),"[hh]:mm:ss"), TEXT($M$922-J922,"[hh]:mm:ss"))</f>
        <v>00:46:00</v>
      </c>
      <c r="L922" s="1640">
        <v>45630.534722222219</v>
      </c>
      <c r="M922" s="1609">
        <v>45630.531944444447</v>
      </c>
    </row>
    <row r="923" spans="1:13" s="104" customFormat="1" ht="20.399999999999999" thickTop="1" thickBot="1" x14ac:dyDescent="0.5">
      <c r="A923" s="1583"/>
      <c r="B923" s="1608"/>
      <c r="C923" s="1651" t="s">
        <v>1001</v>
      </c>
      <c r="D923" s="588" t="s">
        <v>2479</v>
      </c>
      <c r="E923" s="1497">
        <v>45630.191666666666</v>
      </c>
      <c r="F923" s="1497">
        <v>45630.222916666666</v>
      </c>
      <c r="G923" s="1497"/>
      <c r="H923" s="1497"/>
      <c r="I923" s="593"/>
      <c r="J923" s="1497">
        <f t="shared" si="332"/>
        <v>45630.525000000001</v>
      </c>
      <c r="K923" s="660" t="str">
        <f t="shared" si="336"/>
        <v>00:10:00</v>
      </c>
      <c r="L923" s="1585"/>
      <c r="M923" s="1590"/>
    </row>
    <row r="924" spans="1:13" s="104" customFormat="1" ht="20.399999999999999" thickTop="1" thickBot="1" x14ac:dyDescent="0.5">
      <c r="A924" s="1583"/>
      <c r="B924" s="1608"/>
      <c r="C924" s="1617"/>
      <c r="D924" s="588" t="s">
        <v>2480</v>
      </c>
      <c r="E924" s="1497">
        <v>45630.191666666666</v>
      </c>
      <c r="F924" s="1497">
        <v>45630.223611111112</v>
      </c>
      <c r="G924" s="1497"/>
      <c r="H924" s="1497"/>
      <c r="I924" s="593"/>
      <c r="J924" s="1497">
        <f t="shared" si="332"/>
        <v>45630.525000000001</v>
      </c>
      <c r="K924" s="660" t="str">
        <f t="shared" si="336"/>
        <v>00:10:00</v>
      </c>
      <c r="L924" s="1585"/>
      <c r="M924" s="1590"/>
    </row>
    <row r="925" spans="1:13" s="104" customFormat="1" ht="20.399999999999999" thickTop="1" thickBot="1" x14ac:dyDescent="0.5">
      <c r="A925" s="1583"/>
      <c r="B925" s="1608"/>
      <c r="C925" s="1474" t="s">
        <v>795</v>
      </c>
      <c r="D925" s="82" t="s">
        <v>2481</v>
      </c>
      <c r="E925" s="1514">
        <v>45630.193055555559</v>
      </c>
      <c r="F925" s="1514">
        <v>45630.229166666664</v>
      </c>
      <c r="G925" s="1514"/>
      <c r="H925" s="1514"/>
      <c r="I925" s="595"/>
      <c r="J925" s="1514">
        <f t="shared" si="332"/>
        <v>45630.526388888895</v>
      </c>
      <c r="K925" s="661" t="str">
        <f t="shared" si="336"/>
        <v>00:08:00</v>
      </c>
      <c r="L925" s="1585"/>
      <c r="M925" s="1590"/>
    </row>
    <row r="926" spans="1:13" s="104" customFormat="1" ht="20.399999999999999" thickTop="1" thickBot="1" x14ac:dyDescent="0.5">
      <c r="A926" s="1582" t="s">
        <v>988</v>
      </c>
      <c r="B926" s="1621" t="s">
        <v>1257</v>
      </c>
      <c r="C926" s="1485" t="s">
        <v>1407</v>
      </c>
      <c r="D926" s="587" t="s">
        <v>2910</v>
      </c>
      <c r="E926" s="1496">
        <v>45869.0625</v>
      </c>
      <c r="F926" s="1496">
        <v>45869.125</v>
      </c>
      <c r="G926" s="1496"/>
      <c r="H926" s="1496"/>
      <c r="I926" s="594"/>
      <c r="J926" s="1504">
        <f t="shared" si="332"/>
        <v>45869.395833333336</v>
      </c>
      <c r="K926" s="659" t="str">
        <f t="shared" ref="K926:K929" si="337">IF($M$926-J926&lt;0, "-" &amp; TEXT(ABS($M$926-J926),"[hh]:mm:ss"), TEXT($M$926-J926,"[hh]:mm:ss"))</f>
        <v>00:30:00</v>
      </c>
      <c r="L926" s="1640">
        <v>45869.417361111111</v>
      </c>
      <c r="M926" s="1609">
        <v>45869.416666666664</v>
      </c>
    </row>
    <row r="927" spans="1:13" s="104" customFormat="1" ht="20.399999999999999" thickTop="1" thickBot="1" x14ac:dyDescent="0.5">
      <c r="A927" s="1583"/>
      <c r="B927" s="1608"/>
      <c r="C927" s="1489" t="s">
        <v>780</v>
      </c>
      <c r="D927" s="588" t="s">
        <v>2905</v>
      </c>
      <c r="E927" s="1497">
        <v>45869.07708333333</v>
      </c>
      <c r="F927" s="1497">
        <v>45869.11041666667</v>
      </c>
      <c r="G927" s="1497"/>
      <c r="H927" s="1497"/>
      <c r="I927" s="593"/>
      <c r="J927" s="1497">
        <f t="shared" si="332"/>
        <v>45869.410416666666</v>
      </c>
      <c r="K927" s="660" t="str">
        <f t="shared" si="337"/>
        <v>00:09:00</v>
      </c>
      <c r="L927" s="1585"/>
      <c r="M927" s="1590"/>
    </row>
    <row r="928" spans="1:13" s="85" customFormat="1" ht="20.399999999999999" thickTop="1" thickBot="1" x14ac:dyDescent="0.5">
      <c r="A928" s="1583"/>
      <c r="B928" s="1608"/>
      <c r="C928" s="1651" t="s">
        <v>2076</v>
      </c>
      <c r="D928" s="588" t="s">
        <v>2914</v>
      </c>
      <c r="E928" s="1497">
        <v>45869.07916666667</v>
      </c>
      <c r="F928" s="1497">
        <v>45869.12777777778</v>
      </c>
      <c r="G928" s="1497"/>
      <c r="H928" s="1497"/>
      <c r="I928" s="593"/>
      <c r="J928" s="1497">
        <f t="shared" si="332"/>
        <v>45869.412500000006</v>
      </c>
      <c r="K928" s="660" t="str">
        <f t="shared" si="337"/>
        <v>00:06:00</v>
      </c>
      <c r="L928" s="1585"/>
      <c r="M928" s="1590"/>
    </row>
    <row r="929" spans="1:13" ht="20.399999999999999" thickTop="1" thickBot="1" x14ac:dyDescent="0.5">
      <c r="A929" s="1583"/>
      <c r="B929" s="1608"/>
      <c r="C929" s="1612"/>
      <c r="D929" s="86" t="s">
        <v>2889</v>
      </c>
      <c r="E929" s="1481">
        <v>45869.125</v>
      </c>
      <c r="F929" s="1481">
        <v>45869.291666666664</v>
      </c>
      <c r="G929" s="1514"/>
      <c r="H929" s="1514"/>
      <c r="I929" s="595"/>
      <c r="J929" s="1514">
        <f t="shared" si="332"/>
        <v>45869.458333333336</v>
      </c>
      <c r="K929" s="661" t="str">
        <f t="shared" si="337"/>
        <v>-01:00:00</v>
      </c>
      <c r="L929" s="1585"/>
      <c r="M929" s="1590"/>
    </row>
    <row r="930" spans="1:13" ht="20.399999999999999" thickTop="1" thickBot="1" x14ac:dyDescent="0.5">
      <c r="A930" s="314"/>
      <c r="B930" s="314"/>
      <c r="C930" s="641"/>
      <c r="D930" s="87"/>
      <c r="E930" s="87"/>
      <c r="F930" s="87"/>
      <c r="G930" s="87"/>
      <c r="H930" s="87"/>
      <c r="I930" s="598"/>
      <c r="J930" s="87"/>
      <c r="K930" s="665"/>
      <c r="L930" s="90"/>
      <c r="M930" s="624"/>
    </row>
    <row r="931" spans="1:13" ht="20.399999999999999" thickTop="1" thickBot="1" x14ac:dyDescent="0.5">
      <c r="A931" s="1736" t="s">
        <v>409</v>
      </c>
      <c r="B931" s="1621" t="s">
        <v>2170</v>
      </c>
      <c r="C931" s="1485" t="s">
        <v>799</v>
      </c>
      <c r="D931" s="587"/>
      <c r="E931" s="1496">
        <v>44828.945833333331</v>
      </c>
      <c r="F931" s="1496">
        <v>44828.961111111108</v>
      </c>
      <c r="G931" s="1496"/>
      <c r="H931" s="1496"/>
      <c r="I931" s="594"/>
      <c r="J931" s="1504">
        <f t="shared" ref="J931:J936" si="338">E931+TIME(8,0,0)</f>
        <v>44829.279166666667</v>
      </c>
      <c r="K931" s="659" t="str">
        <f t="shared" ref="K931:K933" si="339">IF($M$931-J931&lt;0, "-" &amp; TEXT(ABS($M$931-J931),"[hh]mm:ss"), TEXT($M$931-J931,"[hh]:mm:ss"))</f>
        <v>00:13:00</v>
      </c>
      <c r="L931" s="1640">
        <v>44829.284722222219</v>
      </c>
      <c r="M931" s="1609">
        <v>44829.288194444445</v>
      </c>
    </row>
    <row r="932" spans="1:13" s="104" customFormat="1" ht="19.8" collapsed="1" thickTop="1" x14ac:dyDescent="0.45">
      <c r="A932" s="1671"/>
      <c r="B932" s="1655"/>
      <c r="C932" s="1512" t="s">
        <v>795</v>
      </c>
      <c r="D932" s="319"/>
      <c r="E932" s="81">
        <v>44828.946527777778</v>
      </c>
      <c r="F932" s="81">
        <v>44828.964583333334</v>
      </c>
      <c r="G932" s="81"/>
      <c r="H932" s="81"/>
      <c r="I932" s="593"/>
      <c r="J932" s="1497">
        <f t="shared" si="338"/>
        <v>44829.279861111114</v>
      </c>
      <c r="K932" s="660" t="str">
        <f t="shared" si="339"/>
        <v>00:12:00</v>
      </c>
      <c r="L932" s="1671"/>
      <c r="M932" s="1652"/>
    </row>
    <row r="933" spans="1:13" s="104" customFormat="1" ht="19.8" thickBot="1" x14ac:dyDescent="0.5">
      <c r="A933" s="1586"/>
      <c r="B933" s="1639"/>
      <c r="C933" s="1474" t="s">
        <v>785</v>
      </c>
      <c r="D933" s="82"/>
      <c r="E933" s="1514">
        <v>44828.948611111111</v>
      </c>
      <c r="F933" s="1514">
        <v>44828.973611111112</v>
      </c>
      <c r="G933" s="1514"/>
      <c r="H933" s="1514"/>
      <c r="I933" s="595"/>
      <c r="J933" s="1514">
        <f t="shared" si="338"/>
        <v>44829.281944444447</v>
      </c>
      <c r="K933" s="661" t="str">
        <f t="shared" si="339"/>
        <v>00:09:00</v>
      </c>
      <c r="L933" s="1586"/>
      <c r="M933" s="1610"/>
    </row>
    <row r="934" spans="1:13" s="104" customFormat="1" ht="19.8" thickTop="1" x14ac:dyDescent="0.45">
      <c r="A934" s="1647" t="s">
        <v>988</v>
      </c>
      <c r="B934" s="1598" t="s">
        <v>2170</v>
      </c>
      <c r="C934" s="647"/>
      <c r="D934" s="358"/>
      <c r="E934" s="1493"/>
      <c r="F934" s="1493"/>
      <c r="G934" s="1493"/>
      <c r="H934" s="1493"/>
      <c r="I934" s="606"/>
      <c r="J934" s="1493">
        <f t="shared" si="338"/>
        <v>0.33333333333333331</v>
      </c>
      <c r="K934" s="674" t="str">
        <f t="shared" ref="K934:K936" si="340">IF($M$934-J934&lt;0, "-" &amp; TEXT(ABS($M$934-J934),"[hh]:mm:ss"), TEXT($M$934-J934,"[hh]:mm:ss"))</f>
        <v>-08:00:00</v>
      </c>
      <c r="L934" s="1601"/>
      <c r="M934" s="1604"/>
    </row>
    <row r="935" spans="1:13" x14ac:dyDescent="0.45">
      <c r="A935" s="1648"/>
      <c r="B935" s="1599"/>
      <c r="C935" s="1477"/>
      <c r="D935" s="316"/>
      <c r="E935" s="305"/>
      <c r="F935" s="305"/>
      <c r="G935" s="305"/>
      <c r="H935" s="305"/>
      <c r="I935" s="602"/>
      <c r="J935" s="305">
        <f t="shared" si="338"/>
        <v>0.33333333333333331</v>
      </c>
      <c r="K935" s="669" t="str">
        <f t="shared" si="340"/>
        <v>-08:00:00</v>
      </c>
      <c r="L935" s="1602"/>
      <c r="M935" s="1605"/>
    </row>
    <row r="936" spans="1:13" ht="19.8" thickBot="1" x14ac:dyDescent="0.5">
      <c r="A936" s="1649"/>
      <c r="B936" s="1600"/>
      <c r="C936" s="1516"/>
      <c r="D936" s="129"/>
      <c r="E936" s="1476"/>
      <c r="F936" s="1476"/>
      <c r="G936" s="1476"/>
      <c r="H936" s="1476"/>
      <c r="I936" s="603"/>
      <c r="J936" s="1476">
        <f t="shared" si="338"/>
        <v>0.33333333333333331</v>
      </c>
      <c r="K936" s="670" t="str">
        <f t="shared" si="340"/>
        <v>-08:00:00</v>
      </c>
      <c r="L936" s="1603"/>
      <c r="M936" s="1606"/>
    </row>
    <row r="937" spans="1:13" ht="20.399999999999999" thickTop="1" thickBot="1" x14ac:dyDescent="0.5">
      <c r="A937" s="314"/>
      <c r="B937" s="314"/>
      <c r="C937" s="633"/>
      <c r="D937" s="84"/>
      <c r="E937" s="84"/>
      <c r="F937" s="84"/>
      <c r="G937" s="84"/>
      <c r="H937" s="84"/>
      <c r="I937" s="599"/>
      <c r="J937" s="90"/>
      <c r="K937" s="666"/>
      <c r="L937" s="314"/>
      <c r="M937" s="623"/>
    </row>
    <row r="938" spans="1:13" ht="20.399999999999999" collapsed="1" thickTop="1" thickBot="1" x14ac:dyDescent="0.5">
      <c r="A938" s="1582" t="s">
        <v>562</v>
      </c>
      <c r="B938" s="1621" t="s">
        <v>9</v>
      </c>
      <c r="C938" s="1653" t="s">
        <v>784</v>
      </c>
      <c r="D938" s="500"/>
      <c r="E938" s="83">
        <v>44902.044444444444</v>
      </c>
      <c r="F938" s="83">
        <v>44902.066666666666</v>
      </c>
      <c r="G938" s="83"/>
      <c r="H938" s="83"/>
      <c r="I938" s="593"/>
      <c r="J938" s="1504">
        <f t="shared" ref="J938:J945" si="341">E938+TIME(8,0,0)</f>
        <v>44902.37777777778</v>
      </c>
      <c r="K938" s="660" t="str">
        <f t="shared" ref="K938:K939" si="342">IF($M$938-J938&lt;0, "-" &amp; TEXT(ABS($M$938-J938),"[hh]:mm:ss"), TEXT($M$938-J938,"[hh]:mm:ss"))</f>
        <v>00:11:00</v>
      </c>
      <c r="L938" s="1640">
        <v>44902.385416666664</v>
      </c>
      <c r="M938" s="1609">
        <v>44902.385416666664</v>
      </c>
    </row>
    <row r="939" spans="1:13" ht="20.399999999999999" thickTop="1" thickBot="1" x14ac:dyDescent="0.5">
      <c r="A939" s="1586"/>
      <c r="B939" s="1639"/>
      <c r="C939" s="1654"/>
      <c r="D939" s="499"/>
      <c r="E939" s="1514">
        <v>44902.044444444444</v>
      </c>
      <c r="F939" s="1514">
        <v>44902.073611111111</v>
      </c>
      <c r="G939" s="1514"/>
      <c r="H939" s="1514"/>
      <c r="I939" s="595"/>
      <c r="J939" s="1514">
        <f t="shared" si="341"/>
        <v>44902.37777777778</v>
      </c>
      <c r="K939" s="661" t="str">
        <f t="shared" si="342"/>
        <v>00:11:00</v>
      </c>
      <c r="L939" s="1586"/>
      <c r="M939" s="1610"/>
    </row>
    <row r="940" spans="1:13" s="85" customFormat="1" ht="20.399999999999999" thickTop="1" thickBot="1" x14ac:dyDescent="0.5">
      <c r="A940" s="1582" t="s">
        <v>1935</v>
      </c>
      <c r="B940" s="1608" t="s">
        <v>1184</v>
      </c>
      <c r="C940" s="1611" t="s">
        <v>784</v>
      </c>
      <c r="D940" s="588" t="s">
        <v>1933</v>
      </c>
      <c r="E940" s="83">
        <v>45433.168055555558</v>
      </c>
      <c r="F940" s="83">
        <v>45433.191666666666</v>
      </c>
      <c r="G940" s="83"/>
      <c r="H940" s="83"/>
      <c r="I940" s="593"/>
      <c r="J940" s="1504">
        <f t="shared" si="341"/>
        <v>45433.501388888893</v>
      </c>
      <c r="K940" s="660" t="str">
        <f t="shared" ref="K940:K941" si="343">IF($M$940-J940&lt;0, "-" &amp; TEXT(ABS($M$940-J940),"[hh]:mm:ss"), TEXT($M$940-J940,"[hh]:mm:ss"))</f>
        <v>00:13:00</v>
      </c>
      <c r="L940" s="1585">
        <v>45433.509027777778</v>
      </c>
      <c r="M940" s="1590">
        <v>45433.510416666664</v>
      </c>
    </row>
    <row r="941" spans="1:13" ht="20.399999999999999" thickTop="1" thickBot="1" x14ac:dyDescent="0.5">
      <c r="A941" s="1583"/>
      <c r="B941" s="1608"/>
      <c r="C941" s="1612"/>
      <c r="D941" s="82" t="s">
        <v>1934</v>
      </c>
      <c r="E941" s="1514">
        <v>45433.168055555558</v>
      </c>
      <c r="F941" s="1514">
        <v>45433.197916666664</v>
      </c>
      <c r="G941" s="1514"/>
      <c r="H941" s="1514"/>
      <c r="I941" s="595"/>
      <c r="J941" s="1514">
        <f t="shared" si="341"/>
        <v>45433.501388888893</v>
      </c>
      <c r="K941" s="661" t="str">
        <f t="shared" si="343"/>
        <v>00:13:00</v>
      </c>
      <c r="L941" s="1583"/>
      <c r="M941" s="1624"/>
    </row>
    <row r="942" spans="1:13" s="85" customFormat="1" ht="20.399999999999999" thickTop="1" thickBot="1" x14ac:dyDescent="0.5">
      <c r="A942" s="1618" t="s">
        <v>1935</v>
      </c>
      <c r="B942" s="1608" t="s">
        <v>1184</v>
      </c>
      <c r="C942" s="1489" t="s">
        <v>1280</v>
      </c>
      <c r="D942" s="157" t="s">
        <v>3283</v>
      </c>
      <c r="E942" s="1504">
        <v>46004.041666666664</v>
      </c>
      <c r="F942" s="1504">
        <v>46004</v>
      </c>
      <c r="G942" s="1504"/>
      <c r="H942" s="1504"/>
      <c r="I942" s="594"/>
      <c r="J942" s="1504">
        <f t="shared" si="341"/>
        <v>46004.375</v>
      </c>
      <c r="K942" s="660" t="str">
        <f>IF($M$942-J942&lt;0, "-" &amp; TEXT(ABS($M$942-J942),"[hh]:mm:ss"), TEXT($M$942-J942,"[hh]:mm:ss"))</f>
        <v>00:08:00</v>
      </c>
      <c r="L942" s="1585">
        <v>46004.380555555559</v>
      </c>
      <c r="M942" s="1590">
        <v>46004.380555555559</v>
      </c>
    </row>
    <row r="943" spans="1:13" s="104" customFormat="1" ht="20.399999999999999" thickTop="1" thickBot="1" x14ac:dyDescent="0.5">
      <c r="A943" s="1583"/>
      <c r="B943" s="1608"/>
      <c r="C943" s="1484" t="s">
        <v>790</v>
      </c>
      <c r="D943" s="82" t="s">
        <v>3284</v>
      </c>
      <c r="E943" s="1514">
        <v>46004.041666666664</v>
      </c>
      <c r="F943" s="1514">
        <v>46004.072222222225</v>
      </c>
      <c r="G943" s="1514"/>
      <c r="H943" s="1514"/>
      <c r="I943" s="656"/>
      <c r="J943" s="1514">
        <f t="shared" si="341"/>
        <v>46004.375</v>
      </c>
      <c r="K943" s="1534" t="str">
        <f>IF($M$942-J943&lt;0, "-" &amp; TEXT(ABS($M$942-J943),"[hh]:mm:ss"), TEXT($M$942-J943,"[hh]:mm:ss"))</f>
        <v>00:08:00</v>
      </c>
      <c r="L943" s="1583"/>
      <c r="M943" s="1624"/>
    </row>
    <row r="944" spans="1:13" s="85" customFormat="1" ht="20.399999999999999" thickTop="1" thickBot="1" x14ac:dyDescent="0.5">
      <c r="A944" s="1582" t="s">
        <v>1935</v>
      </c>
      <c r="B944" s="1608" t="s">
        <v>1184</v>
      </c>
      <c r="C944" s="700" t="s">
        <v>1001</v>
      </c>
      <c r="D944" s="587" t="s">
        <v>3424</v>
      </c>
      <c r="E944" s="1504">
        <v>46097.169444444444</v>
      </c>
      <c r="F944" s="1504">
        <v>46097.195833333331</v>
      </c>
      <c r="G944" s="83"/>
      <c r="H944" s="83"/>
      <c r="I944" s="593"/>
      <c r="J944" s="1504">
        <f t="shared" si="341"/>
        <v>46097.50277777778</v>
      </c>
      <c r="K944" s="660" t="str">
        <f>IF($M$944-J944&lt;0, "-" &amp; TEXT(ABS($M$944-J944),"[hh]:mm:ss"), TEXT($M$944-J944,"[hh]:mm:ss"))</f>
        <v>00:08:00</v>
      </c>
      <c r="L944" s="1585">
        <v>46097.508333333331</v>
      </c>
      <c r="M944" s="1590">
        <v>46097.508333333331</v>
      </c>
    </row>
    <row r="945" spans="1:13" s="104" customFormat="1" ht="20.399999999999999" thickTop="1" thickBot="1" x14ac:dyDescent="0.5">
      <c r="A945" s="1583"/>
      <c r="B945" s="1608"/>
      <c r="C945" s="1519" t="s">
        <v>977</v>
      </c>
      <c r="D945" s="82" t="s">
        <v>3425</v>
      </c>
      <c r="E945" s="1514">
        <v>46097.171527777777</v>
      </c>
      <c r="F945" s="1514">
        <v>46097.212500000001</v>
      </c>
      <c r="G945" s="1514"/>
      <c r="H945" s="1514"/>
      <c r="I945" s="595"/>
      <c r="J945" s="1514">
        <f t="shared" si="341"/>
        <v>46097.504861111112</v>
      </c>
      <c r="K945" s="661" t="str">
        <f>IF($M$944-J945&lt;0, "-" &amp; TEXT(ABS($M$944-J945),"[hh]:mm:ss"), TEXT($M$944-J945,"[hh]:mm:ss"))</f>
        <v>00:05:00</v>
      </c>
      <c r="L945" s="1583"/>
      <c r="M945" s="1624"/>
    </row>
    <row r="946" spans="1:13" s="85" customFormat="1" ht="20.399999999999999" thickTop="1" thickBot="1" x14ac:dyDescent="0.5">
      <c r="A946" s="1582" t="s">
        <v>1935</v>
      </c>
      <c r="B946" s="1608" t="s">
        <v>1184</v>
      </c>
      <c r="C946" s="700" t="s">
        <v>784</v>
      </c>
      <c r="D946" s="587" t="s">
        <v>3726</v>
      </c>
      <c r="E946" s="1504">
        <v>46190.146527777775</v>
      </c>
      <c r="F946" s="1504">
        <v>46190.173611111109</v>
      </c>
      <c r="G946" s="83"/>
      <c r="H946" s="83"/>
      <c r="I946" s="593"/>
      <c r="J946" s="1504">
        <f t="shared" ref="J946:J947" si="344">E946+TIME(8,0,0)</f>
        <v>46190.479861111111</v>
      </c>
      <c r="K946" s="660" t="str">
        <f>IF($M$946-J946&lt;0, "-" &amp; TEXT(ABS($M$946-J946),"[hh]:mm:ss"), TEXT($M$946-J946,"[hh]:mm:ss"))</f>
        <v>00:27:00</v>
      </c>
      <c r="L946" s="1585">
        <v>46190.486111111109</v>
      </c>
      <c r="M946" s="1590">
        <v>46190.498611111114</v>
      </c>
    </row>
    <row r="947" spans="1:13" s="104" customFormat="1" ht="20.399999999999999" thickTop="1" thickBot="1" x14ac:dyDescent="0.5">
      <c r="A947" s="1583"/>
      <c r="B947" s="1608"/>
      <c r="C947" s="1519" t="s">
        <v>782</v>
      </c>
      <c r="D947" s="82" t="s">
        <v>3727</v>
      </c>
      <c r="E947" s="1514">
        <v>46190.147222222222</v>
      </c>
      <c r="F947" s="1514">
        <v>46190.181944444441</v>
      </c>
      <c r="G947" s="1514"/>
      <c r="H947" s="1514"/>
      <c r="I947" s="595"/>
      <c r="J947" s="1514">
        <f t="shared" si="344"/>
        <v>46190.480555555558</v>
      </c>
      <c r="K947" s="661" t="str">
        <f>IF($M$946-J947&lt;0, "-" &amp; TEXT(ABS($M$946-J947),"[hh]:mm:ss"), TEXT($M$946-J947,"[hh]:mm:ss"))</f>
        <v>00:26:00</v>
      </c>
      <c r="L947" s="1583"/>
      <c r="M947" s="1624"/>
    </row>
    <row r="948" spans="1:13" ht="20.399999999999999" thickTop="1" thickBot="1" x14ac:dyDescent="0.5">
      <c r="A948" s="314"/>
      <c r="B948" s="314"/>
      <c r="C948" s="635"/>
      <c r="D948" s="90"/>
      <c r="E948" s="90"/>
      <c r="F948" s="90"/>
      <c r="G948" s="90"/>
      <c r="H948" s="90"/>
      <c r="I948" s="599"/>
      <c r="J948" s="90"/>
      <c r="K948" s="666"/>
      <c r="L948" s="314"/>
      <c r="M948" s="623"/>
    </row>
    <row r="949" spans="1:13" ht="20.399999999999999" thickTop="1" thickBot="1" x14ac:dyDescent="0.5">
      <c r="A949" s="1582" t="s">
        <v>506</v>
      </c>
      <c r="B949" s="1621" t="s">
        <v>9</v>
      </c>
      <c r="C949" s="1653" t="s">
        <v>792</v>
      </c>
      <c r="D949" s="1587"/>
      <c r="E949" s="1640">
        <v>44694.301388888889</v>
      </c>
      <c r="F949" s="1640">
        <v>44694.329861111109</v>
      </c>
      <c r="G949" s="83"/>
      <c r="H949" s="83"/>
      <c r="I949" s="594"/>
      <c r="J949" s="1587">
        <f>E949+TIME(8,0,0)</f>
        <v>44694.634722222225</v>
      </c>
      <c r="K949" s="1656" t="str">
        <f t="shared" ref="K949:K950" si="345">IF($M$949-J949&lt;0, "-" &amp; TEXT(ABS($M$949-J949),"[hh]:mm:ss"), TEXT($M$949-J949,"[hh]:mm:ss"))</f>
        <v>-00:05:00</v>
      </c>
      <c r="L949" s="1640">
        <v>0</v>
      </c>
      <c r="M949" s="1609">
        <v>44694.631249999999</v>
      </c>
    </row>
    <row r="950" spans="1:13" ht="20.399999999999999" thickTop="1" thickBot="1" x14ac:dyDescent="0.5">
      <c r="A950" s="1586"/>
      <c r="B950" s="1639"/>
      <c r="C950" s="1654"/>
      <c r="D950" s="1585"/>
      <c r="E950" s="1586"/>
      <c r="F950" s="1586"/>
      <c r="G950" s="1514"/>
      <c r="H950" s="1514"/>
      <c r="I950" s="656"/>
      <c r="J950" s="1585"/>
      <c r="K950" s="1657" t="str">
        <f t="shared" si="345"/>
        <v>1072671:09:00</v>
      </c>
      <c r="L950" s="1586"/>
      <c r="M950" s="1610"/>
    </row>
    <row r="951" spans="1:13" ht="20.399999999999999" thickTop="1" thickBot="1" x14ac:dyDescent="0.5">
      <c r="A951" s="80" t="s">
        <v>506</v>
      </c>
      <c r="B951" s="1479" t="s">
        <v>9</v>
      </c>
      <c r="C951" s="1524" t="s">
        <v>792</v>
      </c>
      <c r="D951" s="78"/>
      <c r="E951" s="79">
        <v>45023.162499999999</v>
      </c>
      <c r="F951" s="79">
        <v>45023.267361111109</v>
      </c>
      <c r="G951" s="79"/>
      <c r="H951" s="79"/>
      <c r="I951" s="592"/>
      <c r="J951" s="1472">
        <f t="shared" ref="J951:J961" si="346">E951+TIME(8,0,0)</f>
        <v>45023.495833333334</v>
      </c>
      <c r="K951" s="662" t="str">
        <f>IF($M$951-J951&lt;0, "-" &amp; TEXT(ABS($M$951-J951),"[hh]:mm:ss"), TEXT($M$951-J951,"[hh]:mm:ss"))</f>
        <v>00:06:00</v>
      </c>
      <c r="L951" s="79">
        <v>45023.53125</v>
      </c>
      <c r="M951" s="1471">
        <v>45023.5</v>
      </c>
    </row>
    <row r="952" spans="1:13" s="104" customFormat="1" ht="19.8" thickTop="1" x14ac:dyDescent="0.45">
      <c r="A952" s="1618" t="s">
        <v>506</v>
      </c>
      <c r="B952" s="1607" t="s">
        <v>9</v>
      </c>
      <c r="C952" s="1485" t="s">
        <v>792</v>
      </c>
      <c r="D952" s="587" t="s">
        <v>1384</v>
      </c>
      <c r="E952" s="1504">
        <v>45277.286805555559</v>
      </c>
      <c r="F952" s="1504">
        <v>45277.352083333331</v>
      </c>
      <c r="G952" s="1504"/>
      <c r="H952" s="1504"/>
      <c r="I952" s="594"/>
      <c r="J952" s="1504">
        <f t="shared" si="346"/>
        <v>45277.620138888895</v>
      </c>
      <c r="K952" s="659" t="str">
        <f t="shared" ref="K952:K953" si="347">IF($M$952-J952&lt;0, "-" &amp; TEXT(ABS($M$952-J952),"[hh]:mm:ss"), TEXT($M$952-J952,"[hh]:mm:ss"))</f>
        <v>00:07:00</v>
      </c>
      <c r="L952" s="1587">
        <v>45277.625</v>
      </c>
      <c r="M952" s="1588">
        <v>45277.625</v>
      </c>
    </row>
    <row r="953" spans="1:13" s="104" customFormat="1" ht="19.8" thickBot="1" x14ac:dyDescent="0.5">
      <c r="A953" s="1583"/>
      <c r="B953" s="1608"/>
      <c r="C953" s="1484" t="s">
        <v>1336</v>
      </c>
      <c r="D953" s="86" t="s">
        <v>1424</v>
      </c>
      <c r="E953" s="1481">
        <v>45277.286805555559</v>
      </c>
      <c r="F953" s="1481">
        <v>45277.352083333331</v>
      </c>
      <c r="G953" s="1481"/>
      <c r="H953" s="1481"/>
      <c r="I953" s="656"/>
      <c r="J953" s="1481">
        <f t="shared" si="346"/>
        <v>45277.620138888895</v>
      </c>
      <c r="K953" s="1534" t="str">
        <f t="shared" si="347"/>
        <v>00:07:00</v>
      </c>
      <c r="L953" s="1585"/>
      <c r="M953" s="1590"/>
    </row>
    <row r="954" spans="1:13" s="104" customFormat="1" ht="19.8" thickTop="1" x14ac:dyDescent="0.45">
      <c r="A954" s="1618" t="s">
        <v>506</v>
      </c>
      <c r="B954" s="1607" t="s">
        <v>9</v>
      </c>
      <c r="C954" s="1485" t="s">
        <v>2037</v>
      </c>
      <c r="D954" s="587" t="s">
        <v>2038</v>
      </c>
      <c r="E954" s="1504">
        <v>45483.981249999997</v>
      </c>
      <c r="F954" s="1504">
        <v>45484.025000000001</v>
      </c>
      <c r="G954" s="1504"/>
      <c r="H954" s="1504"/>
      <c r="I954" s="594"/>
      <c r="J954" s="1504">
        <f t="shared" si="346"/>
        <v>45484.314583333333</v>
      </c>
      <c r="K954" s="659" t="str">
        <f t="shared" ref="K954:K955" si="348">IF($M$954-J954&lt;0, "-" &amp; TEXT(ABS($M$954-J954),"[hh]:mm:ss"), TEXT($M$954-J954,"[hh]:mm:ss"))</f>
        <v>00:07:00</v>
      </c>
      <c r="L954" s="1587">
        <v>45484.319444444445</v>
      </c>
      <c r="M954" s="1588">
        <v>45484.319444444445</v>
      </c>
    </row>
    <row r="955" spans="1:13" s="104" customFormat="1" ht="19.8" thickBot="1" x14ac:dyDescent="0.5">
      <c r="A955" s="1583"/>
      <c r="B955" s="1608"/>
      <c r="C955" s="1484" t="s">
        <v>792</v>
      </c>
      <c r="D955" s="86" t="s">
        <v>2035</v>
      </c>
      <c r="E955" s="1481">
        <v>45483.981249999997</v>
      </c>
      <c r="F955" s="1481">
        <v>45484.025000000001</v>
      </c>
      <c r="G955" s="1481"/>
      <c r="H955" s="1481"/>
      <c r="I955" s="656"/>
      <c r="J955" s="1481">
        <f t="shared" si="346"/>
        <v>45484.314583333333</v>
      </c>
      <c r="K955" s="1534" t="str">
        <f t="shared" si="348"/>
        <v>00:07:00</v>
      </c>
      <c r="L955" s="1585"/>
      <c r="M955" s="1590"/>
    </row>
    <row r="956" spans="1:13" s="104" customFormat="1" ht="19.8" thickTop="1" x14ac:dyDescent="0.45">
      <c r="A956" s="1618" t="s">
        <v>506</v>
      </c>
      <c r="B956" s="1607" t="s">
        <v>9</v>
      </c>
      <c r="C956" s="1485" t="s">
        <v>792</v>
      </c>
      <c r="D956" s="587" t="s">
        <v>2897</v>
      </c>
      <c r="E956" s="1504">
        <v>45867.168749999997</v>
      </c>
      <c r="F956" s="1504">
        <v>45867.208333333336</v>
      </c>
      <c r="G956" s="1504"/>
      <c r="H956" s="1504"/>
      <c r="I956" s="594"/>
      <c r="J956" s="1504">
        <f t="shared" si="346"/>
        <v>45867.502083333333</v>
      </c>
      <c r="K956" s="659" t="str">
        <f t="shared" ref="K956:K959" si="349">IF($M$956-J956&lt;0, "-" &amp; TEXT(ABS($M$956-J956),"[hh]:mm:ss"), TEXT($M$956-J956,"[hh]:mm:ss"))</f>
        <v>00:08:00</v>
      </c>
      <c r="L956" s="1587">
        <v>45867.506944444445</v>
      </c>
      <c r="M956" s="1588">
        <v>45867.507638888892</v>
      </c>
    </row>
    <row r="957" spans="1:13" s="104" customFormat="1" x14ac:dyDescent="0.45">
      <c r="A957" s="1619"/>
      <c r="B957" s="1615"/>
      <c r="C957" s="1512" t="s">
        <v>1336</v>
      </c>
      <c r="D957" s="1530" t="s">
        <v>2901</v>
      </c>
      <c r="E957" s="1530">
        <v>45867.168749999997</v>
      </c>
      <c r="F957" s="1530">
        <v>45867.208333333336</v>
      </c>
      <c r="G957" s="1530"/>
      <c r="H957" s="1530"/>
      <c r="I957" s="596"/>
      <c r="J957" s="1530">
        <f t="shared" si="346"/>
        <v>45867.502083333333</v>
      </c>
      <c r="K957" s="663" t="str">
        <f t="shared" si="349"/>
        <v>00:08:00</v>
      </c>
      <c r="L957" s="1591"/>
      <c r="M957" s="1589"/>
    </row>
    <row r="958" spans="1:13" s="104" customFormat="1" collapsed="1" x14ac:dyDescent="0.45">
      <c r="A958" s="1619"/>
      <c r="B958" s="1615"/>
      <c r="C958" s="1512" t="s">
        <v>792</v>
      </c>
      <c r="D958" s="1530" t="s">
        <v>2890</v>
      </c>
      <c r="E958" s="1530">
        <v>45867.166666666664</v>
      </c>
      <c r="F958" s="1530">
        <v>45867.291666666664</v>
      </c>
      <c r="G958" s="1530"/>
      <c r="H958" s="1530"/>
      <c r="I958" s="596"/>
      <c r="J958" s="1530">
        <f t="shared" si="346"/>
        <v>45867.5</v>
      </c>
      <c r="K958" s="663" t="str">
        <f t="shared" si="349"/>
        <v>00:11:00</v>
      </c>
      <c r="L958" s="1591"/>
      <c r="M958" s="1589"/>
    </row>
    <row r="959" spans="1:13" s="104" customFormat="1" ht="19.8" thickBot="1" x14ac:dyDescent="0.5">
      <c r="A959" s="1583"/>
      <c r="B959" s="1608"/>
      <c r="C959" s="1484" t="s">
        <v>1336</v>
      </c>
      <c r="D959" s="86" t="s">
        <v>2892</v>
      </c>
      <c r="E959" s="1481">
        <v>45867.166666666664</v>
      </c>
      <c r="F959" s="1481">
        <v>45867.291666666664</v>
      </c>
      <c r="G959" s="1481"/>
      <c r="H959" s="1481"/>
      <c r="I959" s="656"/>
      <c r="J959" s="1481">
        <f t="shared" si="346"/>
        <v>45867.5</v>
      </c>
      <c r="K959" s="1534" t="str">
        <f t="shared" si="349"/>
        <v>00:11:00</v>
      </c>
      <c r="L959" s="1585"/>
      <c r="M959" s="1590"/>
    </row>
    <row r="960" spans="1:13" s="104" customFormat="1" ht="19.8" thickTop="1" x14ac:dyDescent="0.45">
      <c r="A960" s="1596" t="s">
        <v>506</v>
      </c>
      <c r="B960" s="1598" t="s">
        <v>9</v>
      </c>
      <c r="C960" s="638" t="s">
        <v>792</v>
      </c>
      <c r="D960" s="358"/>
      <c r="E960" s="1493"/>
      <c r="F960" s="1493"/>
      <c r="G960" s="1493"/>
      <c r="H960" s="1493"/>
      <c r="I960" s="606"/>
      <c r="J960" s="1493">
        <f t="shared" si="346"/>
        <v>0.33333333333333331</v>
      </c>
      <c r="K960" s="674" t="str">
        <f t="shared" ref="K960:K961" si="350">IF($M$960-J960&lt;0, "-" &amp; TEXT(ABS($M$960-J960),"[hh]:mm:ss"), TEXT($M$960-J960,"[hh:mm:ss"))</f>
        <v>-08:00:00</v>
      </c>
      <c r="L960" s="1601"/>
      <c r="M960" s="1604"/>
    </row>
    <row r="961" spans="1:13" s="85" customFormat="1" ht="19.8" thickBot="1" x14ac:dyDescent="0.5">
      <c r="A961" s="1581"/>
      <c r="B961" s="1600"/>
      <c r="C961" s="1516" t="s">
        <v>977</v>
      </c>
      <c r="D961" s="129"/>
      <c r="E961" s="1476"/>
      <c r="F961" s="1476"/>
      <c r="G961" s="1476"/>
      <c r="H961" s="1476"/>
      <c r="I961" s="603"/>
      <c r="J961" s="1476">
        <f t="shared" si="346"/>
        <v>0.33333333333333331</v>
      </c>
      <c r="K961" s="670" t="str">
        <f t="shared" si="350"/>
        <v>-08:00:00</v>
      </c>
      <c r="L961" s="1603"/>
      <c r="M961" s="1606"/>
    </row>
    <row r="962" spans="1:13" ht="20.399999999999999" thickTop="1" thickBot="1" x14ac:dyDescent="0.5">
      <c r="A962" s="314"/>
      <c r="B962" s="314"/>
      <c r="C962" s="633"/>
      <c r="D962" s="84"/>
      <c r="E962" s="84"/>
      <c r="F962" s="84"/>
      <c r="G962" s="84"/>
      <c r="H962" s="84"/>
      <c r="I962" s="597"/>
      <c r="J962" s="84"/>
      <c r="K962" s="664"/>
      <c r="L962" s="314"/>
      <c r="M962" s="623"/>
    </row>
    <row r="963" spans="1:13" s="104" customFormat="1" ht="19.8" thickTop="1" x14ac:dyDescent="0.45">
      <c r="A963" s="1596" t="s">
        <v>2456</v>
      </c>
      <c r="B963" s="1598" t="s">
        <v>1931</v>
      </c>
      <c r="C963" s="638"/>
      <c r="D963" s="358"/>
      <c r="E963" s="1493"/>
      <c r="F963" s="1493"/>
      <c r="G963" s="1493"/>
      <c r="H963" s="1493"/>
      <c r="I963" s="606"/>
      <c r="J963" s="1493">
        <f>E963+TIME(8,0,0)</f>
        <v>0.33333333333333331</v>
      </c>
      <c r="K963" s="674" t="str">
        <f>IF($M$963-J963&lt;0, "-" &amp; TEXT(ABS($M$963-J963),"[hh]:mm:ss"), TEXT($M$963-J963,"[hh:mm:ss"))</f>
        <v>-08:00:00</v>
      </c>
      <c r="L963" s="1601"/>
      <c r="M963" s="1604"/>
    </row>
    <row r="964" spans="1:13" s="85" customFormat="1" ht="19.8" thickBot="1" x14ac:dyDescent="0.5">
      <c r="A964" s="1581"/>
      <c r="B964" s="1600"/>
      <c r="C964" s="1516"/>
      <c r="D964" s="129"/>
      <c r="E964" s="1476"/>
      <c r="F964" s="1476"/>
      <c r="G964" s="1476"/>
      <c r="H964" s="1476"/>
      <c r="I964" s="603"/>
      <c r="J964" s="1476">
        <f>E964+TIME(8,0,0)</f>
        <v>0.33333333333333331</v>
      </c>
      <c r="K964" s="670" t="str">
        <f>IF($M$963-J964&lt;0, "-" &amp; TEXT(ABS($M$963-J964),"[hh]:mm:ss"), TEXT($M$963-J964,"[hh:mm:ss"))</f>
        <v>-08:00:00</v>
      </c>
      <c r="L964" s="1603"/>
      <c r="M964" s="1606"/>
    </row>
    <row r="965" spans="1:13" ht="20.399999999999999" thickTop="1" thickBot="1" x14ac:dyDescent="0.5">
      <c r="A965" s="314"/>
      <c r="B965" s="314"/>
      <c r="C965" s="633"/>
      <c r="D965" s="84"/>
      <c r="E965" s="84"/>
      <c r="F965" s="84"/>
      <c r="G965" s="84"/>
      <c r="H965" s="84"/>
      <c r="I965" s="597"/>
      <c r="J965" s="84"/>
      <c r="K965" s="664"/>
      <c r="L965" s="314"/>
      <c r="M965" s="623"/>
    </row>
    <row r="966" spans="1:13" ht="20.399999999999999" thickTop="1" thickBot="1" x14ac:dyDescent="0.5">
      <c r="A966" s="1488" t="s">
        <v>579</v>
      </c>
      <c r="B966" s="1479" t="s">
        <v>9</v>
      </c>
      <c r="C966" s="636" t="s">
        <v>794</v>
      </c>
      <c r="D966" s="89"/>
      <c r="E966" s="79">
        <v>44782.163888888892</v>
      </c>
      <c r="F966" s="79">
        <v>44782.20208333333</v>
      </c>
      <c r="G966" s="79"/>
      <c r="H966" s="79"/>
      <c r="I966" s="592"/>
      <c r="J966" s="1472">
        <f t="shared" ref="J966:J987" si="351">E966+TIME(8,0,0)</f>
        <v>44782.497222222228</v>
      </c>
      <c r="K966" s="662" t="str">
        <f>IF($M$966-J966&lt;0, "-" &amp; TEXT(ABS($M$966-J966),"[hh]:mm:ss"), TEXT($M$966-J966,"[hh]:mm:ss"))</f>
        <v>00:15:00</v>
      </c>
      <c r="L966" s="79">
        <v>44782.510416666664</v>
      </c>
      <c r="M966" s="1471">
        <v>44782.507638888892</v>
      </c>
    </row>
    <row r="967" spans="1:13" ht="20.399999999999999" thickTop="1" thickBot="1" x14ac:dyDescent="0.5">
      <c r="A967" s="1488" t="s">
        <v>579</v>
      </c>
      <c r="B967" s="1479" t="s">
        <v>9</v>
      </c>
      <c r="C967" s="1485" t="s">
        <v>785</v>
      </c>
      <c r="D967" s="587"/>
      <c r="E967" s="1496">
        <v>44881.257638888892</v>
      </c>
      <c r="F967" s="1496">
        <v>44881.290277777778</v>
      </c>
      <c r="G967" s="1496"/>
      <c r="H967" s="1496"/>
      <c r="I967" s="594"/>
      <c r="J967" s="1504">
        <f t="shared" si="351"/>
        <v>44881.590972222228</v>
      </c>
      <c r="K967" s="659" t="str">
        <f>IF($M$967-J967&lt;0, "-" &amp; TEXT(ABS($M$967-J967),"[hh]:mm:ss"), TEXT($M$967-J967,"[hh]:mm:ss"))</f>
        <v>00:09:00</v>
      </c>
      <c r="L967" s="1472">
        <v>44881.601388888892</v>
      </c>
      <c r="M967" s="1471">
        <v>44881.597222222219</v>
      </c>
    </row>
    <row r="968" spans="1:13" ht="20.399999999999999" thickTop="1" thickBot="1" x14ac:dyDescent="0.5">
      <c r="A968" s="80" t="s">
        <v>579</v>
      </c>
      <c r="B968" s="1479" t="s">
        <v>9</v>
      </c>
      <c r="C968" s="636" t="s">
        <v>785</v>
      </c>
      <c r="D968" s="89"/>
      <c r="E968" s="79">
        <v>44935.204861111109</v>
      </c>
      <c r="F968" s="79">
        <v>44935.243055555555</v>
      </c>
      <c r="G968" s="79"/>
      <c r="H968" s="79"/>
      <c r="I968" s="592"/>
      <c r="J968" s="1472">
        <f t="shared" si="351"/>
        <v>44935.538194444445</v>
      </c>
      <c r="K968" s="662" t="str">
        <f>IF($M$968-J968&lt;0, "-" &amp; TEXT(ABS($M$968-J968),"[hh]:mm:ss"), TEXT($M$968-J968,"[hh]:mm:ss"))</f>
        <v>00:09:00</v>
      </c>
      <c r="L968" s="79">
        <v>44935.552083333336</v>
      </c>
      <c r="M968" s="1471">
        <v>44935.544444444444</v>
      </c>
    </row>
    <row r="969" spans="1:13" ht="20.399999999999999" thickTop="1" thickBot="1" x14ac:dyDescent="0.5">
      <c r="A969" s="1470" t="s">
        <v>991</v>
      </c>
      <c r="B969" s="1480" t="s">
        <v>9</v>
      </c>
      <c r="C969" s="1474" t="s">
        <v>977</v>
      </c>
      <c r="D969" s="86" t="s">
        <v>1007</v>
      </c>
      <c r="E969" s="1514">
        <v>45129.208333333336</v>
      </c>
      <c r="F969" s="1514">
        <v>45129.254166666666</v>
      </c>
      <c r="G969" s="1514"/>
      <c r="H969" s="1514"/>
      <c r="I969" s="656"/>
      <c r="J969" s="1481">
        <f t="shared" si="351"/>
        <v>45129.541666666672</v>
      </c>
      <c r="K969" s="1534" t="str">
        <f>IF($M$969-J969&lt;0, "-" &amp; TEXT(ABS($M$969-J969),"[hh]:mm:ss"), TEXT($M$969-J969,"[hh]:mm:ss"))</f>
        <v>00:07:00</v>
      </c>
      <c r="L969" s="1481">
        <v>45129.548611111109</v>
      </c>
      <c r="M969" s="1482">
        <v>45129.546527777777</v>
      </c>
    </row>
    <row r="970" spans="1:13" s="104" customFormat="1" ht="20.399999999999999" thickTop="1" thickBot="1" x14ac:dyDescent="0.5">
      <c r="A970" s="1470" t="s">
        <v>991</v>
      </c>
      <c r="B970" s="1480" t="s">
        <v>9</v>
      </c>
      <c r="C970" s="1484" t="s">
        <v>1168</v>
      </c>
      <c r="D970" s="86" t="s">
        <v>1169</v>
      </c>
      <c r="E970" s="1481">
        <v>45148.125</v>
      </c>
      <c r="F970" s="1481">
        <v>45148.333333333336</v>
      </c>
      <c r="G970" s="1481"/>
      <c r="H970" s="1481"/>
      <c r="I970" s="656"/>
      <c r="J970" s="1481">
        <f t="shared" si="351"/>
        <v>45148.458333333336</v>
      </c>
      <c r="K970" s="1534" t="str">
        <f>IF($M$970-J970&lt;0, "-" &amp; TEXT(ABS($M$970-J970),"[hh]:mm:ss"), TEXT($M$970-J970,"[hh]:mm:ss"))</f>
        <v>01:03:50</v>
      </c>
      <c r="L970" s="1481">
        <v>45148.527777777781</v>
      </c>
      <c r="M970" s="1482">
        <v>45148.502662037034</v>
      </c>
    </row>
    <row r="971" spans="1:13" s="104" customFormat="1" ht="20.399999999999999" thickTop="1" thickBot="1" x14ac:dyDescent="0.5">
      <c r="A971" s="1488" t="s">
        <v>991</v>
      </c>
      <c r="B971" s="1479" t="s">
        <v>9</v>
      </c>
      <c r="C971" s="1524" t="s">
        <v>1168</v>
      </c>
      <c r="D971" s="86" t="s">
        <v>1194</v>
      </c>
      <c r="E971" s="1481">
        <v>45163.083333333336</v>
      </c>
      <c r="F971" s="1481">
        <v>45163.333333333336</v>
      </c>
      <c r="G971" s="1481"/>
      <c r="H971" s="1481"/>
      <c r="I971" s="656"/>
      <c r="J971" s="1481">
        <f t="shared" si="351"/>
        <v>45163.416666666672</v>
      </c>
      <c r="K971" s="1534" t="str">
        <f>IF($M$971-J971&lt;0, "-" &amp; TEXT(ABS($M$971-J971),"[hh]:mm:ss"), TEXT($M$971-J971,"[hh]:mm:ss"))</f>
        <v>02:59:00</v>
      </c>
      <c r="L971" s="1481">
        <v>45163.458333333336</v>
      </c>
      <c r="M971" s="1482">
        <v>45163.540972222225</v>
      </c>
    </row>
    <row r="972" spans="1:13" s="104" customFormat="1" ht="19.8" thickTop="1" x14ac:dyDescent="0.45">
      <c r="A972" s="1659" t="s">
        <v>991</v>
      </c>
      <c r="B972" s="1607" t="s">
        <v>9</v>
      </c>
      <c r="C972" s="1485" t="s">
        <v>785</v>
      </c>
      <c r="D972" s="1504" t="s">
        <v>1225</v>
      </c>
      <c r="E972" s="1504">
        <v>45191.166666666664</v>
      </c>
      <c r="F972" s="1504">
        <v>45191.416666666664</v>
      </c>
      <c r="G972" s="1504"/>
      <c r="H972" s="1504"/>
      <c r="I972" s="594"/>
      <c r="J972" s="1504">
        <f t="shared" si="351"/>
        <v>45191.5</v>
      </c>
      <c r="K972" s="659" t="str">
        <f t="shared" ref="K972:K973" si="352">IF($M$972-J972&lt;0, "-" &amp; TEXT(ABS($M$972-J972),"[hh]:mm:ss"), TEXT($M$972-J972,"[hh]:mm:ss"))</f>
        <v>00:59:00</v>
      </c>
      <c r="L972" s="1587">
        <v>45191.541666666664</v>
      </c>
      <c r="M972" s="1588">
        <v>45191.540972222225</v>
      </c>
    </row>
    <row r="973" spans="1:13" s="104" customFormat="1" ht="19.8" thickBot="1" x14ac:dyDescent="0.5">
      <c r="A973" s="1660"/>
      <c r="B973" s="1608"/>
      <c r="C973" s="1484" t="s">
        <v>1227</v>
      </c>
      <c r="D973" s="1481"/>
      <c r="E973" s="1481">
        <v>45191.125</v>
      </c>
      <c r="F973" s="1481">
        <v>45191.375</v>
      </c>
      <c r="G973" s="1481"/>
      <c r="H973" s="1481"/>
      <c r="I973" s="656"/>
      <c r="J973" s="1481">
        <f t="shared" si="351"/>
        <v>45191.458333333336</v>
      </c>
      <c r="K973" s="1534" t="str">
        <f t="shared" si="352"/>
        <v>01:59:00</v>
      </c>
      <c r="L973" s="1585"/>
      <c r="M973" s="1590"/>
    </row>
    <row r="974" spans="1:13" s="104" customFormat="1" ht="20.399999999999999" thickTop="1" thickBot="1" x14ac:dyDescent="0.5">
      <c r="A974" s="1488" t="s">
        <v>579</v>
      </c>
      <c r="B974" s="1479" t="s">
        <v>9</v>
      </c>
      <c r="C974" s="1524" t="s">
        <v>785</v>
      </c>
      <c r="D974" s="86" t="s">
        <v>1309</v>
      </c>
      <c r="E974" s="1481">
        <v>45264.974999999999</v>
      </c>
      <c r="F974" s="1481">
        <v>45265.01458333333</v>
      </c>
      <c r="G974" s="1481"/>
      <c r="H974" s="1481"/>
      <c r="I974" s="656"/>
      <c r="J974" s="1481">
        <f t="shared" si="351"/>
        <v>45265.308333333334</v>
      </c>
      <c r="K974" s="1534" t="str">
        <f>IF($M$974-J974&lt;0, "-" &amp; TEXT(ABS($M$974-J974),"[hh]:mm:ss"), TEXT($M$974-J974,"[hh]:mm:ss"))</f>
        <v>00:09:00</v>
      </c>
      <c r="L974" s="1481">
        <v>45265.3125</v>
      </c>
      <c r="M974" s="1482">
        <v>45265.314583333333</v>
      </c>
    </row>
    <row r="975" spans="1:13" s="104" customFormat="1" ht="19.8" thickTop="1" x14ac:dyDescent="0.45">
      <c r="A975" s="1618" t="s">
        <v>579</v>
      </c>
      <c r="B975" s="1607" t="s">
        <v>9</v>
      </c>
      <c r="C975" s="1485" t="s">
        <v>784</v>
      </c>
      <c r="D975" s="587" t="s">
        <v>1947</v>
      </c>
      <c r="E975" s="1504">
        <v>45442.977083333331</v>
      </c>
      <c r="F975" s="1504">
        <v>45442.994444444441</v>
      </c>
      <c r="G975" s="1504"/>
      <c r="H975" s="1504"/>
      <c r="I975" s="594"/>
      <c r="J975" s="1504">
        <f t="shared" si="351"/>
        <v>45443.310416666667</v>
      </c>
      <c r="K975" s="659" t="str">
        <f t="shared" ref="K975:K977" si="353">IF($M$975-J975&lt;0, "-" &amp; TEXT(ABS($M$975-J975),"[hh]:mm:ss"), TEXT($M$975-J975,"[hh]:mm:ss"))</f>
        <v>00:12:00</v>
      </c>
      <c r="L975" s="1587">
        <v>45443.318055555559</v>
      </c>
      <c r="M975" s="1588">
        <v>45443.318749999999</v>
      </c>
    </row>
    <row r="976" spans="1:13" s="104" customFormat="1" x14ac:dyDescent="0.45">
      <c r="A976" s="1619"/>
      <c r="B976" s="1615"/>
      <c r="C976" s="1651" t="s">
        <v>785</v>
      </c>
      <c r="D976" s="588" t="s">
        <v>1945</v>
      </c>
      <c r="E976" s="1497">
        <v>45442.978472222225</v>
      </c>
      <c r="F976" s="1497">
        <v>45443.012499999997</v>
      </c>
      <c r="G976" s="1497"/>
      <c r="H976" s="1497"/>
      <c r="I976" s="593"/>
      <c r="J976" s="1497">
        <f t="shared" si="351"/>
        <v>45443.311805555561</v>
      </c>
      <c r="K976" s="660" t="str">
        <f t="shared" si="353"/>
        <v>00:10:00</v>
      </c>
      <c r="L976" s="1591"/>
      <c r="M976" s="1589"/>
    </row>
    <row r="977" spans="1:13" s="104" customFormat="1" ht="19.8" thickBot="1" x14ac:dyDescent="0.5">
      <c r="A977" s="1583"/>
      <c r="B977" s="1608"/>
      <c r="C977" s="1612"/>
      <c r="D977" s="86" t="s">
        <v>1938</v>
      </c>
      <c r="E977" s="1481">
        <v>45442.958333333336</v>
      </c>
      <c r="F977" s="1481">
        <v>45443.208333333336</v>
      </c>
      <c r="G977" s="1481"/>
      <c r="H977" s="1481"/>
      <c r="I977" s="656"/>
      <c r="J977" s="1481">
        <f t="shared" si="351"/>
        <v>45443.291666666672</v>
      </c>
      <c r="K977" s="1534" t="str">
        <f t="shared" si="353"/>
        <v>00:39:00</v>
      </c>
      <c r="L977" s="1585"/>
      <c r="M977" s="1590"/>
    </row>
    <row r="978" spans="1:13" s="104" customFormat="1" ht="19.8" thickTop="1" x14ac:dyDescent="0.45">
      <c r="A978" s="1618" t="s">
        <v>991</v>
      </c>
      <c r="B978" s="1607" t="s">
        <v>9</v>
      </c>
      <c r="C978" s="1611" t="s">
        <v>785</v>
      </c>
      <c r="D978" s="587" t="s">
        <v>1974</v>
      </c>
      <c r="E978" s="1504">
        <v>45449.201388888891</v>
      </c>
      <c r="F978" s="1504">
        <v>45449.234722222223</v>
      </c>
      <c r="G978" s="1504"/>
      <c r="H978" s="1504"/>
      <c r="I978" s="594"/>
      <c r="J978" s="1504">
        <f t="shared" si="351"/>
        <v>45449.534722222226</v>
      </c>
      <c r="K978" s="659" t="str">
        <f t="shared" ref="K978:K979" si="354">IF($M$978-J978&lt;0, "-" &amp; TEXT(ABS($M$978-J978),"[hh]:mm:ss"), TEXT($M$978-J978,"[hh]:mm:ss"))</f>
        <v>00:10:30</v>
      </c>
      <c r="L978" s="1587">
        <v>45449.527777777781</v>
      </c>
      <c r="M978" s="1588">
        <v>45449.542013888888</v>
      </c>
    </row>
    <row r="979" spans="1:13" s="104" customFormat="1" ht="19.8" thickBot="1" x14ac:dyDescent="0.5">
      <c r="A979" s="1583"/>
      <c r="B979" s="1608"/>
      <c r="C979" s="1612"/>
      <c r="D979" s="86" t="s">
        <v>1939</v>
      </c>
      <c r="E979" s="1481">
        <v>45449.166666666664</v>
      </c>
      <c r="F979" s="1481">
        <v>45449.416666666664</v>
      </c>
      <c r="G979" s="1481"/>
      <c r="H979" s="1481"/>
      <c r="I979" s="656"/>
      <c r="J979" s="1481">
        <f t="shared" si="351"/>
        <v>45449.5</v>
      </c>
      <c r="K979" s="1534" t="str">
        <f t="shared" si="354"/>
        <v>01:00:30</v>
      </c>
      <c r="L979" s="1585"/>
      <c r="M979" s="1590"/>
    </row>
    <row r="980" spans="1:13" s="104" customFormat="1" ht="19.8" thickTop="1" x14ac:dyDescent="0.45">
      <c r="A980" s="1659" t="s">
        <v>991</v>
      </c>
      <c r="B980" s="1607" t="s">
        <v>1184</v>
      </c>
      <c r="C980" s="1611" t="s">
        <v>785</v>
      </c>
      <c r="D980" s="587" t="s">
        <v>2562</v>
      </c>
      <c r="E980" s="1504">
        <v>45677.415972222225</v>
      </c>
      <c r="F980" s="1504">
        <v>45677.448611111111</v>
      </c>
      <c r="G980" s="1504"/>
      <c r="H980" s="1504"/>
      <c r="I980" s="594"/>
      <c r="J980" s="1504">
        <f t="shared" si="351"/>
        <v>45677.749305555561</v>
      </c>
      <c r="K980" s="659" t="str">
        <f t="shared" ref="K980:K981" si="355">IF($M$980-J980&lt;0, "-" &amp; TEXT(ABS($M$980-J980),"[hh]:mm:ss"), TEXT($M$980-J980,"[hh]:mm:ss"))</f>
        <v>00:12:00</v>
      </c>
      <c r="L980" s="1587">
        <v>45677.75</v>
      </c>
      <c r="M980" s="1588">
        <v>45677.757638888892</v>
      </c>
    </row>
    <row r="981" spans="1:13" s="104" customFormat="1" ht="19.8" thickBot="1" x14ac:dyDescent="0.5">
      <c r="A981" s="1660"/>
      <c r="B981" s="1608"/>
      <c r="C981" s="1612"/>
      <c r="D981" s="86" t="s">
        <v>2550</v>
      </c>
      <c r="E981" s="1481">
        <v>45677.375</v>
      </c>
      <c r="F981" s="1481">
        <v>45677.541666666664</v>
      </c>
      <c r="G981" s="1481"/>
      <c r="H981" s="1481"/>
      <c r="I981" s="656"/>
      <c r="J981" s="1481">
        <f t="shared" si="351"/>
        <v>45677.708333333336</v>
      </c>
      <c r="K981" s="1534" t="str">
        <f t="shared" si="355"/>
        <v>01:11:00</v>
      </c>
      <c r="L981" s="1585"/>
      <c r="M981" s="1590"/>
    </row>
    <row r="982" spans="1:13" s="104" customFormat="1" ht="19.8" thickTop="1" x14ac:dyDescent="0.45">
      <c r="A982" s="1659" t="s">
        <v>991</v>
      </c>
      <c r="B982" s="1607" t="s">
        <v>1184</v>
      </c>
      <c r="C982" s="1611" t="s">
        <v>785</v>
      </c>
      <c r="D982" s="587" t="s">
        <v>2679</v>
      </c>
      <c r="E982" s="1504">
        <v>45733.332638888889</v>
      </c>
      <c r="F982" s="1504">
        <v>45733.365277777775</v>
      </c>
      <c r="G982" s="1504"/>
      <c r="H982" s="1504"/>
      <c r="I982" s="594"/>
      <c r="J982" s="1504">
        <f t="shared" si="351"/>
        <v>45733.665972222225</v>
      </c>
      <c r="K982" s="659" t="str">
        <f t="shared" ref="K982:K983" si="356">IF($M$982-J982&lt;0, "-" &amp; TEXT(ABS($M$982-J982),"[hh]:mm:ss"), TEXT($M$982-J982,"[hh]:mm:ss"))</f>
        <v>00:08:00</v>
      </c>
      <c r="L982" s="1587">
        <v>45733.674305555556</v>
      </c>
      <c r="M982" s="1588">
        <v>45733.671527777777</v>
      </c>
    </row>
    <row r="983" spans="1:13" s="104" customFormat="1" ht="19.8" thickBot="1" x14ac:dyDescent="0.5">
      <c r="A983" s="1660"/>
      <c r="B983" s="1608"/>
      <c r="C983" s="1612"/>
      <c r="D983" s="86" t="s">
        <v>2673</v>
      </c>
      <c r="E983" s="1481">
        <v>45733.326388888891</v>
      </c>
      <c r="F983" s="1481">
        <v>45733.375</v>
      </c>
      <c r="G983" s="1481"/>
      <c r="H983" s="1481"/>
      <c r="I983" s="656"/>
      <c r="J983" s="1481">
        <f t="shared" si="351"/>
        <v>45733.659722222226</v>
      </c>
      <c r="K983" s="1534" t="str">
        <f t="shared" si="356"/>
        <v>00:17:00</v>
      </c>
      <c r="L983" s="1585"/>
      <c r="M983" s="1590"/>
    </row>
    <row r="984" spans="1:13" s="104" customFormat="1" ht="19.8" thickTop="1" x14ac:dyDescent="0.45">
      <c r="A984" s="1659" t="s">
        <v>991</v>
      </c>
      <c r="B984" s="1607" t="s">
        <v>1184</v>
      </c>
      <c r="C984" s="1611" t="s">
        <v>785</v>
      </c>
      <c r="D984" s="1504" t="s">
        <v>2680</v>
      </c>
      <c r="E984" s="1504">
        <v>45737.458333333336</v>
      </c>
      <c r="F984" s="1504">
        <v>45737.490972222222</v>
      </c>
      <c r="G984" s="1504"/>
      <c r="H984" s="1504"/>
      <c r="I984" s="594"/>
      <c r="J984" s="1504">
        <f t="shared" si="351"/>
        <v>45737.791666666672</v>
      </c>
      <c r="K984" s="659" t="str">
        <f t="shared" ref="K984:K985" si="357">IF($M$984-J984&lt;0, "-" &amp; TEXT(ABS($M$984-J984),"[hh]:mm:ss"), TEXT($M$984-J984,"[hh]:mm:ss"))</f>
        <v>00:07:00</v>
      </c>
      <c r="L984" s="1587">
        <v>45737.797222222223</v>
      </c>
      <c r="M984" s="1588">
        <v>45737.796527777777</v>
      </c>
    </row>
    <row r="985" spans="1:13" s="104" customFormat="1" ht="19.8" collapsed="1" thickBot="1" x14ac:dyDescent="0.5">
      <c r="A985" s="1660"/>
      <c r="B985" s="1608"/>
      <c r="C985" s="1612"/>
      <c r="D985" s="86" t="s">
        <v>2674</v>
      </c>
      <c r="E985" s="1481">
        <v>45737.458333333336</v>
      </c>
      <c r="F985" s="1481">
        <v>45737.541666666664</v>
      </c>
      <c r="G985" s="1481"/>
      <c r="H985" s="1481"/>
      <c r="I985" s="656"/>
      <c r="J985" s="1481">
        <f t="shared" si="351"/>
        <v>45737.791666666672</v>
      </c>
      <c r="K985" s="1534" t="str">
        <f t="shared" si="357"/>
        <v>00:07:00</v>
      </c>
      <c r="L985" s="1585"/>
      <c r="M985" s="1590"/>
    </row>
    <row r="986" spans="1:13" s="85" customFormat="1" ht="20.399999999999999" thickTop="1" thickBot="1" x14ac:dyDescent="0.5">
      <c r="A986" s="481" t="s">
        <v>991</v>
      </c>
      <c r="B986" s="1479" t="s">
        <v>1184</v>
      </c>
      <c r="C986" s="1524" t="s">
        <v>785</v>
      </c>
      <c r="D986" s="1472" t="s">
        <v>2985</v>
      </c>
      <c r="E986" s="1472">
        <v>45905.477777777778</v>
      </c>
      <c r="F986" s="1472">
        <v>45905.505555555559</v>
      </c>
      <c r="G986" s="1472"/>
      <c r="H986" s="1472"/>
      <c r="I986" s="592"/>
      <c r="J986" s="1472">
        <f t="shared" si="351"/>
        <v>45905.811111111114</v>
      </c>
      <c r="K986" s="662" t="str">
        <f t="shared" ref="K986" si="358">IF($M$986-J986&lt;0, "-" &amp; TEXT(ABS($M$986-J986),"[hh]:mm:ss"), TEXT($M$986-J986,"[hh]:mm:ss"))</f>
        <v>00:11:00</v>
      </c>
      <c r="L986" s="1472">
        <v>45905.815972222219</v>
      </c>
      <c r="M986" s="1471">
        <v>45905.818749999999</v>
      </c>
    </row>
    <row r="987" spans="1:13" ht="20.399999999999999" thickTop="1" thickBot="1" x14ac:dyDescent="0.5">
      <c r="A987" s="481" t="s">
        <v>991</v>
      </c>
      <c r="B987" s="1479" t="s">
        <v>1184</v>
      </c>
      <c r="C987" s="1524" t="s">
        <v>785</v>
      </c>
      <c r="D987" s="1472" t="s">
        <v>3145</v>
      </c>
      <c r="E987" s="1472">
        <v>45971.163888888892</v>
      </c>
      <c r="F987" s="1472">
        <v>45971.189583333333</v>
      </c>
      <c r="G987" s="1472"/>
      <c r="H987" s="1472"/>
      <c r="I987" s="592"/>
      <c r="J987" s="1472">
        <f t="shared" si="351"/>
        <v>45971.497222222228</v>
      </c>
      <c r="K987" s="662" t="str">
        <f>IF($M$987-J987&lt;0, "-" &amp; TEXT(ABS($M$987-J987),"[hh]:mm:ss"), TEXT($M$987-J987,"[hh]:mm:ss"))</f>
        <v>00:06:00</v>
      </c>
      <c r="L987" s="1472">
        <v>45971.504861111112</v>
      </c>
      <c r="M987" s="1471">
        <v>45971.501388888886</v>
      </c>
    </row>
    <row r="988" spans="1:13" ht="20.399999999999999" thickTop="1" thickBot="1" x14ac:dyDescent="0.5">
      <c r="A988" s="314"/>
      <c r="B988" s="314"/>
      <c r="C988" s="633"/>
      <c r="D988" s="84"/>
      <c r="E988" s="84"/>
      <c r="F988" s="84"/>
      <c r="G988" s="84"/>
      <c r="H988" s="84"/>
      <c r="I988" s="597"/>
      <c r="J988" s="84"/>
      <c r="K988" s="664"/>
      <c r="L988" s="84"/>
      <c r="M988" s="626"/>
    </row>
    <row r="989" spans="1:13" ht="19.8" thickTop="1" x14ac:dyDescent="0.45">
      <c r="A989" s="1632" t="s">
        <v>1206</v>
      </c>
      <c r="B989" s="1658" t="s">
        <v>1193</v>
      </c>
      <c r="C989" s="1485" t="s">
        <v>1280</v>
      </c>
      <c r="D989" s="587" t="s">
        <v>1319</v>
      </c>
      <c r="E989" s="1504">
        <v>45174.395833333336</v>
      </c>
      <c r="F989" s="1504">
        <v>45174.423611111109</v>
      </c>
      <c r="G989" s="1504"/>
      <c r="H989" s="1504"/>
      <c r="I989" s="594"/>
      <c r="J989" s="1504">
        <f t="shared" ref="J989:J1017" si="359">E989+TIME(8,0,0)</f>
        <v>45174.729166666672</v>
      </c>
      <c r="K989" s="659" t="str">
        <f t="shared" ref="K989:K992" si="360">IF($M$989-J989&lt;0, "-" &amp; TEXT(ABS($M$989-J989),"[hh]:mm:ss"), TEXT($M$989-J989,"[hh]:mm:ss"))</f>
        <v>00:04:00</v>
      </c>
      <c r="L989" s="1587">
        <v>45174.729166666664</v>
      </c>
      <c r="M989" s="1588">
        <v>45174.731944444444</v>
      </c>
    </row>
    <row r="990" spans="1:13" s="85" customFormat="1" x14ac:dyDescent="0.45">
      <c r="A990" s="1619"/>
      <c r="B990" s="1615"/>
      <c r="C990" s="1489" t="s">
        <v>790</v>
      </c>
      <c r="D990" s="588" t="s">
        <v>1205</v>
      </c>
      <c r="E990" s="1497">
        <v>45174.392361111109</v>
      </c>
      <c r="F990" s="1497">
        <v>45174.418055555558</v>
      </c>
      <c r="G990" s="1497"/>
      <c r="H990" s="1497"/>
      <c r="I990" s="593"/>
      <c r="J990" s="1497">
        <f t="shared" si="359"/>
        <v>45174.725694444445</v>
      </c>
      <c r="K990" s="660" t="str">
        <f t="shared" si="360"/>
        <v>00:09:00</v>
      </c>
      <c r="L990" s="1591"/>
      <c r="M990" s="1589"/>
    </row>
    <row r="991" spans="1:13" x14ac:dyDescent="0.45">
      <c r="A991" s="1619"/>
      <c r="B991" s="1615"/>
      <c r="C991" s="1512" t="s">
        <v>989</v>
      </c>
      <c r="D991" s="1530" t="s">
        <v>1211</v>
      </c>
      <c r="E991" s="1530">
        <v>45174.393055555556</v>
      </c>
      <c r="F991" s="1530">
        <v>45174.423611111109</v>
      </c>
      <c r="G991" s="1530"/>
      <c r="H991" s="1530"/>
      <c r="I991" s="596"/>
      <c r="J991" s="1530">
        <f t="shared" si="359"/>
        <v>45174.726388888892</v>
      </c>
      <c r="K991" s="663" t="str">
        <f t="shared" si="360"/>
        <v>00:08:00</v>
      </c>
      <c r="L991" s="1591"/>
      <c r="M991" s="1589"/>
    </row>
    <row r="992" spans="1:13" ht="19.8" thickBot="1" x14ac:dyDescent="0.5">
      <c r="A992" s="1633"/>
      <c r="B992" s="1616"/>
      <c r="C992" s="1474" t="s">
        <v>1207</v>
      </c>
      <c r="D992" s="82" t="s">
        <v>1208</v>
      </c>
      <c r="E992" s="1514">
        <v>45174.396527777775</v>
      </c>
      <c r="F992" s="1514">
        <v>45174.433333333334</v>
      </c>
      <c r="G992" s="1514"/>
      <c r="H992" s="1514"/>
      <c r="I992" s="595"/>
      <c r="J992" s="1514">
        <f t="shared" si="359"/>
        <v>45174.729861111111</v>
      </c>
      <c r="K992" s="661" t="str">
        <f t="shared" si="360"/>
        <v>00:03:00</v>
      </c>
      <c r="L992" s="1585"/>
      <c r="M992" s="1590"/>
    </row>
    <row r="993" spans="1:13" ht="19.8" thickTop="1" x14ac:dyDescent="0.45">
      <c r="A993" s="1632" t="s">
        <v>1206</v>
      </c>
      <c r="B993" s="1614" t="s">
        <v>1193</v>
      </c>
      <c r="C993" s="1485" t="s">
        <v>1280</v>
      </c>
      <c r="D993" s="587" t="s">
        <v>1970</v>
      </c>
      <c r="E993" s="1504">
        <v>45441.333333333336</v>
      </c>
      <c r="F993" s="1504">
        <v>45441.375</v>
      </c>
      <c r="G993" s="1504"/>
      <c r="H993" s="1504"/>
      <c r="I993" s="594"/>
      <c r="J993" s="1504">
        <f t="shared" si="359"/>
        <v>45441.666666666672</v>
      </c>
      <c r="K993" s="659" t="str">
        <f t="shared" ref="K993:K996" si="361">IF($M$993-J993&lt;0, "-" &amp; TEXT(ABS($M$993-J993),"[hh]:mm:ss"), TEXT($M$993-J993,"[hh]:mm:ss"))</f>
        <v>00:12:00</v>
      </c>
      <c r="L993" s="1587">
        <v>45441.67291666667</v>
      </c>
      <c r="M993" s="1588">
        <v>45441.675000000003</v>
      </c>
    </row>
    <row r="994" spans="1:13" s="85" customFormat="1" x14ac:dyDescent="0.45">
      <c r="A994" s="1619"/>
      <c r="B994" s="1615"/>
      <c r="C994" s="1489" t="s">
        <v>790</v>
      </c>
      <c r="D994" s="588" t="s">
        <v>1943</v>
      </c>
      <c r="E994" s="1497">
        <v>45441.333333333336</v>
      </c>
      <c r="F994" s="1497">
        <v>45441.368055555555</v>
      </c>
      <c r="G994" s="1497"/>
      <c r="H994" s="1497"/>
      <c r="I994" s="593"/>
      <c r="J994" s="1497">
        <f t="shared" si="359"/>
        <v>45441.666666666672</v>
      </c>
      <c r="K994" s="660" t="str">
        <f t="shared" si="361"/>
        <v>00:12:00</v>
      </c>
      <c r="L994" s="1591"/>
      <c r="M994" s="1589"/>
    </row>
    <row r="995" spans="1:13" s="104" customFormat="1" x14ac:dyDescent="0.45">
      <c r="A995" s="1619"/>
      <c r="B995" s="1615"/>
      <c r="C995" s="1613" t="s">
        <v>989</v>
      </c>
      <c r="D995" s="1530" t="s">
        <v>1944</v>
      </c>
      <c r="E995" s="1530">
        <v>45441.334027777775</v>
      </c>
      <c r="F995" s="1530">
        <v>45441.375694444447</v>
      </c>
      <c r="G995" s="1530"/>
      <c r="H995" s="1530"/>
      <c r="I995" s="596"/>
      <c r="J995" s="1530">
        <f t="shared" si="359"/>
        <v>45441.667361111111</v>
      </c>
      <c r="K995" s="663" t="str">
        <f t="shared" si="361"/>
        <v>00:11:00</v>
      </c>
      <c r="L995" s="1591"/>
      <c r="M995" s="1589"/>
    </row>
    <row r="996" spans="1:13" s="104" customFormat="1" ht="19.8" thickBot="1" x14ac:dyDescent="0.5">
      <c r="A996" s="1633"/>
      <c r="B996" s="1616"/>
      <c r="C996" s="1612"/>
      <c r="D996" s="82" t="s">
        <v>1932</v>
      </c>
      <c r="E996" s="1514">
        <v>45441.333333333336</v>
      </c>
      <c r="F996" s="1514">
        <v>45441.583333333336</v>
      </c>
      <c r="G996" s="1514"/>
      <c r="H996" s="1514"/>
      <c r="I996" s="595"/>
      <c r="J996" s="1514">
        <f t="shared" si="359"/>
        <v>45441.666666666672</v>
      </c>
      <c r="K996" s="661" t="str">
        <f t="shared" si="361"/>
        <v>00:12:00</v>
      </c>
      <c r="L996" s="1585"/>
      <c r="M996" s="1590"/>
    </row>
    <row r="997" spans="1:13" s="104" customFormat="1" ht="19.8" thickTop="1" x14ac:dyDescent="0.45">
      <c r="A997" s="1632" t="s">
        <v>1206</v>
      </c>
      <c r="B997" s="1614" t="s">
        <v>1193</v>
      </c>
      <c r="C997" s="1485" t="s">
        <v>1280</v>
      </c>
      <c r="D997" s="587" t="s">
        <v>2517</v>
      </c>
      <c r="E997" s="1504">
        <v>45645.395833333336</v>
      </c>
      <c r="F997" s="1504">
        <v>45647.479166666664</v>
      </c>
      <c r="G997" s="1504"/>
      <c r="H997" s="1504"/>
      <c r="I997" s="594"/>
      <c r="J997" s="1504">
        <f t="shared" si="359"/>
        <v>45645.729166666672</v>
      </c>
      <c r="K997" s="659" t="str">
        <f t="shared" ref="K997:K1000" si="362">IF($M$997-J997&lt;0, "-" &amp; TEXT(ABS($M$997-J997),"[hh]:mm:ss"), TEXT($M$997-J997,"[hh]:mm:ss"))</f>
        <v>00:48:00</v>
      </c>
      <c r="L997" s="1587">
        <v>45645.763194444444</v>
      </c>
      <c r="M997" s="1588">
        <v>45645.762499999997</v>
      </c>
    </row>
    <row r="998" spans="1:13" s="85" customFormat="1" x14ac:dyDescent="0.45">
      <c r="A998" s="1619"/>
      <c r="B998" s="1615"/>
      <c r="C998" s="1489" t="s">
        <v>790</v>
      </c>
      <c r="D998" s="588" t="s">
        <v>2509</v>
      </c>
      <c r="E998" s="1497">
        <v>45645.421527777777</v>
      </c>
      <c r="F998" s="1497">
        <v>45645.441666666666</v>
      </c>
      <c r="G998" s="1497"/>
      <c r="H998" s="1497"/>
      <c r="I998" s="593"/>
      <c r="J998" s="1497">
        <f t="shared" si="359"/>
        <v>45645.754861111112</v>
      </c>
      <c r="K998" s="660" t="str">
        <f t="shared" si="362"/>
        <v>00:11:00</v>
      </c>
      <c r="L998" s="1591"/>
      <c r="M998" s="1589"/>
    </row>
    <row r="999" spans="1:13" s="104" customFormat="1" x14ac:dyDescent="0.45">
      <c r="A999" s="1619"/>
      <c r="B999" s="1615"/>
      <c r="C999" s="1613" t="s">
        <v>989</v>
      </c>
      <c r="D999" s="1530" t="s">
        <v>2510</v>
      </c>
      <c r="E999" s="1530">
        <v>45645.422222222223</v>
      </c>
      <c r="F999" s="1530">
        <v>45645.449305555558</v>
      </c>
      <c r="G999" s="1530"/>
      <c r="H999" s="1530"/>
      <c r="I999" s="596"/>
      <c r="J999" s="1530">
        <f t="shared" si="359"/>
        <v>45645.755555555559</v>
      </c>
      <c r="K999" s="663" t="str">
        <f t="shared" si="362"/>
        <v>00:10:00</v>
      </c>
      <c r="L999" s="1591"/>
      <c r="M999" s="1589"/>
    </row>
    <row r="1000" spans="1:13" s="104" customFormat="1" ht="19.8" thickBot="1" x14ac:dyDescent="0.5">
      <c r="A1000" s="1633"/>
      <c r="B1000" s="1616"/>
      <c r="C1000" s="1612"/>
      <c r="D1000" s="82" t="s">
        <v>2485</v>
      </c>
      <c r="E1000" s="1514">
        <v>45645</v>
      </c>
      <c r="F1000" s="1514">
        <v>45645.166666666664</v>
      </c>
      <c r="G1000" s="1514"/>
      <c r="H1000" s="1514"/>
      <c r="I1000" s="595"/>
      <c r="J1000" s="1514">
        <f t="shared" si="359"/>
        <v>45645.333333333336</v>
      </c>
      <c r="K1000" s="661" t="str">
        <f t="shared" si="362"/>
        <v>10:18:00</v>
      </c>
      <c r="L1000" s="1585"/>
      <c r="M1000" s="1590"/>
    </row>
    <row r="1001" spans="1:13" s="104" customFormat="1" ht="19.8" thickTop="1" x14ac:dyDescent="0.45">
      <c r="A1001" s="1632" t="s">
        <v>1206</v>
      </c>
      <c r="B1001" s="1614" t="s">
        <v>1193</v>
      </c>
      <c r="C1001" s="1485" t="s">
        <v>1280</v>
      </c>
      <c r="D1001" s="587" t="s">
        <v>2822</v>
      </c>
      <c r="E1001" s="1504">
        <v>45796.291666666664</v>
      </c>
      <c r="F1001" s="1504">
        <v>45796.333333333336</v>
      </c>
      <c r="G1001" s="1504"/>
      <c r="H1001" s="1504"/>
      <c r="I1001" s="594"/>
      <c r="J1001" s="1504">
        <f t="shared" si="359"/>
        <v>45796.625</v>
      </c>
      <c r="K1001" s="659" t="str">
        <f t="shared" ref="K1001:K1004" si="363">IF($M$1001-J1001&lt;0, "-" &amp; TEXT(ABS($M$1001-J1001),"[hh]:mm:ss"), TEXT($M$1001-J1001,"[hh]:mm:ss"))</f>
        <v>00:38:00</v>
      </c>
      <c r="L1001" s="1587">
        <v>45796.651388888888</v>
      </c>
      <c r="M1001" s="1588">
        <v>45796.651388888888</v>
      </c>
    </row>
    <row r="1002" spans="1:13" s="85" customFormat="1" x14ac:dyDescent="0.45">
      <c r="A1002" s="1619"/>
      <c r="B1002" s="1615"/>
      <c r="C1002" s="1489" t="s">
        <v>790</v>
      </c>
      <c r="D1002" s="588" t="s">
        <v>2810</v>
      </c>
      <c r="E1002" s="1497">
        <v>45796.311805555553</v>
      </c>
      <c r="F1002" s="1497">
        <v>45796.331250000003</v>
      </c>
      <c r="G1002" s="1497"/>
      <c r="H1002" s="1497"/>
      <c r="I1002" s="593"/>
      <c r="J1002" s="1497">
        <f t="shared" si="359"/>
        <v>45796.645138888889</v>
      </c>
      <c r="K1002" s="660" t="str">
        <f t="shared" si="363"/>
        <v>00:09:00</v>
      </c>
      <c r="L1002" s="1591"/>
      <c r="M1002" s="1589"/>
    </row>
    <row r="1003" spans="1:13" s="104" customFormat="1" collapsed="1" x14ac:dyDescent="0.45">
      <c r="A1003" s="1619"/>
      <c r="B1003" s="1615"/>
      <c r="C1003" s="1613" t="s">
        <v>989</v>
      </c>
      <c r="D1003" s="1530" t="s">
        <v>2818</v>
      </c>
      <c r="E1003" s="1530">
        <v>45796.3125</v>
      </c>
      <c r="F1003" s="1530">
        <v>45796.338888888888</v>
      </c>
      <c r="G1003" s="1530"/>
      <c r="H1003" s="1530"/>
      <c r="I1003" s="596"/>
      <c r="J1003" s="1530">
        <f t="shared" si="359"/>
        <v>45796.645833333336</v>
      </c>
      <c r="K1003" s="663" t="str">
        <f t="shared" si="363"/>
        <v>00:08:00</v>
      </c>
      <c r="L1003" s="1591"/>
      <c r="M1003" s="1589"/>
    </row>
    <row r="1004" spans="1:13" s="104" customFormat="1" ht="19.8" thickBot="1" x14ac:dyDescent="0.5">
      <c r="A1004" s="1633"/>
      <c r="B1004" s="1616"/>
      <c r="C1004" s="1612"/>
      <c r="D1004" s="82" t="s">
        <v>2795</v>
      </c>
      <c r="E1004" s="1514">
        <v>45796.25</v>
      </c>
      <c r="F1004" s="1514">
        <v>45796.5</v>
      </c>
      <c r="G1004" s="1514"/>
      <c r="H1004" s="1514"/>
      <c r="I1004" s="595"/>
      <c r="J1004" s="1514">
        <f t="shared" si="359"/>
        <v>45796.583333333336</v>
      </c>
      <c r="K1004" s="661" t="str">
        <f t="shared" si="363"/>
        <v>01:38:00</v>
      </c>
      <c r="L1004" s="1585"/>
      <c r="M1004" s="1590"/>
    </row>
    <row r="1005" spans="1:13" s="104" customFormat="1" ht="19.8" thickTop="1" x14ac:dyDescent="0.45">
      <c r="A1005" s="1632" t="s">
        <v>1206</v>
      </c>
      <c r="B1005" s="1614" t="s">
        <v>1193</v>
      </c>
      <c r="C1005" s="1485" t="s">
        <v>1407</v>
      </c>
      <c r="D1005" s="587" t="s">
        <v>2085</v>
      </c>
      <c r="E1005" s="1504">
        <v>45533.1875</v>
      </c>
      <c r="F1005" s="1504">
        <v>45533.25</v>
      </c>
      <c r="G1005" s="1504"/>
      <c r="H1005" s="1504"/>
      <c r="I1005" s="594"/>
      <c r="J1005" s="1504">
        <f t="shared" si="359"/>
        <v>45533.520833333336</v>
      </c>
      <c r="K1005" s="659" t="str">
        <f t="shared" ref="K1005:K1012" si="364">IF($M$1005-J1005&lt;0, "-" &amp; TEXT(ABS($M$1005-J1005),"[hh]:mm:ss"), TEXT($M$1005-J1005,"[hh]:mm:ss"))</f>
        <v>00:52:00</v>
      </c>
      <c r="L1005" s="1587">
        <v>45533.556944444441</v>
      </c>
      <c r="M1005" s="1588">
        <v>45533.556944444441</v>
      </c>
    </row>
    <row r="1006" spans="1:13" s="104" customFormat="1" x14ac:dyDescent="0.45">
      <c r="A1006" s="1619"/>
      <c r="B1006" s="1615"/>
      <c r="C1006" s="1651" t="s">
        <v>790</v>
      </c>
      <c r="D1006" s="588" t="s">
        <v>2080</v>
      </c>
      <c r="E1006" s="1497">
        <v>45533.215277777781</v>
      </c>
      <c r="F1006" s="1497">
        <v>45533.232638888891</v>
      </c>
      <c r="G1006" s="1497"/>
      <c r="H1006" s="1497"/>
      <c r="I1006" s="593"/>
      <c r="J1006" s="1497">
        <f t="shared" si="359"/>
        <v>45533.548611111117</v>
      </c>
      <c r="K1006" s="660" t="str">
        <f t="shared" si="364"/>
        <v>00:12:00</v>
      </c>
      <c r="L1006" s="1591"/>
      <c r="M1006" s="1589"/>
    </row>
    <row r="1007" spans="1:13" s="104" customFormat="1" x14ac:dyDescent="0.45">
      <c r="A1007" s="1619"/>
      <c r="B1007" s="1615"/>
      <c r="C1007" s="1617"/>
      <c r="D1007" s="588" t="s">
        <v>2081</v>
      </c>
      <c r="E1007" s="1497">
        <v>45533.215277777781</v>
      </c>
      <c r="F1007" s="1497">
        <v>45533.236111111109</v>
      </c>
      <c r="G1007" s="1497"/>
      <c r="H1007" s="1497"/>
      <c r="I1007" s="593"/>
      <c r="J1007" s="1497">
        <f t="shared" si="359"/>
        <v>45533.548611111117</v>
      </c>
      <c r="K1007" s="660" t="str">
        <f t="shared" si="364"/>
        <v>00:12:00</v>
      </c>
      <c r="L1007" s="1591"/>
      <c r="M1007" s="1589"/>
    </row>
    <row r="1008" spans="1:13" s="104" customFormat="1" x14ac:dyDescent="0.45">
      <c r="A1008" s="1619"/>
      <c r="B1008" s="1615"/>
      <c r="C1008" s="1489" t="s">
        <v>803</v>
      </c>
      <c r="D1008" s="588" t="s">
        <v>2082</v>
      </c>
      <c r="E1008" s="1497">
        <v>45533.21597222222</v>
      </c>
      <c r="F1008" s="1497">
        <v>45533.241666666669</v>
      </c>
      <c r="G1008" s="1497"/>
      <c r="H1008" s="1497"/>
      <c r="I1008" s="593"/>
      <c r="J1008" s="1497">
        <f t="shared" si="359"/>
        <v>45533.549305555556</v>
      </c>
      <c r="K1008" s="660" t="str">
        <f t="shared" si="364"/>
        <v>00:11:00</v>
      </c>
      <c r="L1008" s="1591"/>
      <c r="M1008" s="1589"/>
    </row>
    <row r="1009" spans="1:13" s="104" customFormat="1" x14ac:dyDescent="0.45">
      <c r="A1009" s="1619"/>
      <c r="B1009" s="1615"/>
      <c r="C1009" s="1512" t="s">
        <v>1978</v>
      </c>
      <c r="D1009" s="588" t="s">
        <v>2084</v>
      </c>
      <c r="E1009" s="1497">
        <v>45533.218055555553</v>
      </c>
      <c r="F1009" s="1497">
        <v>45533.24722222222</v>
      </c>
      <c r="G1009" s="1530"/>
      <c r="H1009" s="1530"/>
      <c r="I1009" s="596"/>
      <c r="J1009" s="1530">
        <f t="shared" si="359"/>
        <v>45533.551388888889</v>
      </c>
      <c r="K1009" s="663" t="str">
        <f t="shared" si="364"/>
        <v>00:08:00</v>
      </c>
      <c r="L1009" s="1591"/>
      <c r="M1009" s="1589"/>
    </row>
    <row r="1010" spans="1:13" s="85" customFormat="1" x14ac:dyDescent="0.45">
      <c r="A1010" s="1619"/>
      <c r="B1010" s="1615"/>
      <c r="C1010" s="1512" t="s">
        <v>797</v>
      </c>
      <c r="D1010" s="588" t="s">
        <v>2083</v>
      </c>
      <c r="E1010" s="1497">
        <v>45533.218055555553</v>
      </c>
      <c r="F1010" s="1497">
        <v>45533.24722222222</v>
      </c>
      <c r="G1010" s="1530"/>
      <c r="H1010" s="1530"/>
      <c r="I1010" s="596"/>
      <c r="J1010" s="1530">
        <f t="shared" si="359"/>
        <v>45533.551388888889</v>
      </c>
      <c r="K1010" s="663" t="str">
        <f t="shared" si="364"/>
        <v>00:08:00</v>
      </c>
      <c r="L1010" s="1591"/>
      <c r="M1010" s="1589"/>
    </row>
    <row r="1011" spans="1:13" x14ac:dyDescent="0.45">
      <c r="A1011" s="1619"/>
      <c r="B1011" s="1615"/>
      <c r="C1011" s="1489" t="s">
        <v>1171</v>
      </c>
      <c r="D1011" s="588" t="s">
        <v>2075</v>
      </c>
      <c r="E1011" s="1497">
        <v>45533.083333333336</v>
      </c>
      <c r="F1011" s="1497">
        <v>45533.333333333336</v>
      </c>
      <c r="G1011" s="1530"/>
      <c r="H1011" s="1530"/>
      <c r="I1011" s="593"/>
      <c r="J1011" s="1530">
        <f t="shared" si="359"/>
        <v>45533.416666666672</v>
      </c>
      <c r="K1011" s="663" t="str">
        <f t="shared" si="364"/>
        <v>03:22:00</v>
      </c>
      <c r="L1011" s="1591"/>
      <c r="M1011" s="1589"/>
    </row>
    <row r="1012" spans="1:13" s="85" customFormat="1" ht="19.8" thickBot="1" x14ac:dyDescent="0.5">
      <c r="A1012" s="1633"/>
      <c r="B1012" s="1616"/>
      <c r="C1012" s="1484" t="s">
        <v>2076</v>
      </c>
      <c r="D1012" s="1514" t="s">
        <v>2074</v>
      </c>
      <c r="E1012" s="1514">
        <v>45533.083333333336</v>
      </c>
      <c r="F1012" s="1514">
        <v>45533.333333333336</v>
      </c>
      <c r="G1012" s="1514"/>
      <c r="H1012" s="1514"/>
      <c r="I1012" s="595"/>
      <c r="J1012" s="1514">
        <f t="shared" si="359"/>
        <v>45533.416666666672</v>
      </c>
      <c r="K1012" s="661" t="str">
        <f t="shared" si="364"/>
        <v>03:22:00</v>
      </c>
      <c r="L1012" s="1585"/>
      <c r="M1012" s="1590"/>
    </row>
    <row r="1013" spans="1:13" s="104" customFormat="1" ht="19.8" thickTop="1" x14ac:dyDescent="0.45">
      <c r="A1013" s="1632" t="s">
        <v>1206</v>
      </c>
      <c r="B1013" s="1614" t="s">
        <v>1193</v>
      </c>
      <c r="C1013" s="1485" t="s">
        <v>1280</v>
      </c>
      <c r="D1013" s="587" t="s">
        <v>3368</v>
      </c>
      <c r="E1013" s="1504">
        <v>46037.791666666664</v>
      </c>
      <c r="F1013" s="1504">
        <v>46037.875</v>
      </c>
      <c r="G1013" s="1504"/>
      <c r="H1013" s="1504"/>
      <c r="I1013" s="594"/>
      <c r="J1013" s="1504">
        <f t="shared" si="359"/>
        <v>46038.125</v>
      </c>
      <c r="K1013" s="659" t="str">
        <f>IF($M$1013-J1013&lt;0, "-" &amp; TEXT(ABS($M$1013-J1013),"[hh]:mm:ss"), TEXT($M$1013-J1013,"[hh]:mm:ss"))</f>
        <v>01:10:00</v>
      </c>
      <c r="L1013" s="1587">
        <v>46038.173611111109</v>
      </c>
      <c r="M1013" s="1588">
        <v>46038.173611111109</v>
      </c>
    </row>
    <row r="1014" spans="1:13" s="85" customFormat="1" x14ac:dyDescent="0.45">
      <c r="A1014" s="1619"/>
      <c r="B1014" s="1615"/>
      <c r="C1014" s="1489" t="s">
        <v>790</v>
      </c>
      <c r="D1014" s="588" t="s">
        <v>3362</v>
      </c>
      <c r="E1014" s="1497">
        <v>46037.831944444442</v>
      </c>
      <c r="F1014" s="1497">
        <v>46037.851388888892</v>
      </c>
      <c r="G1014" s="1497"/>
      <c r="H1014" s="1497"/>
      <c r="I1014" s="593"/>
      <c r="J1014" s="1497">
        <f t="shared" si="359"/>
        <v>46038.165277777778</v>
      </c>
      <c r="K1014" s="660" t="str">
        <f t="shared" ref="K1014:K1017" si="365">IF($M$1013-J1014&lt;0, "-" &amp; TEXT(ABS($M$1013-J1014),"[hh]:mm:ss"), TEXT($M$1013-J1014,"[hh]:mm:ss"))</f>
        <v>00:12:00</v>
      </c>
      <c r="L1014" s="1591"/>
      <c r="M1014" s="1589"/>
    </row>
    <row r="1015" spans="1:13" s="85" customFormat="1" x14ac:dyDescent="0.45">
      <c r="A1015" s="1619"/>
      <c r="B1015" s="1615"/>
      <c r="C1015" s="1594" t="s">
        <v>989</v>
      </c>
      <c r="D1015" s="588" t="s">
        <v>3374</v>
      </c>
      <c r="E1015" s="1497">
        <v>46037.832638888889</v>
      </c>
      <c r="F1015" s="1497">
        <v>46037.859027777777</v>
      </c>
      <c r="G1015" s="1497"/>
      <c r="H1015" s="1497"/>
      <c r="I1015" s="593"/>
      <c r="J1015" s="1497">
        <f t="shared" si="359"/>
        <v>46038.165972222225</v>
      </c>
      <c r="K1015" s="660" t="str">
        <f t="shared" si="365"/>
        <v>00:11:00</v>
      </c>
      <c r="L1015" s="1591"/>
      <c r="M1015" s="1589"/>
    </row>
    <row r="1016" spans="1:13" s="104" customFormat="1" collapsed="1" x14ac:dyDescent="0.45">
      <c r="A1016" s="1619"/>
      <c r="B1016" s="1615"/>
      <c r="C1016" s="1595"/>
      <c r="D1016" s="1530" t="s">
        <v>3352</v>
      </c>
      <c r="E1016" s="1530">
        <v>46037.8125</v>
      </c>
      <c r="F1016" s="1530">
        <v>46037.958333333336</v>
      </c>
      <c r="G1016" s="1530"/>
      <c r="H1016" s="1530"/>
      <c r="I1016" s="596"/>
      <c r="J1016" s="1530">
        <f t="shared" si="359"/>
        <v>46038.145833333336</v>
      </c>
      <c r="K1016" s="663" t="str">
        <f t="shared" si="365"/>
        <v>00:40:00</v>
      </c>
      <c r="L1016" s="1591"/>
      <c r="M1016" s="1589"/>
    </row>
    <row r="1017" spans="1:13" s="104" customFormat="1" ht="19.8" thickBot="1" x14ac:dyDescent="0.5">
      <c r="A1017" s="1633"/>
      <c r="B1017" s="1616"/>
      <c r="C1017" s="1625"/>
      <c r="D1017" s="82" t="s">
        <v>3353</v>
      </c>
      <c r="E1017" s="1514">
        <v>46037.8125</v>
      </c>
      <c r="F1017" s="1514">
        <v>46037.958333333336</v>
      </c>
      <c r="G1017" s="1514"/>
      <c r="H1017" s="1514"/>
      <c r="I1017" s="595"/>
      <c r="J1017" s="1514">
        <f t="shared" si="359"/>
        <v>46038.145833333336</v>
      </c>
      <c r="K1017" s="661" t="str">
        <f t="shared" si="365"/>
        <v>00:40:00</v>
      </c>
      <c r="L1017" s="1585"/>
      <c r="M1017" s="1590"/>
    </row>
    <row r="1018" spans="1:13" ht="20.399999999999999" thickTop="1" thickBot="1" x14ac:dyDescent="0.5">
      <c r="A1018" s="314"/>
      <c r="B1018" s="314"/>
      <c r="C1018" s="635"/>
      <c r="D1018" s="90"/>
      <c r="E1018" s="90"/>
      <c r="F1018" s="90"/>
      <c r="G1018" s="90"/>
      <c r="H1018" s="90"/>
      <c r="I1018" s="599"/>
      <c r="J1018" s="90"/>
      <c r="K1018" s="666"/>
      <c r="L1018" s="314"/>
      <c r="M1018" s="623"/>
    </row>
    <row r="1019" spans="1:13" s="104" customFormat="1" ht="19.8" thickTop="1" x14ac:dyDescent="0.45">
      <c r="A1019" s="1659" t="s">
        <v>2459</v>
      </c>
      <c r="B1019" s="1629" t="s">
        <v>1184</v>
      </c>
      <c r="C1019" s="1485" t="s">
        <v>978</v>
      </c>
      <c r="D1019" s="1504" t="s">
        <v>3365</v>
      </c>
      <c r="E1019" s="1504">
        <v>46039.164583333331</v>
      </c>
      <c r="F1019" s="1504">
        <v>46039.180555555555</v>
      </c>
      <c r="G1019" s="1504"/>
      <c r="H1019" s="1504"/>
      <c r="I1019" s="594"/>
      <c r="J1019" s="1504">
        <f t="shared" ref="J1019:J1024" si="366">E1019+TIME(8,0,0)</f>
        <v>46039.497916666667</v>
      </c>
      <c r="K1019" s="659" t="str">
        <f t="shared" ref="K1019:K1024" si="367">IF($M$1019-J1019&lt;0, "-" &amp; TEXT(ABS($M$1019-J1019),"[hh]:mm:ss"), TEXT($M$1019-J1019,"[hh]:mm:ss"))</f>
        <v>00:11:00</v>
      </c>
      <c r="L1019" s="1587">
        <v>46029.465277777781</v>
      </c>
      <c r="M1019" s="1588">
        <v>46039.505555555559</v>
      </c>
    </row>
    <row r="1020" spans="1:13" s="104" customFormat="1" x14ac:dyDescent="0.45">
      <c r="A1020" s="1666"/>
      <c r="B1020" s="1630"/>
      <c r="C1020" s="1512" t="s">
        <v>3260</v>
      </c>
      <c r="D1020" s="1530" t="s">
        <v>3366</v>
      </c>
      <c r="E1020" s="1530">
        <v>46039.165972222225</v>
      </c>
      <c r="F1020" s="1530">
        <v>46039.18472222222</v>
      </c>
      <c r="G1020" s="1530"/>
      <c r="H1020" s="1530"/>
      <c r="I1020" s="596"/>
      <c r="J1020" s="1530">
        <f t="shared" si="366"/>
        <v>46039.499305555561</v>
      </c>
      <c r="K1020" s="663" t="str">
        <f t="shared" si="367"/>
        <v>00:09:00</v>
      </c>
      <c r="L1020" s="1591"/>
      <c r="M1020" s="1589"/>
    </row>
    <row r="1021" spans="1:13" s="104" customFormat="1" x14ac:dyDescent="0.45">
      <c r="A1021" s="1666"/>
      <c r="B1021" s="1630"/>
      <c r="C1021" s="1486" t="s">
        <v>1001</v>
      </c>
      <c r="D1021" s="1530" t="s">
        <v>3367</v>
      </c>
      <c r="E1021" s="1530">
        <v>46039.165972222225</v>
      </c>
      <c r="F1021" s="1530">
        <v>46039.183333333334</v>
      </c>
      <c r="G1021" s="1530"/>
      <c r="H1021" s="1530"/>
      <c r="I1021" s="596"/>
      <c r="J1021" s="1530">
        <f t="shared" si="366"/>
        <v>46039.499305555561</v>
      </c>
      <c r="K1021" s="663" t="str">
        <f t="shared" si="367"/>
        <v>00:09:00</v>
      </c>
      <c r="L1021" s="1591"/>
      <c r="M1021" s="1589"/>
    </row>
    <row r="1022" spans="1:13" s="104" customFormat="1" x14ac:dyDescent="0.45">
      <c r="A1022" s="1666"/>
      <c r="B1022" s="1630"/>
      <c r="C1022" s="1594" t="s">
        <v>3319</v>
      </c>
      <c r="D1022" s="1530" t="s">
        <v>3369</v>
      </c>
      <c r="E1022" s="1530">
        <v>46039.166666666664</v>
      </c>
      <c r="F1022" s="1530">
        <v>46039.194444444445</v>
      </c>
      <c r="G1022" s="1530"/>
      <c r="H1022" s="1530"/>
      <c r="I1022" s="596"/>
      <c r="J1022" s="1530">
        <f t="shared" si="366"/>
        <v>46039.5</v>
      </c>
      <c r="K1022" s="663" t="str">
        <f t="shared" si="367"/>
        <v>00:08:00</v>
      </c>
      <c r="L1022" s="1591"/>
      <c r="M1022" s="1589"/>
    </row>
    <row r="1023" spans="1:13" s="104" customFormat="1" x14ac:dyDescent="0.45">
      <c r="A1023" s="1666"/>
      <c r="B1023" s="1630"/>
      <c r="C1023" s="1628"/>
      <c r="D1023" s="1530" t="s">
        <v>3354</v>
      </c>
      <c r="E1023" s="1530">
        <v>46039.125</v>
      </c>
      <c r="F1023" s="1530">
        <v>46039.25</v>
      </c>
      <c r="G1023" s="1530"/>
      <c r="H1023" s="1530"/>
      <c r="I1023" s="596"/>
      <c r="J1023" s="1530">
        <f t="shared" si="366"/>
        <v>46039.458333333336</v>
      </c>
      <c r="K1023" s="663" t="str">
        <f t="shared" si="367"/>
        <v>01:08:00</v>
      </c>
      <c r="L1023" s="1591"/>
      <c r="M1023" s="1589"/>
    </row>
    <row r="1024" spans="1:13" s="104" customFormat="1" ht="19.8" thickBot="1" x14ac:dyDescent="0.5">
      <c r="A1024" s="1660"/>
      <c r="B1024" s="1631"/>
      <c r="C1024" s="1519" t="s">
        <v>977</v>
      </c>
      <c r="D1024" s="1481" t="s">
        <v>3380</v>
      </c>
      <c r="E1024" s="1481">
        <v>46039.166666666664</v>
      </c>
      <c r="F1024" s="1481">
        <v>46039.194444444445</v>
      </c>
      <c r="G1024" s="1481"/>
      <c r="H1024" s="1481"/>
      <c r="I1024" s="656"/>
      <c r="J1024" s="1481">
        <f t="shared" si="366"/>
        <v>46039.5</v>
      </c>
      <c r="K1024" s="1534" t="str">
        <f t="shared" si="367"/>
        <v>00:08:00</v>
      </c>
      <c r="L1024" s="1585"/>
      <c r="M1024" s="1590"/>
    </row>
    <row r="1025" spans="1:13" ht="20.399999999999999" thickTop="1" thickBot="1" x14ac:dyDescent="0.5">
      <c r="A1025" s="314"/>
      <c r="B1025" s="314"/>
      <c r="C1025" s="633"/>
      <c r="D1025" s="84"/>
      <c r="E1025" s="84"/>
      <c r="F1025" s="84"/>
      <c r="G1025" s="84"/>
      <c r="H1025" s="84"/>
      <c r="I1025" s="597"/>
      <c r="J1025" s="84"/>
      <c r="K1025" s="664"/>
      <c r="L1025" s="84"/>
      <c r="M1025" s="626"/>
    </row>
    <row r="1026" spans="1:13" s="104" customFormat="1" ht="19.8" thickTop="1" x14ac:dyDescent="0.45">
      <c r="A1026" s="1647" t="s">
        <v>1759</v>
      </c>
      <c r="B1026" s="1598" t="s">
        <v>1184</v>
      </c>
      <c r="C1026" s="1748"/>
      <c r="D1026" s="1493"/>
      <c r="E1026" s="1493"/>
      <c r="F1026" s="1493"/>
      <c r="G1026" s="1493"/>
      <c r="H1026" s="1493"/>
      <c r="I1026" s="606"/>
      <c r="J1026" s="1493">
        <f t="shared" ref="J1026:J1027" si="368">E1026+TIME(8,0,0)</f>
        <v>0.33333333333333331</v>
      </c>
      <c r="K1026" s="674" t="str">
        <f>IF($M$1026-J1026&lt;0, "-" &amp; TEXT(ABS($M$1026-J1026),"[hh]:mm:ss"), TEXT($M$1026-J1026,"[hh]:mm:ss"))</f>
        <v>-08:00:00</v>
      </c>
      <c r="L1026" s="1601"/>
      <c r="M1026" s="1604"/>
    </row>
    <row r="1027" spans="1:13" s="104" customFormat="1" ht="19.8" collapsed="1" thickBot="1" x14ac:dyDescent="0.5">
      <c r="A1027" s="1649"/>
      <c r="B1027" s="1600"/>
      <c r="C1027" s="1673"/>
      <c r="D1027" s="129"/>
      <c r="E1027" s="1476"/>
      <c r="F1027" s="1476"/>
      <c r="G1027" s="1476"/>
      <c r="H1027" s="1476"/>
      <c r="I1027" s="603"/>
      <c r="J1027" s="1476">
        <f t="shared" si="368"/>
        <v>0.33333333333333331</v>
      </c>
      <c r="K1027" s="670" t="str">
        <f>IF($M$1026-J1027&lt;0, "-" &amp; TEXT(ABS($M$1026-J1027),"[hh]:mm:ss"), TEXT($M$1026-J1027,"[hh]:mm:ss"))</f>
        <v>-08:00:00</v>
      </c>
      <c r="L1027" s="1603"/>
      <c r="M1027" s="1606"/>
    </row>
    <row r="1028" spans="1:13" s="104" customFormat="1" ht="20.399999999999999" thickTop="1" thickBot="1" x14ac:dyDescent="0.5">
      <c r="A1028" s="1502"/>
      <c r="B1028" s="1155"/>
      <c r="C1028" s="1156"/>
      <c r="D1028" s="1157"/>
      <c r="E1028" s="1509"/>
      <c r="F1028" s="1509"/>
      <c r="G1028" s="1509"/>
      <c r="H1028" s="1509"/>
      <c r="I1028" s="1158"/>
      <c r="J1028" s="1509"/>
      <c r="K1028" s="1159"/>
      <c r="L1028" s="1476"/>
      <c r="M1028" s="1466"/>
    </row>
    <row r="1029" spans="1:13" ht="20.399999999999999" thickTop="1" thickBot="1" x14ac:dyDescent="0.5">
      <c r="A1029" s="1582" t="s">
        <v>695</v>
      </c>
      <c r="B1029" s="1582" t="s">
        <v>9</v>
      </c>
      <c r="C1029" s="650" t="s">
        <v>784</v>
      </c>
      <c r="D1029" s="588"/>
      <c r="E1029" s="1497">
        <v>44769.166666666664</v>
      </c>
      <c r="F1029" s="1497">
        <v>44769.199305555558</v>
      </c>
      <c r="G1029" s="1497"/>
      <c r="H1029" s="1497"/>
      <c r="I1029" s="593"/>
      <c r="J1029" s="1497">
        <f t="shared" ref="J1029:J1060" si="369">E1029+TIME(8,0,0)</f>
        <v>44769.5</v>
      </c>
      <c r="K1029" s="660" t="str">
        <f t="shared" ref="K1029:K1030" si="370">IF($M$1029-J1029&lt;0, "-" &amp; TEXT(ABS($M$1029-J1029),"[hh]:mm:ss"), TEXT($M$1029-J1029,"[hh]:mm:ss"))</f>
        <v>00:12:00</v>
      </c>
      <c r="L1029" s="1640">
        <v>44769.513888888891</v>
      </c>
      <c r="M1029" s="1609">
        <v>44769.508333333331</v>
      </c>
    </row>
    <row r="1030" spans="1:13" ht="20.399999999999999" thickTop="1" thickBot="1" x14ac:dyDescent="0.5">
      <c r="A1030" s="1586"/>
      <c r="B1030" s="1586"/>
      <c r="C1030" s="651" t="s">
        <v>785</v>
      </c>
      <c r="D1030" s="82"/>
      <c r="E1030" s="1514">
        <v>44769.169444444444</v>
      </c>
      <c r="F1030" s="1514">
        <v>44769.211805555555</v>
      </c>
      <c r="G1030" s="1514"/>
      <c r="H1030" s="1514"/>
      <c r="I1030" s="595"/>
      <c r="J1030" s="1514">
        <f t="shared" si="369"/>
        <v>44769.50277777778</v>
      </c>
      <c r="K1030" s="661" t="str">
        <f t="shared" si="370"/>
        <v>00:08:00</v>
      </c>
      <c r="L1030" s="1586"/>
      <c r="M1030" s="1610"/>
    </row>
    <row r="1031" spans="1:13" ht="20.399999999999999" thickTop="1" thickBot="1" x14ac:dyDescent="0.5">
      <c r="A1031" s="1583" t="s">
        <v>1008</v>
      </c>
      <c r="B1031" s="1608" t="s">
        <v>9</v>
      </c>
      <c r="C1031" s="1508" t="s">
        <v>978</v>
      </c>
      <c r="D1031" s="159"/>
      <c r="E1031" s="83">
        <v>45084.167361111111</v>
      </c>
      <c r="F1031" s="83">
        <v>45084.183333333334</v>
      </c>
      <c r="G1031" s="83"/>
      <c r="H1031" s="83"/>
      <c r="I1031" s="593"/>
      <c r="J1031" s="1504">
        <f t="shared" si="369"/>
        <v>45084.500694444447</v>
      </c>
      <c r="K1031" s="660" t="str">
        <f t="shared" ref="K1031:K1032" si="371">IF($M$1031-J1031&lt;0, "-" &amp; TEXT(ABS($M$1031-J1031),"[hh]:mm:ss"), TEXT($M$1031-J1031,"[hh]:mm:ss"))</f>
        <v>00:09:02</v>
      </c>
      <c r="L1031" s="1585">
        <v>45084.505555555559</v>
      </c>
      <c r="M1031" s="1590">
        <v>45084.506967592592</v>
      </c>
    </row>
    <row r="1032" spans="1:13" ht="20.399999999999999" thickTop="1" thickBot="1" x14ac:dyDescent="0.5">
      <c r="A1032" s="1583"/>
      <c r="B1032" s="1608"/>
      <c r="C1032" s="1474" t="s">
        <v>977</v>
      </c>
      <c r="D1032" s="82"/>
      <c r="E1032" s="1514">
        <v>45084.169444444444</v>
      </c>
      <c r="F1032" s="1514">
        <v>45084.197916666664</v>
      </c>
      <c r="G1032" s="1514"/>
      <c r="H1032" s="1514"/>
      <c r="I1032" s="656"/>
      <c r="J1032" s="1481">
        <f t="shared" si="369"/>
        <v>45084.50277777778</v>
      </c>
      <c r="K1032" s="1534" t="str">
        <f t="shared" si="371"/>
        <v>00:06:02</v>
      </c>
      <c r="L1032" s="1583"/>
      <c r="M1032" s="1624"/>
    </row>
    <row r="1033" spans="1:13" ht="20.399999999999999" thickTop="1" thickBot="1" x14ac:dyDescent="0.5">
      <c r="A1033" s="1583" t="s">
        <v>1008</v>
      </c>
      <c r="B1033" s="1608" t="s">
        <v>9</v>
      </c>
      <c r="C1033" s="1485" t="s">
        <v>784</v>
      </c>
      <c r="D1033" s="587" t="s">
        <v>1576</v>
      </c>
      <c r="E1033" s="1504">
        <v>45314.161111111112</v>
      </c>
      <c r="F1033" s="1504">
        <v>45314.177777777775</v>
      </c>
      <c r="G1033" s="1504"/>
      <c r="H1033" s="1504"/>
      <c r="I1033" s="594"/>
      <c r="J1033" s="1504">
        <f t="shared" si="369"/>
        <v>45314.494444444448</v>
      </c>
      <c r="K1033" s="659" t="str">
        <f t="shared" ref="K1033:K1034" si="372">IF($M$1033-J1033&lt;0, "-" &amp; TEXT(ABS($M$1033-J1033),"[hh]:mm:ss"), TEXT($M$1033-J1033,"[hh]:mm:ss"))</f>
        <v>00:11:00</v>
      </c>
      <c r="L1033" s="1587">
        <v>45314.5</v>
      </c>
      <c r="M1033" s="1588">
        <v>45314.502083333333</v>
      </c>
    </row>
    <row r="1034" spans="1:13" ht="20.399999999999999" thickTop="1" thickBot="1" x14ac:dyDescent="0.5">
      <c r="A1034" s="1583"/>
      <c r="B1034" s="1608"/>
      <c r="C1034" s="632" t="s">
        <v>785</v>
      </c>
      <c r="D1034" s="86" t="s">
        <v>1577</v>
      </c>
      <c r="E1034" s="1481">
        <v>45314.163194444445</v>
      </c>
      <c r="F1034" s="1481">
        <v>45314.19027777778</v>
      </c>
      <c r="G1034" s="1481"/>
      <c r="H1034" s="1481"/>
      <c r="I1034" s="656"/>
      <c r="J1034" s="1481">
        <f t="shared" si="369"/>
        <v>45314.496527777781</v>
      </c>
      <c r="K1034" s="1534" t="str">
        <f t="shared" si="372"/>
        <v>00:08:00</v>
      </c>
      <c r="L1034" s="1585"/>
      <c r="M1034" s="1590"/>
    </row>
    <row r="1035" spans="1:13" ht="20.399999999999999" thickTop="1" thickBot="1" x14ac:dyDescent="0.5">
      <c r="A1035" s="1583" t="s">
        <v>1008</v>
      </c>
      <c r="B1035" s="1608" t="s">
        <v>9</v>
      </c>
      <c r="C1035" s="1485" t="s">
        <v>784</v>
      </c>
      <c r="D1035" s="587" t="s">
        <v>2133</v>
      </c>
      <c r="E1035" s="1504">
        <v>45559.974999999999</v>
      </c>
      <c r="F1035" s="1504">
        <v>45559.993055555555</v>
      </c>
      <c r="G1035" s="1504"/>
      <c r="H1035" s="1504"/>
      <c r="I1035" s="594"/>
      <c r="J1035" s="1504">
        <f t="shared" si="369"/>
        <v>45560.308333333334</v>
      </c>
      <c r="K1035" s="659" t="str">
        <f t="shared" ref="K1035:K1037" si="373">IF($M$1035-J1035&lt;0, "-" &amp; TEXT(ABS($M$1035-J1035),"[hh]:mm:ss"), TEXT($M$1035-J1035,"[hh]:mm:ss"))</f>
        <v>00:09:00</v>
      </c>
      <c r="L1035" s="1587">
        <v>45560.315972222219</v>
      </c>
      <c r="M1035" s="1588">
        <v>45560.314583333333</v>
      </c>
    </row>
    <row r="1036" spans="1:13" s="104" customFormat="1" ht="20.399999999999999" thickTop="1" thickBot="1" x14ac:dyDescent="0.5">
      <c r="A1036" s="1583"/>
      <c r="B1036" s="1608"/>
      <c r="C1036" s="1613" t="s">
        <v>785</v>
      </c>
      <c r="D1036" s="1530" t="s">
        <v>2136</v>
      </c>
      <c r="E1036" s="1530">
        <v>45559.977083333331</v>
      </c>
      <c r="F1036" s="1530">
        <v>45560.005555555559</v>
      </c>
      <c r="G1036" s="1530"/>
      <c r="H1036" s="1530"/>
      <c r="I1036" s="596"/>
      <c r="J1036" s="1530">
        <f t="shared" si="369"/>
        <v>45560.310416666667</v>
      </c>
      <c r="K1036" s="663" t="str">
        <f t="shared" si="373"/>
        <v>00:06:00</v>
      </c>
      <c r="L1036" s="1591"/>
      <c r="M1036" s="1589"/>
    </row>
    <row r="1037" spans="1:13" s="104" customFormat="1" ht="20.399999999999999" thickTop="1" thickBot="1" x14ac:dyDescent="0.5">
      <c r="A1037" s="1583"/>
      <c r="B1037" s="1608"/>
      <c r="C1037" s="1612"/>
      <c r="D1037" s="86" t="s">
        <v>2111</v>
      </c>
      <c r="E1037" s="1481">
        <v>45559.916666666664</v>
      </c>
      <c r="F1037" s="1481">
        <v>45560.166666666664</v>
      </c>
      <c r="G1037" s="1481"/>
      <c r="H1037" s="1481"/>
      <c r="I1037" s="656"/>
      <c r="J1037" s="1481">
        <f t="shared" si="369"/>
        <v>45560.25</v>
      </c>
      <c r="K1037" s="1534" t="str">
        <f t="shared" si="373"/>
        <v>01:33:00</v>
      </c>
      <c r="L1037" s="1585"/>
      <c r="M1037" s="1590"/>
    </row>
    <row r="1038" spans="1:13" s="104" customFormat="1" ht="20.399999999999999" thickTop="1" thickBot="1" x14ac:dyDescent="0.5">
      <c r="A1038" s="1583" t="s">
        <v>1008</v>
      </c>
      <c r="B1038" s="1608" t="s">
        <v>9</v>
      </c>
      <c r="C1038" s="1485" t="s">
        <v>784</v>
      </c>
      <c r="D1038" s="587" t="s">
        <v>2285</v>
      </c>
      <c r="E1038" s="1504">
        <v>45607.160416666666</v>
      </c>
      <c r="F1038" s="1504">
        <v>45607.181944444441</v>
      </c>
      <c r="G1038" s="1504"/>
      <c r="H1038" s="1504"/>
      <c r="I1038" s="594"/>
      <c r="J1038" s="1504">
        <f t="shared" si="369"/>
        <v>45607.493750000001</v>
      </c>
      <c r="K1038" s="659" t="str">
        <f t="shared" ref="K1038:K1040" si="374">IF($M$1038-J1038&lt;0, "-" &amp; TEXT(ABS($M$1038-J1038),"[hh]:mm:ss"), TEXT($M$1038-J1038,"[hh]:mm:ss"))</f>
        <v>00:12:00</v>
      </c>
      <c r="L1038" s="1587">
        <v>45607.5</v>
      </c>
      <c r="M1038" s="1588">
        <v>45607.502083333333</v>
      </c>
    </row>
    <row r="1039" spans="1:13" s="104" customFormat="1" ht="20.399999999999999" thickTop="1" thickBot="1" x14ac:dyDescent="0.5">
      <c r="A1039" s="1583"/>
      <c r="B1039" s="1608"/>
      <c r="C1039" s="1613" t="s">
        <v>785</v>
      </c>
      <c r="D1039" s="1530" t="s">
        <v>2286</v>
      </c>
      <c r="E1039" s="1530">
        <v>45607.162499999999</v>
      </c>
      <c r="F1039" s="1530">
        <v>45607.193749999999</v>
      </c>
      <c r="G1039" s="1530"/>
      <c r="H1039" s="1530"/>
      <c r="I1039" s="596"/>
      <c r="J1039" s="1530">
        <f t="shared" si="369"/>
        <v>45607.495833333334</v>
      </c>
      <c r="K1039" s="663" t="str">
        <f t="shared" si="374"/>
        <v>00:09:00</v>
      </c>
      <c r="L1039" s="1591"/>
      <c r="M1039" s="1589"/>
    </row>
    <row r="1040" spans="1:13" s="104" customFormat="1" ht="20.399999999999999" thickTop="1" thickBot="1" x14ac:dyDescent="0.5">
      <c r="A1040" s="1583"/>
      <c r="B1040" s="1608"/>
      <c r="C1040" s="1612"/>
      <c r="D1040" s="86" t="s">
        <v>2194</v>
      </c>
      <c r="E1040" s="1481">
        <v>45607.125</v>
      </c>
      <c r="F1040" s="1481">
        <v>45607.291666666664</v>
      </c>
      <c r="G1040" s="1481"/>
      <c r="H1040" s="1481"/>
      <c r="I1040" s="656"/>
      <c r="J1040" s="1481">
        <f t="shared" si="369"/>
        <v>45607.458333333336</v>
      </c>
      <c r="K1040" s="1534" t="str">
        <f t="shared" si="374"/>
        <v>01:03:00</v>
      </c>
      <c r="L1040" s="1585"/>
      <c r="M1040" s="1590"/>
    </row>
    <row r="1041" spans="1:13" s="104" customFormat="1" ht="20.399999999999999" thickTop="1" thickBot="1" x14ac:dyDescent="0.5">
      <c r="A1041" s="1583" t="s">
        <v>1008</v>
      </c>
      <c r="B1041" s="1608" t="s">
        <v>9</v>
      </c>
      <c r="C1041" s="1485" t="s">
        <v>784</v>
      </c>
      <c r="D1041" s="587" t="s">
        <v>2537</v>
      </c>
      <c r="E1041" s="1504">
        <v>45653.036805555559</v>
      </c>
      <c r="F1041" s="1504">
        <v>45653.052777777775</v>
      </c>
      <c r="G1041" s="1504"/>
      <c r="H1041" s="1504"/>
      <c r="I1041" s="594"/>
      <c r="J1041" s="1504">
        <f t="shared" si="369"/>
        <v>45653.370138888895</v>
      </c>
      <c r="K1041" s="659" t="str">
        <f t="shared" ref="K1041:K1043" si="375">IF($M$1041-J1041&lt;0, "-" &amp; TEXT(ABS($M$1041-J1041),"[hh]:mm:ss"), TEXT($M$1041-J1041,"[hh]:mm:ss"))</f>
        <v>00:10:00</v>
      </c>
      <c r="L1041" s="1587">
        <v>45653.377083333333</v>
      </c>
      <c r="M1041" s="1588">
        <v>45653.377083333333</v>
      </c>
    </row>
    <row r="1042" spans="1:13" s="104" customFormat="1" ht="20.399999999999999" thickTop="1" thickBot="1" x14ac:dyDescent="0.5">
      <c r="A1042" s="1583"/>
      <c r="B1042" s="1608"/>
      <c r="C1042" s="1613" t="s">
        <v>785</v>
      </c>
      <c r="D1042" s="1530" t="s">
        <v>2539</v>
      </c>
      <c r="E1042" s="1530">
        <v>45653.039583333331</v>
      </c>
      <c r="F1042" s="1530">
        <v>45653.064583333333</v>
      </c>
      <c r="G1042" s="1530"/>
      <c r="H1042" s="1530"/>
      <c r="I1042" s="596"/>
      <c r="J1042" s="1530">
        <f t="shared" si="369"/>
        <v>45653.372916666667</v>
      </c>
      <c r="K1042" s="663" t="str">
        <f t="shared" si="375"/>
        <v>00:06:00</v>
      </c>
      <c r="L1042" s="1591"/>
      <c r="M1042" s="1589"/>
    </row>
    <row r="1043" spans="1:13" s="104" customFormat="1" ht="20.399999999999999" thickTop="1" thickBot="1" x14ac:dyDescent="0.5">
      <c r="A1043" s="1583"/>
      <c r="B1043" s="1608"/>
      <c r="C1043" s="1612"/>
      <c r="D1043" s="86" t="s">
        <v>2501</v>
      </c>
      <c r="E1043" s="1481">
        <v>45653.041666666664</v>
      </c>
      <c r="F1043" s="1481">
        <v>45653.208333333336</v>
      </c>
      <c r="G1043" s="1481"/>
      <c r="H1043" s="1481"/>
      <c r="I1043" s="656"/>
      <c r="J1043" s="1481">
        <f t="shared" si="369"/>
        <v>45653.375</v>
      </c>
      <c r="K1043" s="1534" t="str">
        <f t="shared" si="375"/>
        <v>00:03:00</v>
      </c>
      <c r="L1043" s="1585"/>
      <c r="M1043" s="1590"/>
    </row>
    <row r="1044" spans="1:13" s="104" customFormat="1" ht="20.399999999999999" thickTop="1" thickBot="1" x14ac:dyDescent="0.5">
      <c r="A1044" s="1583" t="s">
        <v>1008</v>
      </c>
      <c r="B1044" s="1608" t="s">
        <v>9</v>
      </c>
      <c r="C1044" s="1485" t="s">
        <v>784</v>
      </c>
      <c r="D1044" s="587" t="s">
        <v>2811</v>
      </c>
      <c r="E1044" s="1504">
        <v>45798.162499999999</v>
      </c>
      <c r="F1044" s="1504">
        <v>45798.177083333336</v>
      </c>
      <c r="G1044" s="1504"/>
      <c r="H1044" s="1504"/>
      <c r="I1044" s="594"/>
      <c r="J1044" s="1504">
        <f t="shared" si="369"/>
        <v>45798.495833333334</v>
      </c>
      <c r="K1044" s="659" t="str">
        <f t="shared" ref="K1044:K1047" si="376">IF($M$1044-J1044&lt;0, "-" &amp; TEXT(ABS($M$1044-J1044),"[hh]:mm:ss"), TEXT($M$1044-J1044,"[hh]:mm:ss"))</f>
        <v>00:11:00</v>
      </c>
      <c r="L1044" s="1587">
        <v>45798.50277777778</v>
      </c>
      <c r="M1044" s="1588">
        <v>45798.503472222219</v>
      </c>
    </row>
    <row r="1045" spans="1:13" s="104" customFormat="1" ht="20.399999999999999" thickTop="1" thickBot="1" x14ac:dyDescent="0.5">
      <c r="A1045" s="1583"/>
      <c r="B1045" s="1608"/>
      <c r="C1045" s="1503" t="s">
        <v>780</v>
      </c>
      <c r="D1045" s="588" t="s">
        <v>2812</v>
      </c>
      <c r="E1045" s="1497">
        <v>45798.163888888892</v>
      </c>
      <c r="F1045" s="1497">
        <v>45798.188888888886</v>
      </c>
      <c r="G1045" s="1497"/>
      <c r="H1045" s="1497"/>
      <c r="I1045" s="593"/>
      <c r="J1045" s="1497">
        <f t="shared" si="369"/>
        <v>45798.497222222228</v>
      </c>
      <c r="K1045" s="660" t="str">
        <f t="shared" si="376"/>
        <v>00:09:00</v>
      </c>
      <c r="L1045" s="1591"/>
      <c r="M1045" s="1589"/>
    </row>
    <row r="1046" spans="1:13" s="104" customFormat="1" ht="20.399999999999999" thickTop="1" thickBot="1" x14ac:dyDescent="0.5">
      <c r="A1046" s="1583"/>
      <c r="B1046" s="1608"/>
      <c r="C1046" s="1613" t="s">
        <v>785</v>
      </c>
      <c r="D1046" s="1530" t="s">
        <v>2814</v>
      </c>
      <c r="E1046" s="1530">
        <v>45798.164583333331</v>
      </c>
      <c r="F1046" s="1530">
        <v>45798.188888888886</v>
      </c>
      <c r="G1046" s="1530"/>
      <c r="H1046" s="1530"/>
      <c r="I1046" s="596"/>
      <c r="J1046" s="1530">
        <f t="shared" si="369"/>
        <v>45798.497916666667</v>
      </c>
      <c r="K1046" s="663" t="str">
        <f t="shared" si="376"/>
        <v>00:08:00</v>
      </c>
      <c r="L1046" s="1591"/>
      <c r="M1046" s="1589"/>
    </row>
    <row r="1047" spans="1:13" s="104" customFormat="1" ht="20.399999999999999" thickTop="1" thickBot="1" x14ac:dyDescent="0.5">
      <c r="A1047" s="1583"/>
      <c r="B1047" s="1608"/>
      <c r="C1047" s="1612"/>
      <c r="D1047" s="86" t="s">
        <v>2794</v>
      </c>
      <c r="E1047" s="1481">
        <v>45798.125</v>
      </c>
      <c r="F1047" s="1481">
        <v>45798.291666666664</v>
      </c>
      <c r="G1047" s="1481"/>
      <c r="H1047" s="1481"/>
      <c r="I1047" s="656"/>
      <c r="J1047" s="1481">
        <f t="shared" si="369"/>
        <v>45798.458333333336</v>
      </c>
      <c r="K1047" s="1534" t="str">
        <f t="shared" si="376"/>
        <v>01:05:00</v>
      </c>
      <c r="L1047" s="1585"/>
      <c r="M1047" s="1590"/>
    </row>
    <row r="1048" spans="1:13" s="104" customFormat="1" ht="20.399999999999999" thickTop="1" thickBot="1" x14ac:dyDescent="0.5">
      <c r="A1048" s="1583" t="s">
        <v>1008</v>
      </c>
      <c r="B1048" s="1608" t="s">
        <v>9</v>
      </c>
      <c r="C1048" s="1485" t="s">
        <v>784</v>
      </c>
      <c r="D1048" s="587" t="s">
        <v>2960</v>
      </c>
      <c r="E1048" s="1504">
        <v>45888.309027777781</v>
      </c>
      <c r="F1048" s="1504">
        <v>45888.32708333333</v>
      </c>
      <c r="G1048" s="1504"/>
      <c r="H1048" s="1504"/>
      <c r="I1048" s="594"/>
      <c r="J1048" s="1504">
        <f t="shared" si="369"/>
        <v>45888.642361111117</v>
      </c>
      <c r="K1048" s="659" t="str">
        <f t="shared" ref="K1048:K1050" si="377">IF($M$1048-J1048&lt;0, "-" &amp; TEXT(ABS($M$1048-J1048),"[hh]:mm:ss"), TEXT($M$1048-J1048,"[hh]:mm:ss"))</f>
        <v>00:08:00</v>
      </c>
      <c r="L1048" s="1587">
        <v>45888.65</v>
      </c>
      <c r="M1048" s="1588">
        <v>45888.647916666669</v>
      </c>
    </row>
    <row r="1049" spans="1:13" s="104" customFormat="1" ht="20.399999999999999" thickTop="1" thickBot="1" x14ac:dyDescent="0.5">
      <c r="A1049" s="1583"/>
      <c r="B1049" s="1608"/>
      <c r="C1049" s="1512" t="s">
        <v>780</v>
      </c>
      <c r="D1049" s="319" t="s">
        <v>2961</v>
      </c>
      <c r="E1049" s="1530">
        <v>45888.310416666667</v>
      </c>
      <c r="F1049" s="1530">
        <v>45888.338888888888</v>
      </c>
      <c r="G1049" s="1530"/>
      <c r="H1049" s="1530"/>
      <c r="I1049" s="596"/>
      <c r="J1049" s="1530">
        <f t="shared" si="369"/>
        <v>45888.643750000003</v>
      </c>
      <c r="K1049" s="663" t="str">
        <f t="shared" si="377"/>
        <v>00:06:00</v>
      </c>
      <c r="L1049" s="1591"/>
      <c r="M1049" s="1589"/>
    </row>
    <row r="1050" spans="1:13" s="104" customFormat="1" ht="20.399999999999999" thickTop="1" thickBot="1" x14ac:dyDescent="0.5">
      <c r="A1050" s="1583"/>
      <c r="B1050" s="1608"/>
      <c r="C1050" s="1484" t="s">
        <v>785</v>
      </c>
      <c r="D1050" s="86" t="s">
        <v>2962</v>
      </c>
      <c r="E1050" s="1481">
        <v>45888.311111111114</v>
      </c>
      <c r="F1050" s="1481">
        <v>45888.338888888888</v>
      </c>
      <c r="G1050" s="1481"/>
      <c r="H1050" s="1481"/>
      <c r="I1050" s="656"/>
      <c r="J1050" s="1481">
        <f t="shared" si="369"/>
        <v>45888.64444444445</v>
      </c>
      <c r="K1050" s="1534" t="str">
        <f t="shared" si="377"/>
        <v>00:05:00</v>
      </c>
      <c r="L1050" s="1585"/>
      <c r="M1050" s="1590"/>
    </row>
    <row r="1051" spans="1:13" s="104" customFormat="1" ht="20.399999999999999" thickTop="1" thickBot="1" x14ac:dyDescent="0.5">
      <c r="A1051" s="1583" t="s">
        <v>1008</v>
      </c>
      <c r="B1051" s="1608" t="s">
        <v>9</v>
      </c>
      <c r="C1051" s="1485" t="s">
        <v>784</v>
      </c>
      <c r="D1051" s="587" t="s">
        <v>3047</v>
      </c>
      <c r="E1051" s="1504">
        <v>45949.14166666667</v>
      </c>
      <c r="F1051" s="1504">
        <v>45949.159722222219</v>
      </c>
      <c r="G1051" s="1504"/>
      <c r="H1051" s="1504"/>
      <c r="I1051" s="594"/>
      <c r="J1051" s="1504">
        <f t="shared" si="369"/>
        <v>45949.475000000006</v>
      </c>
      <c r="K1051" s="659" t="str">
        <f t="shared" ref="K1051:K1054" si="378">IF($M$1051-J1051&lt;0, "-" &amp; TEXT(ABS($M$1051-J1051),"[hh]:mm:ss"), TEXT($M$1051-J1051,"[hh]:mm:ss"))</f>
        <v>00:09:00</v>
      </c>
      <c r="L1051" s="1587">
        <v>45949.480555555558</v>
      </c>
      <c r="M1051" s="1588">
        <v>45949.481249999997</v>
      </c>
    </row>
    <row r="1052" spans="1:13" s="104" customFormat="1" ht="20.399999999999999" thickTop="1" thickBot="1" x14ac:dyDescent="0.5">
      <c r="A1052" s="1583"/>
      <c r="B1052" s="1608"/>
      <c r="C1052" s="1512" t="s">
        <v>780</v>
      </c>
      <c r="D1052" s="319" t="s">
        <v>3048</v>
      </c>
      <c r="E1052" s="1530">
        <v>45949.143055555556</v>
      </c>
      <c r="F1052" s="1530">
        <v>45949.173611111109</v>
      </c>
      <c r="G1052" s="1530"/>
      <c r="H1052" s="1530"/>
      <c r="I1052" s="596"/>
      <c r="J1052" s="1530">
        <f t="shared" si="369"/>
        <v>45949.476388888892</v>
      </c>
      <c r="K1052" s="663" t="str">
        <f t="shared" si="378"/>
        <v>00:07:00</v>
      </c>
      <c r="L1052" s="1591"/>
      <c r="M1052" s="1589"/>
    </row>
    <row r="1053" spans="1:13" s="104" customFormat="1" ht="20.399999999999999" thickTop="1" thickBot="1" x14ac:dyDescent="0.5">
      <c r="A1053" s="1583"/>
      <c r="B1053" s="1608"/>
      <c r="C1053" s="1613" t="s">
        <v>785</v>
      </c>
      <c r="D1053" s="319" t="s">
        <v>3060</v>
      </c>
      <c r="E1053" s="1530">
        <v>45949.143750000003</v>
      </c>
      <c r="F1053" s="1530">
        <v>45949.1875</v>
      </c>
      <c r="G1053" s="1530"/>
      <c r="H1053" s="1530"/>
      <c r="I1053" s="596"/>
      <c r="J1053" s="1530">
        <f t="shared" si="369"/>
        <v>45949.477083333339</v>
      </c>
      <c r="K1053" s="663" t="str">
        <f t="shared" si="378"/>
        <v>00:06:00</v>
      </c>
      <c r="L1053" s="1591"/>
      <c r="M1053" s="1589"/>
    </row>
    <row r="1054" spans="1:13" s="104" customFormat="1" ht="20.399999999999999" thickTop="1" thickBot="1" x14ac:dyDescent="0.5">
      <c r="A1054" s="1583"/>
      <c r="B1054" s="1608"/>
      <c r="C1054" s="1612"/>
      <c r="D1054" s="86" t="s">
        <v>3036</v>
      </c>
      <c r="E1054" s="1481">
        <v>45949.083333333336</v>
      </c>
      <c r="F1054" s="1481">
        <v>45949.333333333336</v>
      </c>
      <c r="G1054" s="1481"/>
      <c r="H1054" s="1481"/>
      <c r="I1054" s="656"/>
      <c r="J1054" s="1481">
        <f t="shared" si="369"/>
        <v>45949.416666666672</v>
      </c>
      <c r="K1054" s="1534" t="str">
        <f t="shared" si="378"/>
        <v>01:33:00</v>
      </c>
      <c r="L1054" s="1585"/>
      <c r="M1054" s="1590"/>
    </row>
    <row r="1055" spans="1:13" s="104" customFormat="1" ht="20.399999999999999" thickTop="1" thickBot="1" x14ac:dyDescent="0.5">
      <c r="A1055" s="1582" t="s">
        <v>1008</v>
      </c>
      <c r="B1055" s="1621" t="s">
        <v>9</v>
      </c>
      <c r="C1055" s="1485" t="s">
        <v>784</v>
      </c>
      <c r="D1055" s="587" t="s">
        <v>3148</v>
      </c>
      <c r="E1055" s="1504">
        <v>45970.140972222223</v>
      </c>
      <c r="F1055" s="1504">
        <v>45970.159722222219</v>
      </c>
      <c r="G1055" s="1504"/>
      <c r="H1055" s="1504"/>
      <c r="I1055" s="594"/>
      <c r="J1055" s="1504">
        <f t="shared" si="369"/>
        <v>45970.474305555559</v>
      </c>
      <c r="K1055" s="659" t="str">
        <f t="shared" ref="K1055:K1057" si="379">IF($M$1055-J1055&lt;0, "-" &amp; TEXT(ABS($M$1055-J1055),"[hh]:mm:ss"), TEXT($M$1055-J1055,"[hh]:mm:ss"))</f>
        <v>00:09:00</v>
      </c>
      <c r="L1055" s="1587">
        <v>45970.480555555558</v>
      </c>
      <c r="M1055" s="1588">
        <v>45970.480555555558</v>
      </c>
    </row>
    <row r="1056" spans="1:13" s="104" customFormat="1" ht="20.399999999999999" collapsed="1" thickTop="1" thickBot="1" x14ac:dyDescent="0.5">
      <c r="A1056" s="1583"/>
      <c r="B1056" s="1608"/>
      <c r="C1056" s="1512" t="s">
        <v>780</v>
      </c>
      <c r="D1056" s="319" t="s">
        <v>3149</v>
      </c>
      <c r="E1056" s="1530">
        <v>45970.142361111109</v>
      </c>
      <c r="F1056" s="1530">
        <v>45970.173611111109</v>
      </c>
      <c r="G1056" s="1530"/>
      <c r="H1056" s="1530"/>
      <c r="I1056" s="596"/>
      <c r="J1056" s="1530">
        <f t="shared" si="369"/>
        <v>45970.475694444445</v>
      </c>
      <c r="K1056" s="663" t="str">
        <f t="shared" si="379"/>
        <v>00:07:00</v>
      </c>
      <c r="L1056" s="1591"/>
      <c r="M1056" s="1589"/>
    </row>
    <row r="1057" spans="1:13" s="104" customFormat="1" ht="20.399999999999999" thickTop="1" thickBot="1" x14ac:dyDescent="0.5">
      <c r="A1057" s="1583"/>
      <c r="B1057" s="1608"/>
      <c r="C1057" s="1474" t="s">
        <v>785</v>
      </c>
      <c r="D1057" s="82" t="s">
        <v>3151</v>
      </c>
      <c r="E1057" s="1514">
        <v>45970.143055555556</v>
      </c>
      <c r="F1057" s="1514">
        <v>45970.175000000003</v>
      </c>
      <c r="G1057" s="1514"/>
      <c r="H1057" s="1514"/>
      <c r="I1057" s="595"/>
      <c r="J1057" s="1514">
        <f t="shared" si="369"/>
        <v>45970.476388888892</v>
      </c>
      <c r="K1057" s="661" t="str">
        <f t="shared" si="379"/>
        <v>00:06:00</v>
      </c>
      <c r="L1057" s="1585"/>
      <c r="M1057" s="1590"/>
    </row>
    <row r="1058" spans="1:13" s="104" customFormat="1" ht="20.399999999999999" thickTop="1" thickBot="1" x14ac:dyDescent="0.5">
      <c r="A1058" s="1582" t="s">
        <v>1008</v>
      </c>
      <c r="B1058" s="1621" t="s">
        <v>9</v>
      </c>
      <c r="C1058" s="1485" t="s">
        <v>978</v>
      </c>
      <c r="D1058" s="587" t="s">
        <v>3584</v>
      </c>
      <c r="E1058" s="1504">
        <v>46001.162499999999</v>
      </c>
      <c r="F1058" s="1504">
        <v>46001.177083333336</v>
      </c>
      <c r="G1058" s="1504"/>
      <c r="H1058" s="1504"/>
      <c r="I1058" s="594"/>
      <c r="J1058" s="1504">
        <f t="shared" si="369"/>
        <v>46001.495833333334</v>
      </c>
      <c r="K1058" s="659" t="str">
        <f t="shared" ref="K1058:K1060" si="380">IF($M$1058-J1058&lt;0, "-" &amp; TEXT(ABS($M$1058-J1058),"[hh]:mm:ss"), TEXT($M$1058-J1058,"[hh]:mm:ss"))</f>
        <v>00:09:00</v>
      </c>
      <c r="L1058" s="1587">
        <v>46001.502083333333</v>
      </c>
      <c r="M1058" s="1588">
        <v>46001.502083333333</v>
      </c>
    </row>
    <row r="1059" spans="1:13" ht="20.399999999999999" thickTop="1" thickBot="1" x14ac:dyDescent="0.5">
      <c r="A1059" s="1583"/>
      <c r="B1059" s="1608"/>
      <c r="C1059" s="1512" t="s">
        <v>780</v>
      </c>
      <c r="D1059" s="319" t="s">
        <v>3585</v>
      </c>
      <c r="E1059" s="1530">
        <v>46001.163888888892</v>
      </c>
      <c r="F1059" s="1530">
        <v>46001.190972222219</v>
      </c>
      <c r="G1059" s="1530"/>
      <c r="H1059" s="1530"/>
      <c r="I1059" s="596"/>
      <c r="J1059" s="1530">
        <f t="shared" si="369"/>
        <v>46001.497222222228</v>
      </c>
      <c r="K1059" s="663" t="str">
        <f t="shared" si="380"/>
        <v>00:07:00</v>
      </c>
      <c r="L1059" s="1591"/>
      <c r="M1059" s="1589"/>
    </row>
    <row r="1060" spans="1:13" ht="20.399999999999999" thickTop="1" thickBot="1" x14ac:dyDescent="0.5">
      <c r="A1060" s="1583"/>
      <c r="B1060" s="1608"/>
      <c r="C1060" s="1474" t="s">
        <v>785</v>
      </c>
      <c r="D1060" s="82" t="s">
        <v>3276</v>
      </c>
      <c r="E1060" s="1514">
        <v>46001.164583333331</v>
      </c>
      <c r="F1060" s="1514">
        <v>46001.189583333333</v>
      </c>
      <c r="G1060" s="1514"/>
      <c r="H1060" s="1514"/>
      <c r="I1060" s="595"/>
      <c r="J1060" s="1514">
        <f t="shared" si="369"/>
        <v>46001.497916666667</v>
      </c>
      <c r="K1060" s="661" t="str">
        <f t="shared" si="380"/>
        <v>00:06:00</v>
      </c>
      <c r="L1060" s="1585"/>
      <c r="M1060" s="1590"/>
    </row>
    <row r="1061" spans="1:13" s="104" customFormat="1" ht="20.399999999999999" thickTop="1" thickBot="1" x14ac:dyDescent="0.5">
      <c r="A1061" s="1582" t="s">
        <v>1008</v>
      </c>
      <c r="B1061" s="1621" t="s">
        <v>9</v>
      </c>
      <c r="C1061" s="1485" t="s">
        <v>978</v>
      </c>
      <c r="D1061" s="587" t="s">
        <v>3482</v>
      </c>
      <c r="E1061" s="1504">
        <v>46126.162499999999</v>
      </c>
      <c r="F1061" s="1504">
        <v>46126.177083333336</v>
      </c>
      <c r="G1061" s="1504"/>
      <c r="H1061" s="1504"/>
      <c r="I1061" s="594"/>
      <c r="J1061" s="1504">
        <f t="shared" ref="J1061:J1063" si="381">E1061+TIME(8,0,0)</f>
        <v>46126.495833333334</v>
      </c>
      <c r="K1061" s="659" t="str">
        <f>IF($M$1061-J1061&lt;0, "-" &amp; TEXT(ABS($M$1061-J1061),"[hh]:mm:ss"), TEXT($M$1061-J1061,"[hh]:mm:ss"))</f>
        <v>00:09:00</v>
      </c>
      <c r="L1061" s="1587">
        <v>46126.502083333333</v>
      </c>
      <c r="M1061" s="1588">
        <v>46126.502083333333</v>
      </c>
    </row>
    <row r="1062" spans="1:13" s="104" customFormat="1" ht="20.399999999999999" thickTop="1" thickBot="1" x14ac:dyDescent="0.5">
      <c r="A1062" s="1583"/>
      <c r="B1062" s="1608"/>
      <c r="C1062" s="1512" t="s">
        <v>780</v>
      </c>
      <c r="D1062" s="319" t="s">
        <v>3483</v>
      </c>
      <c r="E1062" s="1530">
        <v>46126.163888888892</v>
      </c>
      <c r="F1062" s="1530">
        <v>46126.190972222219</v>
      </c>
      <c r="G1062" s="1530"/>
      <c r="H1062" s="1530"/>
      <c r="I1062" s="596"/>
      <c r="J1062" s="1530">
        <f t="shared" si="381"/>
        <v>46126.497222222228</v>
      </c>
      <c r="K1062" s="663" t="str">
        <f t="shared" ref="K1062:K1063" si="382">IF($M$1061-J1062&lt;0, "-" &amp; TEXT(ABS($M$1061-J1062),"[hh]:mm:ss"), TEXT($M$1061-J1062,"[hh]:mm:ss"))</f>
        <v>00:07:00</v>
      </c>
      <c r="L1062" s="1591"/>
      <c r="M1062" s="1589"/>
    </row>
    <row r="1063" spans="1:13" s="104" customFormat="1" ht="20.399999999999999" thickTop="1" thickBot="1" x14ac:dyDescent="0.5">
      <c r="A1063" s="1583"/>
      <c r="B1063" s="1608"/>
      <c r="C1063" s="1474" t="s">
        <v>785</v>
      </c>
      <c r="D1063" s="82" t="s">
        <v>3487</v>
      </c>
      <c r="E1063" s="1514">
        <v>46126.164583333331</v>
      </c>
      <c r="F1063" s="1514">
        <v>46126.189583333333</v>
      </c>
      <c r="G1063" s="1514"/>
      <c r="H1063" s="1514"/>
      <c r="I1063" s="595"/>
      <c r="J1063" s="1514">
        <f t="shared" si="381"/>
        <v>46126.497916666667</v>
      </c>
      <c r="K1063" s="661" t="str">
        <f t="shared" si="382"/>
        <v>00:06:00</v>
      </c>
      <c r="L1063" s="1585"/>
      <c r="M1063" s="1590"/>
    </row>
    <row r="1064" spans="1:13" s="104" customFormat="1" ht="20.399999999999999" thickTop="1" thickBot="1" x14ac:dyDescent="0.5">
      <c r="A1064" s="1582" t="s">
        <v>1008</v>
      </c>
      <c r="B1064" s="1621" t="s">
        <v>9</v>
      </c>
      <c r="C1064" s="1485" t="s">
        <v>978</v>
      </c>
      <c r="D1064" s="587" t="s">
        <v>3572</v>
      </c>
      <c r="E1064" s="1504">
        <v>46157.183333333334</v>
      </c>
      <c r="F1064" s="1504">
        <v>46157.201388888891</v>
      </c>
      <c r="G1064" s="1504"/>
      <c r="H1064" s="1504"/>
      <c r="I1064" s="594"/>
      <c r="J1064" s="1504">
        <f t="shared" ref="J1064:J1066" si="383">E1064+TIME(8,0,0)</f>
        <v>46157.51666666667</v>
      </c>
      <c r="K1064" s="659" t="str">
        <f>IF($M$1064-J1064&lt;0, "-" &amp; TEXT(ABS($M$1064-J1064),"[hh]:mm:ss"), TEXT($M$1064-J1064,"[hh]:mm:ss"))</f>
        <v>00:09:00</v>
      </c>
      <c r="L1064" s="1587">
        <v>46157.522916666669</v>
      </c>
      <c r="M1064" s="1588">
        <v>46157.522916666669</v>
      </c>
    </row>
    <row r="1065" spans="1:13" s="104" customFormat="1" ht="20.399999999999999" thickTop="1" thickBot="1" x14ac:dyDescent="0.5">
      <c r="A1065" s="1583"/>
      <c r="B1065" s="1608"/>
      <c r="C1065" s="1512" t="s">
        <v>780</v>
      </c>
      <c r="D1065" s="319" t="s">
        <v>3573</v>
      </c>
      <c r="E1065" s="1530">
        <v>46157.18472222222</v>
      </c>
      <c r="F1065" s="1530">
        <v>46157.215277777781</v>
      </c>
      <c r="G1065" s="1530"/>
      <c r="H1065" s="1530"/>
      <c r="I1065" s="596"/>
      <c r="J1065" s="1530">
        <f t="shared" si="383"/>
        <v>46157.518055555556</v>
      </c>
      <c r="K1065" s="663" t="str">
        <f t="shared" ref="K1065:K1066" si="384">IF($M$1064-J1065&lt;0, "-" &amp; TEXT(ABS($M$1064-J1065),"[hh]:mm:ss"), TEXT($M$1064-J1065,"[hh]:mm:ss"))</f>
        <v>00:07:00</v>
      </c>
      <c r="L1065" s="1591"/>
      <c r="M1065" s="1589"/>
    </row>
    <row r="1066" spans="1:13" s="104" customFormat="1" ht="20.399999999999999" thickTop="1" thickBot="1" x14ac:dyDescent="0.5">
      <c r="A1066" s="1583"/>
      <c r="B1066" s="1608"/>
      <c r="C1066" s="1474" t="s">
        <v>785</v>
      </c>
      <c r="D1066" s="82" t="s">
        <v>3583</v>
      </c>
      <c r="E1066" s="1514">
        <v>46157.185416666667</v>
      </c>
      <c r="F1066" s="1514">
        <v>46157.213888888888</v>
      </c>
      <c r="G1066" s="1514"/>
      <c r="H1066" s="1514"/>
      <c r="I1066" s="595"/>
      <c r="J1066" s="1514">
        <f t="shared" si="383"/>
        <v>46157.518750000003</v>
      </c>
      <c r="K1066" s="661" t="str">
        <f t="shared" si="384"/>
        <v>00:06:00</v>
      </c>
      <c r="L1066" s="1585"/>
      <c r="M1066" s="1590"/>
    </row>
    <row r="1067" spans="1:13" s="104" customFormat="1" ht="20.399999999999999" thickTop="1" thickBot="1" x14ac:dyDescent="0.5">
      <c r="A1067" s="1582" t="s">
        <v>1008</v>
      </c>
      <c r="B1067" s="1621" t="s">
        <v>9</v>
      </c>
      <c r="C1067" s="1485" t="s">
        <v>978</v>
      </c>
      <c r="D1067" s="587" t="s">
        <v>3709</v>
      </c>
      <c r="E1067" s="1504">
        <v>46188.148611111108</v>
      </c>
      <c r="F1067" s="1504">
        <v>46188.163194444445</v>
      </c>
      <c r="G1067" s="1504"/>
      <c r="H1067" s="1504"/>
      <c r="I1067" s="594"/>
      <c r="J1067" s="1504">
        <f t="shared" ref="J1067:J1069" si="385">E1067+TIME(8,0,0)</f>
        <v>46188.481944444444</v>
      </c>
      <c r="K1067" s="659" t="str">
        <f>IF($M$1067-J1067&lt;0, "-" &amp; TEXT(ABS($M$1067-J1067),"[hh]:mm:ss"), TEXT($M$1067-J1067,"[hh]:mm:ss"))</f>
        <v>00:10:00</v>
      </c>
      <c r="L1067" s="1587">
        <v>46188.488194444442</v>
      </c>
      <c r="M1067" s="1588">
        <v>46188.488888888889</v>
      </c>
    </row>
    <row r="1068" spans="1:13" s="104" customFormat="1" ht="20.399999999999999" thickTop="1" thickBot="1" x14ac:dyDescent="0.5">
      <c r="A1068" s="1583"/>
      <c r="B1068" s="1608"/>
      <c r="C1068" s="1512" t="s">
        <v>780</v>
      </c>
      <c r="D1068" s="319" t="s">
        <v>3710</v>
      </c>
      <c r="E1068" s="1530">
        <v>46188.15</v>
      </c>
      <c r="F1068" s="1530">
        <v>46188.177083333336</v>
      </c>
      <c r="G1068" s="1530"/>
      <c r="H1068" s="1530"/>
      <c r="I1068" s="596"/>
      <c r="J1068" s="1530">
        <f t="shared" si="385"/>
        <v>46188.483333333337</v>
      </c>
      <c r="K1068" s="663" t="str">
        <f t="shared" ref="K1068:K1069" si="386">IF($M$1067-J1068&lt;0, "-" &amp; TEXT(ABS($M$1067-J1068),"[hh]:mm:ss"), TEXT($M$1067-J1068,"[hh]:mm:ss"))</f>
        <v>00:08:00</v>
      </c>
      <c r="L1068" s="1591"/>
      <c r="M1068" s="1589"/>
    </row>
    <row r="1069" spans="1:13" s="104" customFormat="1" ht="20.399999999999999" thickTop="1" thickBot="1" x14ac:dyDescent="0.5">
      <c r="A1069" s="1583"/>
      <c r="B1069" s="1608"/>
      <c r="C1069" s="1474" t="s">
        <v>785</v>
      </c>
      <c r="D1069" s="82" t="s">
        <v>3725</v>
      </c>
      <c r="E1069" s="1514">
        <v>46188.150694444441</v>
      </c>
      <c r="F1069" s="1514">
        <v>46188.175694444442</v>
      </c>
      <c r="G1069" s="1514"/>
      <c r="H1069" s="1514"/>
      <c r="I1069" s="595"/>
      <c r="J1069" s="1514">
        <f t="shared" si="385"/>
        <v>46188.484027777777</v>
      </c>
      <c r="K1069" s="661" t="str">
        <f t="shared" si="386"/>
        <v>00:07:00</v>
      </c>
      <c r="L1069" s="1585"/>
      <c r="M1069" s="1590"/>
    </row>
    <row r="1070" spans="1:13" ht="20.399999999999999" thickTop="1" thickBot="1" x14ac:dyDescent="0.5">
      <c r="A1070" s="314"/>
      <c r="B1070" s="314"/>
      <c r="C1070" s="635"/>
      <c r="D1070" s="90"/>
      <c r="E1070" s="90"/>
      <c r="F1070" s="90"/>
      <c r="G1070" s="90"/>
      <c r="H1070" s="90"/>
      <c r="I1070" s="597"/>
      <c r="J1070" s="84"/>
      <c r="K1070" s="664"/>
      <c r="L1070" s="314"/>
      <c r="M1070" s="623"/>
    </row>
    <row r="1071" spans="1:13" s="104" customFormat="1" ht="20.399999999999999" thickTop="1" thickBot="1" x14ac:dyDescent="0.5">
      <c r="A1071" s="1580" t="s">
        <v>3559</v>
      </c>
      <c r="B1071" s="1677" t="s">
        <v>1193</v>
      </c>
      <c r="C1071" s="638"/>
      <c r="D1071" s="358"/>
      <c r="E1071" s="1493"/>
      <c r="F1071" s="1493"/>
      <c r="G1071" s="1493"/>
      <c r="H1071" s="1493"/>
      <c r="I1071" s="606"/>
      <c r="J1071" s="1493">
        <f t="shared" ref="J1071:J1073" si="387">E1071+TIME(8,0,0)</f>
        <v>0.33333333333333331</v>
      </c>
      <c r="K1071" s="674" t="str">
        <f>IF($M$1071-J1071&lt;0, "-" &amp; TEXT(ABS($M$1071-J1071),"[hh]:mm:ss"), TEXT($M$1071-J1071,"[hh]:mm:ss"))</f>
        <v>-08:00:00</v>
      </c>
      <c r="L1071" s="1601"/>
      <c r="M1071" s="1604"/>
    </row>
    <row r="1072" spans="1:13" s="104" customFormat="1" ht="20.399999999999999" thickTop="1" thickBot="1" x14ac:dyDescent="0.5">
      <c r="A1072" s="1581"/>
      <c r="B1072" s="1600"/>
      <c r="C1072" s="644"/>
      <c r="D1072" s="316"/>
      <c r="E1072" s="305"/>
      <c r="F1072" s="305"/>
      <c r="G1072" s="305"/>
      <c r="H1072" s="305"/>
      <c r="I1072" s="602"/>
      <c r="J1072" s="305">
        <f t="shared" si="387"/>
        <v>0.33333333333333331</v>
      </c>
      <c r="K1072" s="669" t="str">
        <f t="shared" ref="K1072:K1073" si="388">IF($M$1071-J1072&lt;0, "-" &amp; TEXT(ABS($M$1071-J1072),"[hh]:mm:ss"), TEXT($M$1071-J1072,"[hh]:mm:ss"))</f>
        <v>-08:00:00</v>
      </c>
      <c r="L1072" s="1602"/>
      <c r="M1072" s="1605"/>
    </row>
    <row r="1073" spans="1:13" s="104" customFormat="1" ht="20.399999999999999" thickTop="1" thickBot="1" x14ac:dyDescent="0.5">
      <c r="A1073" s="1581"/>
      <c r="B1073" s="1600"/>
      <c r="C1073" s="1153"/>
      <c r="D1073" s="528"/>
      <c r="E1073" s="1495"/>
      <c r="F1073" s="1495"/>
      <c r="G1073" s="1495"/>
      <c r="H1073" s="1495"/>
      <c r="I1073" s="608"/>
      <c r="J1073" s="1495">
        <f t="shared" si="387"/>
        <v>0.33333333333333331</v>
      </c>
      <c r="K1073" s="676" t="str">
        <f t="shared" si="388"/>
        <v>-08:00:00</v>
      </c>
      <c r="L1073" s="1603"/>
      <c r="M1073" s="1606"/>
    </row>
    <row r="1074" spans="1:13" ht="20.399999999999999" thickTop="1" thickBot="1" x14ac:dyDescent="0.5">
      <c r="A1074" s="314"/>
      <c r="B1074" s="314"/>
      <c r="C1074" s="635"/>
      <c r="D1074" s="90"/>
      <c r="E1074" s="90"/>
      <c r="F1074" s="90"/>
      <c r="G1074" s="90"/>
      <c r="H1074" s="90"/>
      <c r="I1074" s="597"/>
      <c r="J1074" s="84"/>
      <c r="K1074" s="664"/>
      <c r="L1074" s="314"/>
      <c r="M1074" s="623"/>
    </row>
    <row r="1075" spans="1:13" s="104" customFormat="1" ht="20.399999999999999" thickTop="1" thickBot="1" x14ac:dyDescent="0.5">
      <c r="A1075" s="1582" t="s">
        <v>1460</v>
      </c>
      <c r="B1075" s="1621" t="s">
        <v>9</v>
      </c>
      <c r="C1075" s="983" t="s">
        <v>3432</v>
      </c>
      <c r="D1075" s="587" t="s">
        <v>3450</v>
      </c>
      <c r="E1075" s="1504">
        <v>46111.452777777777</v>
      </c>
      <c r="F1075" s="1504">
        <v>46111.551388888889</v>
      </c>
      <c r="G1075" s="1504"/>
      <c r="H1075" s="1504"/>
      <c r="I1075" s="594"/>
      <c r="J1075" s="1504">
        <f>E1075+TIME(8,0,0)</f>
        <v>46111.786111111112</v>
      </c>
      <c r="K1075" s="659" t="str">
        <f>IF($M$1075-J1075&lt;0, "-" &amp; TEXT(ABS($M$1075-J1075),"[hh]:mm:ss"), TEXT($M$1075-J1075,"[hh]:mm:ss"))</f>
        <v>00:08:00</v>
      </c>
      <c r="L1075" s="1587">
        <v>46111.791666666664</v>
      </c>
      <c r="M1075" s="1588">
        <v>46111.791666666664</v>
      </c>
    </row>
    <row r="1076" spans="1:13" ht="20.399999999999999" thickTop="1" thickBot="1" x14ac:dyDescent="0.5">
      <c r="A1076" s="1583"/>
      <c r="B1076" s="1608"/>
      <c r="C1076" s="1474" t="s">
        <v>780</v>
      </c>
      <c r="D1076" s="82" t="s">
        <v>3451</v>
      </c>
      <c r="E1076" s="1514">
        <v>46111.453472222223</v>
      </c>
      <c r="F1076" s="1514">
        <v>46111.559027777781</v>
      </c>
      <c r="G1076" s="1514"/>
      <c r="H1076" s="1514"/>
      <c r="I1076" s="595"/>
      <c r="J1076" s="1514">
        <f>E1076+TIME(8,0,0)</f>
        <v>46111.786805555559</v>
      </c>
      <c r="K1076" s="661" t="str">
        <f>IF($M$1075-J1076&lt;0, "-" &amp; TEXT(ABS($M$1075-J1076),"[hh]:mm:ss"), TEXT($M$1075-J1076,"[hh]:mm:ss"))</f>
        <v>00:07:00</v>
      </c>
      <c r="L1076" s="1585"/>
      <c r="M1076" s="1590"/>
    </row>
    <row r="1077" spans="1:13" ht="20.399999999999999" thickTop="1" thickBot="1" x14ac:dyDescent="0.5">
      <c r="A1077" s="314"/>
      <c r="B1077" s="314"/>
      <c r="C1077" s="635"/>
      <c r="D1077" s="90"/>
      <c r="E1077" s="90"/>
      <c r="F1077" s="90"/>
      <c r="G1077" s="90"/>
      <c r="H1077" s="90"/>
      <c r="I1077" s="597"/>
      <c r="J1077" s="84"/>
      <c r="K1077" s="664"/>
      <c r="L1077" s="314"/>
      <c r="M1077" s="623"/>
    </row>
    <row r="1078" spans="1:13" ht="20.399999999999999" thickTop="1" thickBot="1" x14ac:dyDescent="0.5">
      <c r="A1078" s="1582" t="s">
        <v>1009</v>
      </c>
      <c r="B1078" s="1621" t="s">
        <v>800</v>
      </c>
      <c r="C1078" s="1661" t="s">
        <v>790</v>
      </c>
      <c r="D1078" s="1504" t="s">
        <v>2137</v>
      </c>
      <c r="E1078" s="1496">
        <v>44904.267361111109</v>
      </c>
      <c r="F1078" s="1496">
        <v>44904.318055555559</v>
      </c>
      <c r="G1078" s="1496"/>
      <c r="H1078" s="1496"/>
      <c r="I1078" s="594"/>
      <c r="J1078" s="1504">
        <f t="shared" ref="J1078:J1113" si="389">E1078+TIME(8,0,0)</f>
        <v>44904.600694444445</v>
      </c>
      <c r="K1078" s="659" t="str">
        <f t="shared" ref="K1078:K1083" si="390">IF($M$1078-J1078&lt;0, "-" &amp; TEXT(ABS($M$1078-J1078),"[hh]:mm:ss"), TEXT($M$1078-J1078,"[hh]:mm:ss"))</f>
        <v>00:10:00</v>
      </c>
      <c r="L1078" s="1640">
        <v>44904.618055555555</v>
      </c>
      <c r="M1078" s="1609">
        <v>44904.607638888891</v>
      </c>
    </row>
    <row r="1079" spans="1:13" s="85" customFormat="1" ht="19.8" thickTop="1" x14ac:dyDescent="0.45">
      <c r="A1079" s="1671"/>
      <c r="B1079" s="1655"/>
      <c r="C1079" s="1686"/>
      <c r="D1079" s="1497" t="s">
        <v>2138</v>
      </c>
      <c r="E1079" s="83">
        <v>44904.270833333336</v>
      </c>
      <c r="F1079" s="83">
        <v>44904.319444444445</v>
      </c>
      <c r="G1079" s="83"/>
      <c r="H1079" s="83"/>
      <c r="I1079" s="593"/>
      <c r="J1079" s="1497">
        <f t="shared" si="389"/>
        <v>44904.604166666672</v>
      </c>
      <c r="K1079" s="660" t="str">
        <f t="shared" si="390"/>
        <v>00:05:00</v>
      </c>
      <c r="L1079" s="1671"/>
      <c r="M1079" s="1652"/>
    </row>
    <row r="1080" spans="1:13" x14ac:dyDescent="0.45">
      <c r="A1080" s="1671"/>
      <c r="B1080" s="1655"/>
      <c r="C1080" s="1617" t="s">
        <v>803</v>
      </c>
      <c r="D1080" s="1530" t="s">
        <v>2140</v>
      </c>
      <c r="E1080" s="83">
        <v>44904.275694444441</v>
      </c>
      <c r="F1080" s="83">
        <v>44904.324999999997</v>
      </c>
      <c r="G1080" s="83"/>
      <c r="H1080" s="83"/>
      <c r="I1080" s="593"/>
      <c r="J1080" s="1497">
        <f t="shared" si="389"/>
        <v>44904.609027777777</v>
      </c>
      <c r="K1080" s="660" t="str">
        <f t="shared" si="390"/>
        <v>-00:02:00</v>
      </c>
      <c r="L1080" s="1671"/>
      <c r="M1080" s="1652"/>
    </row>
    <row r="1081" spans="1:13" x14ac:dyDescent="0.45">
      <c r="A1081" s="1671"/>
      <c r="B1081" s="1655"/>
      <c r="C1081" s="1686"/>
      <c r="D1081" s="1497" t="s">
        <v>2141</v>
      </c>
      <c r="E1081" s="83">
        <v>44904.279166666667</v>
      </c>
      <c r="F1081" s="83">
        <v>44904.333333333336</v>
      </c>
      <c r="G1081" s="83"/>
      <c r="H1081" s="83"/>
      <c r="I1081" s="593"/>
      <c r="J1081" s="1497">
        <f t="shared" si="389"/>
        <v>44904.612500000003</v>
      </c>
      <c r="K1081" s="660" t="str">
        <f t="shared" si="390"/>
        <v>-00:07:00</v>
      </c>
      <c r="L1081" s="1671"/>
      <c r="M1081" s="1652"/>
    </row>
    <row r="1082" spans="1:13" s="104" customFormat="1" x14ac:dyDescent="0.45">
      <c r="A1082" s="1671"/>
      <c r="B1082" s="1655"/>
      <c r="C1082" s="1512" t="s">
        <v>788</v>
      </c>
      <c r="D1082" s="1530" t="s">
        <v>2139</v>
      </c>
      <c r="E1082" s="81">
        <v>44904.275694444441</v>
      </c>
      <c r="F1082" s="81">
        <v>44904.333333333336</v>
      </c>
      <c r="G1082" s="81"/>
      <c r="H1082" s="81"/>
      <c r="I1082" s="593"/>
      <c r="J1082" s="1497">
        <f t="shared" si="389"/>
        <v>44904.609027777777</v>
      </c>
      <c r="K1082" s="660" t="str">
        <f t="shared" si="390"/>
        <v>-00:02:00</v>
      </c>
      <c r="L1082" s="1671"/>
      <c r="M1082" s="1652"/>
    </row>
    <row r="1083" spans="1:13" s="104" customFormat="1" ht="19.8" thickBot="1" x14ac:dyDescent="0.5">
      <c r="A1083" s="1586"/>
      <c r="B1083" s="1639"/>
      <c r="C1083" s="1484" t="s">
        <v>797</v>
      </c>
      <c r="D1083" s="86" t="s">
        <v>2142</v>
      </c>
      <c r="E1083" s="1481">
        <v>44904.216666666667</v>
      </c>
      <c r="F1083" s="1481">
        <v>44904.352083333331</v>
      </c>
      <c r="G1083" s="1481"/>
      <c r="H1083" s="1481"/>
      <c r="I1083" s="656"/>
      <c r="J1083" s="1514">
        <f t="shared" si="389"/>
        <v>44904.55</v>
      </c>
      <c r="K1083" s="1534" t="str">
        <f t="shared" si="390"/>
        <v>01:23:00</v>
      </c>
      <c r="L1083" s="1586"/>
      <c r="M1083" s="1610"/>
    </row>
    <row r="1084" spans="1:13" s="85" customFormat="1" ht="20.399999999999999" thickTop="1" thickBot="1" x14ac:dyDescent="0.5">
      <c r="A1084" s="1582" t="s">
        <v>1009</v>
      </c>
      <c r="B1084" s="1621" t="s">
        <v>800</v>
      </c>
      <c r="C1084" s="1486" t="s">
        <v>803</v>
      </c>
      <c r="D1084" s="1530" t="s">
        <v>2131</v>
      </c>
      <c r="E1084" s="83">
        <v>45559.1</v>
      </c>
      <c r="F1084" s="83">
        <v>45559.161111111112</v>
      </c>
      <c r="G1084" s="1496"/>
      <c r="H1084" s="1496"/>
      <c r="I1084" s="594"/>
      <c r="J1084" s="1504">
        <f t="shared" si="389"/>
        <v>45559.433333333334</v>
      </c>
      <c r="K1084" s="659" t="str">
        <f t="shared" ref="K1084:K1090" si="391">IF($M$1084-J1084&lt;0, "-" &amp; TEXT(ABS($M$1084-J1084),"[hh]:mm:ss"), TEXT($M$1084-J1084,"[hh]:mm:ss"))</f>
        <v>00:07:00</v>
      </c>
      <c r="L1084" s="1640">
        <v>45559.431944444441</v>
      </c>
      <c r="M1084" s="1609">
        <v>45559.438194444447</v>
      </c>
    </row>
    <row r="1085" spans="1:13" s="85" customFormat="1" ht="19.8" thickTop="1" x14ac:dyDescent="0.45">
      <c r="A1085" s="1638"/>
      <c r="B1085" s="1615"/>
      <c r="C1085" s="1486" t="s">
        <v>788</v>
      </c>
      <c r="D1085" s="1530" t="s">
        <v>2132</v>
      </c>
      <c r="E1085" s="83">
        <v>45559.1</v>
      </c>
      <c r="F1085" s="83">
        <v>45559.161111111112</v>
      </c>
      <c r="G1085" s="83"/>
      <c r="H1085" s="83"/>
      <c r="I1085" s="593"/>
      <c r="J1085" s="1497">
        <f t="shared" si="389"/>
        <v>45559.433333333334</v>
      </c>
      <c r="K1085" s="660" t="str">
        <f t="shared" si="391"/>
        <v>00:07:00</v>
      </c>
      <c r="L1085" s="1638"/>
      <c r="M1085" s="1635"/>
    </row>
    <row r="1086" spans="1:13" s="104" customFormat="1" x14ac:dyDescent="0.45">
      <c r="A1086" s="1619"/>
      <c r="B1086" s="1615"/>
      <c r="C1086" s="1486" t="s">
        <v>1978</v>
      </c>
      <c r="D1086" s="1530" t="s">
        <v>2143</v>
      </c>
      <c r="E1086" s="1497">
        <v>45559.100694444445</v>
      </c>
      <c r="F1086" s="1497">
        <v>45559.165277777778</v>
      </c>
      <c r="G1086" s="1497"/>
      <c r="H1086" s="1497"/>
      <c r="I1086" s="593"/>
      <c r="J1086" s="1497">
        <f t="shared" si="389"/>
        <v>45559.434027777781</v>
      </c>
      <c r="K1086" s="660" t="str">
        <f t="shared" si="391"/>
        <v>00:06:00</v>
      </c>
      <c r="L1086" s="1619"/>
      <c r="M1086" s="1635"/>
    </row>
    <row r="1087" spans="1:13" s="104" customFormat="1" x14ac:dyDescent="0.45">
      <c r="A1087" s="1619"/>
      <c r="B1087" s="1615"/>
      <c r="C1087" s="1486" t="s">
        <v>797</v>
      </c>
      <c r="D1087" s="1530" t="s">
        <v>2145</v>
      </c>
      <c r="E1087" s="1497">
        <v>45559.100694444445</v>
      </c>
      <c r="F1087" s="1497">
        <v>45559.165277777778</v>
      </c>
      <c r="G1087" s="1497"/>
      <c r="H1087" s="1497"/>
      <c r="I1087" s="593"/>
      <c r="J1087" s="1497">
        <f t="shared" si="389"/>
        <v>45559.434027777781</v>
      </c>
      <c r="K1087" s="660" t="str">
        <f t="shared" si="391"/>
        <v>00:06:00</v>
      </c>
      <c r="L1087" s="1619"/>
      <c r="M1087" s="1635"/>
    </row>
    <row r="1088" spans="1:13" s="104" customFormat="1" x14ac:dyDescent="0.45">
      <c r="A1088" s="1638"/>
      <c r="B1088" s="1615"/>
      <c r="C1088" s="1486" t="s">
        <v>803</v>
      </c>
      <c r="D1088" s="1530" t="s">
        <v>2126</v>
      </c>
      <c r="E1088" s="81">
        <v>45559.083333333336</v>
      </c>
      <c r="F1088" s="81">
        <v>45559.25</v>
      </c>
      <c r="G1088" s="81"/>
      <c r="H1088" s="81"/>
      <c r="I1088" s="593"/>
      <c r="J1088" s="1497">
        <f t="shared" si="389"/>
        <v>45559.416666666672</v>
      </c>
      <c r="K1088" s="660" t="str">
        <f t="shared" si="391"/>
        <v>00:31:00</v>
      </c>
      <c r="L1088" s="1638"/>
      <c r="M1088" s="1635"/>
    </row>
    <row r="1089" spans="1:13" s="104" customFormat="1" x14ac:dyDescent="0.45">
      <c r="A1089" s="1638"/>
      <c r="B1089" s="1615"/>
      <c r="C1089" s="1512" t="s">
        <v>788</v>
      </c>
      <c r="D1089" s="1497" t="s">
        <v>2129</v>
      </c>
      <c r="E1089" s="81">
        <v>45559.083333333336</v>
      </c>
      <c r="F1089" s="81">
        <v>45559.25</v>
      </c>
      <c r="G1089" s="81"/>
      <c r="H1089" s="81"/>
      <c r="I1089" s="593"/>
      <c r="J1089" s="1497">
        <f t="shared" si="389"/>
        <v>45559.416666666672</v>
      </c>
      <c r="K1089" s="660" t="str">
        <f t="shared" si="391"/>
        <v>00:31:00</v>
      </c>
      <c r="L1089" s="1638"/>
      <c r="M1089" s="1635"/>
    </row>
    <row r="1090" spans="1:13" s="104" customFormat="1" ht="19.8" thickBot="1" x14ac:dyDescent="0.5">
      <c r="A1090" s="1583"/>
      <c r="B1090" s="1608"/>
      <c r="C1090" s="1484" t="s">
        <v>797</v>
      </c>
      <c r="D1090" s="86" t="s">
        <v>2114</v>
      </c>
      <c r="E1090" s="1481">
        <v>45559.083333333336</v>
      </c>
      <c r="F1090" s="1481">
        <v>45559.25</v>
      </c>
      <c r="G1090" s="1481"/>
      <c r="H1090" s="1481"/>
      <c r="I1090" s="656"/>
      <c r="J1090" s="1514">
        <f t="shared" si="389"/>
        <v>45559.416666666672</v>
      </c>
      <c r="K1090" s="1534" t="str">
        <f t="shared" si="391"/>
        <v>00:31:00</v>
      </c>
      <c r="L1090" s="1583"/>
      <c r="M1090" s="1624"/>
    </row>
    <row r="1091" spans="1:13" s="104" customFormat="1" ht="20.399999999999999" thickTop="1" thickBot="1" x14ac:dyDescent="0.5">
      <c r="A1091" s="1582" t="s">
        <v>1009</v>
      </c>
      <c r="B1091" s="1621" t="s">
        <v>800</v>
      </c>
      <c r="C1091" s="1491" t="s">
        <v>1407</v>
      </c>
      <c r="D1091" s="1492" t="s">
        <v>2553</v>
      </c>
      <c r="E1091" s="83">
        <v>45670.0625</v>
      </c>
      <c r="F1091" s="83">
        <v>45670.1875</v>
      </c>
      <c r="G1091" s="1496"/>
      <c r="H1091" s="1496"/>
      <c r="I1091" s="594"/>
      <c r="J1091" s="1504">
        <f t="shared" si="389"/>
        <v>45670.395833333336</v>
      </c>
      <c r="K1091" s="659" t="str">
        <f t="shared" ref="K1091:K1095" si="392">IF($M$1091-J1091&lt;0, "-" &amp; TEXT(ABS($M$1091-J1091),"[hh]:mm:ss"), TEXT($M$1091-J1091,"[hh]:mm:ss"))</f>
        <v>01:30:00</v>
      </c>
      <c r="L1091" s="1640">
        <v>45670.458333333336</v>
      </c>
      <c r="M1091" s="1609">
        <v>45670.458333333336</v>
      </c>
    </row>
    <row r="1092" spans="1:13" s="85" customFormat="1" ht="19.8" thickTop="1" x14ac:dyDescent="0.45">
      <c r="A1092" s="1619"/>
      <c r="B1092" s="1615"/>
      <c r="C1092" s="1486" t="s">
        <v>790</v>
      </c>
      <c r="D1092" s="1530" t="s">
        <v>2547</v>
      </c>
      <c r="E1092" s="1497">
        <v>45670.118750000001</v>
      </c>
      <c r="F1092" s="1497">
        <v>45670.136805555558</v>
      </c>
      <c r="G1092" s="1497"/>
      <c r="H1092" s="1497"/>
      <c r="I1092" s="593"/>
      <c r="J1092" s="1497">
        <f t="shared" si="389"/>
        <v>45670.452083333337</v>
      </c>
      <c r="K1092" s="660" t="str">
        <f t="shared" si="392"/>
        <v>00:09:00</v>
      </c>
      <c r="L1092" s="1591"/>
      <c r="M1092" s="1589"/>
    </row>
    <row r="1093" spans="1:13" s="104" customFormat="1" x14ac:dyDescent="0.45">
      <c r="A1093" s="1638"/>
      <c r="B1093" s="1615"/>
      <c r="C1093" s="1486" t="s">
        <v>788</v>
      </c>
      <c r="D1093" s="1530" t="s">
        <v>2548</v>
      </c>
      <c r="E1093" s="83">
        <v>45670.120138888888</v>
      </c>
      <c r="F1093" s="83">
        <v>45670.149305555555</v>
      </c>
      <c r="G1093" s="83"/>
      <c r="H1093" s="83"/>
      <c r="I1093" s="593"/>
      <c r="J1093" s="1497">
        <f t="shared" si="389"/>
        <v>45670.453472222223</v>
      </c>
      <c r="K1093" s="660" t="str">
        <f t="shared" si="392"/>
        <v>00:07:00</v>
      </c>
      <c r="L1093" s="1638"/>
      <c r="M1093" s="1635"/>
    </row>
    <row r="1094" spans="1:13" s="104" customFormat="1" x14ac:dyDescent="0.45">
      <c r="A1094" s="1619"/>
      <c r="B1094" s="1615"/>
      <c r="C1094" s="1613" t="s">
        <v>797</v>
      </c>
      <c r="D1094" s="1530" t="s">
        <v>2549</v>
      </c>
      <c r="E1094" s="1497">
        <v>45670.120833333334</v>
      </c>
      <c r="F1094" s="1497">
        <v>45670.152083333334</v>
      </c>
      <c r="G1094" s="1497"/>
      <c r="H1094" s="1497"/>
      <c r="I1094" s="593"/>
      <c r="J1094" s="1497">
        <f t="shared" si="389"/>
        <v>45670.45416666667</v>
      </c>
      <c r="K1094" s="660" t="str">
        <f t="shared" si="392"/>
        <v>00:06:00</v>
      </c>
      <c r="L1094" s="1619"/>
      <c r="M1094" s="1635"/>
    </row>
    <row r="1095" spans="1:13" s="104" customFormat="1" ht="19.8" thickBot="1" x14ac:dyDescent="0.5">
      <c r="A1095" s="1583"/>
      <c r="B1095" s="1608"/>
      <c r="C1095" s="1612"/>
      <c r="D1095" s="86" t="s">
        <v>2540</v>
      </c>
      <c r="E1095" s="1481">
        <v>45670.083333333336</v>
      </c>
      <c r="F1095" s="1481">
        <v>45670.25</v>
      </c>
      <c r="G1095" s="1481"/>
      <c r="H1095" s="1481"/>
      <c r="I1095" s="656"/>
      <c r="J1095" s="1514">
        <f t="shared" si="389"/>
        <v>45670.416666666672</v>
      </c>
      <c r="K1095" s="1534" t="str">
        <f t="shared" si="392"/>
        <v>01:00:00</v>
      </c>
      <c r="L1095" s="1583"/>
      <c r="M1095" s="1624"/>
    </row>
    <row r="1096" spans="1:13" s="85" customFormat="1" ht="20.399999999999999" thickTop="1" thickBot="1" x14ac:dyDescent="0.5">
      <c r="A1096" s="1582" t="s">
        <v>1009</v>
      </c>
      <c r="B1096" s="1621" t="s">
        <v>800</v>
      </c>
      <c r="C1096" s="1491" t="s">
        <v>1407</v>
      </c>
      <c r="D1096" s="1492" t="s">
        <v>2930</v>
      </c>
      <c r="E1096" s="83">
        <v>45877.666666666664</v>
      </c>
      <c r="F1096" s="83">
        <v>45877.916666666664</v>
      </c>
      <c r="G1096" s="1496"/>
      <c r="H1096" s="1496"/>
      <c r="I1096" s="594"/>
      <c r="J1096" s="1504">
        <f t="shared" si="389"/>
        <v>45878</v>
      </c>
      <c r="K1096" s="659" t="str">
        <f t="shared" ref="K1096:K1099" si="393">IF($M$1096-J1096&lt;0, "-" &amp; TEXT(ABS($M$1096-J1096),"[hh]:mm:ss"), TEXT($M$1096-J1096,"[hh]:mm:ss"))</f>
        <v>00:31:00</v>
      </c>
      <c r="L1096" s="1640">
        <v>45878.020833333336</v>
      </c>
      <c r="M1096" s="1609">
        <v>45878.021527777775</v>
      </c>
    </row>
    <row r="1097" spans="1:13" s="104" customFormat="1" ht="19.8" thickTop="1" x14ac:dyDescent="0.45">
      <c r="A1097" s="1619"/>
      <c r="B1097" s="1615"/>
      <c r="C1097" s="1486" t="s">
        <v>790</v>
      </c>
      <c r="D1097" s="1530" t="s">
        <v>2928</v>
      </c>
      <c r="E1097" s="1497">
        <v>45877.681250000001</v>
      </c>
      <c r="F1097" s="1497">
        <v>45877.697222222225</v>
      </c>
      <c r="G1097" s="1497"/>
      <c r="H1097" s="1497"/>
      <c r="I1097" s="593"/>
      <c r="J1097" s="1497">
        <f t="shared" si="389"/>
        <v>45878.014583333337</v>
      </c>
      <c r="K1097" s="660" t="str">
        <f t="shared" si="393"/>
        <v>00:10:00</v>
      </c>
      <c r="L1097" s="1591"/>
      <c r="M1097" s="1589"/>
    </row>
    <row r="1098" spans="1:13" s="104" customFormat="1" x14ac:dyDescent="0.45">
      <c r="A1098" s="1619"/>
      <c r="B1098" s="1615"/>
      <c r="C1098" s="1613" t="s">
        <v>788</v>
      </c>
      <c r="D1098" s="1530" t="s">
        <v>2929</v>
      </c>
      <c r="E1098" s="1497">
        <v>45877.682638888888</v>
      </c>
      <c r="F1098" s="1497">
        <v>45877.708333333336</v>
      </c>
      <c r="G1098" s="1497"/>
      <c r="H1098" s="1497"/>
      <c r="I1098" s="593"/>
      <c r="J1098" s="1497">
        <f t="shared" si="389"/>
        <v>45878.015972222223</v>
      </c>
      <c r="K1098" s="660" t="str">
        <f t="shared" si="393"/>
        <v>00:08:00</v>
      </c>
      <c r="L1098" s="1619"/>
      <c r="M1098" s="1635"/>
    </row>
    <row r="1099" spans="1:13" s="104" customFormat="1" ht="19.8" thickBot="1" x14ac:dyDescent="0.5">
      <c r="A1099" s="1583"/>
      <c r="B1099" s="1608"/>
      <c r="C1099" s="1617"/>
      <c r="D1099" s="86" t="s">
        <v>2923</v>
      </c>
      <c r="E1099" s="1481">
        <v>45877.75</v>
      </c>
      <c r="F1099" s="1481">
        <v>45877.979166666664</v>
      </c>
      <c r="G1099" s="1481"/>
      <c r="H1099" s="1481"/>
      <c r="I1099" s="656"/>
      <c r="J1099" s="1514">
        <f t="shared" si="389"/>
        <v>45878.083333333336</v>
      </c>
      <c r="K1099" s="1534" t="str">
        <f t="shared" si="393"/>
        <v>-01:29:00</v>
      </c>
      <c r="L1099" s="1583"/>
      <c r="M1099" s="1624"/>
    </row>
    <row r="1100" spans="1:13" s="104" customFormat="1" ht="20.399999999999999" thickTop="1" thickBot="1" x14ac:dyDescent="0.5">
      <c r="A1100" s="1582" t="s">
        <v>1009</v>
      </c>
      <c r="B1100" s="1621" t="s">
        <v>800</v>
      </c>
      <c r="C1100" s="1491" t="s">
        <v>1407</v>
      </c>
      <c r="D1100" s="1492" t="s">
        <v>2991</v>
      </c>
      <c r="E1100" s="1504">
        <v>45908.791666666664</v>
      </c>
      <c r="F1100" s="1504">
        <v>45908.999305555553</v>
      </c>
      <c r="G1100" s="1504"/>
      <c r="H1100" s="1504"/>
      <c r="I1100" s="594"/>
      <c r="J1100" s="1504">
        <f t="shared" si="389"/>
        <v>45909.125</v>
      </c>
      <c r="K1100" s="659" t="str">
        <f t="shared" ref="K1100:K1103" si="394">IF($M$1100-J1100&lt;0, "-" &amp; TEXT(ABS($M$1100-J1100),"[hh]:mm:ss"), TEXT($M$1100-J1100,"[hh]:mm:ss"))</f>
        <v>00:48:00</v>
      </c>
      <c r="L1100" s="1640">
        <v>45909.15902777778</v>
      </c>
      <c r="M1100" s="1609">
        <v>45909.158333333333</v>
      </c>
    </row>
    <row r="1101" spans="1:13" s="104" customFormat="1" ht="19.8" thickTop="1" x14ac:dyDescent="0.45">
      <c r="A1101" s="1619"/>
      <c r="B1101" s="1615"/>
      <c r="C1101" s="1486" t="s">
        <v>790</v>
      </c>
      <c r="D1101" s="1530" t="s">
        <v>2987</v>
      </c>
      <c r="E1101" s="1497">
        <v>45908.818749999999</v>
      </c>
      <c r="F1101" s="1497">
        <v>45908.833333333336</v>
      </c>
      <c r="G1101" s="1497"/>
      <c r="H1101" s="1497"/>
      <c r="I1101" s="593"/>
      <c r="J1101" s="1497">
        <f t="shared" si="389"/>
        <v>45909.152083333334</v>
      </c>
      <c r="K1101" s="660" t="str">
        <f t="shared" si="394"/>
        <v>00:09:00</v>
      </c>
      <c r="L1101" s="1591"/>
      <c r="M1101" s="1589"/>
    </row>
    <row r="1102" spans="1:13" s="104" customFormat="1" collapsed="1" x14ac:dyDescent="0.45">
      <c r="A1102" s="1619"/>
      <c r="B1102" s="1615"/>
      <c r="C1102" s="1613" t="s">
        <v>788</v>
      </c>
      <c r="D1102" s="1530" t="s">
        <v>2989</v>
      </c>
      <c r="E1102" s="1497">
        <v>45908.820138888892</v>
      </c>
      <c r="F1102" s="1497">
        <v>45908.844444444447</v>
      </c>
      <c r="G1102" s="1497"/>
      <c r="H1102" s="1497"/>
      <c r="I1102" s="593"/>
      <c r="J1102" s="1497">
        <f t="shared" si="389"/>
        <v>45909.153472222228</v>
      </c>
      <c r="K1102" s="660" t="str">
        <f t="shared" si="394"/>
        <v>00:07:00</v>
      </c>
      <c r="L1102" s="1619"/>
      <c r="M1102" s="1635"/>
    </row>
    <row r="1103" spans="1:13" s="104" customFormat="1" ht="19.8" thickBot="1" x14ac:dyDescent="0.5">
      <c r="A1103" s="1583"/>
      <c r="B1103" s="1608"/>
      <c r="C1103" s="1612"/>
      <c r="D1103" s="1514" t="s">
        <v>2954</v>
      </c>
      <c r="E1103" s="1481">
        <v>45908</v>
      </c>
      <c r="F1103" s="1481">
        <v>45908.999305555553</v>
      </c>
      <c r="G1103" s="1481"/>
      <c r="H1103" s="1481"/>
      <c r="I1103" s="656"/>
      <c r="J1103" s="1481">
        <f t="shared" si="389"/>
        <v>45908.333333333336</v>
      </c>
      <c r="K1103" s="1534" t="str">
        <f t="shared" si="394"/>
        <v>19:48:00</v>
      </c>
      <c r="L1103" s="1583"/>
      <c r="M1103" s="1624"/>
    </row>
    <row r="1104" spans="1:13" s="104" customFormat="1" ht="20.399999999999999" thickTop="1" thickBot="1" x14ac:dyDescent="0.5">
      <c r="A1104" s="1582" t="s">
        <v>1009</v>
      </c>
      <c r="B1104" s="1621" t="s">
        <v>1193</v>
      </c>
      <c r="C1104" s="1491" t="s">
        <v>1407</v>
      </c>
      <c r="D1104" s="1492" t="s">
        <v>3012</v>
      </c>
      <c r="E1104" s="1504">
        <v>45924.291666666664</v>
      </c>
      <c r="F1104" s="1504">
        <v>45924.416666666664</v>
      </c>
      <c r="G1104" s="1504"/>
      <c r="H1104" s="1504"/>
      <c r="I1104" s="594"/>
      <c r="J1104" s="1504">
        <f t="shared" si="389"/>
        <v>45924.625</v>
      </c>
      <c r="K1104" s="659" t="str">
        <f t="shared" ref="K1104:K1107" si="395">IF($M$1104-J1104&lt;0, "-" &amp; TEXT(ABS($M$1104-J1104),"[hh]:mm:ss"), TEXT($M$1104-J1104,"[hh]:mm:ss"))</f>
        <v>00:56:00</v>
      </c>
      <c r="L1104" s="1640">
        <v>45924.663888888892</v>
      </c>
      <c r="M1104" s="1609">
        <v>45924.663888888892</v>
      </c>
    </row>
    <row r="1105" spans="1:13" s="104" customFormat="1" ht="19.8" thickTop="1" x14ac:dyDescent="0.45">
      <c r="A1105" s="1619"/>
      <c r="B1105" s="1615"/>
      <c r="C1105" s="1486" t="s">
        <v>790</v>
      </c>
      <c r="D1105" s="1530" t="s">
        <v>3007</v>
      </c>
      <c r="E1105" s="1497">
        <v>45924.324305555558</v>
      </c>
      <c r="F1105" s="1497">
        <v>45924.354166666664</v>
      </c>
      <c r="G1105" s="1497"/>
      <c r="H1105" s="1497"/>
      <c r="I1105" s="593"/>
      <c r="J1105" s="1497">
        <f t="shared" si="389"/>
        <v>45924.657638888893</v>
      </c>
      <c r="K1105" s="660" t="str">
        <f t="shared" si="395"/>
        <v>00:09:00</v>
      </c>
      <c r="L1105" s="1591"/>
      <c r="M1105" s="1589"/>
    </row>
    <row r="1106" spans="1:13" s="85" customFormat="1" x14ac:dyDescent="0.45">
      <c r="A1106" s="1619"/>
      <c r="B1106" s="1615"/>
      <c r="C1106" s="1613" t="s">
        <v>788</v>
      </c>
      <c r="D1106" s="1530" t="s">
        <v>3011</v>
      </c>
      <c r="E1106" s="1497">
        <v>45924.325694444444</v>
      </c>
      <c r="F1106" s="1497">
        <v>45924.365277777775</v>
      </c>
      <c r="G1106" s="1497"/>
      <c r="H1106" s="1497"/>
      <c r="I1106" s="593"/>
      <c r="J1106" s="1497">
        <f t="shared" si="389"/>
        <v>45924.65902777778</v>
      </c>
      <c r="K1106" s="660" t="str">
        <f t="shared" si="395"/>
        <v>00:07:00</v>
      </c>
      <c r="L1106" s="1619"/>
      <c r="M1106" s="1635"/>
    </row>
    <row r="1107" spans="1:13" ht="19.8" thickBot="1" x14ac:dyDescent="0.5">
      <c r="A1107" s="1583"/>
      <c r="B1107" s="1608"/>
      <c r="C1107" s="1612"/>
      <c r="D1107" s="1514" t="s">
        <v>2990</v>
      </c>
      <c r="E1107" s="1481">
        <v>45924</v>
      </c>
      <c r="F1107" s="1481">
        <v>45924.999305555553</v>
      </c>
      <c r="G1107" s="1481"/>
      <c r="H1107" s="1481"/>
      <c r="I1107" s="656"/>
      <c r="J1107" s="1481">
        <f t="shared" si="389"/>
        <v>45924.333333333336</v>
      </c>
      <c r="K1107" s="1534" t="str">
        <f t="shared" si="395"/>
        <v>07:56:00</v>
      </c>
      <c r="L1107" s="1583"/>
      <c r="M1107" s="1624"/>
    </row>
    <row r="1108" spans="1:13" s="104" customFormat="1" ht="20.399999999999999" thickTop="1" thickBot="1" x14ac:dyDescent="0.5">
      <c r="A1108" s="1583" t="s">
        <v>1009</v>
      </c>
      <c r="B1108" s="1608" t="s">
        <v>1193</v>
      </c>
      <c r="C1108" s="1611" t="s">
        <v>1280</v>
      </c>
      <c r="D1108" s="587" t="s">
        <v>3435</v>
      </c>
      <c r="E1108" s="1504">
        <v>46103.625</v>
      </c>
      <c r="F1108" s="1504">
        <v>46103.708333333336</v>
      </c>
      <c r="G1108" s="1504"/>
      <c r="H1108" s="1504"/>
      <c r="I1108" s="594"/>
      <c r="J1108" s="1504">
        <f t="shared" si="389"/>
        <v>46103.958333333336</v>
      </c>
      <c r="K1108" s="659" t="str">
        <f t="shared" ref="K1108:K1113" si="396">IF($M$1108-J1108&lt;0, "-" &amp; TEXT(ABS($M$1108-J1108),"[hh]:mm:ss"), TEXT($M$1108-J1108,"[hh]:mm:ss"))</f>
        <v>00:49:00</v>
      </c>
      <c r="L1108" s="1585">
        <v>46103.991666666669</v>
      </c>
      <c r="M1108" s="1590">
        <v>46103.992361111108</v>
      </c>
    </row>
    <row r="1109" spans="1:13" s="104" customFormat="1" ht="20.399999999999999" thickTop="1" thickBot="1" x14ac:dyDescent="0.5">
      <c r="A1109" s="1583"/>
      <c r="B1109" s="1608"/>
      <c r="C1109" s="1617"/>
      <c r="D1109" s="319" t="s">
        <v>3436</v>
      </c>
      <c r="E1109" s="1530">
        <v>46103.625</v>
      </c>
      <c r="F1109" s="1530">
        <v>46103.708333333336</v>
      </c>
      <c r="G1109" s="1530"/>
      <c r="H1109" s="1530"/>
      <c r="I1109" s="596"/>
      <c r="J1109" s="1530">
        <f t="shared" si="389"/>
        <v>46103.958333333336</v>
      </c>
      <c r="K1109" s="663" t="str">
        <f t="shared" si="396"/>
        <v>00:49:00</v>
      </c>
      <c r="L1109" s="1585"/>
      <c r="M1109" s="1590"/>
    </row>
    <row r="1110" spans="1:13" s="104" customFormat="1" ht="20.399999999999999" customHeight="1" thickTop="1" thickBot="1" x14ac:dyDescent="0.5">
      <c r="A1110" s="1583"/>
      <c r="B1110" s="1608"/>
      <c r="C1110" s="1500" t="s">
        <v>1409</v>
      </c>
      <c r="D1110" s="319" t="s">
        <v>3431</v>
      </c>
      <c r="E1110" s="1530">
        <v>46103.652083333334</v>
      </c>
      <c r="F1110" s="1530">
        <v>46103.665972222225</v>
      </c>
      <c r="G1110" s="1530"/>
      <c r="H1110" s="1530"/>
      <c r="I1110" s="596"/>
      <c r="J1110" s="1530">
        <f t="shared" si="389"/>
        <v>46103.98541666667</v>
      </c>
      <c r="K1110" s="663" t="str">
        <f t="shared" si="396"/>
        <v>00:10:00</v>
      </c>
      <c r="L1110" s="1585"/>
      <c r="M1110" s="1590"/>
    </row>
    <row r="1111" spans="1:13" s="104" customFormat="1" ht="20.399999999999999" customHeight="1" thickTop="1" thickBot="1" x14ac:dyDescent="0.5">
      <c r="A1111" s="1583"/>
      <c r="B1111" s="1608"/>
      <c r="C1111" s="1594" t="s">
        <v>788</v>
      </c>
      <c r="D1111" s="183" t="s">
        <v>3437</v>
      </c>
      <c r="E1111" s="1505">
        <v>46103.65347222222</v>
      </c>
      <c r="F1111" s="1505">
        <v>46103.67083333333</v>
      </c>
      <c r="G1111" s="1505"/>
      <c r="H1111" s="1505"/>
      <c r="I1111" s="605"/>
      <c r="J1111" s="1530">
        <f t="shared" si="389"/>
        <v>46103.986805555556</v>
      </c>
      <c r="K1111" s="663" t="str">
        <f t="shared" si="396"/>
        <v>00:08:00</v>
      </c>
      <c r="L1111" s="1585"/>
      <c r="M1111" s="1590"/>
    </row>
    <row r="1112" spans="1:13" s="104" customFormat="1" ht="20.399999999999999" customHeight="1" thickTop="1" thickBot="1" x14ac:dyDescent="0.5">
      <c r="A1112" s="1583"/>
      <c r="B1112" s="1608"/>
      <c r="C1112" s="1628"/>
      <c r="D1112" s="183" t="s">
        <v>3438</v>
      </c>
      <c r="E1112" s="1505">
        <v>46103.65347222222</v>
      </c>
      <c r="F1112" s="1505">
        <v>46103.677777777775</v>
      </c>
      <c r="G1112" s="1505"/>
      <c r="H1112" s="1505"/>
      <c r="I1112" s="605"/>
      <c r="J1112" s="1530">
        <f t="shared" si="389"/>
        <v>46103.986805555556</v>
      </c>
      <c r="K1112" s="673" t="str">
        <f t="shared" si="396"/>
        <v>00:08:00</v>
      </c>
      <c r="L1112" s="1585"/>
      <c r="M1112" s="1590"/>
    </row>
    <row r="1113" spans="1:13" s="104" customFormat="1" ht="20.399999999999999" thickTop="1" thickBot="1" x14ac:dyDescent="0.5">
      <c r="A1113" s="1583"/>
      <c r="B1113" s="1608"/>
      <c r="C1113" s="707" t="s">
        <v>797</v>
      </c>
      <c r="D1113" s="1514" t="s">
        <v>3434</v>
      </c>
      <c r="E1113" s="1514">
        <v>46103.654166666667</v>
      </c>
      <c r="F1113" s="1514">
        <v>46103.681250000001</v>
      </c>
      <c r="G1113" s="1514"/>
      <c r="H1113" s="1514"/>
      <c r="I1113" s="595"/>
      <c r="J1113" s="1514">
        <f t="shared" si="389"/>
        <v>46103.987500000003</v>
      </c>
      <c r="K1113" s="661" t="str">
        <f t="shared" si="396"/>
        <v>00:07:00</v>
      </c>
      <c r="L1113" s="1585"/>
      <c r="M1113" s="1590"/>
    </row>
    <row r="1114" spans="1:13" s="104" customFormat="1" ht="20.399999999999999" thickTop="1" thickBot="1" x14ac:dyDescent="0.5">
      <c r="A1114" s="1581" t="s">
        <v>1009</v>
      </c>
      <c r="B1114" s="1600" t="s">
        <v>1193</v>
      </c>
      <c r="C1114" s="1748" t="s">
        <v>1280</v>
      </c>
      <c r="D1114" s="358"/>
      <c r="E1114" s="1493"/>
      <c r="F1114" s="1493"/>
      <c r="G1114" s="1493"/>
      <c r="H1114" s="1493"/>
      <c r="I1114" s="606"/>
      <c r="J1114" s="1493">
        <f t="shared" ref="J1114:J1122" si="397">E1114+TIME(8,0,0)</f>
        <v>0.33333333333333331</v>
      </c>
      <c r="K1114" s="674" t="str">
        <f>IF($M$1114-J1114&lt;0, "-" &amp; TEXT(ABS($M$1114-J1114),"[hh]:mm:ss"), TEXT($M$1114-J1114,"[hh]:mm:ss"))</f>
        <v>-08:00:00</v>
      </c>
      <c r="L1114" s="1603"/>
      <c r="M1114" s="1606"/>
    </row>
    <row r="1115" spans="1:13" s="104" customFormat="1" ht="20.399999999999999" thickTop="1" thickBot="1" x14ac:dyDescent="0.5">
      <c r="A1115" s="1581"/>
      <c r="B1115" s="1600"/>
      <c r="C1115" s="1749"/>
      <c r="D1115" s="316"/>
      <c r="E1115" s="305"/>
      <c r="F1115" s="305"/>
      <c r="G1115" s="305"/>
      <c r="H1115" s="305"/>
      <c r="I1115" s="602"/>
      <c r="J1115" s="305">
        <f t="shared" si="397"/>
        <v>0.33333333333333331</v>
      </c>
      <c r="K1115" s="669" t="str">
        <f>IF($M$1114-J1115&lt;0, "-" &amp; TEXT(ABS($M$1114-J1115),"[hh]:mm:ss"), TEXT($M$1114-J1115,"[hh]:mm:ss"))</f>
        <v>-08:00:00</v>
      </c>
      <c r="L1115" s="1603"/>
      <c r="M1115" s="1606"/>
    </row>
    <row r="1116" spans="1:13" s="104" customFormat="1" ht="20.399999999999999" customHeight="1" thickTop="1" thickBot="1" x14ac:dyDescent="0.5">
      <c r="A1116" s="1581"/>
      <c r="B1116" s="1600"/>
      <c r="C1116" s="1592" t="s">
        <v>803</v>
      </c>
      <c r="D1116" s="316"/>
      <c r="E1116" s="305"/>
      <c r="F1116" s="305"/>
      <c r="G1116" s="305"/>
      <c r="H1116" s="305"/>
      <c r="I1116" s="602"/>
      <c r="J1116" s="305">
        <f t="shared" si="397"/>
        <v>0.33333333333333331</v>
      </c>
      <c r="K1116" s="669" t="str">
        <f>IF($M$1114-J1116&lt;0, "-" &amp; TEXT(ABS($M$1114-J1116),"[hh]:mm:ss"), TEXT($M$1114-J1116,"[hh]:mm:ss"))</f>
        <v>-08:00:00</v>
      </c>
      <c r="L1116" s="1603"/>
      <c r="M1116" s="1606"/>
    </row>
    <row r="1117" spans="1:13" s="104" customFormat="1" ht="20.399999999999999" customHeight="1" thickTop="1" thickBot="1" x14ac:dyDescent="0.5">
      <c r="A1117" s="1581"/>
      <c r="B1117" s="1600"/>
      <c r="C1117" s="1593"/>
      <c r="D1117" s="453"/>
      <c r="E1117" s="589"/>
      <c r="F1117" s="589"/>
      <c r="G1117" s="589"/>
      <c r="H1117" s="589"/>
      <c r="I1117" s="607"/>
      <c r="J1117" s="305">
        <f t="shared" si="397"/>
        <v>0.33333333333333331</v>
      </c>
      <c r="K1117" s="669" t="str">
        <f>IF($M$1114-J1117&lt;0, "-" &amp; TEXT(ABS($M$1114-J1117),"[hh]:mm:ss"), TEXT($M$1114-J1117,"[hh]:mm:ss"))</f>
        <v>-08:00:00</v>
      </c>
      <c r="L1117" s="1603"/>
      <c r="M1117" s="1606"/>
    </row>
    <row r="1118" spans="1:13" s="104" customFormat="1" ht="20.399999999999999" customHeight="1" thickTop="1" thickBot="1" x14ac:dyDescent="0.5">
      <c r="A1118" s="1581"/>
      <c r="B1118" s="1600"/>
      <c r="C1118" s="1592" t="s">
        <v>788</v>
      </c>
      <c r="D1118" s="453"/>
      <c r="E1118" s="589"/>
      <c r="F1118" s="589"/>
      <c r="G1118" s="589"/>
      <c r="H1118" s="589"/>
      <c r="I1118" s="607"/>
      <c r="J1118" s="305">
        <f t="shared" ref="J1118" si="398">E1118+TIME(8,0,0)</f>
        <v>0.33333333333333331</v>
      </c>
      <c r="K1118" s="669" t="str">
        <f t="shared" ref="K1118" si="399">IF($M$1114-J1118&lt;0, "-" &amp; TEXT(ABS($M$1114-J1118),"[hh]:mm:ss"), TEXT($M$1114-J1118,"[hh]:mm:ss"))</f>
        <v>-08:00:00</v>
      </c>
      <c r="L1118" s="1603"/>
      <c r="M1118" s="1606"/>
    </row>
    <row r="1119" spans="1:13" s="104" customFormat="1" ht="20.399999999999999" customHeight="1" thickTop="1" thickBot="1" x14ac:dyDescent="0.5">
      <c r="A1119" s="1581"/>
      <c r="B1119" s="1600"/>
      <c r="C1119" s="1593"/>
      <c r="D1119" s="453"/>
      <c r="E1119" s="589"/>
      <c r="F1119" s="589"/>
      <c r="G1119" s="589"/>
      <c r="H1119" s="589"/>
      <c r="I1119" s="607"/>
      <c r="J1119" s="305">
        <f t="shared" si="397"/>
        <v>0.33333333333333331</v>
      </c>
      <c r="K1119" s="675" t="str">
        <f>IF($M$1114-J1119&lt;0, "-" &amp; TEXT(ABS($M$1114-J1119),"[hh]:mm:ss"), TEXT($M$1114-J1119,"[hh]:mm:ss"))</f>
        <v>-08:00:00</v>
      </c>
      <c r="L1119" s="1603"/>
      <c r="M1119" s="1606"/>
    </row>
    <row r="1120" spans="1:13" s="104" customFormat="1" ht="20.399999999999999" customHeight="1" thickTop="1" thickBot="1" x14ac:dyDescent="0.5">
      <c r="A1120" s="1581"/>
      <c r="B1120" s="1600"/>
      <c r="C1120" s="1592" t="s">
        <v>801</v>
      </c>
      <c r="D1120" s="453"/>
      <c r="E1120" s="589"/>
      <c r="F1120" s="589"/>
      <c r="G1120" s="589"/>
      <c r="H1120" s="589"/>
      <c r="I1120" s="607"/>
      <c r="J1120" s="589">
        <f t="shared" si="397"/>
        <v>0.33333333333333331</v>
      </c>
      <c r="K1120" s="675" t="str">
        <f t="shared" ref="K1120" si="400">IF($M$1114-J1120&lt;0, "-" &amp; TEXT(ABS($M$1114-J1120),"[hh]:mm:ss"), TEXT($M$1114-J1120,"[hh]:mm:ss"))</f>
        <v>-08:00:00</v>
      </c>
      <c r="L1120" s="1603"/>
      <c r="M1120" s="1606"/>
    </row>
    <row r="1121" spans="1:13" s="104" customFormat="1" ht="20.399999999999999" customHeight="1" thickTop="1" thickBot="1" x14ac:dyDescent="0.5">
      <c r="A1121" s="1581"/>
      <c r="B1121" s="1600"/>
      <c r="C1121" s="1593"/>
      <c r="D1121" s="453" t="s">
        <v>3792</v>
      </c>
      <c r="E1121" s="589">
        <v>46215.083333333336</v>
      </c>
      <c r="F1121" s="589">
        <v>46218.25</v>
      </c>
      <c r="G1121" s="589"/>
      <c r="H1121" s="589"/>
      <c r="I1121" s="607"/>
      <c r="J1121" s="589">
        <f t="shared" ref="J1121" si="401">E1121+TIME(8,0,0)</f>
        <v>46215.416666666672</v>
      </c>
      <c r="K1121" s="675" t="str">
        <f t="shared" ref="K1121" si="402">IF($M$1114-J1121&lt;0, "-" &amp; TEXT(ABS($M$1114-J1121),"[hh]:mm:ss"), TEXT($M$1114-J1121,"[hh]:mm:ss"))</f>
        <v>-1109170:00:00</v>
      </c>
      <c r="L1121" s="1603"/>
      <c r="M1121" s="1606"/>
    </row>
    <row r="1122" spans="1:13" s="104" customFormat="1" ht="20.399999999999999" thickTop="1" thickBot="1" x14ac:dyDescent="0.5">
      <c r="A1122" s="1581"/>
      <c r="B1122" s="1600"/>
      <c r="C1122" s="701" t="s">
        <v>797</v>
      </c>
      <c r="D1122" s="1495"/>
      <c r="E1122" s="1495"/>
      <c r="F1122" s="1495"/>
      <c r="G1122" s="1495"/>
      <c r="H1122" s="1495"/>
      <c r="I1122" s="608"/>
      <c r="J1122" s="1495">
        <f t="shared" si="397"/>
        <v>0.33333333333333331</v>
      </c>
      <c r="K1122" s="676" t="str">
        <f>IF($M$1114-J1122&lt;0, "-" &amp; TEXT(ABS($M$1114-J1122),"[hh]:mm:ss"), TEXT($M$1114-J1122,"[hh]:mm:ss"))</f>
        <v>-08:00:00</v>
      </c>
      <c r="L1122" s="1603"/>
      <c r="M1122" s="1606"/>
    </row>
    <row r="1123" spans="1:13" ht="20.399999999999999" thickTop="1" thickBot="1" x14ac:dyDescent="0.5">
      <c r="A1123" s="314"/>
      <c r="B1123" s="314"/>
      <c r="C1123" s="641"/>
      <c r="D1123" s="87"/>
      <c r="E1123" s="87"/>
      <c r="F1123" s="87"/>
      <c r="G1123" s="87"/>
      <c r="H1123" s="87"/>
      <c r="I1123" s="598"/>
      <c r="J1123" s="87"/>
      <c r="K1123" s="665"/>
      <c r="L1123" s="314"/>
      <c r="M1123" s="623"/>
    </row>
    <row r="1124" spans="1:13" ht="20.399999999999999" thickTop="1" thickBot="1" x14ac:dyDescent="0.5">
      <c r="A1124" s="1583" t="s">
        <v>1009</v>
      </c>
      <c r="B1124" s="1608" t="s">
        <v>1291</v>
      </c>
      <c r="C1124" s="1661" t="s">
        <v>795</v>
      </c>
      <c r="D1124" s="587" t="s">
        <v>1292</v>
      </c>
      <c r="E1124" s="1504">
        <v>45265.803472222222</v>
      </c>
      <c r="F1124" s="1504">
        <v>45265.834722222222</v>
      </c>
      <c r="G1124" s="1504"/>
      <c r="H1124" s="1504"/>
      <c r="I1124" s="594"/>
      <c r="J1124" s="1504">
        <f t="shared" ref="J1124:J1136" si="403">E1124+TIME(8,0,0)</f>
        <v>45266.136805555558</v>
      </c>
      <c r="K1124" s="659" t="str">
        <f t="shared" ref="K1124:K1129" si="404">IF($M$1124-J1124&lt;0, "-" &amp; TEXT(ABS($M$1124-J1124),"[hh]:mm:ss"), TEXT($M$1124-J1124,"[hh]:mm:ss"))</f>
        <v>00:07:00</v>
      </c>
      <c r="L1124" s="1585">
        <v>45266.145833333336</v>
      </c>
      <c r="M1124" s="1590">
        <v>45266.14166666667</v>
      </c>
    </row>
    <row r="1125" spans="1:13" ht="20.399999999999999" thickTop="1" thickBot="1" x14ac:dyDescent="0.5">
      <c r="A1125" s="1583"/>
      <c r="B1125" s="1608"/>
      <c r="C1125" s="1685"/>
      <c r="D1125" s="319" t="s">
        <v>1293</v>
      </c>
      <c r="E1125" s="1530">
        <v>45265.804166666669</v>
      </c>
      <c r="F1125" s="1530">
        <v>45265.836111111108</v>
      </c>
      <c r="G1125" s="1530"/>
      <c r="H1125" s="1530"/>
      <c r="I1125" s="596"/>
      <c r="J1125" s="1530">
        <f t="shared" si="403"/>
        <v>45266.137500000004</v>
      </c>
      <c r="K1125" s="663" t="str">
        <f t="shared" si="404"/>
        <v>00:06:00</v>
      </c>
      <c r="L1125" s="1585"/>
      <c r="M1125" s="1590"/>
    </row>
    <row r="1126" spans="1:13" ht="20.399999999999999" thickTop="1" thickBot="1" x14ac:dyDescent="0.5">
      <c r="A1126" s="1583"/>
      <c r="B1126" s="1608"/>
      <c r="C1126" s="1512" t="s">
        <v>1280</v>
      </c>
      <c r="D1126" s="319" t="s">
        <v>1312</v>
      </c>
      <c r="E1126" s="1530">
        <v>45265.791666666664</v>
      </c>
      <c r="F1126" s="1530">
        <v>45265.833333333336</v>
      </c>
      <c r="G1126" s="1530"/>
      <c r="H1126" s="1530"/>
      <c r="I1126" s="596"/>
      <c r="J1126" s="1530">
        <f t="shared" si="403"/>
        <v>45266.125</v>
      </c>
      <c r="K1126" s="663" t="str">
        <f t="shared" si="404"/>
        <v>00:24:00</v>
      </c>
      <c r="L1126" s="1585"/>
      <c r="M1126" s="1590"/>
    </row>
    <row r="1127" spans="1:13" s="85" customFormat="1" ht="20.399999999999999" thickTop="1" thickBot="1" x14ac:dyDescent="0.5">
      <c r="A1127" s="1583"/>
      <c r="B1127" s="1608"/>
      <c r="C1127" s="1613" t="s">
        <v>1304</v>
      </c>
      <c r="D1127" s="319" t="s">
        <v>1307</v>
      </c>
      <c r="E1127" s="1530">
        <v>45265.805555555555</v>
      </c>
      <c r="F1127" s="1530">
        <v>45265.841666666667</v>
      </c>
      <c r="G1127" s="1530"/>
      <c r="H1127" s="1530"/>
      <c r="I1127" s="596"/>
      <c r="J1127" s="1530">
        <f t="shared" si="403"/>
        <v>45266.138888888891</v>
      </c>
      <c r="K1127" s="663" t="str">
        <f t="shared" si="404"/>
        <v>00:04:00</v>
      </c>
      <c r="L1127" s="1585"/>
      <c r="M1127" s="1590"/>
    </row>
    <row r="1128" spans="1:13" s="104" customFormat="1" ht="20.399999999999999" collapsed="1" thickTop="1" thickBot="1" x14ac:dyDescent="0.5">
      <c r="A1128" s="1583"/>
      <c r="B1128" s="1608"/>
      <c r="C1128" s="1617"/>
      <c r="D1128" s="319" t="s">
        <v>1308</v>
      </c>
      <c r="E1128" s="1530">
        <v>45265.805555555555</v>
      </c>
      <c r="F1128" s="1530">
        <v>45265.849305555559</v>
      </c>
      <c r="G1128" s="1530"/>
      <c r="H1128" s="1530"/>
      <c r="I1128" s="596"/>
      <c r="J1128" s="1530">
        <f t="shared" si="403"/>
        <v>45266.138888888891</v>
      </c>
      <c r="K1128" s="663" t="str">
        <f t="shared" si="404"/>
        <v>00:04:00</v>
      </c>
      <c r="L1128" s="1585"/>
      <c r="M1128" s="1590"/>
    </row>
    <row r="1129" spans="1:13" s="104" customFormat="1" ht="20.399999999999999" thickTop="1" thickBot="1" x14ac:dyDescent="0.5">
      <c r="A1129" s="1583"/>
      <c r="B1129" s="1608"/>
      <c r="C1129" s="1474" t="s">
        <v>785</v>
      </c>
      <c r="D1129" s="82" t="s">
        <v>1294</v>
      </c>
      <c r="E1129" s="1514">
        <v>45265.806250000001</v>
      </c>
      <c r="F1129" s="1514">
        <v>45265.854166666664</v>
      </c>
      <c r="G1129" s="1514"/>
      <c r="H1129" s="1514"/>
      <c r="I1129" s="595"/>
      <c r="J1129" s="1514">
        <f t="shared" si="403"/>
        <v>45266.139583333337</v>
      </c>
      <c r="K1129" s="661" t="str">
        <f t="shared" si="404"/>
        <v>00:03:00</v>
      </c>
      <c r="L1129" s="1583"/>
      <c r="M1129" s="1624"/>
    </row>
    <row r="1130" spans="1:13" s="104" customFormat="1" ht="20.399999999999999" thickTop="1" thickBot="1" x14ac:dyDescent="0.5">
      <c r="A1130" s="1583" t="s">
        <v>1009</v>
      </c>
      <c r="B1130" s="1608" t="s">
        <v>1291</v>
      </c>
      <c r="C1130" s="1611" t="s">
        <v>795</v>
      </c>
      <c r="D1130" s="587" t="s">
        <v>1597</v>
      </c>
      <c r="E1130" s="1504">
        <v>45325.12222222222</v>
      </c>
      <c r="F1130" s="1504">
        <v>45325.136111111111</v>
      </c>
      <c r="G1130" s="1504"/>
      <c r="H1130" s="1504"/>
      <c r="I1130" s="594"/>
      <c r="J1130" s="1504">
        <f t="shared" si="403"/>
        <v>45325.455555555556</v>
      </c>
      <c r="K1130" s="659" t="str">
        <f t="shared" ref="K1130:K1136" si="405">IF($M$1130-J1130&lt;0, "-" &amp; TEXT(ABS($M$1130-J1130),"[hh]:mm:ss"), TEXT($M$1130-J1130,"[hh]:mm:ss"))</f>
        <v>00:10:00</v>
      </c>
      <c r="L1130" s="1585">
        <v>45325.460416666669</v>
      </c>
      <c r="M1130" s="1590">
        <v>45325.462500000001</v>
      </c>
    </row>
    <row r="1131" spans="1:13" s="104" customFormat="1" ht="20.399999999999999" thickTop="1" thickBot="1" x14ac:dyDescent="0.5">
      <c r="A1131" s="1583"/>
      <c r="B1131" s="1608"/>
      <c r="C1131" s="1617"/>
      <c r="D1131" s="319" t="s">
        <v>1598</v>
      </c>
      <c r="E1131" s="1530">
        <v>45325.12222222222</v>
      </c>
      <c r="F1131" s="1530">
        <v>45325.137499999997</v>
      </c>
      <c r="G1131" s="1530"/>
      <c r="H1131" s="1530"/>
      <c r="I1131" s="596"/>
      <c r="J1131" s="1530">
        <f t="shared" si="403"/>
        <v>45325.455555555556</v>
      </c>
      <c r="K1131" s="663" t="str">
        <f t="shared" si="405"/>
        <v>00:10:00</v>
      </c>
      <c r="L1131" s="1585"/>
      <c r="M1131" s="1590"/>
    </row>
    <row r="1132" spans="1:13" s="104" customFormat="1" ht="20.399999999999999" thickTop="1" thickBot="1" x14ac:dyDescent="0.5">
      <c r="A1132" s="1583"/>
      <c r="B1132" s="1608"/>
      <c r="C1132" s="1501" t="s">
        <v>789</v>
      </c>
      <c r="D1132" s="319" t="s">
        <v>1602</v>
      </c>
      <c r="E1132" s="1530">
        <v>45325.123611111114</v>
      </c>
      <c r="F1132" s="1530">
        <v>45325.147916666669</v>
      </c>
      <c r="G1132" s="1530"/>
      <c r="H1132" s="1530"/>
      <c r="I1132" s="596"/>
      <c r="J1132" s="1530">
        <f t="shared" si="403"/>
        <v>45325.45694444445</v>
      </c>
      <c r="K1132" s="663" t="str">
        <f>IF($M$1130-J1132&lt;0, "-" &amp; TEXT(ABS($M$1130-J1132),"[hh]:mm:ss"), TEXT($M$1130-J1132,"[hh]:mm:ss"))</f>
        <v>00:08:00</v>
      </c>
      <c r="L1132" s="1585"/>
      <c r="M1132" s="1590"/>
    </row>
    <row r="1133" spans="1:13" s="104" customFormat="1" ht="20.399999999999999" thickTop="1" thickBot="1" x14ac:dyDescent="0.5">
      <c r="A1133" s="1583"/>
      <c r="B1133" s="1608"/>
      <c r="C1133" s="1512" t="s">
        <v>1304</v>
      </c>
      <c r="D1133" s="319" t="s">
        <v>1601</v>
      </c>
      <c r="E1133" s="1530">
        <v>45325.123611111114</v>
      </c>
      <c r="F1133" s="1530">
        <v>45325.147916666669</v>
      </c>
      <c r="G1133" s="1530"/>
      <c r="H1133" s="1530"/>
      <c r="I1133" s="596"/>
      <c r="J1133" s="1530">
        <f t="shared" si="403"/>
        <v>45325.45694444445</v>
      </c>
      <c r="K1133" s="663" t="str">
        <f>IF($M$1130-J1133&lt;0, "-" &amp; TEXT(ABS($M$1130-J1133),"[hh]:mm:ss"), TEXT($M$1130-J1133,"[hh]:mm:ss"))</f>
        <v>00:08:00</v>
      </c>
      <c r="L1133" s="1585"/>
      <c r="M1133" s="1590"/>
    </row>
    <row r="1134" spans="1:13" s="104" customFormat="1" ht="20.399999999999999" thickTop="1" thickBot="1" x14ac:dyDescent="0.5">
      <c r="A1134" s="1583"/>
      <c r="B1134" s="1608"/>
      <c r="C1134" s="1500" t="s">
        <v>785</v>
      </c>
      <c r="D1134" s="1530" t="s">
        <v>1600</v>
      </c>
      <c r="E1134" s="1530">
        <v>45325.124305555553</v>
      </c>
      <c r="F1134" s="1530">
        <v>45325.15</v>
      </c>
      <c r="G1134" s="1530"/>
      <c r="H1134" s="1530"/>
      <c r="I1134" s="596"/>
      <c r="J1134" s="1530">
        <f t="shared" si="403"/>
        <v>45325.457638888889</v>
      </c>
      <c r="K1134" s="663" t="str">
        <f>IF($M$1130-J1134&lt;0, "-" &amp; TEXT(ABS($M$1130-J1134),"[hh]:mm:ss"), TEXT($M$1130-J1134,"[hh]:mm:ss"))</f>
        <v>00:07:00</v>
      </c>
      <c r="L1134" s="1585"/>
      <c r="M1134" s="1590"/>
    </row>
    <row r="1135" spans="1:13" s="85" customFormat="1" ht="20.399999999999999" thickTop="1" thickBot="1" x14ac:dyDescent="0.5">
      <c r="A1135" s="1583"/>
      <c r="B1135" s="1608"/>
      <c r="C1135" s="1512" t="s">
        <v>1280</v>
      </c>
      <c r="D1135" s="319" t="s">
        <v>1586</v>
      </c>
      <c r="E1135" s="1530">
        <v>45325.0625</v>
      </c>
      <c r="F1135" s="1530">
        <v>45325.1875</v>
      </c>
      <c r="G1135" s="1530"/>
      <c r="H1135" s="1530"/>
      <c r="I1135" s="596"/>
      <c r="J1135" s="1530">
        <f t="shared" si="403"/>
        <v>45325.395833333336</v>
      </c>
      <c r="K1135" s="663" t="str">
        <f t="shared" si="405"/>
        <v>01:36:00</v>
      </c>
      <c r="L1135" s="1585"/>
      <c r="M1135" s="1590"/>
    </row>
    <row r="1136" spans="1:13" ht="20.399999999999999" thickTop="1" thickBot="1" x14ac:dyDescent="0.5">
      <c r="A1136" s="1583"/>
      <c r="B1136" s="1608"/>
      <c r="C1136" s="655" t="s">
        <v>789</v>
      </c>
      <c r="D1136" s="319" t="s">
        <v>1581</v>
      </c>
      <c r="E1136" s="1530">
        <v>45325.0625</v>
      </c>
      <c r="F1136" s="1530">
        <v>45325.354166666664</v>
      </c>
      <c r="G1136" s="1530"/>
      <c r="H1136" s="1530"/>
      <c r="I1136" s="596"/>
      <c r="J1136" s="1530">
        <f t="shared" si="403"/>
        <v>45325.395833333336</v>
      </c>
      <c r="K1136" s="663" t="str">
        <f t="shared" si="405"/>
        <v>01:36:00</v>
      </c>
      <c r="L1136" s="1585"/>
      <c r="M1136" s="1590"/>
    </row>
    <row r="1137" spans="1:13" ht="20.399999999999999" thickTop="1" thickBot="1" x14ac:dyDescent="0.5">
      <c r="A1137" s="1583"/>
      <c r="B1137" s="1608"/>
      <c r="C1137" s="1519" t="s">
        <v>785</v>
      </c>
      <c r="D1137" s="1514" t="s">
        <v>1578</v>
      </c>
      <c r="E1137" s="1514">
        <v>45325.083333333336</v>
      </c>
      <c r="F1137" s="1514">
        <v>45325.333333333336</v>
      </c>
      <c r="G1137" s="1514"/>
      <c r="H1137" s="1514"/>
      <c r="I1137" s="595"/>
      <c r="J1137" s="1514">
        <v>45324.416666666664</v>
      </c>
      <c r="K1137" s="661" t="str">
        <f>IF($M$1130-J1137&lt;0, "-" &amp; TEXT(ABS($M$1130-J1137),"[hh]:mm:ss"), TEXT($M$1130-J1137,"[hh]:mm:ss"))</f>
        <v>25:06:00</v>
      </c>
      <c r="L1137" s="1583"/>
      <c r="M1137" s="1624"/>
    </row>
    <row r="1138" spans="1:13" s="104" customFormat="1" ht="20.399999999999999" thickTop="1" thickBot="1" x14ac:dyDescent="0.5">
      <c r="A1138" s="1583" t="s">
        <v>1009</v>
      </c>
      <c r="B1138" s="1608" t="s">
        <v>1291</v>
      </c>
      <c r="C1138" s="1611" t="s">
        <v>1280</v>
      </c>
      <c r="D1138" s="587" t="s">
        <v>3404</v>
      </c>
      <c r="E1138" s="1504">
        <v>46065.25</v>
      </c>
      <c r="F1138" s="1504">
        <v>46065.333333333336</v>
      </c>
      <c r="G1138" s="1504"/>
      <c r="H1138" s="1504"/>
      <c r="I1138" s="594"/>
      <c r="J1138" s="1504">
        <f t="shared" ref="J1138:J1144" si="406">E1138+TIME(8,0,0)</f>
        <v>46065.583333333336</v>
      </c>
      <c r="K1138" s="659" t="str">
        <f>IF($M$1138-J1138&lt;0, "-" &amp; TEXT(ABS($M$1138-J1138),"[hh]:mm:ss"), TEXT($M$1138-J1138,"[hh]:mm:ss"))</f>
        <v>00:37:00</v>
      </c>
      <c r="L1138" s="1585">
        <v>46065.609027777777</v>
      </c>
      <c r="M1138" s="1590">
        <v>46065.609027777777</v>
      </c>
    </row>
    <row r="1139" spans="1:13" s="104" customFormat="1" ht="20.399999999999999" thickTop="1" thickBot="1" x14ac:dyDescent="0.5">
      <c r="A1139" s="1583"/>
      <c r="B1139" s="1608"/>
      <c r="C1139" s="1617"/>
      <c r="D1139" s="319" t="s">
        <v>3405</v>
      </c>
      <c r="E1139" s="1530">
        <v>46065.25</v>
      </c>
      <c r="F1139" s="1530">
        <v>46065.3125</v>
      </c>
      <c r="G1139" s="1530"/>
      <c r="H1139" s="1530"/>
      <c r="I1139" s="596"/>
      <c r="J1139" s="1530">
        <f t="shared" si="406"/>
        <v>46065.583333333336</v>
      </c>
      <c r="K1139" s="663" t="str">
        <f t="shared" ref="K1139:K1144" si="407">IF($M$1138-J1139&lt;0, "-" &amp; TEXT(ABS($M$1138-J1139),"[hh]:mm:ss"), TEXT($M$1138-J1139,"[hh]:mm:ss"))</f>
        <v>00:37:00</v>
      </c>
      <c r="L1139" s="1585"/>
      <c r="M1139" s="1590"/>
    </row>
    <row r="1140" spans="1:13" s="104" customFormat="1" ht="20.399999999999999" thickTop="1" thickBot="1" x14ac:dyDescent="0.5">
      <c r="A1140" s="1583"/>
      <c r="B1140" s="1608"/>
      <c r="C1140" s="1594" t="s">
        <v>795</v>
      </c>
      <c r="D1140" s="319" t="s">
        <v>3400</v>
      </c>
      <c r="E1140" s="1530">
        <v>46065.268055555556</v>
      </c>
      <c r="F1140" s="1530">
        <v>46065.282638888886</v>
      </c>
      <c r="G1140" s="1530"/>
      <c r="H1140" s="1530"/>
      <c r="I1140" s="596"/>
      <c r="J1140" s="1530">
        <f t="shared" si="406"/>
        <v>46065.601388888892</v>
      </c>
      <c r="K1140" s="663" t="str">
        <f>IF($M$1138-J1140&lt;0, "-" &amp; TEXT(ABS($M$1138-J1140),"[hh]:mm:ss"), TEXT($M$1138-J1140,"[hh]:mm:ss"))</f>
        <v>00:11:00</v>
      </c>
      <c r="L1140" s="1585"/>
      <c r="M1140" s="1590"/>
    </row>
    <row r="1141" spans="1:13" s="104" customFormat="1" ht="20.399999999999999" thickTop="1" thickBot="1" x14ac:dyDescent="0.5">
      <c r="A1141" s="1583"/>
      <c r="B1141" s="1608"/>
      <c r="C1141" s="1628"/>
      <c r="D1141" s="319" t="s">
        <v>3401</v>
      </c>
      <c r="E1141" s="1530">
        <v>46065.268750000003</v>
      </c>
      <c r="F1141" s="1530">
        <v>46065.283333333333</v>
      </c>
      <c r="G1141" s="1530"/>
      <c r="H1141" s="1530"/>
      <c r="I1141" s="596"/>
      <c r="J1141" s="1530">
        <f t="shared" si="406"/>
        <v>46065.602083333339</v>
      </c>
      <c r="K1141" s="663" t="str">
        <f t="shared" ref="K1141" si="408">IF($M$1138-J1141&lt;0, "-" &amp; TEXT(ABS($M$1138-J1141),"[hh]:mm:ss"), TEXT($M$1138-J1141,"[hh]:mm:ss"))</f>
        <v>00:10:00</v>
      </c>
      <c r="L1141" s="1585"/>
      <c r="M1141" s="1590"/>
    </row>
    <row r="1142" spans="1:13" s="104" customFormat="1" ht="20.399999999999999" thickTop="1" thickBot="1" x14ac:dyDescent="0.5">
      <c r="A1142" s="1583"/>
      <c r="B1142" s="1608"/>
      <c r="C1142" s="1501" t="s">
        <v>789</v>
      </c>
      <c r="D1142" s="1530" t="s">
        <v>3402</v>
      </c>
      <c r="E1142" s="1530">
        <v>46065.270138888889</v>
      </c>
      <c r="F1142" s="1530">
        <v>46065.295138888891</v>
      </c>
      <c r="G1142" s="1530"/>
      <c r="H1142" s="1530"/>
      <c r="I1142" s="596"/>
      <c r="J1142" s="1530">
        <f t="shared" si="406"/>
        <v>46065.603472222225</v>
      </c>
      <c r="K1142" s="663" t="str">
        <f t="shared" si="407"/>
        <v>00:08:00</v>
      </c>
      <c r="L1142" s="1585"/>
      <c r="M1142" s="1590"/>
    </row>
    <row r="1143" spans="1:13" s="104" customFormat="1" ht="20.399999999999999" thickTop="1" thickBot="1" x14ac:dyDescent="0.5">
      <c r="A1143" s="1583"/>
      <c r="B1143" s="1608"/>
      <c r="C1143" s="1512" t="s">
        <v>1304</v>
      </c>
      <c r="D1143" s="319" t="s">
        <v>3403</v>
      </c>
      <c r="E1143" s="1530">
        <v>46065.270138888889</v>
      </c>
      <c r="F1143" s="1530">
        <v>46065.295138888891</v>
      </c>
      <c r="G1143" s="1530"/>
      <c r="H1143" s="1530"/>
      <c r="I1143" s="596"/>
      <c r="J1143" s="1530">
        <f t="shared" si="406"/>
        <v>46065.603472222225</v>
      </c>
      <c r="K1143" s="663" t="str">
        <f t="shared" si="407"/>
        <v>00:08:00</v>
      </c>
      <c r="L1143" s="1585"/>
      <c r="M1143" s="1590"/>
    </row>
    <row r="1144" spans="1:13" s="104" customFormat="1" ht="20.399999999999999" thickTop="1" thickBot="1" x14ac:dyDescent="0.5">
      <c r="A1144" s="1583"/>
      <c r="B1144" s="1608"/>
      <c r="C1144" s="1500" t="s">
        <v>785</v>
      </c>
      <c r="D1144" s="1514" t="s">
        <v>3406</v>
      </c>
      <c r="E1144" s="1514">
        <v>46065.270138888889</v>
      </c>
      <c r="F1144" s="1514">
        <v>46065.296527777777</v>
      </c>
      <c r="G1144" s="1514"/>
      <c r="H1144" s="1514"/>
      <c r="I1144" s="595"/>
      <c r="J1144" s="1514">
        <f t="shared" si="406"/>
        <v>46065.603472222225</v>
      </c>
      <c r="K1144" s="661" t="str">
        <f t="shared" si="407"/>
        <v>00:08:00</v>
      </c>
      <c r="L1144" s="1585"/>
      <c r="M1144" s="1590"/>
    </row>
    <row r="1145" spans="1:13" s="104" customFormat="1" ht="20.399999999999999" thickTop="1" thickBot="1" x14ac:dyDescent="0.5">
      <c r="A1145" s="1583" t="s">
        <v>1009</v>
      </c>
      <c r="B1145" s="1608" t="s">
        <v>1291</v>
      </c>
      <c r="C1145" s="1611" t="s">
        <v>1280</v>
      </c>
      <c r="D1145" s="587" t="s">
        <v>3494</v>
      </c>
      <c r="E1145" s="1504">
        <v>46123.473611111112</v>
      </c>
      <c r="F1145" s="1504">
        <v>46123.541666666664</v>
      </c>
      <c r="G1145" s="1504"/>
      <c r="H1145" s="1504"/>
      <c r="I1145" s="594"/>
      <c r="J1145" s="1504">
        <f t="shared" ref="J1145:J1153" si="409">E1145+TIME(8,0,0)</f>
        <v>46123.806944444448</v>
      </c>
      <c r="K1145" s="659" t="str">
        <f>IF($M$1145-J1145&lt;0, "-" &amp; TEXT(ABS($M$1145-J1145),"[hh]:mm:ss"), TEXT($M$1145-J1145,"[hh]:mm:ss"))</f>
        <v>00:10:00</v>
      </c>
      <c r="L1145" s="1585">
        <v>46123.814583333333</v>
      </c>
      <c r="M1145" s="1590">
        <v>46123.813888888886</v>
      </c>
    </row>
    <row r="1146" spans="1:13" s="104" customFormat="1" ht="20.399999999999999" thickTop="1" thickBot="1" x14ac:dyDescent="0.5">
      <c r="A1146" s="1583"/>
      <c r="B1146" s="1608"/>
      <c r="C1146" s="1617"/>
      <c r="D1146" s="319" t="s">
        <v>3495</v>
      </c>
      <c r="E1146" s="1530">
        <v>46123.474305555559</v>
      </c>
      <c r="F1146" s="1530">
        <v>46123.520833333336</v>
      </c>
      <c r="G1146" s="1530"/>
      <c r="H1146" s="1530"/>
      <c r="I1146" s="596"/>
      <c r="J1146" s="1530">
        <f t="shared" si="409"/>
        <v>46123.807638888895</v>
      </c>
      <c r="K1146" s="663" t="str">
        <f t="shared" ref="K1146:K1153" si="410">IF($M$1145-J1146&lt;0, "-" &amp; TEXT(ABS($M$1145-J1146),"[hh]:mm:ss"), TEXT($M$1145-J1146,"[hh]:mm:ss"))</f>
        <v>00:09:00</v>
      </c>
      <c r="L1146" s="1585"/>
      <c r="M1146" s="1590"/>
    </row>
    <row r="1147" spans="1:13" s="104" customFormat="1" ht="20.399999999999999" thickTop="1" thickBot="1" x14ac:dyDescent="0.5">
      <c r="A1147" s="1583"/>
      <c r="B1147" s="1608"/>
      <c r="C1147" s="1594" t="s">
        <v>795</v>
      </c>
      <c r="D1147" s="319" t="s">
        <v>3479</v>
      </c>
      <c r="E1147" s="1530">
        <v>46123.473611111112</v>
      </c>
      <c r="F1147" s="1530">
        <v>46123.490972222222</v>
      </c>
      <c r="G1147" s="1530"/>
      <c r="H1147" s="1530"/>
      <c r="I1147" s="596"/>
      <c r="J1147" s="1530">
        <f t="shared" si="409"/>
        <v>46123.806944444448</v>
      </c>
      <c r="K1147" s="663" t="str">
        <f t="shared" si="410"/>
        <v>00:10:00</v>
      </c>
      <c r="L1147" s="1585"/>
      <c r="M1147" s="1590"/>
    </row>
    <row r="1148" spans="1:13" s="104" customFormat="1" ht="20.399999999999999" thickTop="1" thickBot="1" x14ac:dyDescent="0.5">
      <c r="A1148" s="1583"/>
      <c r="B1148" s="1608"/>
      <c r="C1148" s="1628"/>
      <c r="D1148" s="319" t="s">
        <v>3480</v>
      </c>
      <c r="E1148" s="1530">
        <v>46123.474305555559</v>
      </c>
      <c r="F1148" s="1530">
        <v>46123.491666666669</v>
      </c>
      <c r="G1148" s="1530"/>
      <c r="H1148" s="1530"/>
      <c r="I1148" s="596"/>
      <c r="J1148" s="1530">
        <f t="shared" si="409"/>
        <v>46123.807638888895</v>
      </c>
      <c r="K1148" s="663" t="str">
        <f t="shared" si="410"/>
        <v>00:09:00</v>
      </c>
      <c r="L1148" s="1585"/>
      <c r="M1148" s="1590"/>
    </row>
    <row r="1149" spans="1:13" s="104" customFormat="1" ht="20.399999999999999" thickTop="1" thickBot="1" x14ac:dyDescent="0.5">
      <c r="A1149" s="1583"/>
      <c r="B1149" s="1608"/>
      <c r="C1149" s="1594" t="s">
        <v>1304</v>
      </c>
      <c r="D1149" s="319" t="s">
        <v>3485</v>
      </c>
      <c r="E1149" s="1530">
        <v>46123.475694444445</v>
      </c>
      <c r="F1149" s="1530">
        <v>46123.49722222222</v>
      </c>
      <c r="G1149" s="1530"/>
      <c r="H1149" s="1530"/>
      <c r="I1149" s="596"/>
      <c r="J1149" s="1530">
        <f t="shared" ref="J1149:J1150" si="411">E1149+TIME(8,0,0)</f>
        <v>46123.809027777781</v>
      </c>
      <c r="K1149" s="663" t="str">
        <f t="shared" ref="K1149:K1150" si="412">IF($M$1145-J1149&lt;0, "-" &amp; TEXT(ABS($M$1145-J1149),"[hh]:mm:ss"), TEXT($M$1145-J1149,"[hh]:mm:ss"))</f>
        <v>00:07:00</v>
      </c>
      <c r="L1149" s="1585"/>
      <c r="M1149" s="1590"/>
    </row>
    <row r="1150" spans="1:13" s="104" customFormat="1" ht="20.399999999999999" thickTop="1" thickBot="1" x14ac:dyDescent="0.5">
      <c r="A1150" s="1583"/>
      <c r="B1150" s="1608"/>
      <c r="C1150" s="1595"/>
      <c r="D1150" s="319" t="s">
        <v>3486</v>
      </c>
      <c r="E1150" s="1530">
        <v>46123.475694444445</v>
      </c>
      <c r="F1150" s="1530">
        <v>46123.504166666666</v>
      </c>
      <c r="G1150" s="1530"/>
      <c r="H1150" s="1530"/>
      <c r="I1150" s="596"/>
      <c r="J1150" s="1530">
        <f t="shared" si="411"/>
        <v>46123.809027777781</v>
      </c>
      <c r="K1150" s="663" t="str">
        <f t="shared" si="412"/>
        <v>00:07:00</v>
      </c>
      <c r="L1150" s="1585"/>
      <c r="M1150" s="1590"/>
    </row>
    <row r="1151" spans="1:13" s="104" customFormat="1" ht="20.399999999999999" thickTop="1" thickBot="1" x14ac:dyDescent="0.5">
      <c r="A1151" s="1583"/>
      <c r="B1151" s="1608"/>
      <c r="C1151" s="1595"/>
      <c r="D1151" s="1530" t="s">
        <v>3475</v>
      </c>
      <c r="E1151" s="1530">
        <v>46123.458333333336</v>
      </c>
      <c r="F1151" s="1530">
        <v>46123.583333333336</v>
      </c>
      <c r="G1151" s="1530"/>
      <c r="H1151" s="1530"/>
      <c r="I1151" s="596"/>
      <c r="J1151" s="1530">
        <f t="shared" si="409"/>
        <v>46123.791666666672</v>
      </c>
      <c r="K1151" s="663" t="str">
        <f t="shared" si="410"/>
        <v>00:32:00</v>
      </c>
      <c r="L1151" s="1585"/>
      <c r="M1151" s="1590"/>
    </row>
    <row r="1152" spans="1:13" s="104" customFormat="1" ht="20.399999999999999" thickTop="1" thickBot="1" x14ac:dyDescent="0.5">
      <c r="A1152" s="1583"/>
      <c r="B1152" s="1608"/>
      <c r="C1152" s="1628"/>
      <c r="D1152" s="319" t="s">
        <v>3476</v>
      </c>
      <c r="E1152" s="1530">
        <v>46123.458333333336</v>
      </c>
      <c r="F1152" s="1530">
        <v>46123.583333333336</v>
      </c>
      <c r="G1152" s="1530"/>
      <c r="H1152" s="1530"/>
      <c r="I1152" s="596"/>
      <c r="J1152" s="1530">
        <f t="shared" si="409"/>
        <v>46123.791666666672</v>
      </c>
      <c r="K1152" s="663" t="str">
        <f t="shared" si="410"/>
        <v>00:32:00</v>
      </c>
      <c r="L1152" s="1585"/>
      <c r="M1152" s="1590"/>
    </row>
    <row r="1153" spans="1:13" s="104" customFormat="1" ht="20.399999999999999" thickTop="1" thickBot="1" x14ac:dyDescent="0.5">
      <c r="A1153" s="1583"/>
      <c r="B1153" s="1608"/>
      <c r="C1153" s="1500" t="s">
        <v>785</v>
      </c>
      <c r="D1153" s="1514" t="s">
        <v>3481</v>
      </c>
      <c r="E1153" s="1514">
        <v>46123.475694444445</v>
      </c>
      <c r="F1153" s="1514">
        <v>46123.504166666666</v>
      </c>
      <c r="G1153" s="1514"/>
      <c r="H1153" s="1514"/>
      <c r="I1153" s="595"/>
      <c r="J1153" s="1514">
        <f t="shared" si="409"/>
        <v>46123.809027777781</v>
      </c>
      <c r="K1153" s="661" t="str">
        <f t="shared" si="410"/>
        <v>00:07:00</v>
      </c>
      <c r="L1153" s="1585"/>
      <c r="M1153" s="1590"/>
    </row>
    <row r="1154" spans="1:13" s="85" customFormat="1" ht="20.399999999999999" thickTop="1" thickBot="1" x14ac:dyDescent="0.5">
      <c r="A1154" s="314"/>
      <c r="B1154" s="314"/>
      <c r="C1154" s="633"/>
      <c r="D1154" s="90"/>
      <c r="E1154" s="90"/>
      <c r="F1154" s="90"/>
      <c r="G1154" s="90"/>
      <c r="H1154" s="90"/>
      <c r="I1154" s="599"/>
      <c r="J1154" s="90"/>
      <c r="K1154" s="666"/>
      <c r="L1154" s="314"/>
      <c r="M1154" s="623"/>
    </row>
    <row r="1155" spans="1:13" s="85" customFormat="1" ht="20.399999999999999" collapsed="1" thickTop="1" thickBot="1" x14ac:dyDescent="0.5">
      <c r="A1155" s="80" t="s">
        <v>976</v>
      </c>
      <c r="B1155" s="1479" t="s">
        <v>9</v>
      </c>
      <c r="C1155" s="1524" t="s">
        <v>784</v>
      </c>
      <c r="D1155" s="78"/>
      <c r="E1155" s="79">
        <v>44909.348611111112</v>
      </c>
      <c r="F1155" s="79">
        <v>44909.447222222225</v>
      </c>
      <c r="G1155" s="79"/>
      <c r="H1155" s="79"/>
      <c r="I1155" s="592"/>
      <c r="J1155" s="1472">
        <f>E1155+TIME(8,0,0)</f>
        <v>44909.681944444448</v>
      </c>
      <c r="K1155" s="662" t="str">
        <f>IF($M$1155-J1155&lt;0, "-" &amp; TEXT(ABS($M$1155-J1155),"[hh]:mm:ss"), TEXT($M$1155-J1155,"[hh]:mm:ss"))</f>
        <v>00:08:00</v>
      </c>
      <c r="L1155" s="79">
        <v>44909.715277777781</v>
      </c>
      <c r="M1155" s="1471">
        <v>44909.6875</v>
      </c>
    </row>
    <row r="1156" spans="1:13" ht="20.399999999999999" thickTop="1" thickBot="1" x14ac:dyDescent="0.5">
      <c r="A1156" s="1470" t="s">
        <v>976</v>
      </c>
      <c r="B1156" s="1480" t="s">
        <v>9</v>
      </c>
      <c r="C1156" s="1524" t="s">
        <v>784</v>
      </c>
      <c r="D1156" s="78"/>
      <c r="E1156" s="1472">
        <v>45119.036805555559</v>
      </c>
      <c r="F1156" s="1472">
        <v>45119.134722222225</v>
      </c>
      <c r="G1156" s="1472"/>
      <c r="H1156" s="1472"/>
      <c r="I1156" s="592"/>
      <c r="J1156" s="1472">
        <f>E1156+TIME(8,0,0)</f>
        <v>45119.370138888895</v>
      </c>
      <c r="K1156" s="662" t="str">
        <f>IF($M$1156-J1156&lt;0, "-" &amp; TEXT(ABS($M$1156-J1156),"[hh]:mm:ss"), TEXT($M$1156-J1156,"[hh]:mm:ss"))</f>
        <v>00:07:00</v>
      </c>
      <c r="L1156" s="1481">
        <v>45119.375</v>
      </c>
      <c r="M1156" s="1482">
        <v>45119.375</v>
      </c>
    </row>
    <row r="1157" spans="1:13" s="104" customFormat="1" ht="20.399999999999999" thickTop="1" thickBot="1" x14ac:dyDescent="0.5">
      <c r="A1157" s="1470" t="s">
        <v>976</v>
      </c>
      <c r="B1157" s="1480" t="s">
        <v>9</v>
      </c>
      <c r="C1157" s="1489" t="s">
        <v>784</v>
      </c>
      <c r="D1157" s="588" t="s">
        <v>1316</v>
      </c>
      <c r="E1157" s="83">
        <v>45268.979861111111</v>
      </c>
      <c r="F1157" s="83">
        <v>45269.036805555559</v>
      </c>
      <c r="G1157" s="83"/>
      <c r="H1157" s="83"/>
      <c r="I1157" s="592"/>
      <c r="J1157" s="1472">
        <f>E1157+TIME(8,0,0)</f>
        <v>45269.313194444447</v>
      </c>
      <c r="K1157" s="662" t="str">
        <f>IF($M$1157-J1157&lt;0, "-" &amp; TEXT(ABS($M$1157-J1157),"[hh]:mm:ss"), TEXT($M$1157-J1157,"[hh]:mm:ss"))</f>
        <v>00:08:00</v>
      </c>
      <c r="L1157" s="1481">
        <v>45269.319444444445</v>
      </c>
      <c r="M1157" s="1482">
        <v>45269.318749999999</v>
      </c>
    </row>
    <row r="1158" spans="1:13" s="104" customFormat="1" ht="20.399999999999999" thickTop="1" thickBot="1" x14ac:dyDescent="0.5">
      <c r="A1158" s="314"/>
      <c r="B1158" s="314"/>
      <c r="C1158" s="633"/>
      <c r="D1158" s="84"/>
      <c r="E1158" s="84"/>
      <c r="F1158" s="84"/>
      <c r="G1158" s="84"/>
      <c r="H1158" s="84"/>
      <c r="I1158" s="599"/>
      <c r="J1158" s="90"/>
      <c r="K1158" s="666"/>
      <c r="L1158" s="314"/>
      <c r="M1158" s="623"/>
    </row>
    <row r="1159" spans="1:13" s="104" customFormat="1" ht="19.8" thickTop="1" x14ac:dyDescent="0.45">
      <c r="A1159" s="1739" t="s">
        <v>2443</v>
      </c>
      <c r="B1159" s="1658" t="s">
        <v>9</v>
      </c>
      <c r="C1159" s="1661" t="s">
        <v>784</v>
      </c>
      <c r="D1159" s="1504" t="s">
        <v>2447</v>
      </c>
      <c r="E1159" s="1504">
        <v>45653.07708333333</v>
      </c>
      <c r="F1159" s="1504">
        <v>45653.131249999999</v>
      </c>
      <c r="G1159" s="1504"/>
      <c r="H1159" s="1504"/>
      <c r="I1159" s="594"/>
      <c r="J1159" s="1504">
        <f t="shared" ref="J1159:J1166" si="413">E1159+TIME(8,0,0)</f>
        <v>45653.410416666666</v>
      </c>
      <c r="K1159" s="659" t="str">
        <f t="shared" ref="K1159:K1160" si="414">IF($M$1159-J1159&lt;0, "-" &amp; TEXT(ABS($M$1159-J1159),"[hh]:mm:ss"), TEXT($M$1159-J1159,"[hh]:mm:ss"))</f>
        <v>00:09:00</v>
      </c>
      <c r="L1159" s="1664">
        <v>45653.416666666664</v>
      </c>
      <c r="M1159" s="1634">
        <v>45653.416666666664</v>
      </c>
    </row>
    <row r="1160" spans="1:13" s="104" customFormat="1" ht="19.8" thickBot="1" x14ac:dyDescent="0.5">
      <c r="A1160" s="1721"/>
      <c r="B1160" s="1616"/>
      <c r="C1160" s="1693"/>
      <c r="D1160" s="1514" t="s">
        <v>2448</v>
      </c>
      <c r="E1160" s="1514">
        <v>45653.078472222223</v>
      </c>
      <c r="F1160" s="1514">
        <v>45653.136805555558</v>
      </c>
      <c r="G1160" s="1514"/>
      <c r="H1160" s="1514"/>
      <c r="I1160" s="595"/>
      <c r="J1160" s="1514">
        <f t="shared" si="413"/>
        <v>45653.411805555559</v>
      </c>
      <c r="K1160" s="661" t="str">
        <f t="shared" si="414"/>
        <v>00:07:00</v>
      </c>
      <c r="L1160" s="1701"/>
      <c r="M1160" s="1730"/>
    </row>
    <row r="1161" spans="1:13" s="104" customFormat="1" ht="19.8" collapsed="1" thickTop="1" x14ac:dyDescent="0.45">
      <c r="A1161" s="1739" t="s">
        <v>2443</v>
      </c>
      <c r="B1161" s="1658" t="s">
        <v>9</v>
      </c>
      <c r="C1161" s="1661" t="s">
        <v>784</v>
      </c>
      <c r="D1161" s="1504" t="s">
        <v>2820</v>
      </c>
      <c r="E1161" s="1504">
        <v>45794.169444444444</v>
      </c>
      <c r="F1161" s="1504">
        <v>45794.194444444445</v>
      </c>
      <c r="G1161" s="1504"/>
      <c r="H1161" s="1504"/>
      <c r="I1161" s="594"/>
      <c r="J1161" s="1504">
        <f t="shared" si="413"/>
        <v>45794.50277777778</v>
      </c>
      <c r="K1161" s="659" t="str">
        <f t="shared" ref="K1161:K1162" si="415">IF($M$1161-J1161&lt;0, "-" &amp; TEXT(ABS($M$1161-J1161),"[hh]:mm:ss"), TEXT($M$1161-J1161,"[hh]:mm:ss"))</f>
        <v>00:08:00</v>
      </c>
      <c r="L1161" s="1664">
        <v>45794.508333333331</v>
      </c>
      <c r="M1161" s="1634">
        <v>45794.508333333331</v>
      </c>
    </row>
    <row r="1162" spans="1:13" s="104" customFormat="1" ht="19.8" thickBot="1" x14ac:dyDescent="0.5">
      <c r="A1162" s="1721"/>
      <c r="B1162" s="1616"/>
      <c r="C1162" s="1693"/>
      <c r="D1162" s="1514" t="s">
        <v>2821</v>
      </c>
      <c r="E1162" s="1514">
        <v>45794.170138888891</v>
      </c>
      <c r="F1162" s="1514">
        <v>45794.199305555558</v>
      </c>
      <c r="G1162" s="1514"/>
      <c r="H1162" s="1514"/>
      <c r="I1162" s="595"/>
      <c r="J1162" s="1514">
        <f t="shared" si="413"/>
        <v>45794.503472222226</v>
      </c>
      <c r="K1162" s="661" t="str">
        <f t="shared" si="415"/>
        <v>00:07:00</v>
      </c>
      <c r="L1162" s="1701"/>
      <c r="M1162" s="1730"/>
    </row>
    <row r="1163" spans="1:13" ht="19.8" thickTop="1" x14ac:dyDescent="0.45">
      <c r="A1163" s="1739" t="s">
        <v>2443</v>
      </c>
      <c r="B1163" s="1658" t="s">
        <v>9</v>
      </c>
      <c r="C1163" s="1661" t="s">
        <v>784</v>
      </c>
      <c r="D1163" s="1504" t="s">
        <v>2943</v>
      </c>
      <c r="E1163" s="1504">
        <v>45884.047222222223</v>
      </c>
      <c r="F1163" s="1504">
        <v>45884.061805555553</v>
      </c>
      <c r="G1163" s="1504"/>
      <c r="H1163" s="1504"/>
      <c r="I1163" s="594"/>
      <c r="J1163" s="1504">
        <f t="shared" si="413"/>
        <v>45884.380555555559</v>
      </c>
      <c r="K1163" s="659" t="str">
        <f t="shared" ref="K1163:K1164" si="416">IF($M$1163-J1163&lt;0, "-" &amp; TEXT(ABS($M$1163-J1163),"[hh]:mm:ss"), TEXT($M$1163-J1163,"[hh]:mm:ss"))</f>
        <v>00:09:00</v>
      </c>
      <c r="L1163" s="1664">
        <v>45884.386805555558</v>
      </c>
      <c r="M1163" s="1634">
        <v>45884.386805555558</v>
      </c>
    </row>
    <row r="1164" spans="1:13" ht="19.8" thickBot="1" x14ac:dyDescent="0.5">
      <c r="A1164" s="1721"/>
      <c r="B1164" s="1616"/>
      <c r="C1164" s="1693"/>
      <c r="D1164" s="1514" t="s">
        <v>2944</v>
      </c>
      <c r="E1164" s="1514">
        <v>45884.048611111109</v>
      </c>
      <c r="F1164" s="1514">
        <v>45884.069444444445</v>
      </c>
      <c r="G1164" s="1514"/>
      <c r="H1164" s="1514"/>
      <c r="I1164" s="595"/>
      <c r="J1164" s="1514">
        <f t="shared" si="413"/>
        <v>45884.381944444445</v>
      </c>
      <c r="K1164" s="661" t="str">
        <f t="shared" si="416"/>
        <v>00:07:00</v>
      </c>
      <c r="L1164" s="1701"/>
      <c r="M1164" s="1730"/>
    </row>
    <row r="1165" spans="1:13" s="104" customFormat="1" ht="19.8" thickTop="1" x14ac:dyDescent="0.45">
      <c r="A1165" s="1739" t="s">
        <v>2443</v>
      </c>
      <c r="B1165" s="1658" t="s">
        <v>9</v>
      </c>
      <c r="C1165" s="700" t="s">
        <v>784</v>
      </c>
      <c r="D1165" s="587" t="s">
        <v>3587</v>
      </c>
      <c r="E1165" s="1504">
        <v>46156.119444444441</v>
      </c>
      <c r="F1165" s="1504">
        <v>46156.213888888888</v>
      </c>
      <c r="G1165" s="1504"/>
      <c r="H1165" s="1504"/>
      <c r="I1165" s="594"/>
      <c r="J1165" s="1504">
        <f t="shared" si="413"/>
        <v>46156.452777777777</v>
      </c>
      <c r="K1165" s="659" t="str">
        <f>IF($M$1165-J1165&lt;0, "-" &amp; TEXT(ABS($M$1165-J1165),"[hh]:mm:ss"), TEXT($M$1165-J1165,"[hh]:mm:ss"))</f>
        <v>00:08:00</v>
      </c>
      <c r="L1165" s="1664">
        <v>46156.459027777775</v>
      </c>
      <c r="M1165" s="1634">
        <v>46156.458333333336</v>
      </c>
    </row>
    <row r="1166" spans="1:13" s="104" customFormat="1" ht="19.8" thickBot="1" x14ac:dyDescent="0.5">
      <c r="A1166" s="1721"/>
      <c r="B1166" s="1616"/>
      <c r="C1166" s="707" t="s">
        <v>780</v>
      </c>
      <c r="D1166" s="319" t="s">
        <v>3588</v>
      </c>
      <c r="E1166" s="1530">
        <v>46156.120833333334</v>
      </c>
      <c r="F1166" s="1530">
        <v>46156.219444444447</v>
      </c>
      <c r="G1166" s="1514"/>
      <c r="H1166" s="1514"/>
      <c r="I1166" s="595"/>
      <c r="J1166" s="1514">
        <f t="shared" si="413"/>
        <v>46156.45416666667</v>
      </c>
      <c r="K1166" s="661" t="str">
        <f>IF($M$1165-J1166&lt;0, "-" &amp; TEXT(ABS($M$1165-J1166),"[hh]:mm:ss"), TEXT($M$1165-J1166,"[hh]:mm:ss"))</f>
        <v>00:06:00</v>
      </c>
      <c r="L1166" s="1701"/>
      <c r="M1166" s="1730"/>
    </row>
    <row r="1167" spans="1:13" s="104" customFormat="1" ht="20.399999999999999" thickTop="1" thickBot="1" x14ac:dyDescent="0.5">
      <c r="A1167" s="481" t="s">
        <v>2443</v>
      </c>
      <c r="B1167" s="1479" t="s">
        <v>9</v>
      </c>
      <c r="C1167" s="1332" t="s">
        <v>784</v>
      </c>
      <c r="D1167" s="78" t="s">
        <v>3697</v>
      </c>
      <c r="E1167" s="1472">
        <v>46182.34097222222</v>
      </c>
      <c r="F1167" s="1472">
        <v>46182.371527777781</v>
      </c>
      <c r="G1167" s="1472"/>
      <c r="H1167" s="1472"/>
      <c r="I1167" s="592"/>
      <c r="J1167" s="1472">
        <f t="shared" ref="J1167" si="417">E1167+TIME(8,0,0)</f>
        <v>46182.674305555556</v>
      </c>
      <c r="K1167" s="662" t="str">
        <f>IF($M$1167-J1167&lt;0, "-" &amp; TEXT(ABS($M$1167-J1167),"[hh]:mm:ss"), TEXT($M$1167-J1167,"[hh]:mm:ss"))</f>
        <v>00:12:00</v>
      </c>
      <c r="L1167" s="1472">
        <v>46182.679166666669</v>
      </c>
      <c r="M1167" s="1471">
        <v>46182.682638888888</v>
      </c>
    </row>
    <row r="1168" spans="1:13" ht="20.399999999999999" thickTop="1" thickBot="1" x14ac:dyDescent="0.5">
      <c r="A1168" s="314"/>
      <c r="B1168" s="314"/>
      <c r="C1168" s="635"/>
      <c r="D1168" s="90"/>
      <c r="E1168" s="90"/>
      <c r="F1168" s="90"/>
      <c r="G1168" s="90"/>
      <c r="H1168" s="90"/>
      <c r="I1168" s="599"/>
      <c r="J1168" s="90"/>
      <c r="K1168" s="666"/>
      <c r="L1168" s="314"/>
      <c r="M1168" s="623"/>
    </row>
    <row r="1169" spans="1:13" s="104" customFormat="1" ht="19.8" thickTop="1" x14ac:dyDescent="0.45">
      <c r="A1169" s="1739" t="s">
        <v>1930</v>
      </c>
      <c r="B1169" s="1658" t="s">
        <v>9</v>
      </c>
      <c r="C1169" s="1661" t="s">
        <v>784</v>
      </c>
      <c r="D1169" s="1504" t="s">
        <v>3219</v>
      </c>
      <c r="E1169" s="1504">
        <v>45994.161111111112</v>
      </c>
      <c r="F1169" s="1504">
        <v>45994.200694444444</v>
      </c>
      <c r="G1169" s="1504"/>
      <c r="H1169" s="1504"/>
      <c r="I1169" s="594"/>
      <c r="J1169" s="1504">
        <f>E1169+TIME(8,0,0)</f>
        <v>45994.494444444448</v>
      </c>
      <c r="K1169" s="659" t="str">
        <f t="shared" ref="K1169:K1170" si="418">IF($M$1169-J1169&lt;0, "-" &amp; TEXT(ABS($M$1169-J1169),"[hh]:mm:ss"), TEXT($M$1169-J1169,"[hh]:mm:ss"))</f>
        <v>00:08:00</v>
      </c>
      <c r="L1169" s="1664">
        <v>45994.5</v>
      </c>
      <c r="M1169" s="1634">
        <v>45994.5</v>
      </c>
    </row>
    <row r="1170" spans="1:13" s="104" customFormat="1" ht="19.8" thickBot="1" x14ac:dyDescent="0.5">
      <c r="A1170" s="1721"/>
      <c r="B1170" s="1616"/>
      <c r="C1170" s="1693"/>
      <c r="D1170" s="1514" t="s">
        <v>3220</v>
      </c>
      <c r="E1170" s="1514">
        <v>45994.163194444445</v>
      </c>
      <c r="F1170" s="1514">
        <v>45994.208333333336</v>
      </c>
      <c r="G1170" s="1514"/>
      <c r="H1170" s="1514"/>
      <c r="I1170" s="595"/>
      <c r="J1170" s="1514">
        <f>E1170+TIME(8,0,0)</f>
        <v>45994.496527777781</v>
      </c>
      <c r="K1170" s="661" t="str">
        <f t="shared" si="418"/>
        <v>00:05:00</v>
      </c>
      <c r="L1170" s="1701"/>
      <c r="M1170" s="1730"/>
    </row>
    <row r="1171" spans="1:13" s="104" customFormat="1" ht="19.8" thickTop="1" x14ac:dyDescent="0.45">
      <c r="A1171" s="1743" t="s">
        <v>1930</v>
      </c>
      <c r="B1171" s="1745" t="s">
        <v>9</v>
      </c>
      <c r="C1171" s="699" t="s">
        <v>784</v>
      </c>
      <c r="D1171" s="1493"/>
      <c r="E1171" s="1493"/>
      <c r="F1171" s="1493"/>
      <c r="G1171" s="1493"/>
      <c r="H1171" s="1493"/>
      <c r="I1171" s="606"/>
      <c r="J1171" s="1493">
        <f>E1171+TIME(8,0,0)</f>
        <v>0.33333333333333331</v>
      </c>
      <c r="K1171" s="674" t="str">
        <f>IF($M$1171-J1171&lt;0, "-" &amp; TEXT(ABS($M$1171-J1171),"[hh]:mm:ss"), TEXT($M$1171-J1171,"[hh]:mm:ss"))</f>
        <v>-08:00:00</v>
      </c>
      <c r="L1171" s="1734"/>
      <c r="M1171" s="1669"/>
    </row>
    <row r="1172" spans="1:13" s="104" customFormat="1" ht="19.8" thickBot="1" x14ac:dyDescent="0.5">
      <c r="A1172" s="1744"/>
      <c r="B1172" s="1746"/>
      <c r="C1172" s="701" t="s">
        <v>780</v>
      </c>
      <c r="D1172" s="1495"/>
      <c r="E1172" s="1495"/>
      <c r="F1172" s="1495"/>
      <c r="G1172" s="1495"/>
      <c r="H1172" s="1495"/>
      <c r="I1172" s="608"/>
      <c r="J1172" s="1495">
        <f>E1172+TIME(8,0,0)</f>
        <v>0.33333333333333331</v>
      </c>
      <c r="K1172" s="676" t="str">
        <f>IF($M$1171-J1172&lt;0, "-" &amp; TEXT(ABS($M$1171-J1172),"[hh]:mm:ss"), TEXT($M$1171-J1172,"[hh]:mm:ss"))</f>
        <v>-08:00:00</v>
      </c>
      <c r="L1172" s="1747"/>
      <c r="M1172" s="1737"/>
    </row>
    <row r="1173" spans="1:13" s="104" customFormat="1" ht="20.399999999999999" thickTop="1" thickBot="1" x14ac:dyDescent="0.5">
      <c r="A1173" s="314"/>
      <c r="B1173" s="314"/>
      <c r="C1173" s="633"/>
      <c r="D1173" s="84"/>
      <c r="E1173" s="84"/>
      <c r="F1173" s="84"/>
      <c r="G1173" s="84"/>
      <c r="H1173" s="84"/>
      <c r="I1173" s="599"/>
      <c r="J1173" s="90"/>
      <c r="K1173" s="666"/>
      <c r="L1173" s="314"/>
      <c r="M1173" s="623"/>
    </row>
    <row r="1174" spans="1:13" ht="20.399999999999999" thickTop="1" thickBot="1" x14ac:dyDescent="0.5">
      <c r="A1174" s="1582" t="s">
        <v>1031</v>
      </c>
      <c r="B1174" s="1621" t="s">
        <v>9</v>
      </c>
      <c r="C1174" s="1489" t="s">
        <v>784</v>
      </c>
      <c r="D1174" s="588" t="s">
        <v>3205</v>
      </c>
      <c r="E1174" s="83">
        <v>45018.349305555559</v>
      </c>
      <c r="F1174" s="83">
        <v>45018.407638888886</v>
      </c>
      <c r="G1174" s="83"/>
      <c r="H1174" s="83"/>
      <c r="I1174" s="593"/>
      <c r="J1174" s="1504">
        <f>E1174+TIME(8,0,0)</f>
        <v>45018.682638888895</v>
      </c>
      <c r="K1174" s="660" t="str">
        <f t="shared" ref="K1174:K1175" si="419">IF($M$1174-J1174&lt;0, "-" &amp; TEXT(ABS($M$1174-J1174),"[hh]:mm:ss"), TEXT($M$1174-J1174,"[hh]:mm:ss"))</f>
        <v>00:25:00</v>
      </c>
      <c r="L1174" s="1640">
        <v>45018.701388888891</v>
      </c>
      <c r="M1174" s="1609">
        <v>45018.7</v>
      </c>
    </row>
    <row r="1175" spans="1:13" ht="20.399999999999999" thickTop="1" thickBot="1" x14ac:dyDescent="0.5">
      <c r="A1175" s="1586"/>
      <c r="B1175" s="1639"/>
      <c r="C1175" s="1474" t="s">
        <v>785</v>
      </c>
      <c r="D1175" s="82" t="s">
        <v>3460</v>
      </c>
      <c r="E1175" s="1514">
        <v>45018.372916666667</v>
      </c>
      <c r="F1175" s="1514">
        <v>45018.392361111109</v>
      </c>
      <c r="G1175" s="1514"/>
      <c r="H1175" s="1514"/>
      <c r="I1175" s="656"/>
      <c r="J1175" s="1481">
        <f>E1175+TIME(8,0,0)</f>
        <v>45018.706250000003</v>
      </c>
      <c r="K1175" s="1534" t="str">
        <f t="shared" si="419"/>
        <v>-00:09:00</v>
      </c>
      <c r="L1175" s="1586"/>
      <c r="M1175" s="1610"/>
    </row>
    <row r="1176" spans="1:13" ht="20.399999999999999" thickTop="1" thickBot="1" x14ac:dyDescent="0.5">
      <c r="A1176" s="113"/>
      <c r="B1176" s="113"/>
      <c r="C1176" s="652"/>
      <c r="D1176" s="113"/>
      <c r="E1176" s="113"/>
      <c r="F1176" s="113"/>
      <c r="G1176" s="113"/>
      <c r="H1176" s="321"/>
      <c r="I1176" s="610"/>
      <c r="J1176" s="113"/>
      <c r="K1176" s="677"/>
      <c r="L1176" s="322"/>
      <c r="M1176" s="627"/>
    </row>
    <row r="1177" spans="1:13" ht="20.399999999999999" thickTop="1" thickBot="1" x14ac:dyDescent="0.5">
      <c r="A1177" s="1582" t="s">
        <v>1259</v>
      </c>
      <c r="B1177" s="1621" t="s">
        <v>9</v>
      </c>
      <c r="C1177" s="1680" t="s">
        <v>784</v>
      </c>
      <c r="D1177" s="1504" t="s">
        <v>3458</v>
      </c>
      <c r="E1177" s="1504">
        <v>46115.161111111112</v>
      </c>
      <c r="F1177" s="1504">
        <v>46115.256249999999</v>
      </c>
      <c r="G1177" s="83"/>
      <c r="H1177" s="83"/>
      <c r="I1177" s="593"/>
      <c r="J1177" s="1504">
        <f>E1177+TIME(8,0,0)</f>
        <v>46115.494444444448</v>
      </c>
      <c r="K1177" s="660" t="str">
        <f t="shared" ref="K1177:K1178" si="420">IF($M$1177-J1177&lt;0, "-" &amp; TEXT(ABS($M$1177-J1177),"[hh]:mm:ss"), TEXT($M$1177-J1177,"[hh]:mm:ss"))</f>
        <v>00:25:00</v>
      </c>
      <c r="L1177" s="1640">
        <v>46115.5</v>
      </c>
      <c r="M1177" s="1609">
        <v>46115.511805555558</v>
      </c>
    </row>
    <row r="1178" spans="1:13" ht="20.399999999999999" thickTop="1" thickBot="1" x14ac:dyDescent="0.5">
      <c r="A1178" s="1583"/>
      <c r="B1178" s="1608"/>
      <c r="C1178" s="1625"/>
      <c r="D1178" s="1514" t="s">
        <v>3459</v>
      </c>
      <c r="E1178" s="1514">
        <v>46115.161111111112</v>
      </c>
      <c r="F1178" s="1514">
        <v>46115.261805555558</v>
      </c>
      <c r="G1178" s="1514"/>
      <c r="H1178" s="1514"/>
      <c r="I1178" s="656"/>
      <c r="J1178" s="1481">
        <f>E1178+TIME(8,0,0)</f>
        <v>46115.494444444448</v>
      </c>
      <c r="K1178" s="1534" t="str">
        <f t="shared" si="420"/>
        <v>00:25:00</v>
      </c>
      <c r="L1178" s="1583"/>
      <c r="M1178" s="1624"/>
    </row>
    <row r="1179" spans="1:13" ht="20.399999999999999" thickTop="1" thickBot="1" x14ac:dyDescent="0.5">
      <c r="A1179" s="113"/>
      <c r="B1179" s="113"/>
      <c r="C1179" s="652"/>
      <c r="D1179" s="113"/>
      <c r="E1179" s="113"/>
      <c r="F1179" s="113"/>
      <c r="G1179" s="113"/>
      <c r="H1179" s="321"/>
      <c r="I1179" s="610"/>
      <c r="J1179" s="113"/>
      <c r="K1179" s="677"/>
      <c r="L1179" s="322"/>
      <c r="M1179" s="627"/>
    </row>
    <row r="1180" spans="1:13" ht="20.399999999999999" thickTop="1" thickBot="1" x14ac:dyDescent="0.5">
      <c r="A1180" s="1583" t="s">
        <v>1303</v>
      </c>
      <c r="B1180" s="1608" t="s">
        <v>1193</v>
      </c>
      <c r="C1180" s="1489" t="s">
        <v>1407</v>
      </c>
      <c r="D1180" s="588" t="s">
        <v>1440</v>
      </c>
      <c r="E1180" s="1497">
        <v>45302.208333333336</v>
      </c>
      <c r="F1180" s="1497">
        <v>45302.375</v>
      </c>
      <c r="G1180" s="1497"/>
      <c r="H1180" s="1497"/>
      <c r="I1180" s="593"/>
      <c r="J1180" s="1497">
        <f t="shared" ref="J1180:J1189" si="421">E1180+TIME(8,0,0)</f>
        <v>45302.541666666672</v>
      </c>
      <c r="K1180" s="660" t="str">
        <f t="shared" ref="K1180:K1184" si="422">IF($M$1180-J1180&lt;0, "-" &amp; TEXT(ABS($M$1180-J1180),"[hh]:mm:ss"), TEXT($M$1180-J1180,"[hh]:mm:ss"))</f>
        <v>00:30:00</v>
      </c>
      <c r="L1180" s="1585">
        <v>45302.5625</v>
      </c>
      <c r="M1180" s="1590">
        <v>45302.5625</v>
      </c>
    </row>
    <row r="1181" spans="1:13" ht="20.399999999999999" thickTop="1" thickBot="1" x14ac:dyDescent="0.5">
      <c r="A1181" s="1583"/>
      <c r="B1181" s="1608"/>
      <c r="C1181" s="1489" t="s">
        <v>1407</v>
      </c>
      <c r="D1181" s="588" t="s">
        <v>1440</v>
      </c>
      <c r="E1181" s="1497">
        <v>45302.229166666664</v>
      </c>
      <c r="F1181" s="1497">
        <v>45302.3125</v>
      </c>
      <c r="G1181" s="1497"/>
      <c r="H1181" s="1497"/>
      <c r="I1181" s="593"/>
      <c r="J1181" s="1497">
        <f t="shared" si="421"/>
        <v>45302.5625</v>
      </c>
      <c r="K1181" s="660" t="str">
        <f t="shared" si="422"/>
        <v>00:00:00</v>
      </c>
      <c r="L1181" s="1585"/>
      <c r="M1181" s="1590"/>
    </row>
    <row r="1182" spans="1:13" s="85" customFormat="1" ht="20.399999999999999" thickTop="1" thickBot="1" x14ac:dyDescent="0.5">
      <c r="A1182" s="1583"/>
      <c r="B1182" s="1608"/>
      <c r="C1182" s="1613" t="s">
        <v>790</v>
      </c>
      <c r="D1182" s="588" t="s">
        <v>1441</v>
      </c>
      <c r="E1182" s="1497">
        <v>45302.21875</v>
      </c>
      <c r="F1182" s="1497">
        <v>45302.295138888891</v>
      </c>
      <c r="G1182" s="1497"/>
      <c r="H1182" s="1497"/>
      <c r="I1182" s="593"/>
      <c r="J1182" s="1497">
        <f t="shared" si="421"/>
        <v>45302.552083333336</v>
      </c>
      <c r="K1182" s="660" t="str">
        <f t="shared" si="422"/>
        <v>00:15:00</v>
      </c>
      <c r="L1182" s="1585"/>
      <c r="M1182" s="1590"/>
    </row>
    <row r="1183" spans="1:13" s="104" customFormat="1" ht="20.399999999999999" collapsed="1" thickTop="1" thickBot="1" x14ac:dyDescent="0.5">
      <c r="A1183" s="1583"/>
      <c r="B1183" s="1608"/>
      <c r="C1183" s="1617"/>
      <c r="D1183" s="319" t="s">
        <v>1442</v>
      </c>
      <c r="E1183" s="1530">
        <v>45302.219444444447</v>
      </c>
      <c r="F1183" s="1530">
        <v>45302.29791666667</v>
      </c>
      <c r="G1183" s="1530"/>
      <c r="H1183" s="1530"/>
      <c r="I1183" s="596"/>
      <c r="J1183" s="1530">
        <f t="shared" si="421"/>
        <v>45302.552777777782</v>
      </c>
      <c r="K1183" s="663" t="str">
        <f t="shared" si="422"/>
        <v>00:14:00</v>
      </c>
      <c r="L1183" s="1585"/>
      <c r="M1183" s="1590"/>
    </row>
    <row r="1184" spans="1:13" s="104" customFormat="1" ht="20.399999999999999" thickTop="1" thickBot="1" x14ac:dyDescent="0.5">
      <c r="A1184" s="1583"/>
      <c r="B1184" s="1608"/>
      <c r="C1184" s="1484" t="s">
        <v>788</v>
      </c>
      <c r="D1184" s="86" t="s">
        <v>1445</v>
      </c>
      <c r="E1184" s="1481">
        <v>45302.219444444447</v>
      </c>
      <c r="F1184" s="1481">
        <v>45302.305555555555</v>
      </c>
      <c r="G1184" s="1481"/>
      <c r="H1184" s="1481"/>
      <c r="I1184" s="656"/>
      <c r="J1184" s="1481">
        <f t="shared" si="421"/>
        <v>45302.552777777782</v>
      </c>
      <c r="K1184" s="1534" t="str">
        <f t="shared" si="422"/>
        <v>00:14:00</v>
      </c>
      <c r="L1184" s="1583"/>
      <c r="M1184" s="1624"/>
    </row>
    <row r="1185" spans="1:13" s="104" customFormat="1" ht="20.399999999999999" thickTop="1" thickBot="1" x14ac:dyDescent="0.5">
      <c r="A1185" s="1583" t="s">
        <v>1303</v>
      </c>
      <c r="B1185" s="1608" t="s">
        <v>1193</v>
      </c>
      <c r="C1185" s="1489" t="s">
        <v>1280</v>
      </c>
      <c r="D1185" s="588" t="s">
        <v>3037</v>
      </c>
      <c r="E1185" s="1497">
        <v>45940.083333333336</v>
      </c>
      <c r="F1185" s="1497">
        <v>45941.125</v>
      </c>
      <c r="G1185" s="1497"/>
      <c r="H1185" s="1497"/>
      <c r="I1185" s="593"/>
      <c r="J1185" s="1497">
        <f t="shared" si="421"/>
        <v>45940.416666666672</v>
      </c>
      <c r="K1185" s="660" t="str">
        <f t="shared" ref="K1185:K1189" si="423">IF($M$1185-J1185&lt;0, "-" &amp; TEXT(ABS($M$1185-J1185),"[hh]:mm:ss"), TEXT($M$1185-J1185,"[hh]:mm:ss"))</f>
        <v>24:20:00</v>
      </c>
      <c r="L1185" s="1585">
        <v>45941.434027777781</v>
      </c>
      <c r="M1185" s="1590">
        <v>45941.430555555555</v>
      </c>
    </row>
    <row r="1186" spans="1:13" s="104" customFormat="1" ht="20.399999999999999" thickTop="1" thickBot="1" x14ac:dyDescent="0.5">
      <c r="A1186" s="1583"/>
      <c r="B1186" s="1608"/>
      <c r="C1186" s="1489" t="s">
        <v>1409</v>
      </c>
      <c r="D1186" s="588" t="s">
        <v>3029</v>
      </c>
      <c r="E1186" s="1497">
        <v>45941.090277777781</v>
      </c>
      <c r="F1186" s="1497">
        <v>45941.105555555558</v>
      </c>
      <c r="G1186" s="1497"/>
      <c r="H1186" s="1497"/>
      <c r="I1186" s="593"/>
      <c r="J1186" s="1497">
        <f t="shared" si="421"/>
        <v>45941.423611111117</v>
      </c>
      <c r="K1186" s="660" t="str">
        <f t="shared" si="423"/>
        <v>00:10:00</v>
      </c>
      <c r="L1186" s="1585"/>
      <c r="M1186" s="1590"/>
    </row>
    <row r="1187" spans="1:13" s="85" customFormat="1" ht="20.399999999999999" thickTop="1" thickBot="1" x14ac:dyDescent="0.5">
      <c r="A1187" s="1583"/>
      <c r="B1187" s="1608"/>
      <c r="C1187" s="1613" t="s">
        <v>989</v>
      </c>
      <c r="D1187" s="319" t="s">
        <v>3030</v>
      </c>
      <c r="E1187" s="1530">
        <v>45941.09097222222</v>
      </c>
      <c r="F1187" s="1530">
        <v>45941.113888888889</v>
      </c>
      <c r="G1187" s="1530"/>
      <c r="H1187" s="1530"/>
      <c r="I1187" s="596"/>
      <c r="J1187" s="1530">
        <f t="shared" si="421"/>
        <v>45941.424305555556</v>
      </c>
      <c r="K1187" s="663" t="str">
        <f t="shared" si="423"/>
        <v>00:09:00</v>
      </c>
      <c r="L1187" s="1585"/>
      <c r="M1187" s="1590"/>
    </row>
    <row r="1188" spans="1:13" ht="20.399999999999999" thickTop="1" thickBot="1" x14ac:dyDescent="0.5">
      <c r="A1188" s="1583"/>
      <c r="B1188" s="1608"/>
      <c r="C1188" s="1617"/>
      <c r="D1188" s="1530" t="s">
        <v>3025</v>
      </c>
      <c r="E1188" s="1530">
        <v>45941</v>
      </c>
      <c r="F1188" s="1530">
        <v>45941.25</v>
      </c>
      <c r="G1188" s="1530"/>
      <c r="H1188" s="1530"/>
      <c r="I1188" s="596"/>
      <c r="J1188" s="1530">
        <f t="shared" si="421"/>
        <v>45941.333333333336</v>
      </c>
      <c r="K1188" s="663" t="str">
        <f t="shared" si="423"/>
        <v>02:20:00</v>
      </c>
      <c r="L1188" s="1585"/>
      <c r="M1188" s="1590"/>
    </row>
    <row r="1189" spans="1:13" ht="20.399999999999999" thickTop="1" thickBot="1" x14ac:dyDescent="0.5">
      <c r="A1189" s="1583"/>
      <c r="B1189" s="1608"/>
      <c r="C1189" s="1484" t="s">
        <v>797</v>
      </c>
      <c r="D1189" s="86" t="s">
        <v>3031</v>
      </c>
      <c r="E1189" s="1481">
        <v>45941.095138888886</v>
      </c>
      <c r="F1189" s="1481">
        <v>45941.116666666669</v>
      </c>
      <c r="G1189" s="1481"/>
      <c r="H1189" s="1481"/>
      <c r="I1189" s="656"/>
      <c r="J1189" s="1481">
        <f t="shared" si="421"/>
        <v>45941.428472222222</v>
      </c>
      <c r="K1189" s="1534" t="str">
        <f t="shared" si="423"/>
        <v>00:03:00</v>
      </c>
      <c r="L1189" s="1583"/>
      <c r="M1189" s="1624"/>
    </row>
    <row r="1190" spans="1:13" s="104" customFormat="1" ht="20.399999999999999" thickTop="1" thickBot="1" x14ac:dyDescent="0.5">
      <c r="A1190" s="1581" t="s">
        <v>1303</v>
      </c>
      <c r="B1190" s="1600" t="s">
        <v>1193</v>
      </c>
      <c r="C1190" s="1478" t="s">
        <v>1280</v>
      </c>
      <c r="D1190" s="315"/>
      <c r="E1190" s="590"/>
      <c r="F1190" s="590"/>
      <c r="G1190" s="590"/>
      <c r="H1190" s="590"/>
      <c r="I1190" s="601"/>
      <c r="J1190" s="590">
        <f t="shared" ref="J1190:J1195" si="424">E1190+TIME(8,0,0)</f>
        <v>0.33333333333333331</v>
      </c>
      <c r="K1190" s="668" t="str">
        <f>IF($M$1190-J1190&lt;0, "-" &amp; TEXT(ABS($M$1190-J1190),"[hh]:mm:ss"), TEXT($M$1190-J1190,"[hh]:mm:ss"))</f>
        <v>1109163:00:00</v>
      </c>
      <c r="L1190" s="1603">
        <v>46215.458333333336</v>
      </c>
      <c r="M1190" s="1606">
        <v>46215.458333333336</v>
      </c>
    </row>
    <row r="1191" spans="1:13" s="104" customFormat="1" ht="20.399999999999999" thickTop="1" thickBot="1" x14ac:dyDescent="0.5">
      <c r="A1191" s="1581"/>
      <c r="B1191" s="1600"/>
      <c r="C1191" s="1592" t="s">
        <v>1171</v>
      </c>
      <c r="D1191" s="316"/>
      <c r="E1191" s="590"/>
      <c r="F1191" s="590"/>
      <c r="G1191" s="590"/>
      <c r="H1191" s="590"/>
      <c r="I1191" s="601"/>
      <c r="J1191" s="590">
        <f t="shared" si="424"/>
        <v>0.33333333333333331</v>
      </c>
      <c r="K1191" s="668" t="str">
        <f t="shared" ref="K1191:K1195" si="425">IF($M$1190-J1191&lt;0, "-" &amp; TEXT(ABS($M$1190-J1191),"[hh]:mm:ss"), TEXT($M$1190-J1191,"[hh]:mm:ss"))</f>
        <v>1109163:00:00</v>
      </c>
      <c r="L1191" s="1603"/>
      <c r="M1191" s="1606"/>
    </row>
    <row r="1192" spans="1:13" s="104" customFormat="1" ht="20.399999999999999" thickTop="1" thickBot="1" x14ac:dyDescent="0.5">
      <c r="A1192" s="1581"/>
      <c r="B1192" s="1600"/>
      <c r="C1192" s="1593"/>
      <c r="D1192" s="316" t="s">
        <v>3819</v>
      </c>
      <c r="E1192" s="590">
        <v>46215.083333333336</v>
      </c>
      <c r="F1192" s="590">
        <v>46218.25</v>
      </c>
      <c r="G1192" s="590"/>
      <c r="H1192" s="590"/>
      <c r="I1192" s="601"/>
      <c r="J1192" s="590">
        <f t="shared" ref="J1192" si="426">E1192+TIME(8,0,0)</f>
        <v>46215.416666666672</v>
      </c>
      <c r="K1192" s="668" t="str">
        <f t="shared" ref="K1192" si="427">IF($M$1190-J1192&lt;0, "-" &amp; TEXT(ABS($M$1190-J1192),"[hh]:mm:ss"), TEXT($M$1190-J1192,"[hh]:mm:ss"))</f>
        <v>01:00:00</v>
      </c>
      <c r="L1192" s="1603"/>
      <c r="M1192" s="1606"/>
    </row>
    <row r="1193" spans="1:13" s="85" customFormat="1" ht="20.399999999999999" thickTop="1" thickBot="1" x14ac:dyDescent="0.5">
      <c r="A1193" s="1581"/>
      <c r="B1193" s="1600"/>
      <c r="C1193" s="1672" t="s">
        <v>3027</v>
      </c>
      <c r="D1193" s="316"/>
      <c r="E1193" s="305"/>
      <c r="F1193" s="305"/>
      <c r="G1193" s="305"/>
      <c r="H1193" s="305"/>
      <c r="I1193" s="602"/>
      <c r="J1193" s="305">
        <f t="shared" si="424"/>
        <v>0.33333333333333331</v>
      </c>
      <c r="K1193" s="669" t="str">
        <f t="shared" si="425"/>
        <v>1109163:00:00</v>
      </c>
      <c r="L1193" s="1603"/>
      <c r="M1193" s="1606"/>
    </row>
    <row r="1194" spans="1:13" ht="20.399999999999999" thickTop="1" thickBot="1" x14ac:dyDescent="0.5">
      <c r="A1194" s="1581"/>
      <c r="B1194" s="1600"/>
      <c r="C1194" s="1749"/>
      <c r="D1194" s="305" t="s">
        <v>3792</v>
      </c>
      <c r="E1194" s="305">
        <v>46215.083333333336</v>
      </c>
      <c r="F1194" s="305">
        <v>46218.25</v>
      </c>
      <c r="G1194" s="305"/>
      <c r="H1194" s="305"/>
      <c r="I1194" s="602"/>
      <c r="J1194" s="305">
        <f t="shared" si="424"/>
        <v>46215.416666666672</v>
      </c>
      <c r="K1194" s="669" t="str">
        <f t="shared" si="425"/>
        <v>01:00:00</v>
      </c>
      <c r="L1194" s="1603"/>
      <c r="M1194" s="1606"/>
    </row>
    <row r="1195" spans="1:13" ht="20.399999999999999" thickTop="1" thickBot="1" x14ac:dyDescent="0.5">
      <c r="A1195" s="1581"/>
      <c r="B1195" s="1600"/>
      <c r="C1195" s="1516" t="s">
        <v>977</v>
      </c>
      <c r="D1195" s="129"/>
      <c r="E1195" s="1476"/>
      <c r="F1195" s="1476"/>
      <c r="G1195" s="1476"/>
      <c r="H1195" s="1476"/>
      <c r="I1195" s="603"/>
      <c r="J1195" s="1476">
        <f t="shared" si="424"/>
        <v>0.33333333333333331</v>
      </c>
      <c r="K1195" s="670" t="str">
        <f t="shared" si="425"/>
        <v>1109163:00:00</v>
      </c>
      <c r="L1195" s="1581"/>
      <c r="M1195" s="1650"/>
    </row>
    <row r="1196" spans="1:13" ht="20.399999999999999" thickTop="1" thickBot="1" x14ac:dyDescent="0.5">
      <c r="A1196" s="113"/>
      <c r="B1196" s="113"/>
      <c r="C1196" s="652"/>
      <c r="D1196" s="113"/>
      <c r="E1196" s="113"/>
      <c r="F1196" s="113"/>
      <c r="G1196" s="113"/>
      <c r="H1196" s="321"/>
      <c r="I1196" s="610"/>
      <c r="J1196" s="113"/>
      <c r="K1196" s="677"/>
      <c r="L1196" s="322"/>
      <c r="M1196" s="627"/>
    </row>
    <row r="1197" spans="1:13" s="104" customFormat="1" ht="20.399999999999999" thickTop="1" thickBot="1" x14ac:dyDescent="0.5">
      <c r="A1197" s="1581" t="s">
        <v>3560</v>
      </c>
      <c r="B1197" s="1600" t="s">
        <v>1193</v>
      </c>
      <c r="C1197" s="1478"/>
      <c r="D1197" s="315"/>
      <c r="E1197" s="590"/>
      <c r="F1197" s="590"/>
      <c r="G1197" s="590"/>
      <c r="H1197" s="590"/>
      <c r="I1197" s="601"/>
      <c r="J1197" s="590">
        <f t="shared" ref="J1197:J1201" si="428">E1197+TIME(8,0,0)</f>
        <v>0.33333333333333331</v>
      </c>
      <c r="K1197" s="668" t="str">
        <f>IF($M$1197-J1197&lt;0, "-" &amp; TEXT(ABS($M$1197-J1197),"[hh]:mm:ss"), TEXT($M$1197-J1197,"[hh]:mm:ss"))</f>
        <v>-08:00:00</v>
      </c>
      <c r="L1197" s="1603"/>
      <c r="M1197" s="1606"/>
    </row>
    <row r="1198" spans="1:13" s="104" customFormat="1" ht="20.399999999999999" thickTop="1" thickBot="1" x14ac:dyDescent="0.5">
      <c r="A1198" s="1581"/>
      <c r="B1198" s="1600"/>
      <c r="C1198" s="1478"/>
      <c r="D1198" s="315"/>
      <c r="E1198" s="590"/>
      <c r="F1198" s="590"/>
      <c r="G1198" s="590"/>
      <c r="H1198" s="590"/>
      <c r="I1198" s="601"/>
      <c r="J1198" s="590">
        <f t="shared" si="428"/>
        <v>0.33333333333333331</v>
      </c>
      <c r="K1198" s="668" t="str">
        <f t="shared" ref="K1198:K1201" si="429">IF($M$1197-J1198&lt;0, "-" &amp; TEXT(ABS($M$1197-J1198),"[hh]:mm:ss"), TEXT($M$1197-J1198,"[hh]:mm:ss"))</f>
        <v>-08:00:00</v>
      </c>
      <c r="L1198" s="1603"/>
      <c r="M1198" s="1606"/>
    </row>
    <row r="1199" spans="1:13" s="85" customFormat="1" ht="20.399999999999999" thickTop="1" thickBot="1" x14ac:dyDescent="0.5">
      <c r="A1199" s="1581"/>
      <c r="B1199" s="1600"/>
      <c r="C1199" s="1672"/>
      <c r="D1199" s="316"/>
      <c r="E1199" s="305"/>
      <c r="F1199" s="305"/>
      <c r="G1199" s="305"/>
      <c r="H1199" s="305"/>
      <c r="I1199" s="602"/>
      <c r="J1199" s="305">
        <f t="shared" si="428"/>
        <v>0.33333333333333331</v>
      </c>
      <c r="K1199" s="669" t="str">
        <f t="shared" si="429"/>
        <v>-08:00:00</v>
      </c>
      <c r="L1199" s="1603"/>
      <c r="M1199" s="1606"/>
    </row>
    <row r="1200" spans="1:13" ht="20.399999999999999" thickTop="1" thickBot="1" x14ac:dyDescent="0.5">
      <c r="A1200" s="1581"/>
      <c r="B1200" s="1600"/>
      <c r="C1200" s="1749"/>
      <c r="D1200" s="305"/>
      <c r="E1200" s="305"/>
      <c r="F1200" s="305"/>
      <c r="G1200" s="305"/>
      <c r="H1200" s="305"/>
      <c r="I1200" s="602"/>
      <c r="J1200" s="305">
        <f t="shared" si="428"/>
        <v>0.33333333333333331</v>
      </c>
      <c r="K1200" s="669" t="str">
        <f t="shared" si="429"/>
        <v>-08:00:00</v>
      </c>
      <c r="L1200" s="1603"/>
      <c r="M1200" s="1606"/>
    </row>
    <row r="1201" spans="1:13" ht="20.399999999999999" thickTop="1" thickBot="1" x14ac:dyDescent="0.5">
      <c r="A1201" s="1581"/>
      <c r="B1201" s="1600"/>
      <c r="C1201" s="1516"/>
      <c r="D1201" s="129"/>
      <c r="E1201" s="1476"/>
      <c r="F1201" s="1476"/>
      <c r="G1201" s="1476"/>
      <c r="H1201" s="1476"/>
      <c r="I1201" s="603"/>
      <c r="J1201" s="1476">
        <f t="shared" si="428"/>
        <v>0.33333333333333331</v>
      </c>
      <c r="K1201" s="670" t="str">
        <f t="shared" si="429"/>
        <v>-08:00:00</v>
      </c>
      <c r="L1201" s="1581"/>
      <c r="M1201" s="1650"/>
    </row>
    <row r="1202" spans="1:13" ht="20.399999999999999" thickTop="1" thickBot="1" x14ac:dyDescent="0.5"/>
    <row r="1203" spans="1:13" s="104" customFormat="1" ht="19.8" thickTop="1" x14ac:dyDescent="0.45">
      <c r="A1203" s="1743" t="s">
        <v>3411</v>
      </c>
      <c r="B1203" s="1745" t="s">
        <v>9</v>
      </c>
      <c r="C1203" s="699" t="s">
        <v>784</v>
      </c>
      <c r="D1203" s="1493" t="s">
        <v>3726</v>
      </c>
      <c r="E1203" s="1493">
        <v>46190.146527777775</v>
      </c>
      <c r="F1203" s="1493">
        <v>46190.173611111109</v>
      </c>
      <c r="G1203" s="1493"/>
      <c r="H1203" s="1493"/>
      <c r="I1203" s="606"/>
      <c r="J1203" s="1493">
        <f>E1203+TIME(8,0,0)</f>
        <v>46190.479861111111</v>
      </c>
      <c r="K1203" s="674" t="str">
        <f>IF($M$1203-J1203&lt;0, "-" &amp; TEXT(ABS($M$1203-J1203),"[hh]:mm:ss"), TEXT($M$1203-J1203,"[hh]:mm:ss"))</f>
        <v>00:09:00</v>
      </c>
      <c r="L1203" s="1734">
        <v>46190.486111111109</v>
      </c>
      <c r="M1203" s="1669">
        <v>46190.486111111109</v>
      </c>
    </row>
    <row r="1204" spans="1:13" s="104" customFormat="1" x14ac:dyDescent="0.45">
      <c r="A1204" s="1648"/>
      <c r="B1204" s="1599"/>
      <c r="C1204" s="1467" t="s">
        <v>782</v>
      </c>
      <c r="D1204" s="1494" t="s">
        <v>3727</v>
      </c>
      <c r="E1204" s="1494">
        <v>46190.147222222222</v>
      </c>
      <c r="F1204" s="1494">
        <v>46190.181944444441</v>
      </c>
      <c r="G1204" s="1494"/>
      <c r="H1204" s="1494"/>
      <c r="I1204" s="696"/>
      <c r="J1204" s="1494">
        <f>E1204+TIME(8,0,0)</f>
        <v>46190.480555555558</v>
      </c>
      <c r="K1204" s="697" t="str">
        <f>IF($M$1203-J1204&lt;0, "-" &amp; TEXT(ABS($M$1203-J1204),"[hh]:mm:ss"), TEXT($M$1203-J1204,"[hh]:mm:ss"))</f>
        <v>00:08:00</v>
      </c>
      <c r="L1204" s="1602"/>
      <c r="M1204" s="1605"/>
    </row>
    <row r="1205" spans="1:13" s="104" customFormat="1" ht="19.8" thickBot="1" x14ac:dyDescent="0.5">
      <c r="A1205" s="1744"/>
      <c r="B1205" s="1746"/>
      <c r="C1205" s="701"/>
      <c r="D1205" s="1495"/>
      <c r="E1205" s="1495"/>
      <c r="F1205" s="1495"/>
      <c r="G1205" s="1495"/>
      <c r="H1205" s="1495"/>
      <c r="I1205" s="608"/>
      <c r="J1205" s="1495">
        <f>E1205+TIME(8,0,0)</f>
        <v>0.33333333333333331</v>
      </c>
      <c r="K1205" s="676" t="str">
        <f>IF($M$1203-J1205&lt;0, "-" &amp; TEXT(ABS($M$1203-J1205),"[hh]:mm:ss"), TEXT($M$1203-J1205,"[hh]:mm:ss"))</f>
        <v>1108563:40:00</v>
      </c>
      <c r="L1205" s="1747"/>
      <c r="M1205" s="1737"/>
    </row>
    <row r="1206" spans="1:13" ht="20.399999999999999" thickTop="1" thickBot="1" x14ac:dyDescent="0.5"/>
    <row r="1207" spans="1:13" s="104" customFormat="1" ht="19.8" thickTop="1" x14ac:dyDescent="0.45">
      <c r="A1207" s="1743" t="s">
        <v>2453</v>
      </c>
      <c r="B1207" s="1745" t="s">
        <v>9</v>
      </c>
      <c r="C1207" s="699"/>
      <c r="D1207" s="1493"/>
      <c r="E1207" s="1493"/>
      <c r="F1207" s="1493"/>
      <c r="G1207" s="1493"/>
      <c r="H1207" s="1493"/>
      <c r="I1207" s="606"/>
      <c r="J1207" s="1493">
        <f>E1207+TIME(8,0,0)</f>
        <v>0.33333333333333331</v>
      </c>
      <c r="K1207" s="674" t="str">
        <f>IF($M$1207-J1207&lt;0, "-" &amp; TEXT(ABS($M$1207-J1207),"[hh]:mm:ss"), TEXT($M$1207-J1207,"[hh]:mm:ss"))</f>
        <v>-08:00:00</v>
      </c>
      <c r="L1207" s="1734"/>
      <c r="M1207" s="1669"/>
    </row>
    <row r="1208" spans="1:13" s="104" customFormat="1" x14ac:dyDescent="0.45">
      <c r="A1208" s="1648"/>
      <c r="B1208" s="1599"/>
      <c r="C1208" s="1467"/>
      <c r="D1208" s="1494"/>
      <c r="E1208" s="1494"/>
      <c r="F1208" s="1494"/>
      <c r="G1208" s="1494"/>
      <c r="H1208" s="1494"/>
      <c r="I1208" s="696"/>
      <c r="J1208" s="1494">
        <f>E1208+TIME(8,0,0)</f>
        <v>0.33333333333333331</v>
      </c>
      <c r="K1208" s="697" t="str">
        <f t="shared" ref="K1208:K1209" si="430">IF($M$1207-J1208&lt;0, "-" &amp; TEXT(ABS($M$1207-J1208),"[hh]:mm:ss"), TEXT($M$1207-J1208,"[hh]:mm:ss"))</f>
        <v>-08:00:00</v>
      </c>
      <c r="L1208" s="1602"/>
      <c r="M1208" s="1605"/>
    </row>
    <row r="1209" spans="1:13" s="104" customFormat="1" ht="19.8" thickBot="1" x14ac:dyDescent="0.5">
      <c r="A1209" s="1744"/>
      <c r="B1209" s="1746"/>
      <c r="C1209" s="701"/>
      <c r="D1209" s="1495"/>
      <c r="E1209" s="1495"/>
      <c r="F1209" s="1495"/>
      <c r="G1209" s="1495"/>
      <c r="H1209" s="1495"/>
      <c r="I1209" s="608"/>
      <c r="J1209" s="1495">
        <f>E1209+TIME(8,0,0)</f>
        <v>0.33333333333333331</v>
      </c>
      <c r="K1209" s="676" t="str">
        <f t="shared" si="430"/>
        <v>-08:00:00</v>
      </c>
      <c r="L1209" s="1747"/>
      <c r="M1209" s="1737"/>
    </row>
    <row r="1210" spans="1:13" ht="19.8" thickTop="1" x14ac:dyDescent="0.45"/>
  </sheetData>
  <mergeCells count="1477">
    <mergeCell ref="M622:M625"/>
    <mergeCell ref="L633:L639"/>
    <mergeCell ref="C623:C625"/>
    <mergeCell ref="A1190:A1195"/>
    <mergeCell ref="B1190:B1195"/>
    <mergeCell ref="L1190:L1195"/>
    <mergeCell ref="M1190:M1195"/>
    <mergeCell ref="C1193:C1194"/>
    <mergeCell ref="A135:A136"/>
    <mergeCell ref="B135:B136"/>
    <mergeCell ref="L135:L136"/>
    <mergeCell ref="M135:M136"/>
    <mergeCell ref="M518:M519"/>
    <mergeCell ref="M533:M535"/>
    <mergeCell ref="C616:C617"/>
    <mergeCell ref="M555:M557"/>
    <mergeCell ref="L530:L532"/>
    <mergeCell ref="A539:A543"/>
    <mergeCell ref="B539:B543"/>
    <mergeCell ref="A577:A579"/>
    <mergeCell ref="L609:L614"/>
    <mergeCell ref="L615:L617"/>
    <mergeCell ref="M544:M547"/>
    <mergeCell ref="C426:C427"/>
    <mergeCell ref="A571:A573"/>
    <mergeCell ref="A584:A586"/>
    <mergeCell ref="A574:A576"/>
    <mergeCell ref="M539:M543"/>
    <mergeCell ref="C1191:C1192"/>
    <mergeCell ref="B584:B586"/>
    <mergeCell ref="B703:B707"/>
    <mergeCell ref="B574:B576"/>
    <mergeCell ref="B577:B579"/>
    <mergeCell ref="L703:L707"/>
    <mergeCell ref="C679:C680"/>
    <mergeCell ref="L622:L625"/>
    <mergeCell ref="B681:B684"/>
    <mergeCell ref="B721:B724"/>
    <mergeCell ref="A703:A707"/>
    <mergeCell ref="B662:B667"/>
    <mergeCell ref="M647:M649"/>
    <mergeCell ref="C722:C723"/>
    <mergeCell ref="B644:B646"/>
    <mergeCell ref="A721:A724"/>
    <mergeCell ref="M626:M632"/>
    <mergeCell ref="M681:M684"/>
    <mergeCell ref="L662:L667"/>
    <mergeCell ref="C676:C677"/>
    <mergeCell ref="L668:L674"/>
    <mergeCell ref="C685:C686"/>
    <mergeCell ref="C668:C669"/>
    <mergeCell ref="C666:C667"/>
    <mergeCell ref="M618:M621"/>
    <mergeCell ref="L685:L689"/>
    <mergeCell ref="M675:M680"/>
    <mergeCell ref="M650:M653"/>
    <mergeCell ref="C663:C664"/>
    <mergeCell ref="B690:B696"/>
    <mergeCell ref="M662:M667"/>
    <mergeCell ref="B697:B702"/>
    <mergeCell ref="B622:B625"/>
    <mergeCell ref="M633:M639"/>
    <mergeCell ref="M721:M724"/>
    <mergeCell ref="M703:M707"/>
    <mergeCell ref="L759:L763"/>
    <mergeCell ref="M726:M730"/>
    <mergeCell ref="L1026:L1027"/>
    <mergeCell ref="M1026:M1027"/>
    <mergeCell ref="M1071:M1073"/>
    <mergeCell ref="A1197:A1201"/>
    <mergeCell ref="B1197:B1201"/>
    <mergeCell ref="M1064:M1066"/>
    <mergeCell ref="L1197:L1201"/>
    <mergeCell ref="M1197:M1201"/>
    <mergeCell ref="C1199:C1200"/>
    <mergeCell ref="A759:A763"/>
    <mergeCell ref="A675:A680"/>
    <mergeCell ref="L681:L684"/>
    <mergeCell ref="M668:M674"/>
    <mergeCell ref="L884:L885"/>
    <mergeCell ref="M894:M896"/>
    <mergeCell ref="L993:L996"/>
    <mergeCell ref="D949:D950"/>
    <mergeCell ref="C978:C979"/>
    <mergeCell ref="L949:L950"/>
    <mergeCell ref="L940:L941"/>
    <mergeCell ref="B862:B864"/>
    <mergeCell ref="M938:M939"/>
    <mergeCell ref="A690:A696"/>
    <mergeCell ref="C695:C696"/>
    <mergeCell ref="A647:A649"/>
    <mergeCell ref="M644:M646"/>
    <mergeCell ref="C792:C793"/>
    <mergeCell ref="A1207:A1209"/>
    <mergeCell ref="B1207:B1209"/>
    <mergeCell ref="L1207:L1209"/>
    <mergeCell ref="M1207:M1209"/>
    <mergeCell ref="A888:A890"/>
    <mergeCell ref="A731:A735"/>
    <mergeCell ref="L836:L837"/>
    <mergeCell ref="D836:D837"/>
    <mergeCell ref="M697:M702"/>
    <mergeCell ref="L888:L890"/>
    <mergeCell ref="B874:B877"/>
    <mergeCell ref="A848:A852"/>
    <mergeCell ref="M911:M913"/>
    <mergeCell ref="C1111:C1112"/>
    <mergeCell ref="A856:A858"/>
    <mergeCell ref="A1203:A1205"/>
    <mergeCell ref="B1203:B1205"/>
    <mergeCell ref="L1203:L1205"/>
    <mergeCell ref="M1203:M1205"/>
    <mergeCell ref="A1026:A1027"/>
    <mergeCell ref="B1026:B1027"/>
    <mergeCell ref="M1038:M1040"/>
    <mergeCell ref="M989:M992"/>
    <mergeCell ref="C918:C919"/>
    <mergeCell ref="L914:L917"/>
    <mergeCell ref="L922:L925"/>
    <mergeCell ref="M1001:M1004"/>
    <mergeCell ref="B836:B839"/>
    <mergeCell ref="C808:C809"/>
    <mergeCell ref="M731:M735"/>
    <mergeCell ref="L894:L896"/>
    <mergeCell ref="A769:A771"/>
    <mergeCell ref="C619:C621"/>
    <mergeCell ref="M615:M617"/>
    <mergeCell ref="C421:C422"/>
    <mergeCell ref="L522:L524"/>
    <mergeCell ref="A430:A432"/>
    <mergeCell ref="B488:B490"/>
    <mergeCell ref="M560:M563"/>
    <mergeCell ref="L606:L607"/>
    <mergeCell ref="A568:A570"/>
    <mergeCell ref="A527:A528"/>
    <mergeCell ref="A501:A505"/>
    <mergeCell ref="A530:A532"/>
    <mergeCell ref="A606:A607"/>
    <mergeCell ref="A518:A519"/>
    <mergeCell ref="A506:A510"/>
    <mergeCell ref="C542:C543"/>
    <mergeCell ref="B564:B567"/>
    <mergeCell ref="B558:B559"/>
    <mergeCell ref="M606:M607"/>
    <mergeCell ref="B548:B550"/>
    <mergeCell ref="B580:B583"/>
    <mergeCell ref="C498:C499"/>
    <mergeCell ref="B491:B493"/>
    <mergeCell ref="B536:B538"/>
    <mergeCell ref="A551:A554"/>
    <mergeCell ref="L494:L500"/>
    <mergeCell ref="M501:M505"/>
    <mergeCell ref="L488:L490"/>
    <mergeCell ref="A564:A567"/>
    <mergeCell ref="M589:M592"/>
    <mergeCell ref="M593:M596"/>
    <mergeCell ref="L516:L517"/>
    <mergeCell ref="L589:L592"/>
    <mergeCell ref="M609:M614"/>
    <mergeCell ref="L460:L467"/>
    <mergeCell ref="L548:L550"/>
    <mergeCell ref="D489:D490"/>
    <mergeCell ref="M488:M490"/>
    <mergeCell ref="M536:M538"/>
    <mergeCell ref="M527:M528"/>
    <mergeCell ref="M530:M532"/>
    <mergeCell ref="L501:L505"/>
    <mergeCell ref="L568:L570"/>
    <mergeCell ref="L601:L604"/>
    <mergeCell ref="M601:M604"/>
    <mergeCell ref="M551:M554"/>
    <mergeCell ref="M580:M583"/>
    <mergeCell ref="M568:M570"/>
    <mergeCell ref="L558:L559"/>
    <mergeCell ref="L468:L474"/>
    <mergeCell ref="M584:M586"/>
    <mergeCell ref="L564:L567"/>
    <mergeCell ref="L580:L583"/>
    <mergeCell ref="L560:L563"/>
    <mergeCell ref="M571:M573"/>
    <mergeCell ref="M506:M510"/>
    <mergeCell ref="A795:A798"/>
    <mergeCell ref="M829:M834"/>
    <mergeCell ref="M778:M782"/>
    <mergeCell ref="B805:B809"/>
    <mergeCell ref="L805:L809"/>
    <mergeCell ref="M805:M809"/>
    <mergeCell ref="L772:L777"/>
    <mergeCell ref="C788:C789"/>
    <mergeCell ref="M577:M579"/>
    <mergeCell ref="A555:A557"/>
    <mergeCell ref="A560:A563"/>
    <mergeCell ref="A609:A614"/>
    <mergeCell ref="A558:A559"/>
    <mergeCell ref="M564:M567"/>
    <mergeCell ref="C523:C524"/>
    <mergeCell ref="B527:B528"/>
    <mergeCell ref="B520:B521"/>
    <mergeCell ref="L751:L757"/>
    <mergeCell ref="B518:B519"/>
    <mergeCell ref="D610:D614"/>
    <mergeCell ref="A618:A621"/>
    <mergeCell ref="L577:L579"/>
    <mergeCell ref="A520:A521"/>
    <mergeCell ref="A516:A517"/>
    <mergeCell ref="A593:A596"/>
    <mergeCell ref="B593:B596"/>
    <mergeCell ref="L593:L596"/>
    <mergeCell ref="A772:A777"/>
    <mergeCell ref="A786:A789"/>
    <mergeCell ref="A822:A823"/>
    <mergeCell ref="L618:L621"/>
    <mergeCell ref="M972:M973"/>
    <mergeCell ref="M982:M983"/>
    <mergeCell ref="B856:B858"/>
    <mergeCell ref="C928:C929"/>
    <mergeCell ref="M886:M887"/>
    <mergeCell ref="L942:L943"/>
    <mergeCell ref="C940:C941"/>
    <mergeCell ref="L862:L864"/>
    <mergeCell ref="L825:L828"/>
    <mergeCell ref="C836:C837"/>
    <mergeCell ref="L926:L929"/>
    <mergeCell ref="M836:M839"/>
    <mergeCell ref="M825:M828"/>
    <mergeCell ref="M859:M861"/>
    <mergeCell ref="M914:M917"/>
    <mergeCell ref="M816:M821"/>
    <mergeCell ref="D818:D819"/>
    <mergeCell ref="M963:M964"/>
    <mergeCell ref="L859:L861"/>
    <mergeCell ref="L853:L855"/>
    <mergeCell ref="M1124:M1129"/>
    <mergeCell ref="B980:B981"/>
    <mergeCell ref="A813:A814"/>
    <mergeCell ref="A881:A883"/>
    <mergeCell ref="L838:L839"/>
    <mergeCell ref="B816:B821"/>
    <mergeCell ref="A805:A809"/>
    <mergeCell ref="A836:A839"/>
    <mergeCell ref="L783:L785"/>
    <mergeCell ref="B813:B814"/>
    <mergeCell ref="L769:L771"/>
    <mergeCell ref="L829:L834"/>
    <mergeCell ref="B778:B782"/>
    <mergeCell ref="B825:B828"/>
    <mergeCell ref="A865:A867"/>
    <mergeCell ref="C784:C785"/>
    <mergeCell ref="A825:A828"/>
    <mergeCell ref="B829:B834"/>
    <mergeCell ref="C829:C830"/>
    <mergeCell ref="L813:L814"/>
    <mergeCell ref="L822:L823"/>
    <mergeCell ref="B822:B823"/>
    <mergeCell ref="A783:A785"/>
    <mergeCell ref="M881:M883"/>
    <mergeCell ref="M813:M814"/>
    <mergeCell ref="B888:B890"/>
    <mergeCell ref="M884:M885"/>
    <mergeCell ref="M879:M880"/>
    <mergeCell ref="B914:B917"/>
    <mergeCell ref="B918:B921"/>
    <mergeCell ref="B906:B907"/>
    <mergeCell ref="L931:L933"/>
    <mergeCell ref="L1138:L1144"/>
    <mergeCell ref="L1029:L1030"/>
    <mergeCell ref="M1013:M1017"/>
    <mergeCell ref="B1013:B1017"/>
    <mergeCell ref="A1067:A1069"/>
    <mergeCell ref="B1067:B1069"/>
    <mergeCell ref="M772:M777"/>
    <mergeCell ref="L778:L782"/>
    <mergeCell ref="C863:C864"/>
    <mergeCell ref="A1104:A1107"/>
    <mergeCell ref="A1091:A1095"/>
    <mergeCell ref="C1124:C1125"/>
    <mergeCell ref="B1084:B1090"/>
    <mergeCell ref="L1084:L1090"/>
    <mergeCell ref="C1080:C1081"/>
    <mergeCell ref="C1094:C1095"/>
    <mergeCell ref="A1048:A1050"/>
    <mergeCell ref="L1031:L1032"/>
    <mergeCell ref="L1100:L1103"/>
    <mergeCell ref="A1051:A1054"/>
    <mergeCell ref="B1096:B1099"/>
    <mergeCell ref="B1033:B1034"/>
    <mergeCell ref="C1006:C1007"/>
    <mergeCell ref="C866:C867"/>
    <mergeCell ref="A1019:A1024"/>
    <mergeCell ref="A982:A983"/>
    <mergeCell ref="B1048:B1050"/>
    <mergeCell ref="C1053:C1054"/>
    <mergeCell ref="L1033:L1034"/>
    <mergeCell ref="L1013:L1017"/>
    <mergeCell ref="A1038:A1040"/>
    <mergeCell ref="L1041:L1043"/>
    <mergeCell ref="A1163:A1164"/>
    <mergeCell ref="B1174:B1175"/>
    <mergeCell ref="M1180:M1184"/>
    <mergeCell ref="M1177:M1178"/>
    <mergeCell ref="L1145:L1153"/>
    <mergeCell ref="M1145:M1153"/>
    <mergeCell ref="C1147:C1148"/>
    <mergeCell ref="L1159:L1160"/>
    <mergeCell ref="B1138:B1144"/>
    <mergeCell ref="C1138:C1139"/>
    <mergeCell ref="B1145:B1153"/>
    <mergeCell ref="B1161:B1162"/>
    <mergeCell ref="M1096:M1099"/>
    <mergeCell ref="B997:B1000"/>
    <mergeCell ref="B1104:B1107"/>
    <mergeCell ref="A1114:A1122"/>
    <mergeCell ref="B1114:B1122"/>
    <mergeCell ref="C1114:C1115"/>
    <mergeCell ref="L1114:L1122"/>
    <mergeCell ref="M1114:M1122"/>
    <mergeCell ref="C1118:C1119"/>
    <mergeCell ref="C1102:C1103"/>
    <mergeCell ref="M1055:M1057"/>
    <mergeCell ref="C1161:C1162"/>
    <mergeCell ref="M1091:M1095"/>
    <mergeCell ref="L1038:L1040"/>
    <mergeCell ref="L1051:L1054"/>
    <mergeCell ref="C1039:C1040"/>
    <mergeCell ref="C1026:C1027"/>
    <mergeCell ref="B1061:B1063"/>
    <mergeCell ref="A1071:A1073"/>
    <mergeCell ref="B1075:B1076"/>
    <mergeCell ref="A972:A973"/>
    <mergeCell ref="B975:B977"/>
    <mergeCell ref="A879:A880"/>
    <mergeCell ref="A901:A905"/>
    <mergeCell ref="L897:L900"/>
    <mergeCell ref="L1048:L1050"/>
    <mergeCell ref="A1041:A1043"/>
    <mergeCell ref="A1058:A1060"/>
    <mergeCell ref="A1044:A1047"/>
    <mergeCell ref="A1064:A1066"/>
    <mergeCell ref="B1064:B1066"/>
    <mergeCell ref="L1064:L1066"/>
    <mergeCell ref="A1075:A1076"/>
    <mergeCell ref="A1061:A1063"/>
    <mergeCell ref="B944:B945"/>
    <mergeCell ref="B1124:B1129"/>
    <mergeCell ref="B1100:B1103"/>
    <mergeCell ref="A1055:A1057"/>
    <mergeCell ref="L1055:L1057"/>
    <mergeCell ref="A1100:A1103"/>
    <mergeCell ref="B1055:B1057"/>
    <mergeCell ref="C1042:C1043"/>
    <mergeCell ref="B1078:B1083"/>
    <mergeCell ref="B1031:B1032"/>
    <mergeCell ref="C976:C977"/>
    <mergeCell ref="L975:L977"/>
    <mergeCell ref="B1038:B1040"/>
    <mergeCell ref="A984:A985"/>
    <mergeCell ref="A1177:A1178"/>
    <mergeCell ref="A989:A992"/>
    <mergeCell ref="M1051:M1054"/>
    <mergeCell ref="B1058:B1060"/>
    <mergeCell ref="L1061:L1063"/>
    <mergeCell ref="L1075:L1076"/>
    <mergeCell ref="M1100:M1103"/>
    <mergeCell ref="M1174:M1175"/>
    <mergeCell ref="M1159:M1160"/>
    <mergeCell ref="A1145:A1153"/>
    <mergeCell ref="A1078:A1083"/>
    <mergeCell ref="C1078:C1079"/>
    <mergeCell ref="A1108:A1113"/>
    <mergeCell ref="B1108:B1113"/>
    <mergeCell ref="C1108:C1109"/>
    <mergeCell ref="L1108:L1113"/>
    <mergeCell ref="L1078:L1083"/>
    <mergeCell ref="A1084:A1090"/>
    <mergeCell ref="C1127:C1128"/>
    <mergeCell ref="A1138:A1144"/>
    <mergeCell ref="A1174:A1175"/>
    <mergeCell ref="A1130:A1137"/>
    <mergeCell ref="A1159:A1160"/>
    <mergeCell ref="B1159:B1160"/>
    <mergeCell ref="C1159:C1160"/>
    <mergeCell ref="M1161:M1162"/>
    <mergeCell ref="C1140:C1141"/>
    <mergeCell ref="A1165:A1166"/>
    <mergeCell ref="B1165:B1166"/>
    <mergeCell ref="L1165:L1166"/>
    <mergeCell ref="A1169:A1170"/>
    <mergeCell ref="C1177:C1178"/>
    <mergeCell ref="C1145:C1146"/>
    <mergeCell ref="L1091:L1095"/>
    <mergeCell ref="M1104:M1107"/>
    <mergeCell ref="L1104:L1107"/>
    <mergeCell ref="A1096:A1099"/>
    <mergeCell ref="L1096:L1099"/>
    <mergeCell ref="M1108:M1113"/>
    <mergeCell ref="L1124:L1129"/>
    <mergeCell ref="C1120:C1121"/>
    <mergeCell ref="C1116:C1117"/>
    <mergeCell ref="B1091:B1095"/>
    <mergeCell ref="A1185:A1189"/>
    <mergeCell ref="B1185:B1189"/>
    <mergeCell ref="L1185:L1189"/>
    <mergeCell ref="C1106:C1107"/>
    <mergeCell ref="A1124:A1129"/>
    <mergeCell ref="A1180:A1184"/>
    <mergeCell ref="B1180:B1184"/>
    <mergeCell ref="L1180:L1184"/>
    <mergeCell ref="M1165:M1166"/>
    <mergeCell ref="C1149:C1152"/>
    <mergeCell ref="A1171:A1172"/>
    <mergeCell ref="B1171:B1172"/>
    <mergeCell ref="L1171:L1172"/>
    <mergeCell ref="M1130:M1137"/>
    <mergeCell ref="A1161:A1162"/>
    <mergeCell ref="M1169:M1170"/>
    <mergeCell ref="M1138:M1144"/>
    <mergeCell ref="L1130:L1137"/>
    <mergeCell ref="L1161:L1162"/>
    <mergeCell ref="M1185:M1189"/>
    <mergeCell ref="B1051:B1054"/>
    <mergeCell ref="M1041:M1043"/>
    <mergeCell ref="M1033:M1034"/>
    <mergeCell ref="L1058:L1060"/>
    <mergeCell ref="M1058:M1060"/>
    <mergeCell ref="M1044:M1047"/>
    <mergeCell ref="M1171:M1172"/>
    <mergeCell ref="M1048:M1050"/>
    <mergeCell ref="B1169:B1170"/>
    <mergeCell ref="C1169:C1170"/>
    <mergeCell ref="L1169:L1170"/>
    <mergeCell ref="C1187:C1188"/>
    <mergeCell ref="B1130:B1137"/>
    <mergeCell ref="C1130:C1131"/>
    <mergeCell ref="L1174:L1175"/>
    <mergeCell ref="C1182:C1183"/>
    <mergeCell ref="L1177:L1178"/>
    <mergeCell ref="B1035:B1037"/>
    <mergeCell ref="M1078:M1083"/>
    <mergeCell ref="B1163:B1164"/>
    <mergeCell ref="C1163:C1164"/>
    <mergeCell ref="L1163:L1164"/>
    <mergeCell ref="M1163:M1164"/>
    <mergeCell ref="B1177:B1178"/>
    <mergeCell ref="B1071:B1073"/>
    <mergeCell ref="L1071:L1073"/>
    <mergeCell ref="L1044:L1047"/>
    <mergeCell ref="C1046:C1047"/>
    <mergeCell ref="B1044:B1047"/>
    <mergeCell ref="B1041:B1043"/>
    <mergeCell ref="C1036:C1037"/>
    <mergeCell ref="M1084:M1090"/>
    <mergeCell ref="C1098:C1099"/>
    <mergeCell ref="L874:L877"/>
    <mergeCell ref="B795:B798"/>
    <mergeCell ref="M1075:M1076"/>
    <mergeCell ref="B430:B432"/>
    <mergeCell ref="A1005:A1012"/>
    <mergeCell ref="A662:A667"/>
    <mergeCell ref="A800:A803"/>
    <mergeCell ref="A894:A896"/>
    <mergeCell ref="B615:B617"/>
    <mergeCell ref="A829:A834"/>
    <mergeCell ref="B380:B383"/>
    <mergeCell ref="A475:A480"/>
    <mergeCell ref="B468:B474"/>
    <mergeCell ref="M411:M412"/>
    <mergeCell ref="M445:M446"/>
    <mergeCell ref="A434:A435"/>
    <mergeCell ref="A494:A500"/>
    <mergeCell ref="L491:L493"/>
    <mergeCell ref="M548:M550"/>
    <mergeCell ref="M460:M467"/>
    <mergeCell ref="M522:M524"/>
    <mergeCell ref="B783:B785"/>
    <mergeCell ref="A726:A730"/>
    <mergeCell ref="A668:A674"/>
    <mergeCell ref="A640:A642"/>
    <mergeCell ref="A650:A653"/>
    <mergeCell ref="A615:A617"/>
    <mergeCell ref="B654:B661"/>
    <mergeCell ref="L795:L798"/>
    <mergeCell ref="M795:M798"/>
    <mergeCell ref="A626:A632"/>
    <mergeCell ref="A697:A702"/>
    <mergeCell ref="A654:A661"/>
    <mergeCell ref="A633:A639"/>
    <mergeCell ref="L539:L543"/>
    <mergeCell ref="A978:A979"/>
    <mergeCell ref="M944:M945"/>
    <mergeCell ref="M853:M855"/>
    <mergeCell ref="B460:B467"/>
    <mergeCell ref="M455:M459"/>
    <mergeCell ref="C470:C471"/>
    <mergeCell ref="B494:B500"/>
    <mergeCell ref="B315:B319"/>
    <mergeCell ref="B362:B363"/>
    <mergeCell ref="M574:M576"/>
    <mergeCell ref="L518:L519"/>
    <mergeCell ref="C473:C474"/>
    <mergeCell ref="C395:C396"/>
    <mergeCell ref="M426:M429"/>
    <mergeCell ref="M353:M357"/>
    <mergeCell ref="C489:C490"/>
    <mergeCell ref="B426:B429"/>
    <mergeCell ref="L340:L344"/>
    <mergeCell ref="A366:A368"/>
    <mergeCell ref="B366:B368"/>
    <mergeCell ref="A408:A409"/>
    <mergeCell ref="A404:A407"/>
    <mergeCell ref="L346:L352"/>
    <mergeCell ref="B420:B422"/>
    <mergeCell ref="M388:M393"/>
    <mergeCell ref="B408:B409"/>
    <mergeCell ref="A402:A403"/>
    <mergeCell ref="C273:C274"/>
    <mergeCell ref="B285:B289"/>
    <mergeCell ref="L385:L386"/>
    <mergeCell ref="B402:B403"/>
    <mergeCell ref="L375:L379"/>
    <mergeCell ref="C392:C393"/>
    <mergeCell ref="B385:B386"/>
    <mergeCell ref="C333:C334"/>
    <mergeCell ref="B346:B352"/>
    <mergeCell ref="B323:B326"/>
    <mergeCell ref="C300:C301"/>
    <mergeCell ref="C313:C314"/>
    <mergeCell ref="M423:M425"/>
    <mergeCell ref="M380:M383"/>
    <mergeCell ref="C378:C379"/>
    <mergeCell ref="B397:B400"/>
    <mergeCell ref="B404:B407"/>
    <mergeCell ref="M420:M422"/>
    <mergeCell ref="L290:L294"/>
    <mergeCell ref="C298:C299"/>
    <mergeCell ref="C303:C304"/>
    <mergeCell ref="C375:C376"/>
    <mergeCell ref="L417:L419"/>
    <mergeCell ref="L413:L414"/>
    <mergeCell ref="L420:L422"/>
    <mergeCell ref="L423:L425"/>
    <mergeCell ref="B411:B412"/>
    <mergeCell ref="B388:B393"/>
    <mergeCell ref="L335:L339"/>
    <mergeCell ref="L359:L361"/>
    <mergeCell ref="L364:L365"/>
    <mergeCell ref="M408:M409"/>
    <mergeCell ref="M267:M270"/>
    <mergeCell ref="L233:L237"/>
    <mergeCell ref="L240:L245"/>
    <mergeCell ref="M275:M279"/>
    <mergeCell ref="M238:M239"/>
    <mergeCell ref="M233:M237"/>
    <mergeCell ref="M240:M245"/>
    <mergeCell ref="M315:M319"/>
    <mergeCell ref="M285:M289"/>
    <mergeCell ref="L246:L250"/>
    <mergeCell ref="M212:M215"/>
    <mergeCell ref="L212:L215"/>
    <mergeCell ref="M320:M322"/>
    <mergeCell ref="M335:M339"/>
    <mergeCell ref="M224:M228"/>
    <mergeCell ref="M216:M219"/>
    <mergeCell ref="M220:M223"/>
    <mergeCell ref="L295:L299"/>
    <mergeCell ref="L323:L326"/>
    <mergeCell ref="L315:L319"/>
    <mergeCell ref="M262:M266"/>
    <mergeCell ref="M295:M299"/>
    <mergeCell ref="L331:L334"/>
    <mergeCell ref="M323:M326"/>
    <mergeCell ref="L300:L304"/>
    <mergeCell ref="L275:L279"/>
    <mergeCell ref="L262:L266"/>
    <mergeCell ref="L285:L289"/>
    <mergeCell ref="L320:L322"/>
    <mergeCell ref="M280:M284"/>
    <mergeCell ref="M271:M274"/>
    <mergeCell ref="M290:M294"/>
    <mergeCell ref="M23:M25"/>
    <mergeCell ref="M76:M77"/>
    <mergeCell ref="M39:M40"/>
    <mergeCell ref="M65:M66"/>
    <mergeCell ref="M47:M48"/>
    <mergeCell ref="B71:B72"/>
    <mergeCell ref="L76:L77"/>
    <mergeCell ref="M71:M72"/>
    <mergeCell ref="L67:L68"/>
    <mergeCell ref="M67:M68"/>
    <mergeCell ref="B55:B56"/>
    <mergeCell ref="B65:B66"/>
    <mergeCell ref="M257:M261"/>
    <mergeCell ref="M170:M171"/>
    <mergeCell ref="M148:M149"/>
    <mergeCell ref="C113:C114"/>
    <mergeCell ref="M201:M203"/>
    <mergeCell ref="B176:B177"/>
    <mergeCell ref="B117:B120"/>
    <mergeCell ref="B184:B185"/>
    <mergeCell ref="B130:B131"/>
    <mergeCell ref="B152:B153"/>
    <mergeCell ref="B157:B160"/>
    <mergeCell ref="B141:B143"/>
    <mergeCell ref="B139:B140"/>
    <mergeCell ref="B121:B122"/>
    <mergeCell ref="M113:M114"/>
    <mergeCell ref="D103:D104"/>
    <mergeCell ref="M115:M116"/>
    <mergeCell ref="M127:M129"/>
    <mergeCell ref="C107:C108"/>
    <mergeCell ref="C127:C128"/>
    <mergeCell ref="M139:M140"/>
    <mergeCell ref="L127:L129"/>
    <mergeCell ref="L125:L126"/>
    <mergeCell ref="L141:L143"/>
    <mergeCell ref="L123:L124"/>
    <mergeCell ref="M178:M179"/>
    <mergeCell ref="M174:M175"/>
    <mergeCell ref="D161:D163"/>
    <mergeCell ref="L152:L153"/>
    <mergeCell ref="M146:M147"/>
    <mergeCell ref="M132:M134"/>
    <mergeCell ref="M189:M194"/>
    <mergeCell ref="M195:M200"/>
    <mergeCell ref="M186:M187"/>
    <mergeCell ref="M161:M163"/>
    <mergeCell ref="M180:M181"/>
    <mergeCell ref="L139:L140"/>
    <mergeCell ref="L146:L147"/>
    <mergeCell ref="L157:L160"/>
    <mergeCell ref="M152:M153"/>
    <mergeCell ref="M182:M183"/>
    <mergeCell ref="M184:M185"/>
    <mergeCell ref="M172:M173"/>
    <mergeCell ref="M167:M169"/>
    <mergeCell ref="L150:L151"/>
    <mergeCell ref="M9:M10"/>
    <mergeCell ref="L9:L10"/>
    <mergeCell ref="M15:M16"/>
    <mergeCell ref="M80:M81"/>
    <mergeCell ref="M97:M98"/>
    <mergeCell ref="M26:M27"/>
    <mergeCell ref="M55:M56"/>
    <mergeCell ref="B113:B114"/>
    <mergeCell ref="L39:L40"/>
    <mergeCell ref="M95:M96"/>
    <mergeCell ref="B34:B35"/>
    <mergeCell ref="L34:L35"/>
    <mergeCell ref="M34:M35"/>
    <mergeCell ref="M82:M83"/>
    <mergeCell ref="B23:B25"/>
    <mergeCell ref="B37:B38"/>
    <mergeCell ref="C44:C45"/>
    <mergeCell ref="L82:L83"/>
    <mergeCell ref="M84:M86"/>
    <mergeCell ref="M57:M59"/>
    <mergeCell ref="M44:M46"/>
    <mergeCell ref="L15:L16"/>
    <mergeCell ref="M103:M104"/>
    <mergeCell ref="M49:M51"/>
    <mergeCell ref="L44:L46"/>
    <mergeCell ref="M101:M102"/>
    <mergeCell ref="L109:L110"/>
    <mergeCell ref="C109:C110"/>
    <mergeCell ref="L103:L104"/>
    <mergeCell ref="C97:C98"/>
    <mergeCell ref="D99:D100"/>
    <mergeCell ref="D107:D108"/>
    <mergeCell ref="A101:A102"/>
    <mergeCell ref="C23:C24"/>
    <mergeCell ref="A26:A27"/>
    <mergeCell ref="B26:B27"/>
    <mergeCell ref="C26:C27"/>
    <mergeCell ref="L26:L27"/>
    <mergeCell ref="B101:B102"/>
    <mergeCell ref="B82:B83"/>
    <mergeCell ref="B76:B77"/>
    <mergeCell ref="C57:C58"/>
    <mergeCell ref="A103:A104"/>
    <mergeCell ref="B107:B108"/>
    <mergeCell ref="B97:B98"/>
    <mergeCell ref="L99:L100"/>
    <mergeCell ref="A67:A68"/>
    <mergeCell ref="A76:A77"/>
    <mergeCell ref="A55:A56"/>
    <mergeCell ref="A84:A86"/>
    <mergeCell ref="A80:A81"/>
    <mergeCell ref="A65:A66"/>
    <mergeCell ref="A49:A51"/>
    <mergeCell ref="D76:D77"/>
    <mergeCell ref="A99:A100"/>
    <mergeCell ref="B103:B104"/>
    <mergeCell ref="A97:A98"/>
    <mergeCell ref="C103:C104"/>
    <mergeCell ref="D97:D98"/>
    <mergeCell ref="B95:B96"/>
    <mergeCell ref="C95:C96"/>
    <mergeCell ref="A47:A48"/>
    <mergeCell ref="A60:A62"/>
    <mergeCell ref="L107:L108"/>
    <mergeCell ref="A1:A2"/>
    <mergeCell ref="B1:B2"/>
    <mergeCell ref="H2:I2"/>
    <mergeCell ref="B17:B19"/>
    <mergeCell ref="L4:L7"/>
    <mergeCell ref="C17:C18"/>
    <mergeCell ref="A4:A7"/>
    <mergeCell ref="B13:B14"/>
    <mergeCell ref="C9:C10"/>
    <mergeCell ref="C15:C16"/>
    <mergeCell ref="A23:A25"/>
    <mergeCell ref="A41:A43"/>
    <mergeCell ref="A31:A33"/>
    <mergeCell ref="B31:B33"/>
    <mergeCell ref="A13:A14"/>
    <mergeCell ref="A17:A19"/>
    <mergeCell ref="A37:A38"/>
    <mergeCell ref="E1:F1"/>
    <mergeCell ref="J1:M1"/>
    <mergeCell ref="C1:D1"/>
    <mergeCell ref="M41:M43"/>
    <mergeCell ref="M13:M14"/>
    <mergeCell ref="M31:M33"/>
    <mergeCell ref="L28:L29"/>
    <mergeCell ref="C4:C5"/>
    <mergeCell ref="A9:A10"/>
    <mergeCell ref="B4:B7"/>
    <mergeCell ref="B9:B10"/>
    <mergeCell ref="A15:A16"/>
    <mergeCell ref="D9:D10"/>
    <mergeCell ref="A39:A40"/>
    <mergeCell ref="B15:B16"/>
    <mergeCell ref="M4:M7"/>
    <mergeCell ref="L13:L14"/>
    <mergeCell ref="L41:L43"/>
    <mergeCell ref="M17:M19"/>
    <mergeCell ref="L37:L38"/>
    <mergeCell ref="L23:L25"/>
    <mergeCell ref="M37:M38"/>
    <mergeCell ref="L17:L19"/>
    <mergeCell ref="D4:D5"/>
    <mergeCell ref="L80:L81"/>
    <mergeCell ref="L101:L102"/>
    <mergeCell ref="C76:C77"/>
    <mergeCell ref="A28:A29"/>
    <mergeCell ref="L65:L66"/>
    <mergeCell ref="L52:L54"/>
    <mergeCell ref="B28:B29"/>
    <mergeCell ref="C28:C29"/>
    <mergeCell ref="A44:A46"/>
    <mergeCell ref="L55:L56"/>
    <mergeCell ref="B47:B48"/>
    <mergeCell ref="C52:C53"/>
    <mergeCell ref="A52:A54"/>
    <mergeCell ref="M99:M100"/>
    <mergeCell ref="A57:A59"/>
    <mergeCell ref="B99:B100"/>
    <mergeCell ref="A34:A35"/>
    <mergeCell ref="D44:D45"/>
    <mergeCell ref="A95:A96"/>
    <mergeCell ref="B80:B81"/>
    <mergeCell ref="B44:B46"/>
    <mergeCell ref="B41:B43"/>
    <mergeCell ref="B39:B40"/>
    <mergeCell ref="M28:M29"/>
    <mergeCell ref="L31:L33"/>
    <mergeCell ref="M52:M54"/>
    <mergeCell ref="L47:L48"/>
    <mergeCell ref="B49:B51"/>
    <mergeCell ref="L49:L51"/>
    <mergeCell ref="L105:L106"/>
    <mergeCell ref="D95:D96"/>
    <mergeCell ref="C80:C81"/>
    <mergeCell ref="D105:D106"/>
    <mergeCell ref="B52:B54"/>
    <mergeCell ref="L57:L59"/>
    <mergeCell ref="C71:C72"/>
    <mergeCell ref="B67:B68"/>
    <mergeCell ref="L71:L72"/>
    <mergeCell ref="C101:C102"/>
    <mergeCell ref="D101:D102"/>
    <mergeCell ref="B84:B86"/>
    <mergeCell ref="C85:C86"/>
    <mergeCell ref="C99:C100"/>
    <mergeCell ref="L84:L86"/>
    <mergeCell ref="C55:C56"/>
    <mergeCell ref="B57:B59"/>
    <mergeCell ref="B60:B62"/>
    <mergeCell ref="L60:L62"/>
    <mergeCell ref="M60:M62"/>
    <mergeCell ref="L97:L98"/>
    <mergeCell ref="B105:B106"/>
    <mergeCell ref="L95:L96"/>
    <mergeCell ref="A105:A106"/>
    <mergeCell ref="M105:M106"/>
    <mergeCell ref="M109:M110"/>
    <mergeCell ref="M107:M108"/>
    <mergeCell ref="A107:A108"/>
    <mergeCell ref="L161:L163"/>
    <mergeCell ref="B109:B110"/>
    <mergeCell ref="B154:B155"/>
    <mergeCell ref="L154:L155"/>
    <mergeCell ref="B186:B187"/>
    <mergeCell ref="L186:L187"/>
    <mergeCell ref="L121:L122"/>
    <mergeCell ref="L164:L166"/>
    <mergeCell ref="C121:C122"/>
    <mergeCell ref="L117:L120"/>
    <mergeCell ref="A117:A120"/>
    <mergeCell ref="M164:M166"/>
    <mergeCell ref="L167:L169"/>
    <mergeCell ref="A109:A110"/>
    <mergeCell ref="A180:A181"/>
    <mergeCell ref="M150:M151"/>
    <mergeCell ref="A121:A122"/>
    <mergeCell ref="A161:A163"/>
    <mergeCell ref="A115:A116"/>
    <mergeCell ref="A113:A114"/>
    <mergeCell ref="C105:C106"/>
    <mergeCell ref="B115:B116"/>
    <mergeCell ref="B170:B171"/>
    <mergeCell ref="A127:A129"/>
    <mergeCell ref="A182:A183"/>
    <mergeCell ref="A150:A151"/>
    <mergeCell ref="A141:A143"/>
    <mergeCell ref="A82:A83"/>
    <mergeCell ref="A125:A126"/>
    <mergeCell ref="M157:M160"/>
    <mergeCell ref="L113:L114"/>
    <mergeCell ref="C115:C116"/>
    <mergeCell ref="L115:L116"/>
    <mergeCell ref="M121:M122"/>
    <mergeCell ref="C199:C200"/>
    <mergeCell ref="M154:M155"/>
    <mergeCell ref="M130:M131"/>
    <mergeCell ref="M141:M143"/>
    <mergeCell ref="M117:M120"/>
    <mergeCell ref="B182:B183"/>
    <mergeCell ref="B189:B194"/>
    <mergeCell ref="A123:A124"/>
    <mergeCell ref="A148:A149"/>
    <mergeCell ref="A152:A153"/>
    <mergeCell ref="A174:A175"/>
    <mergeCell ref="A154:A155"/>
    <mergeCell ref="B167:B169"/>
    <mergeCell ref="B178:B179"/>
    <mergeCell ref="B148:B149"/>
    <mergeCell ref="B146:B147"/>
    <mergeCell ref="B127:B129"/>
    <mergeCell ref="B161:B163"/>
    <mergeCell ref="L170:L171"/>
    <mergeCell ref="B123:B124"/>
    <mergeCell ref="L172:L173"/>
    <mergeCell ref="L180:L181"/>
    <mergeCell ref="M123:M124"/>
    <mergeCell ref="M125:M126"/>
    <mergeCell ref="B180:B181"/>
    <mergeCell ref="L204:L207"/>
    <mergeCell ref="C204:C205"/>
    <mergeCell ref="A170:A171"/>
    <mergeCell ref="C161:C163"/>
    <mergeCell ref="B201:B203"/>
    <mergeCell ref="A201:A203"/>
    <mergeCell ref="L201:L203"/>
    <mergeCell ref="L174:L175"/>
    <mergeCell ref="L189:L194"/>
    <mergeCell ref="L208:L211"/>
    <mergeCell ref="A164:A166"/>
    <mergeCell ref="A172:A173"/>
    <mergeCell ref="A184:A185"/>
    <mergeCell ref="C172:C173"/>
    <mergeCell ref="A178:A179"/>
    <mergeCell ref="D208:D209"/>
    <mergeCell ref="D204:D205"/>
    <mergeCell ref="C208:C209"/>
    <mergeCell ref="A139:A140"/>
    <mergeCell ref="M204:M207"/>
    <mergeCell ref="C192:C193"/>
    <mergeCell ref="M176:M177"/>
    <mergeCell ref="A167:A169"/>
    <mergeCell ref="B164:B166"/>
    <mergeCell ref="B174:B175"/>
    <mergeCell ref="B172:B173"/>
    <mergeCell ref="A176:A177"/>
    <mergeCell ref="C255:C256"/>
    <mergeCell ref="L238:L239"/>
    <mergeCell ref="C233:C234"/>
    <mergeCell ref="C249:C250"/>
    <mergeCell ref="D216:D217"/>
    <mergeCell ref="D212:D213"/>
    <mergeCell ref="L229:L232"/>
    <mergeCell ref="A195:A200"/>
    <mergeCell ref="A189:A194"/>
    <mergeCell ref="M229:M232"/>
    <mergeCell ref="M208:M211"/>
    <mergeCell ref="B208:B211"/>
    <mergeCell ref="M246:M250"/>
    <mergeCell ref="L251:L256"/>
    <mergeCell ref="M251:M256"/>
    <mergeCell ref="A146:A147"/>
    <mergeCell ref="L176:L177"/>
    <mergeCell ref="L148:L149"/>
    <mergeCell ref="L178:L179"/>
    <mergeCell ref="L184:L185"/>
    <mergeCell ref="C184:C185"/>
    <mergeCell ref="L182:L183"/>
    <mergeCell ref="L216:L219"/>
    <mergeCell ref="A130:A131"/>
    <mergeCell ref="L130:L131"/>
    <mergeCell ref="L195:L200"/>
    <mergeCell ref="C125:C126"/>
    <mergeCell ref="A216:A219"/>
    <mergeCell ref="A220:A223"/>
    <mergeCell ref="C278:C279"/>
    <mergeCell ref="A204:A207"/>
    <mergeCell ref="A157:A160"/>
    <mergeCell ref="B125:B126"/>
    <mergeCell ref="B150:B151"/>
    <mergeCell ref="B233:B237"/>
    <mergeCell ref="C236:C237"/>
    <mergeCell ref="L220:L223"/>
    <mergeCell ref="C220:C221"/>
    <mergeCell ref="C212:C213"/>
    <mergeCell ref="C216:C217"/>
    <mergeCell ref="B229:B232"/>
    <mergeCell ref="A229:A232"/>
    <mergeCell ref="A208:A211"/>
    <mergeCell ref="B220:B223"/>
    <mergeCell ref="C243:C245"/>
    <mergeCell ref="C275:C276"/>
    <mergeCell ref="A186:A187"/>
    <mergeCell ref="B195:B200"/>
    <mergeCell ref="B204:B207"/>
    <mergeCell ref="L271:L274"/>
    <mergeCell ref="L224:L228"/>
    <mergeCell ref="A132:A134"/>
    <mergeCell ref="B132:B134"/>
    <mergeCell ref="L132:L134"/>
    <mergeCell ref="B212:B215"/>
    <mergeCell ref="B224:B228"/>
    <mergeCell ref="C224:C225"/>
    <mergeCell ref="A212:A215"/>
    <mergeCell ref="A224:A228"/>
    <mergeCell ref="C288:C289"/>
    <mergeCell ref="L280:L284"/>
    <mergeCell ref="B251:B256"/>
    <mergeCell ref="B271:B274"/>
    <mergeCell ref="C283:C284"/>
    <mergeCell ref="C285:C286"/>
    <mergeCell ref="A238:A239"/>
    <mergeCell ref="B262:B266"/>
    <mergeCell ref="A246:A250"/>
    <mergeCell ref="B257:B261"/>
    <mergeCell ref="B246:B250"/>
    <mergeCell ref="C265:C266"/>
    <mergeCell ref="B238:B239"/>
    <mergeCell ref="L257:L261"/>
    <mergeCell ref="L267:L270"/>
    <mergeCell ref="B216:B219"/>
    <mergeCell ref="A233:A237"/>
    <mergeCell ref="A262:A266"/>
    <mergeCell ref="A257:A261"/>
    <mergeCell ref="C229:C230"/>
    <mergeCell ref="A240:A245"/>
    <mergeCell ref="B240:B245"/>
    <mergeCell ref="C269:C270"/>
    <mergeCell ref="C257:C258"/>
    <mergeCell ref="A251:A256"/>
    <mergeCell ref="B275:B279"/>
    <mergeCell ref="A267:A270"/>
    <mergeCell ref="B280:B284"/>
    <mergeCell ref="C262:C263"/>
    <mergeCell ref="C260:C261"/>
    <mergeCell ref="B295:B299"/>
    <mergeCell ref="C295:C296"/>
    <mergeCell ref="A290:A294"/>
    <mergeCell ref="A280:A284"/>
    <mergeCell ref="A285:A289"/>
    <mergeCell ref="B267:B270"/>
    <mergeCell ref="A275:A279"/>
    <mergeCell ref="B290:B294"/>
    <mergeCell ref="A271:A274"/>
    <mergeCell ref="C293:C294"/>
    <mergeCell ref="C290:C291"/>
    <mergeCell ref="A295:A299"/>
    <mergeCell ref="A300:A304"/>
    <mergeCell ref="B300:B304"/>
    <mergeCell ref="C362:C363"/>
    <mergeCell ref="C353:C354"/>
    <mergeCell ref="A331:A334"/>
    <mergeCell ref="B331:B334"/>
    <mergeCell ref="B353:B357"/>
    <mergeCell ref="A335:A339"/>
    <mergeCell ref="A340:A344"/>
    <mergeCell ref="B340:B344"/>
    <mergeCell ref="B310:B314"/>
    <mergeCell ref="C305:C306"/>
    <mergeCell ref="C308:C309"/>
    <mergeCell ref="C325:C326"/>
    <mergeCell ref="A327:A330"/>
    <mergeCell ref="A346:A352"/>
    <mergeCell ref="B327:B330"/>
    <mergeCell ref="C280:C281"/>
    <mergeCell ref="M300:M304"/>
    <mergeCell ref="B417:B419"/>
    <mergeCell ref="A359:A361"/>
    <mergeCell ref="A320:A322"/>
    <mergeCell ref="M385:M386"/>
    <mergeCell ref="M346:M352"/>
    <mergeCell ref="C318:C319"/>
    <mergeCell ref="L411:L412"/>
    <mergeCell ref="M397:M400"/>
    <mergeCell ref="M375:M379"/>
    <mergeCell ref="M364:M365"/>
    <mergeCell ref="M413:M414"/>
    <mergeCell ref="C350:C351"/>
    <mergeCell ref="C329:C330"/>
    <mergeCell ref="C356:C357"/>
    <mergeCell ref="A394:A396"/>
    <mergeCell ref="A364:A365"/>
    <mergeCell ref="B364:B365"/>
    <mergeCell ref="A362:A363"/>
    <mergeCell ref="B359:B361"/>
    <mergeCell ref="A353:A357"/>
    <mergeCell ref="A323:A326"/>
    <mergeCell ref="A315:A319"/>
    <mergeCell ref="B320:B322"/>
    <mergeCell ref="C366:C367"/>
    <mergeCell ref="B375:B379"/>
    <mergeCell ref="A305:A309"/>
    <mergeCell ref="B305:B309"/>
    <mergeCell ref="L327:L330"/>
    <mergeCell ref="A388:A393"/>
    <mergeCell ref="L394:L396"/>
    <mergeCell ref="B394:B396"/>
    <mergeCell ref="L305:L309"/>
    <mergeCell ref="C418:C419"/>
    <mergeCell ref="C404:C405"/>
    <mergeCell ref="B413:B414"/>
    <mergeCell ref="L408:L409"/>
    <mergeCell ref="L310:L314"/>
    <mergeCell ref="M305:M309"/>
    <mergeCell ref="M310:M314"/>
    <mergeCell ref="M362:M363"/>
    <mergeCell ref="M327:M330"/>
    <mergeCell ref="A369:A373"/>
    <mergeCell ref="B369:B373"/>
    <mergeCell ref="C369:C370"/>
    <mergeCell ref="L369:L373"/>
    <mergeCell ref="M369:M373"/>
    <mergeCell ref="A310:A314"/>
    <mergeCell ref="B335:B339"/>
    <mergeCell ref="C338:C339"/>
    <mergeCell ref="A375:A379"/>
    <mergeCell ref="A385:A386"/>
    <mergeCell ref="D404:D405"/>
    <mergeCell ref="M340:M344"/>
    <mergeCell ref="C343:C344"/>
    <mergeCell ref="M331:M334"/>
    <mergeCell ref="M402:M403"/>
    <mergeCell ref="L388:L393"/>
    <mergeCell ref="A415:A416"/>
    <mergeCell ref="B438:B440"/>
    <mergeCell ref="D426:D427"/>
    <mergeCell ref="A450:A454"/>
    <mergeCell ref="C451:C453"/>
    <mergeCell ref="B447:B448"/>
    <mergeCell ref="A423:A425"/>
    <mergeCell ref="A380:A383"/>
    <mergeCell ref="L402:L403"/>
    <mergeCell ref="A420:A422"/>
    <mergeCell ref="A445:A446"/>
    <mergeCell ref="C346:C348"/>
    <mergeCell ref="L426:L429"/>
    <mergeCell ref="L441:L443"/>
    <mergeCell ref="M394:M396"/>
    <mergeCell ref="L397:L400"/>
    <mergeCell ref="C399:C400"/>
    <mergeCell ref="C382:C383"/>
    <mergeCell ref="L380:L383"/>
    <mergeCell ref="L362:L363"/>
    <mergeCell ref="A426:A429"/>
    <mergeCell ref="M359:M361"/>
    <mergeCell ref="B423:B425"/>
    <mergeCell ref="L415:L416"/>
    <mergeCell ref="L366:L368"/>
    <mergeCell ref="M366:M368"/>
    <mergeCell ref="L404:L407"/>
    <mergeCell ref="L353:L357"/>
    <mergeCell ref="B445:B446"/>
    <mergeCell ref="M494:M500"/>
    <mergeCell ref="M404:M407"/>
    <mergeCell ref="M447:M448"/>
    <mergeCell ref="M438:M440"/>
    <mergeCell ref="L430:L432"/>
    <mergeCell ref="L438:L440"/>
    <mergeCell ref="M491:M493"/>
    <mergeCell ref="M441:M443"/>
    <mergeCell ref="M468:M474"/>
    <mergeCell ref="C479:C480"/>
    <mergeCell ref="M415:M416"/>
    <mergeCell ref="B455:B459"/>
    <mergeCell ref="A441:A443"/>
    <mergeCell ref="L455:L459"/>
    <mergeCell ref="C492:C493"/>
    <mergeCell ref="A491:A493"/>
    <mergeCell ref="M417:M419"/>
    <mergeCell ref="L481:L486"/>
    <mergeCell ref="B434:B435"/>
    <mergeCell ref="M434:M435"/>
    <mergeCell ref="L434:L435"/>
    <mergeCell ref="C495:C496"/>
    <mergeCell ref="L475:L480"/>
    <mergeCell ref="M475:M480"/>
    <mergeCell ref="L447:L448"/>
    <mergeCell ref="M450:M454"/>
    <mergeCell ref="M430:M432"/>
    <mergeCell ref="L551:L554"/>
    <mergeCell ref="L555:L557"/>
    <mergeCell ref="A481:A486"/>
    <mergeCell ref="B481:B486"/>
    <mergeCell ref="A460:A467"/>
    <mergeCell ref="B475:B480"/>
    <mergeCell ref="L506:L510"/>
    <mergeCell ref="B501:B505"/>
    <mergeCell ref="A455:A459"/>
    <mergeCell ref="B450:B454"/>
    <mergeCell ref="C468:C469"/>
    <mergeCell ref="A447:A448"/>
    <mergeCell ref="A397:A400"/>
    <mergeCell ref="A417:A419"/>
    <mergeCell ref="B415:B416"/>
    <mergeCell ref="A413:A414"/>
    <mergeCell ref="A411:A412"/>
    <mergeCell ref="B441:B443"/>
    <mergeCell ref="A544:A547"/>
    <mergeCell ref="L536:L538"/>
    <mergeCell ref="A533:A535"/>
    <mergeCell ref="L626:L632"/>
    <mergeCell ref="M654:M661"/>
    <mergeCell ref="B533:B535"/>
    <mergeCell ref="A536:A538"/>
    <mergeCell ref="B647:B649"/>
    <mergeCell ref="A438:A440"/>
    <mergeCell ref="B522:B524"/>
    <mergeCell ref="L571:L573"/>
    <mergeCell ref="B568:B570"/>
    <mergeCell ref="L574:L576"/>
    <mergeCell ref="L520:L521"/>
    <mergeCell ref="L445:L446"/>
    <mergeCell ref="C651:C652"/>
    <mergeCell ref="L544:L547"/>
    <mergeCell ref="C456:C458"/>
    <mergeCell ref="L533:L535"/>
    <mergeCell ref="C476:C477"/>
    <mergeCell ref="L584:L586"/>
    <mergeCell ref="C462:C466"/>
    <mergeCell ref="L527:L528"/>
    <mergeCell ref="L450:L454"/>
    <mergeCell ref="B626:B632"/>
    <mergeCell ref="B640:B642"/>
    <mergeCell ref="B516:B517"/>
    <mergeCell ref="B560:B563"/>
    <mergeCell ref="B506:B510"/>
    <mergeCell ref="B606:B607"/>
    <mergeCell ref="B618:B621"/>
    <mergeCell ref="B530:B532"/>
    <mergeCell ref="A488:A490"/>
    <mergeCell ref="A468:A474"/>
    <mergeCell ref="B571:B573"/>
    <mergeCell ref="A708:A713"/>
    <mergeCell ref="M759:M763"/>
    <mergeCell ref="B764:B768"/>
    <mergeCell ref="B685:B689"/>
    <mergeCell ref="A681:A684"/>
    <mergeCell ref="A764:A768"/>
    <mergeCell ref="C738:C739"/>
    <mergeCell ref="M520:M521"/>
    <mergeCell ref="M516:M517"/>
    <mergeCell ref="B551:B554"/>
    <mergeCell ref="A522:A524"/>
    <mergeCell ref="B633:B639"/>
    <mergeCell ref="C610:C614"/>
    <mergeCell ref="A601:A604"/>
    <mergeCell ref="B601:B604"/>
    <mergeCell ref="D619:D621"/>
    <mergeCell ref="C656:C657"/>
    <mergeCell ref="L721:L724"/>
    <mergeCell ref="L647:L649"/>
    <mergeCell ref="A622:A625"/>
    <mergeCell ref="A580:A583"/>
    <mergeCell ref="A589:A592"/>
    <mergeCell ref="B589:B592"/>
    <mergeCell ref="C627:C632"/>
    <mergeCell ref="B609:B614"/>
    <mergeCell ref="M558:M559"/>
    <mergeCell ref="A548:A550"/>
    <mergeCell ref="L650:L653"/>
    <mergeCell ref="B544:B547"/>
    <mergeCell ref="B555:B557"/>
    <mergeCell ref="C634:C639"/>
    <mergeCell ref="L644:L646"/>
    <mergeCell ref="C690:C691"/>
    <mergeCell ref="L654:L661"/>
    <mergeCell ref="L640:L642"/>
    <mergeCell ref="L690:L696"/>
    <mergeCell ref="C673:C674"/>
    <mergeCell ref="C688:C689"/>
    <mergeCell ref="C765:C768"/>
    <mergeCell ref="C659:C660"/>
    <mergeCell ref="C752:C757"/>
    <mergeCell ref="M769:M771"/>
    <mergeCell ref="B675:B680"/>
    <mergeCell ref="C774:C777"/>
    <mergeCell ref="B751:B757"/>
    <mergeCell ref="C692:C693"/>
    <mergeCell ref="L764:L768"/>
    <mergeCell ref="B772:B777"/>
    <mergeCell ref="M751:M757"/>
    <mergeCell ref="M764:M768"/>
    <mergeCell ref="C682:C683"/>
    <mergeCell ref="B668:B674"/>
    <mergeCell ref="C670:C671"/>
    <mergeCell ref="M690:M696"/>
    <mergeCell ref="M685:M689"/>
    <mergeCell ref="L675:L680"/>
    <mergeCell ref="B650:B653"/>
    <mergeCell ref="M640:M642"/>
    <mergeCell ref="C641:C642"/>
    <mergeCell ref="L697:L702"/>
    <mergeCell ref="M708:M713"/>
    <mergeCell ref="L726:L730"/>
    <mergeCell ref="L731:L735"/>
    <mergeCell ref="C727:C728"/>
    <mergeCell ref="M790:M793"/>
    <mergeCell ref="B731:B735"/>
    <mergeCell ref="B759:B763"/>
    <mergeCell ref="B736:B739"/>
    <mergeCell ref="C698:C699"/>
    <mergeCell ref="M811:M812"/>
    <mergeCell ref="B800:B803"/>
    <mergeCell ref="L800:L803"/>
    <mergeCell ref="B769:B771"/>
    <mergeCell ref="B708:B713"/>
    <mergeCell ref="L708:L713"/>
    <mergeCell ref="C734:C735"/>
    <mergeCell ref="C770:C771"/>
    <mergeCell ref="C760:C763"/>
    <mergeCell ref="C732:C733"/>
    <mergeCell ref="C701:C702"/>
    <mergeCell ref="L786:L789"/>
    <mergeCell ref="C712:C713"/>
    <mergeCell ref="M783:M785"/>
    <mergeCell ref="L736:L739"/>
    <mergeCell ref="M736:M739"/>
    <mergeCell ref="B726:B730"/>
    <mergeCell ref="C779:C782"/>
    <mergeCell ref="L811:L812"/>
    <mergeCell ref="B786:B789"/>
    <mergeCell ref="M786:M789"/>
    <mergeCell ref="M714:M718"/>
    <mergeCell ref="M800:M803"/>
    <mergeCell ref="A778:A782"/>
    <mergeCell ref="A891:A893"/>
    <mergeCell ref="L886:L887"/>
    <mergeCell ref="B891:B893"/>
    <mergeCell ref="C857:C858"/>
    <mergeCell ref="B714:B718"/>
    <mergeCell ref="L714:L718"/>
    <mergeCell ref="C715:C718"/>
    <mergeCell ref="A790:A793"/>
    <mergeCell ref="B790:B793"/>
    <mergeCell ref="L790:L793"/>
    <mergeCell ref="B811:B812"/>
    <mergeCell ref="C772:C773"/>
    <mergeCell ref="C786:C787"/>
    <mergeCell ref="A736:A739"/>
    <mergeCell ref="A859:A861"/>
    <mergeCell ref="L848:L852"/>
    <mergeCell ref="C848:C850"/>
    <mergeCell ref="D816:D817"/>
    <mergeCell ref="C818:C819"/>
    <mergeCell ref="C816:C817"/>
    <mergeCell ref="A841:A846"/>
    <mergeCell ref="L816:L821"/>
    <mergeCell ref="A884:A885"/>
    <mergeCell ref="B879:B880"/>
    <mergeCell ref="A886:A887"/>
    <mergeCell ref="B884:B885"/>
    <mergeCell ref="A811:A812"/>
    <mergeCell ref="A816:A821"/>
    <mergeCell ref="A751:A757"/>
    <mergeCell ref="B859:B861"/>
    <mergeCell ref="L856:L858"/>
    <mergeCell ref="B911:B913"/>
    <mergeCell ref="A906:A907"/>
    <mergeCell ref="M822:M823"/>
    <mergeCell ref="B897:B900"/>
    <mergeCell ref="B881:B883"/>
    <mergeCell ref="M856:M858"/>
    <mergeCell ref="B894:B896"/>
    <mergeCell ref="M848:M852"/>
    <mergeCell ref="A908:A909"/>
    <mergeCell ref="A853:A855"/>
    <mergeCell ref="A897:A900"/>
    <mergeCell ref="B865:B867"/>
    <mergeCell ref="L879:L880"/>
    <mergeCell ref="C851:C852"/>
    <mergeCell ref="B848:B852"/>
    <mergeCell ref="M841:M846"/>
    <mergeCell ref="M874:M877"/>
    <mergeCell ref="L881:L883"/>
    <mergeCell ref="C854:C855"/>
    <mergeCell ref="B841:B846"/>
    <mergeCell ref="M888:M890"/>
    <mergeCell ref="B886:B887"/>
    <mergeCell ref="L841:L846"/>
    <mergeCell ref="B853:B855"/>
    <mergeCell ref="C876:C877"/>
    <mergeCell ref="M862:M864"/>
    <mergeCell ref="L865:L867"/>
    <mergeCell ref="C860:C861"/>
    <mergeCell ref="L901:L905"/>
    <mergeCell ref="L911:L913"/>
    <mergeCell ref="M975:M977"/>
    <mergeCell ref="A954:A955"/>
    <mergeCell ref="L980:L981"/>
    <mergeCell ref="B1005:B1012"/>
    <mergeCell ref="M997:M1000"/>
    <mergeCell ref="B931:B933"/>
    <mergeCell ref="F949:F950"/>
    <mergeCell ref="L972:L973"/>
    <mergeCell ref="A960:A961"/>
    <mergeCell ref="A975:A977"/>
    <mergeCell ref="K949:K950"/>
    <mergeCell ref="M952:M953"/>
    <mergeCell ref="B934:B936"/>
    <mergeCell ref="L946:L947"/>
    <mergeCell ref="A956:A959"/>
    <mergeCell ref="B1001:B1004"/>
    <mergeCell ref="B956:B959"/>
    <mergeCell ref="C949:C950"/>
    <mergeCell ref="B954:B955"/>
    <mergeCell ref="B989:B992"/>
    <mergeCell ref="A980:A981"/>
    <mergeCell ref="B972:B973"/>
    <mergeCell ref="C984:C985"/>
    <mergeCell ref="L1001:L1004"/>
    <mergeCell ref="B984:B985"/>
    <mergeCell ref="C982:C983"/>
    <mergeCell ref="M984:M985"/>
    <mergeCell ref="L956:L959"/>
    <mergeCell ref="L938:L939"/>
    <mergeCell ref="A931:A933"/>
    <mergeCell ref="A940:A941"/>
    <mergeCell ref="B942:B943"/>
    <mergeCell ref="A942:A943"/>
    <mergeCell ref="B940:B941"/>
    <mergeCell ref="M954:M955"/>
    <mergeCell ref="B901:B905"/>
    <mergeCell ref="A934:A936"/>
    <mergeCell ref="M926:M929"/>
    <mergeCell ref="B908:B909"/>
    <mergeCell ref="M908:M909"/>
    <mergeCell ref="B946:B947"/>
    <mergeCell ref="B952:B953"/>
    <mergeCell ref="C923:C924"/>
    <mergeCell ref="M946:M947"/>
    <mergeCell ref="B949:B950"/>
    <mergeCell ref="M931:M933"/>
    <mergeCell ref="M940:M941"/>
    <mergeCell ref="C938:C939"/>
    <mergeCell ref="M934:M936"/>
    <mergeCell ref="L906:L907"/>
    <mergeCell ref="L944:L945"/>
    <mergeCell ref="C914:C915"/>
    <mergeCell ref="A911:A913"/>
    <mergeCell ref="L918:L921"/>
    <mergeCell ref="A918:A921"/>
    <mergeCell ref="A938:A939"/>
    <mergeCell ref="A944:A945"/>
    <mergeCell ref="M949:M950"/>
    <mergeCell ref="M906:M907"/>
    <mergeCell ref="A874:A877"/>
    <mergeCell ref="A862:A864"/>
    <mergeCell ref="A914:A917"/>
    <mergeCell ref="L891:L893"/>
    <mergeCell ref="M891:M893"/>
    <mergeCell ref="M897:M900"/>
    <mergeCell ref="M956:M959"/>
    <mergeCell ref="M993:M996"/>
    <mergeCell ref="C1015:C1017"/>
    <mergeCell ref="A1001:A1004"/>
    <mergeCell ref="A997:A1000"/>
    <mergeCell ref="B926:B929"/>
    <mergeCell ref="B938:B939"/>
    <mergeCell ref="M980:M981"/>
    <mergeCell ref="E949:E950"/>
    <mergeCell ref="M978:M979"/>
    <mergeCell ref="A963:A964"/>
    <mergeCell ref="B963:B964"/>
    <mergeCell ref="J949:J950"/>
    <mergeCell ref="L960:L961"/>
    <mergeCell ref="L963:L964"/>
    <mergeCell ref="M960:M961"/>
    <mergeCell ref="M942:M943"/>
    <mergeCell ref="M918:M921"/>
    <mergeCell ref="M922:M925"/>
    <mergeCell ref="B922:B925"/>
    <mergeCell ref="L934:L936"/>
    <mergeCell ref="M901:M905"/>
    <mergeCell ref="A922:A925"/>
    <mergeCell ref="A926:A929"/>
    <mergeCell ref="A949:A950"/>
    <mergeCell ref="M481:M486"/>
    <mergeCell ref="C482:C483"/>
    <mergeCell ref="C485:C486"/>
    <mergeCell ref="A740:A742"/>
    <mergeCell ref="B740:B742"/>
    <mergeCell ref="L740:L742"/>
    <mergeCell ref="M740:M742"/>
    <mergeCell ref="A597:A600"/>
    <mergeCell ref="B597:B600"/>
    <mergeCell ref="L597:L600"/>
    <mergeCell ref="M597:M600"/>
    <mergeCell ref="C741:C742"/>
    <mergeCell ref="C704:C707"/>
    <mergeCell ref="M1061:M1063"/>
    <mergeCell ref="A1029:A1030"/>
    <mergeCell ref="C746:C749"/>
    <mergeCell ref="A1031:A1032"/>
    <mergeCell ref="L1019:L1024"/>
    <mergeCell ref="C1022:C1023"/>
    <mergeCell ref="B1019:B1024"/>
    <mergeCell ref="L989:L992"/>
    <mergeCell ref="A1013:A1017"/>
    <mergeCell ref="M1031:M1032"/>
    <mergeCell ref="M1019:M1024"/>
    <mergeCell ref="M1035:M1037"/>
    <mergeCell ref="A993:A996"/>
    <mergeCell ref="B960:B961"/>
    <mergeCell ref="A952:A953"/>
    <mergeCell ref="A946:A947"/>
    <mergeCell ref="L954:L955"/>
    <mergeCell ref="L952:L953"/>
    <mergeCell ref="C1003:C1004"/>
    <mergeCell ref="A714:A718"/>
    <mergeCell ref="A685:A689"/>
    <mergeCell ref="D616:D617"/>
    <mergeCell ref="A644:A646"/>
    <mergeCell ref="L984:L985"/>
    <mergeCell ref="M1005:M1012"/>
    <mergeCell ref="L997:L1000"/>
    <mergeCell ref="C806:C807"/>
    <mergeCell ref="C709:C710"/>
    <mergeCell ref="A743:A749"/>
    <mergeCell ref="B743:B749"/>
    <mergeCell ref="L743:L749"/>
    <mergeCell ref="M743:M749"/>
    <mergeCell ref="C744:C745"/>
    <mergeCell ref="L1067:L1069"/>
    <mergeCell ref="M1067:M1069"/>
    <mergeCell ref="L978:L979"/>
    <mergeCell ref="B978:B979"/>
    <mergeCell ref="M1029:M1030"/>
    <mergeCell ref="C980:C981"/>
    <mergeCell ref="A1035:A1037"/>
    <mergeCell ref="L1035:L1037"/>
    <mergeCell ref="L982:L983"/>
    <mergeCell ref="B1029:B1030"/>
    <mergeCell ref="B982:B983"/>
    <mergeCell ref="C999:C1000"/>
    <mergeCell ref="C995:C996"/>
    <mergeCell ref="B993:B996"/>
    <mergeCell ref="L1005:L1012"/>
    <mergeCell ref="A1033:A1034"/>
    <mergeCell ref="M865:M867"/>
    <mergeCell ref="L908:L909"/>
  </mergeCells>
  <phoneticPr fontId="2"/>
  <pageMargins left="0.7" right="0.7" top="0.75" bottom="0.75" header="0.3" footer="0.3"/>
  <pageSetup paperSize="9" orientation="portrait" horizontalDpi="0" verticalDpi="0"/>
  <ignoredErrors>
    <ignoredError sqref="J359:J363 J811:J814 J1029:J1032 J101:J102 J989 J606:J607 J64:J69 J1155:J1157 J1174:J1175 J841:J846 J1135:J1136 J527:J533 J938:J941 J375:J383 J410:J422 J37:J59 J445:J448 J385:J396 J816:J823 J138:J153 J720:J724 J931:J936 J609:J639 J512:J524 J726 J966:J987 J488:J510 J991:J1012 J1159:J1164 J437:J443 J346:J357 J433 J1180:J1189 J111:J129 J874:J877 J825:J834 J1169:J1170 J1177:J1178 J848:J861 J869 J479:J480 J644:J696 J879:J907 J1034:J1060 J751:J777 J951:J961 J535:J586 J23:J27 J836:J839 J157:J183 J1019 J911:J929 J3 J8 J17:J19 J11:J14 J71:J72 J76:J77 J80:J92 J189:J326 J450:J477 J1078:J1107 J1124:J1131 J734:J735 J729:J7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04"/>
  <sheetViews>
    <sheetView zoomScaleNormal="100" zoomScalePageLayoutView="40" workbookViewId="0">
      <pane xSplit="5" ySplit="9" topLeftCell="F59" activePane="bottomRight" state="frozen"/>
      <selection pane="topRight" activeCell="F1" sqref="F1"/>
      <selection pane="bottomLeft" activeCell="A7" sqref="A7"/>
      <selection pane="bottomRight" activeCell="U2" sqref="U2"/>
    </sheetView>
  </sheetViews>
  <sheetFormatPr defaultRowHeight="15.6" outlineLevelCol="2" x14ac:dyDescent="0.35"/>
  <cols>
    <col min="1" max="1" width="7.59765625" style="1150" bestFit="1" customWidth="1"/>
    <col min="2" max="3" width="8" style="1151" bestFit="1" customWidth="1"/>
    <col min="4" max="4" width="6.796875" style="1151" hidden="1" customWidth="1" outlineLevel="2"/>
    <col min="5" max="5" width="7.296875" style="1151" hidden="1" customWidth="1" outlineLevel="2"/>
    <col min="6" max="6" width="7.5" style="1151" hidden="1" customWidth="1" outlineLevel="2"/>
    <col min="7" max="7" width="6.796875" style="1151" customWidth="1" outlineLevel="1" collapsed="1"/>
    <col min="8" max="8" width="6.796875" style="1151" customWidth="1" outlineLevel="1"/>
    <col min="9" max="9" width="7.5" style="1151" hidden="1" customWidth="1" outlineLevel="2"/>
    <col min="10" max="10" width="6.796875" style="1151" customWidth="1" outlineLevel="1" collapsed="1"/>
    <col min="11" max="11" width="7.296875" style="1151" hidden="1" customWidth="1" outlineLevel="2"/>
    <col min="12" max="12" width="7.5" style="1151" hidden="1" customWidth="1" outlineLevel="2"/>
    <col min="13" max="13" width="6.796875" style="1151" customWidth="1" outlineLevel="1" collapsed="1"/>
    <col min="14" max="14" width="6.796875" style="1151" customWidth="1" outlineLevel="1"/>
    <col min="15" max="15" width="7.5" style="1151" hidden="1" customWidth="1" outlineLevel="2"/>
    <col min="16" max="16" width="6.796875" style="1151" customWidth="1" outlineLevel="1" collapsed="1"/>
    <col min="17" max="17" width="6.796875" style="1151" customWidth="1" outlineLevel="1"/>
    <col min="18" max="18" width="5.59765625" style="1151" customWidth="1" outlineLevel="1"/>
    <col min="19" max="19" width="6.796875" style="1151" customWidth="1" outlineLevel="1"/>
    <col min="20" max="20" width="6.296875" style="1151" hidden="1" customWidth="1" outlineLevel="2"/>
    <col min="21" max="21" width="6.796875" style="1151" customWidth="1" outlineLevel="1" collapsed="1"/>
    <col min="22" max="22" width="6.796875" style="1151" customWidth="1" outlineLevel="1"/>
    <col min="23" max="23" width="6.296875" style="1151" customWidth="1" outlineLevel="1"/>
    <col min="24" max="26" width="6.796875" style="1151" customWidth="1" outlineLevel="1"/>
    <col min="27" max="27" width="5" style="1152" customWidth="1" outlineLevel="1"/>
    <col min="28" max="30" width="6.796875" style="1152" customWidth="1" outlineLevel="1"/>
    <col min="31" max="31" width="8.59765625" style="1152" customWidth="1" outlineLevel="1"/>
    <col min="32" max="32" width="6.796875" style="1152" customWidth="1" outlineLevel="1"/>
    <col min="33" max="35" width="8.59765625" style="1152" customWidth="1" outlineLevel="1"/>
    <col min="36" max="36" width="8" style="1151" bestFit="1" customWidth="1"/>
    <col min="37" max="37" width="7.296875" style="1151" hidden="1" customWidth="1" outlineLevel="1"/>
    <col min="38" max="39" width="7.5" style="1151" hidden="1" customWidth="1" outlineLevel="1"/>
    <col min="40" max="40" width="6.796875" style="1151" hidden="1" customWidth="1" outlineLevel="1"/>
    <col min="41" max="41" width="6.796875" style="1151" bestFit="1" customWidth="1" collapsed="1"/>
    <col min="42" max="42" width="6.796875" style="1151" bestFit="1" customWidth="1"/>
    <col min="43" max="43" width="5.5" style="1151" hidden="1" customWidth="1" outlineLevel="1"/>
    <col min="44" max="44" width="5.59765625" style="1151" hidden="1" customWidth="1" outlineLevel="1"/>
    <col min="45" max="45" width="6.796875" style="1151" bestFit="1" customWidth="1" collapsed="1"/>
    <col min="46" max="46" width="6.296875" style="1151" bestFit="1" customWidth="1"/>
    <col min="47" max="47" width="5.19921875" style="1151" hidden="1" customWidth="1" outlineLevel="1"/>
    <col min="48" max="48" width="6.796875" style="1151" bestFit="1" customWidth="1" collapsed="1"/>
    <col min="49" max="49" width="6.796875" style="1151" hidden="1" customWidth="1" outlineLevel="2"/>
    <col min="50" max="50" width="6.296875" style="1151" bestFit="1" customWidth="1" collapsed="1"/>
    <col min="51" max="54" width="6.796875" style="1151" bestFit="1" customWidth="1"/>
    <col min="55" max="55" width="5.19921875" style="1151" bestFit="1" customWidth="1"/>
    <col min="56" max="56" width="6.296875" style="1151" bestFit="1" customWidth="1"/>
    <col min="57" max="57" width="6.296875" style="1151" hidden="1" customWidth="1" outlineLevel="1"/>
    <col min="58" max="58" width="5" style="1151" bestFit="1" customWidth="1" collapsed="1"/>
    <col min="59" max="59" width="6.296875" style="1151" bestFit="1" customWidth="1"/>
    <col min="60" max="60" width="5" style="1151" bestFit="1" customWidth="1" collapsed="1"/>
    <col min="61" max="61" width="5.296875" style="164" bestFit="1" customWidth="1"/>
    <col min="62" max="16384" width="8.796875" style="164"/>
  </cols>
  <sheetData>
    <row r="1" spans="1:60" s="1164" customFormat="1" ht="16.2" x14ac:dyDescent="0.45">
      <c r="A1" s="1758" t="str">
        <f ca="1">CONCATENATE("截止",YEAR(TODAY()),"年",MONTH(TODAY()),"月",DAY(TODAY()),"日")</f>
        <v>截止2026年7月6日</v>
      </c>
      <c r="B1" s="1759"/>
      <c r="C1" s="1759"/>
      <c r="D1" s="1759"/>
      <c r="E1" s="1759"/>
      <c r="F1" s="1759"/>
      <c r="G1" s="1759"/>
      <c r="H1" s="1759"/>
      <c r="I1" s="1759"/>
      <c r="J1" s="1759"/>
      <c r="K1" s="1759"/>
      <c r="L1" s="1759"/>
      <c r="M1" s="1759"/>
      <c r="N1" s="1759"/>
      <c r="O1" s="1759"/>
      <c r="P1" s="1759"/>
      <c r="Q1" s="1759"/>
      <c r="R1" s="1759"/>
      <c r="S1" s="1759"/>
      <c r="T1" s="1759"/>
      <c r="U1" s="1759"/>
      <c r="V1" s="1759"/>
      <c r="W1" s="1759"/>
      <c r="X1" s="1759"/>
      <c r="Y1" s="1759"/>
      <c r="Z1" s="1759"/>
      <c r="AA1" s="1759"/>
      <c r="AB1" s="1759"/>
      <c r="AC1" s="1759"/>
      <c r="AD1" s="1759"/>
      <c r="AE1" s="1759"/>
      <c r="AF1" s="1759"/>
      <c r="AG1" s="1759"/>
      <c r="AH1" s="1759"/>
      <c r="AI1" s="1759"/>
      <c r="AJ1" s="1759"/>
      <c r="AK1" s="1759"/>
      <c r="AL1" s="1759"/>
      <c r="AM1" s="1759"/>
      <c r="AN1" s="1759"/>
      <c r="AO1" s="1759"/>
      <c r="AP1" s="1759"/>
      <c r="AQ1" s="1759"/>
      <c r="AR1" s="1759"/>
      <c r="AS1" s="1759"/>
      <c r="AT1" s="1759"/>
      <c r="AU1" s="1759"/>
      <c r="AV1" s="1759"/>
      <c r="AW1" s="1759"/>
      <c r="AX1" s="1759"/>
      <c r="AY1" s="1759"/>
      <c r="AZ1" s="1759"/>
      <c r="BA1" s="1759"/>
      <c r="BB1" s="1759"/>
      <c r="BC1" s="1759"/>
      <c r="BD1" s="1759"/>
      <c r="BE1" s="1759"/>
      <c r="BF1" s="1759"/>
      <c r="BG1" s="1759"/>
      <c r="BH1" s="1759"/>
    </row>
    <row r="2" spans="1:60" s="991" customFormat="1" x14ac:dyDescent="0.45">
      <c r="A2" s="1781" t="s">
        <v>2166</v>
      </c>
      <c r="B2" s="1781"/>
      <c r="C2" s="1781"/>
      <c r="D2" s="986"/>
      <c r="E2" s="986"/>
      <c r="F2" s="986"/>
      <c r="G2" s="583" t="str" cm="1">
        <f t="array" ref="G2">HYPERLINK("#发射时间预测!" &amp; ADDRESS(MAX(IF((发射时间预测!$A:$A=TRIM(CLEAN(G6)))*(发射时间预测!$B:$B="酒泉"), ROW(发射时间预测!$A:$A))), 1), "酒泉")</f>
        <v>酒泉</v>
      </c>
      <c r="H2" s="583" t="str" cm="1">
        <f t="array" ref="H2">HYPERLINK("#发射时间预测!" &amp; ADDRESS(MAX(IF((发射时间预测!$A:$A=TRIM(CLEAN(H6)))*(发射时间预测!$B:$B="酒泉"), ROW(发射时间预测!$A:$A))), 1), "酒泉")</f>
        <v>酒泉</v>
      </c>
      <c r="I2" s="987"/>
      <c r="J2" s="583" t="str" cm="1">
        <f t="array" ref="J2">HYPERLINK("#发射时间预测!" &amp; ADDRESS(MAX(IF((发射时间预测!$A:$A=TRIM(CLEAN(J6)))*(发射时间预测!$B:$B="酒泉"), ROW(发射时间预测!$A:$A))), 1), "酒泉")</f>
        <v>酒泉</v>
      </c>
      <c r="K2" s="1175"/>
      <c r="L2" s="1176"/>
      <c r="M2" s="574" t="str" cm="1">
        <f t="array" ref="M2">HYPERLINK("#发射时间预测!" &amp; ADDRESS(MAX(IF((发射时间预测!$A:$A=TRIM(CLEAN(M6)))*(发射时间预测!$B:$B="西昌"), ROW(发射时间预测!$A:$A))), 1), "西昌")</f>
        <v>西昌</v>
      </c>
      <c r="N2" s="487" t="str" cm="1">
        <f t="array" ref="N2">HYPERLINK("#发射时间预测!" &amp; ADDRESS(MAX(IF((发射时间预测!$A:$A=TRIM(CLEAN(N6)))*(发射时间预测!$B:$B="西昌"), ROW(发射时间预测!$A:$A))), 1), "西昌")</f>
        <v>西昌</v>
      </c>
      <c r="O2" s="988"/>
      <c r="P2" s="574" t="str" cm="1">
        <f t="array" ref="P2">HYPERLINK("#发射时间预测!" &amp; ADDRESS(MAX(IF((发射时间预测!$A:$A=TRIM(CLEAN(P6)))*(发射时间预测!$B:$B="酒泉"), ROW(发射时间预测!$A:$A))), 1), "酒泉")</f>
        <v>酒泉</v>
      </c>
      <c r="Q2" s="569" t="str" cm="1">
        <f t="array" ref="Q2">HYPERLINK("#发射时间预测!" &amp; ADDRESS(MAX(IF((发射时间预测!$A:$A=TRIM(CLEAN(Q6)))*(发射时间预测!$B:$B="酒泉"), ROW(发射时间预测!$A:$A))), 1), "酒泉")</f>
        <v>酒泉</v>
      </c>
      <c r="R2" s="574" t="str" cm="1">
        <f t="array" ref="R2">HYPERLINK("#发射时间预测!" &amp; ADDRESS(MAX(IF((发射时间预测!$A:$A=TRIM(CLEAN(R6)))*(发射时间预测!$B:$B="文昌"), ROW(发射时间预测!$A:$A))), 1), "文昌")</f>
        <v>文昌</v>
      </c>
      <c r="S2" s="569" t="str" cm="1">
        <f t="array" ref="S2">HYPERLINK("#发射时间预测!" &amp; ADDRESS(MAX(IF((发射时间预测!$A:$A=TRIM(CLEAN(S6)))*(发射时间预测!$B:$B="文昌"), ROW(发射时间预测!$A:$A))), 1), "文昌")</f>
        <v>文昌</v>
      </c>
      <c r="T2" s="1183" t="str" cm="1">
        <f t="array" ref="T2">HYPERLINK("#发射时间预测!" &amp; ADDRESS(MAX(IF((发射时间预测!$A:$A=TRIM(CLEAN(T6)))*(发射时间预测!$B:$B="太原"), ROW(发射时间预测!$A:$A))), 1), "太原")</f>
        <v>太原</v>
      </c>
      <c r="U2" s="487" t="str" cm="1">
        <f t="array" ref="U2">HYPERLINK("#发射时间预测!" &amp; ADDRESS(MAX(IF((发射时间预测!$A:$A=TRIM(CLEAN(U6)))*(发射时间预测!$B:$B="太原"), ROW(发射时间预测!$A:$A))), 1), "太原")</f>
        <v>太原</v>
      </c>
      <c r="V2" s="569" t="str" cm="1">
        <f t="array" ref="V2">HYPERLINK("#发射时间预测!" &amp; ADDRESS(MAX(IF((发射时间预测!$A:$A=TRIM(CLEAN(V6)))*(发射时间预测!$B:$B="太原"), ROW(发射时间预测!$A:$A))), 1), "太原")</f>
        <v>太原</v>
      </c>
      <c r="W2" s="574" t="str" cm="1">
        <f t="array" ref="W2">HYPERLINK("#发射时间预测!" &amp; ADDRESS(MAX(IF((发射时间预测!$A:$A=TRIM(CLEAN(W6)))*(发射时间预测!$B:$B="文昌"), ROW(发射时间预测!$A:$A))), 1), "文昌")</f>
        <v>文昌</v>
      </c>
      <c r="X2" s="569" t="str" cm="1">
        <f t="array" ref="X2">HYPERLINK("#发射时间预测!" &amp; ADDRESS(MAX(IF((发射时间预测!$A:$A=TRIM(CLEAN(X6)))*(发射时间预测!$B:$B="文昌"), ROW(发射时间预测!$A:$A))), 1), "文昌")</f>
        <v>文昌</v>
      </c>
      <c r="Y2" s="574" t="str" cm="1">
        <f t="array" ref="Y2">HYPERLINK("#发射时间预测!" &amp; ADDRESS(MAX(IF((发射时间预测!$A:$A=TRIM(CLEAN(Y6)))*(发射时间预测!$B:$B="文昌"), ROW(发射时间预测!$A:$A))), 1), "文昌")</f>
        <v>文昌</v>
      </c>
      <c r="Z2" s="569" t="str" cm="1">
        <f t="array" ref="Z2">HYPERLINK("#发射时间预测!" &amp; ADDRESS(MAX(IF((发射时间预测!$A:$A=TRIM(CLEAN(Z6)))*(发射时间预测!$B:$B="文昌"), ROW(发射时间预测!$A:$A))), 1), "文昌")</f>
        <v>文昌</v>
      </c>
      <c r="AA2" s="574" t="str" cm="1">
        <f t="array" ref="AA2">HYPERLINK("#发射时间预测!" &amp; ADDRESS(MAX(IF((发射时间预测!$A:$A=TRIM(CLEAN(AA$6)))*(发射时间预测!$B:$B="文昌"), ROW(发射时间预测!$A:$A))), 1), "文昌")</f>
        <v>文昌</v>
      </c>
      <c r="AB2" s="574" t="str" cm="1">
        <f t="array" ref="AB2">HYPERLINK("#发射时间预测!" &amp; ADDRESS(MAX(IF((发射时间预测!$A:$A=TRIM(CLEAN(AB$6)))*(发射时间预测!$B:$B="文昌"), ROW(发射时间预测!$A:$A))), 1), "文昌")</f>
        <v>文昌</v>
      </c>
      <c r="AC2" s="574" t="str" cm="1">
        <f t="array" ref="AC2">HYPERLINK("#发射时间预测!" &amp; ADDRESS(MAX(IF((发射时间预测!$A:$A=TRIM(CLEAN(AC$6)))*(发射时间预测!$B:$B="海南"), ROW(发射时间预测!$A:$A))), 1), "海南")</f>
        <v>海南</v>
      </c>
      <c r="AD2" s="574" t="str" cm="1">
        <f t="array" ref="AD2">HYPERLINK("#发射时间预测!" &amp; ADDRESS(MAX(IF((发射时间预测!$A:$A=TRIM(CLEAN(AD6)))*(发射时间预测!$B:$B="酒泉"), ROW(发射时间预测!$A:$A))), 1), "酒泉")</f>
        <v>酒泉</v>
      </c>
      <c r="AE2" s="569" t="str" cm="1">
        <f t="array" ref="AE2">HYPERLINK("#发射时间预测!" &amp; ADDRESS(MAX(IF((发射时间预测!$A:$A=TRIM(CLEAN(AE$6)))*(发射时间预测!$B:$B="黄海"), ROW(发射时间预测!$A:$A))), 1), "黄海")</f>
        <v>黄海</v>
      </c>
      <c r="AF2" s="574" t="str" cm="1">
        <f t="array" ref="AF2">HYPERLINK("#发射时间预测!" &amp; ADDRESS(MAX(IF((发射时间预测!A:A="长征十二号")*(发射时间预测!B:B="海南"), ROW(发射时间预测!A:A))), 1), "海南")</f>
        <v>海南</v>
      </c>
      <c r="AG2" s="487" t="str" cm="1">
        <f t="array" ref="AG2">HYPERLINK("#发射时间预测!" &amp; ADDRESS(MAX(IF((发射时间预测!$A:$A=TRIM(CLEAN(AG6)))*(发射时间预测!$B:$B="酒泉"), ROW(发射时间预测!$A:$A))), 1), "酒泉")</f>
        <v>酒泉</v>
      </c>
      <c r="AH2" s="487" t="str" cm="1">
        <f t="array" ref="AH2">HYPERLINK("#发射时间预测!" &amp; ADDRESS(MAX(IF((发射时间预测!$A:$A=TRIM(CLEAN(AH6)))*(发射时间预测!$B:$B="酒泉"), ROW(发射时间预测!$A:$A))), 1), "酒泉")</f>
        <v>酒泉</v>
      </c>
      <c r="AI2" s="569" t="str" cm="1">
        <f t="array" ref="AI2">HYPERLINK("#发射时间预测!" &amp; ADDRESS(MAX(IF((发射时间预测!$A:$A=TRIM(CLEAN(AI$6)))*(发射时间预测!$B:$B="黄海"), ROW(发射时间预测!$A:$A))), 1), "黄海")</f>
        <v>黄海</v>
      </c>
      <c r="AJ2" s="1778"/>
      <c r="AK2" s="989"/>
      <c r="AL2" s="989"/>
      <c r="AM2" s="988"/>
      <c r="AN2" s="989"/>
      <c r="AO2" s="487" t="str" cm="1">
        <f t="array" ref="AO2">HYPERLINK("#发射时间预测!" &amp; ADDRESS(MAX(IF((发射时间预测!$A:$A=TRIM(CLEAN(AO6)))*(发射时间预测!$B:$B="酒泉"), ROW(发射时间预测!$A:$A))), 1), "酒泉")</f>
        <v>酒泉</v>
      </c>
      <c r="AP2" s="569" t="str" cm="1">
        <f t="array" ref="AP2">HYPERLINK("#发射时间预测!" &amp; ADDRESS(MAX(IF((发射时间预测!$A:$A=TRIM(CLEAN(AP$6)))*(发射时间预测!$B:$B="酒泉"), ROW(发射时间预测!$A:$A))), 1), "酒泉")</f>
        <v>酒泉</v>
      </c>
      <c r="AQ2" s="990"/>
      <c r="AR2" s="574" t="str" cm="1">
        <f t="array" ref="AR2">HYPERLINK("#发射时间预测!" &amp; ADDRESS(MAX(IF((发射时间预测!A:A="朱雀二号")*(发射时间预测!B:B="酒泉"), ROW(发射时间预测!A:A))), 1), "酒泉")</f>
        <v>酒泉</v>
      </c>
      <c r="AS2" s="487" t="str" cm="1">
        <f t="array" ref="AS2">HYPERLINK("#发射时间预测!" &amp; ADDRESS(MAX(IF((发射时间预测!$A:$A=TRIM(CLEAN(AS6)))*(发射时间预测!$B:$B="酒泉"), ROW(发射时间预测!$A:$A))), 1), "酒泉")</f>
        <v>酒泉</v>
      </c>
      <c r="AT2" s="569" t="str" cm="1">
        <f t="array" ref="AT2">HYPERLINK("#发射时间预测!" &amp; ADDRESS(MAX(IF((发射时间预测!$A:$A=TRIM(CLEAN(AT6)))*(发射时间预测!$B:$B="酒泉"), ROW(发射时间预测!$A:$A))), 1), "酒泉")</f>
        <v>酒泉</v>
      </c>
      <c r="AU2" s="1171"/>
      <c r="AV2" s="569" t="str" cm="1">
        <f t="array" ref="AV2">HYPERLINK("#发射时间预测!" &amp; ADDRESS(MAX(IF((发射时间预测!$A:$A=TRIM(CLEAN(AV6)))*(发射时间预测!$B:$B="酒泉"), ROW(发射时间预测!$A:$A))), 1), "酒泉")</f>
        <v>酒泉</v>
      </c>
      <c r="AW2" s="1171"/>
      <c r="AX2" s="569" t="str" cm="1">
        <f t="array" ref="AX2">HYPERLINK("#发射时间预测!" &amp; ADDRESS(MAX(IF((发射时间预测!$A:$A=TRIM(CLEAN(AX$6)))*(发射时间预测!$B:$B="黄海"), ROW(发射时间预测!$A:$A))), 1), "黄海")</f>
        <v>黄海</v>
      </c>
      <c r="AY2" s="574" t="str" cm="1">
        <f t="array" ref="AY2">HYPERLINK("#发射时间预测!" &amp; ADDRESS(MAX(IF((发射时间预测!$A:$A=TRIM(CLEAN(AY6)))*(发射时间预测!$B:$B="酒泉"), ROW(发射时间预测!$A:$A))), 1), "酒泉")</f>
        <v>酒泉</v>
      </c>
      <c r="AZ2" s="487" t="str" cm="1">
        <f t="array" ref="AZ2">HYPERLINK("#发射时间预测!" &amp; ADDRESS(MAX(IF((发射时间预测!$A:$A=TRIM(CLEAN(AZ$6)))*(发射时间预测!$B:$B="黄海"), ROW(发射时间预测!$A:$A))), 1), "黄海")</f>
        <v>黄海</v>
      </c>
      <c r="BA2" s="487" t="str" cm="1">
        <f t="array" ref="BA2">HYPERLINK("#发射时间预测!" &amp; ADDRESS(MAX(IF((发射时间预测!$A:$A=TRIM(CLEAN(BA6)))*(发射时间预测!$B:$B="酒泉"), ROW(发射时间预测!$A:$A))), 1), "酒泉")</f>
        <v>酒泉</v>
      </c>
      <c r="BB2" s="487" t="str" cm="1">
        <f t="array" ref="BB2">HYPERLINK("#发射时间预测!" &amp; ADDRESS(MAX(IF((发射时间预测!$A:$A=TRIM(CLEAN(BB6)))*(发射时间预测!$B:$B="酒泉"), ROW(发射时间预测!$A:$A))), 1), "酒泉")</f>
        <v>酒泉</v>
      </c>
      <c r="BC2" s="574" t="str" cm="1">
        <f t="array" ref="BC2">HYPERLINK("#发射时间预测!" &amp; ADDRESS(MAX(IF((发射时间预测!$A:$A="力箭一号")*(发射时间预测!$B:$B="酒泉"), ROW(发射时间预测!$A:$A))), 1), "酒泉")</f>
        <v>酒泉</v>
      </c>
      <c r="BD2" s="569" t="str" cm="1">
        <f t="array" ref="BD2">HYPERLINK("#发射时间预测!" &amp; ADDRESS(MAX(IF((发射时间预测!$A:$A="力箭二号")*(发射时间预测!$B:$B="酒泉"), ROW(发射时间预测!$A:$A))), 1), "酒泉")</f>
        <v>酒泉</v>
      </c>
      <c r="BE2" s="574" t="str" cm="1">
        <f t="array" ref="BE2">HYPERLINK("#发射时间预测!" &amp; ADDRESS(MAX(IF((发射时间预测!$A:$A=TRIM(CLEAN(BE6)))*(发射时间预测!$B:$B="酒泉"), ROW(发射时间预测!$A:$A))), 1), "酒泉")</f>
        <v>酒泉</v>
      </c>
      <c r="BF2" s="569" t="str" cm="1">
        <f t="array" ref="BF2">HYPERLINK("#发射时间预测!" &amp; ADDRESS(MAX(IF((发射时间预测!$A:$A=TRIM(CLEAN(BF6)))*(发射时间预测!$B:$B="酒泉"), ROW(发射时间预测!$A:$A))), 1), "酒泉")</f>
        <v>酒泉</v>
      </c>
      <c r="BG2" s="574" t="str" cm="1">
        <f t="array" ref="BG2">HYPERLINK("#发射时间预测!" &amp; ADDRESS(MAX(IF((发射时间预测!$A:$A=TRIM(CLEAN(BG$6)))*(发射时间预测!$B:$B="黄海"), ROW(发射时间预测!$A:$A))), 1), "黄海")</f>
        <v>黄海</v>
      </c>
      <c r="BH2" s="702" t="str" cm="1">
        <f t="array" ref="BH2">HYPERLINK("#发射时间预测!" &amp; ADDRESS(MAX(IF((发射时间预测!$A:$A=TRIM(CLEAN(BH6)))*(发射时间预测!$B:$B="酒泉"), ROW(发射时间预测!$A:$A))), 1), "酒泉")</f>
        <v>酒泉</v>
      </c>
    </row>
    <row r="3" spans="1:60" s="991" customFormat="1" x14ac:dyDescent="0.45">
      <c r="A3" s="1782"/>
      <c r="B3" s="1782"/>
      <c r="C3" s="1782"/>
      <c r="D3" s="986"/>
      <c r="E3" s="986"/>
      <c r="F3" s="986"/>
      <c r="G3" s="585" t="str" cm="1">
        <f t="array" ref="G3">HYPERLINK("#发射时间预测!" &amp; ADDRESS(MAX(IF((发射时间预测!$A:$A=TRIM(CLEAN(G6)))*(发射时间预测!$B:$B="西昌"), ROW(发射时间预测!$A:$A))), 1), "西昌")</f>
        <v>西昌</v>
      </c>
      <c r="H3" s="585" t="str" cm="1">
        <f t="array" ref="H3">HYPERLINK("#发射时间预测!" &amp; ADDRESS(MAX(IF((发射时间预测!$A:$A=TRIM(CLEAN(H6)))*(发射时间预测!$B:$B="西昌"), ROW(发射时间预测!$A:$A))), 1), "西昌")</f>
        <v>西昌</v>
      </c>
      <c r="I3" s="992"/>
      <c r="J3" s="992"/>
      <c r="K3" s="1177"/>
      <c r="L3" s="1178"/>
      <c r="M3" s="575"/>
      <c r="N3" s="994"/>
      <c r="O3" s="993"/>
      <c r="P3" s="575" t="str" cm="1">
        <f t="array" ref="P3">HYPERLINK("#发射时间预测!" &amp; ADDRESS(MAX(IF((发射时间预测!$A:$A=TRIM(CLEAN(P6)))*(发射时间预测!$B:$B="西昌"), ROW(发射时间预测!$A:$A))), 1), "西昌")</f>
        <v>西昌</v>
      </c>
      <c r="Q3" s="576" t="str" cm="1">
        <f t="array" ref="Q3">HYPERLINK("#发射时间预测!" &amp; ADDRESS(MAX(IF((发射时间预测!$A:$A=TRIM(CLEAN(Q$6)))*(发射时间预测!$B:$B="西昌"), ROW(发射时间预测!$A:$A))), 1), "西昌")</f>
        <v>西昌</v>
      </c>
      <c r="R3" s="995"/>
      <c r="S3" s="996"/>
      <c r="T3" s="1184"/>
      <c r="U3" s="994"/>
      <c r="V3" s="996"/>
      <c r="W3" s="995"/>
      <c r="X3" s="996"/>
      <c r="Y3" s="575" t="str" cm="1">
        <f t="array" ref="Y3">HYPERLINK("#发射时间预测!" &amp; ADDRESS(MAX(IF((发射时间预测!$A:$A=TRIM(CLEAN(Y$6)))*(发射时间预测!$B:$B="海南"), ROW(发射时间预测!$A:$A))), 1), "海南")</f>
        <v>海南</v>
      </c>
      <c r="Z3" s="577" t="str" cm="1">
        <f t="array" ref="Z3">HYPERLINK("#发射时间预测!" &amp; ADDRESS(MAX(IF((发射时间预测!$A:$A=TRIM(CLEAN(Z$6)))*(发射时间预测!$B:$B="海南"), ROW(发射时间预测!$A:$A))), 1), "海南")</f>
        <v>海南</v>
      </c>
      <c r="AA3" s="575"/>
      <c r="AB3" s="575"/>
      <c r="AC3" s="575"/>
      <c r="AD3" s="575" t="str" cm="1">
        <f t="array" ref="AD3">HYPERLINK("#发射时间预测!" &amp; ADDRESS(MAX(IF((发射时间预测!$A:$A=TRIM(CLEAN(AD$6)))*(发射时间预测!$B:$B="西昌"), ROW(发射时间预测!$A:$A))), 1), "西昌")</f>
        <v>西昌</v>
      </c>
      <c r="AE3" s="577" t="str" cm="1">
        <f t="array" ref="AE3">HYPERLINK("#发射时间预测!" &amp; ADDRESS(MAX(IF((发射时间预测!$A:$A=TRIM(CLEAN(AE$6)))*(发射时间预测!$B:$B="东海"), ROW(发射时间预测!$A:$A))), 1), "东海")</f>
        <v>东海</v>
      </c>
      <c r="AF3" s="575"/>
      <c r="AG3" s="581"/>
      <c r="AH3" s="581"/>
      <c r="AI3" s="577"/>
      <c r="AJ3" s="1779"/>
      <c r="AK3" s="994"/>
      <c r="AL3" s="994"/>
      <c r="AM3" s="993"/>
      <c r="AN3" s="994"/>
      <c r="AO3" s="581" t="str" cm="1">
        <f t="array" ref="AO3">HYPERLINK("#发射时间预测!" &amp; ADDRESS(MAX(IF((发射时间预测!$A:$A=TRIM(CLEAN(AO6)))*(发射时间预测!$B:$B="西昌"), ROW(发射时间预测!$A:$A))), 1), "西昌")</f>
        <v>西昌</v>
      </c>
      <c r="AP3" s="577"/>
      <c r="AQ3" s="997"/>
      <c r="AR3" s="995"/>
      <c r="AS3" s="994"/>
      <c r="AT3" s="996"/>
      <c r="AU3" s="1172"/>
      <c r="AV3" s="996"/>
      <c r="AW3" s="1172"/>
      <c r="AX3" s="577" t="str" cm="1">
        <f t="array" ref="AX3">HYPERLINK("#发射时间预测!" &amp; ADDRESS(MAX(IF((发射时间预测!$A:$A=TRIM(CLEAN(AX$6)))*(发射时间预测!$B:$B="南海"), ROW(发射时间预测!$A:$A))), 1), "南海")</f>
        <v>南海</v>
      </c>
      <c r="AY3" s="995"/>
      <c r="AZ3" s="994"/>
      <c r="BA3" s="994"/>
      <c r="BB3" s="994"/>
      <c r="BC3" s="995"/>
      <c r="BD3" s="996"/>
      <c r="BE3" s="995"/>
      <c r="BF3" s="996"/>
      <c r="BG3" s="995"/>
      <c r="BH3" s="998"/>
    </row>
    <row r="4" spans="1:60" s="991" customFormat="1" x14ac:dyDescent="0.45">
      <c r="A4" s="1783"/>
      <c r="B4" s="1783"/>
      <c r="C4" s="1783"/>
      <c r="D4" s="986"/>
      <c r="E4" s="986"/>
      <c r="F4" s="986"/>
      <c r="G4" s="586" t="str" cm="1">
        <f t="array" ref="G4">HYPERLINK("#发射时间预测!" &amp; ADDRESS(MAX(IF((发射时间预测!$A:$A=TRIM(CLEAN(G$6)))*(发射时间预测!$B:$B="太原"), ROW(发射时间预测!$A:$A))), 1), "太原")</f>
        <v>太原</v>
      </c>
      <c r="H4" s="586" t="str" cm="1">
        <f t="array" ref="H4">HYPERLINK("#发射时间预测!" &amp; ADDRESS(MAX(IF((发射时间预测!$A:$A=TRIM(CLEAN(H$6)))*(发射时间预测!$B:$B="太原"), ROW(发射时间预测!$A:$A))), 1), "太原")</f>
        <v>太原</v>
      </c>
      <c r="I4" s="999"/>
      <c r="J4" s="999"/>
      <c r="K4" s="1179"/>
      <c r="L4" s="1180"/>
      <c r="M4" s="1001"/>
      <c r="N4" s="1002"/>
      <c r="O4" s="1000"/>
      <c r="P4" s="578" t="str" cm="1">
        <f t="array" ref="P4">HYPERLINK("#发射时间预测!" &amp; ADDRESS(MAX(IF((发射时间预测!$A:$A=TRIM(CLEAN(P$6)))*(发射时间预测!$B:$B="太原"), ROW(发射时间预测!$A:$A))), 1), "太原")</f>
        <v>太原</v>
      </c>
      <c r="Q4" s="579" t="str" cm="1">
        <f t="array" ref="Q4">HYPERLINK("#发射时间预测!" &amp; ADDRESS(MAX(IF((发射时间预测!$A:$A=TRIM(CLEAN(Q$6)))*(发射时间预测!$B:$B="太原"), ROW(发射时间预测!$A:$A))), 1), "太原")</f>
        <v>太原</v>
      </c>
      <c r="R4" s="1001"/>
      <c r="S4" s="1003"/>
      <c r="T4" s="1185"/>
      <c r="U4" s="582"/>
      <c r="V4" s="580"/>
      <c r="W4" s="578"/>
      <c r="X4" s="1003"/>
      <c r="Y4" s="1001"/>
      <c r="Z4" s="1003"/>
      <c r="AA4" s="1004"/>
      <c r="AB4" s="1004"/>
      <c r="AC4" s="1004"/>
      <c r="AD4" s="1004"/>
      <c r="AE4" s="580" t="str" cm="1">
        <f t="array" ref="AE4">HYPERLINK("#发射时间预测!" &amp; ADDRESS(MAX(IF((发射时间预测!$A:$A=TRIM(CLEAN(AE$6)))*(发射时间预测!$B:$B="南海"), ROW(发射时间预测!$A:$A))), 1), "南海")</f>
        <v>南海</v>
      </c>
      <c r="AF4" s="578"/>
      <c r="AG4" s="582"/>
      <c r="AH4" s="582"/>
      <c r="AI4" s="580"/>
      <c r="AJ4" s="1780"/>
      <c r="AK4" s="1002"/>
      <c r="AL4" s="1002"/>
      <c r="AM4" s="1000"/>
      <c r="AN4" s="1002"/>
      <c r="AO4" s="582" t="str" cm="1">
        <f t="array" ref="AO4">HYPERLINK("#发射时间预测!" &amp; ADDRESS(MAX(IF((发射时间预测!$A:$A=TRIM(CLEAN(AO$6)))*(发射时间预测!$B:$B="太原"), ROW(发射时间预测!$A:$A))), 1), "太原")</f>
        <v>太原</v>
      </c>
      <c r="AP4" s="1003"/>
      <c r="AQ4" s="1005"/>
      <c r="AR4" s="1001"/>
      <c r="AS4" s="1002"/>
      <c r="AT4" s="1003"/>
      <c r="AU4" s="1173"/>
      <c r="AV4" s="1003"/>
      <c r="AW4" s="1173"/>
      <c r="AX4" s="1000"/>
      <c r="AY4" s="1001"/>
      <c r="AZ4" s="1002"/>
      <c r="BA4" s="1002"/>
      <c r="BB4" s="1002"/>
      <c r="BC4" s="1001"/>
      <c r="BD4" s="1003"/>
      <c r="BE4" s="1001"/>
      <c r="BF4" s="1003"/>
      <c r="BG4" s="1001"/>
      <c r="BH4" s="1006"/>
    </row>
    <row r="5" spans="1:60" s="1164" customFormat="1" ht="18.75" customHeight="1" x14ac:dyDescent="0.45">
      <c r="A5" s="1760" t="s">
        <v>810</v>
      </c>
      <c r="B5" s="1762" t="s">
        <v>811</v>
      </c>
      <c r="C5" s="1784" t="s">
        <v>812</v>
      </c>
      <c r="D5" s="1007"/>
      <c r="E5" s="1794"/>
      <c r="F5" s="1795"/>
      <c r="G5" s="1008">
        <f>G9</f>
        <v>87</v>
      </c>
      <c r="H5" s="1008">
        <f>H9</f>
        <v>105</v>
      </c>
      <c r="I5" s="1008"/>
      <c r="J5" s="1008">
        <f>J9</f>
        <v>29</v>
      </c>
      <c r="K5" s="1764"/>
      <c r="L5" s="1765"/>
      <c r="M5" s="1766">
        <f>SUM(L9:N9)</f>
        <v>163</v>
      </c>
      <c r="N5" s="1797"/>
      <c r="O5" s="1009"/>
      <c r="P5" s="1766">
        <f>SUM(O9:Q9)</f>
        <v>118</v>
      </c>
      <c r="Q5" s="1767"/>
      <c r="R5" s="1768">
        <f>SUM(R9:S9)</f>
        <v>18</v>
      </c>
      <c r="S5" s="1769"/>
      <c r="T5" s="1768">
        <f>SUM(T9:V9)</f>
        <v>41</v>
      </c>
      <c r="U5" s="1773"/>
      <c r="V5" s="1769"/>
      <c r="W5" s="1768">
        <f>SUM(W9:X9)</f>
        <v>27</v>
      </c>
      <c r="X5" s="1769"/>
      <c r="Y5" s="1766">
        <f>Y9+Z9</f>
        <v>16</v>
      </c>
      <c r="Z5" s="1767"/>
      <c r="AA5" s="1786">
        <f>SUM(AA9:AC9)</f>
        <v>0</v>
      </c>
      <c r="AB5" s="1787"/>
      <c r="AC5" s="1788"/>
      <c r="AD5" s="1766">
        <f>SUM(AD9:AE9)</f>
        <v>18</v>
      </c>
      <c r="AE5" s="1767"/>
      <c r="AF5" s="1786">
        <f>SUM(AF9:AI9)</f>
        <v>8</v>
      </c>
      <c r="AG5" s="1787"/>
      <c r="AH5" s="1787"/>
      <c r="AI5" s="1788"/>
      <c r="AJ5" s="1776" t="s">
        <v>816</v>
      </c>
      <c r="AK5" s="1010"/>
      <c r="AL5" s="1774">
        <f>AL9+AM9</f>
        <v>4</v>
      </c>
      <c r="AM5" s="1775"/>
      <c r="AN5" s="1770"/>
      <c r="AO5" s="1770"/>
      <c r="AP5" s="1771"/>
      <c r="AQ5" s="1011"/>
      <c r="AR5" s="1796">
        <f ca="1">SUM(AQ9:AT9)</f>
        <v>10</v>
      </c>
      <c r="AS5" s="1770"/>
      <c r="AT5" s="1771"/>
      <c r="AU5" s="1011"/>
      <c r="AV5" s="1169">
        <f ca="1">AV9</f>
        <v>8</v>
      </c>
      <c r="AW5" s="1772">
        <f ca="1">AW9+AX9</f>
        <v>12</v>
      </c>
      <c r="AX5" s="1772"/>
      <c r="AY5" s="1789">
        <f ca="1">SUM(AY9:BB9)</f>
        <v>24</v>
      </c>
      <c r="AZ5" s="1790"/>
      <c r="BA5" s="1790"/>
      <c r="BB5" s="1791"/>
      <c r="BC5" s="1792">
        <f ca="1">BC9+BD9</f>
        <v>15</v>
      </c>
      <c r="BD5" s="1793"/>
      <c r="BE5" s="1792">
        <f ca="1">BE9+BF9</f>
        <v>2</v>
      </c>
      <c r="BF5" s="1793"/>
      <c r="BG5" s="1012">
        <f ca="1">BG9</f>
        <v>2</v>
      </c>
      <c r="BH5" s="1169">
        <f ca="1">BH9</f>
        <v>0</v>
      </c>
    </row>
    <row r="6" spans="1:60" s="1164" customFormat="1" ht="32.4" x14ac:dyDescent="0.45">
      <c r="A6" s="1761"/>
      <c r="B6" s="1763"/>
      <c r="C6" s="1785"/>
      <c r="D6" s="1013" t="s">
        <v>813</v>
      </c>
      <c r="E6" s="1014" t="s">
        <v>814</v>
      </c>
      <c r="F6" s="1015" t="s">
        <v>1588</v>
      </c>
      <c r="G6" s="1016" t="str">
        <f>HYPERLINK("..\htmls\长征二号丙运载火箭发射历史.html","长征"&amp;CHAR(10)&amp;"二号丙")</f>
        <v>长征
二号丙</v>
      </c>
      <c r="H6" s="1017" t="str">
        <f>HYPERLINK("..\htmls\长征二号丁运载火箭发射历史.html","长征"&amp;CHAR(10)&amp;"二号丁")</f>
        <v>长征
二号丁</v>
      </c>
      <c r="I6" s="1018" t="s">
        <v>1589</v>
      </c>
      <c r="J6" s="1016" t="s">
        <v>1990</v>
      </c>
      <c r="K6" s="1181" t="s">
        <v>815</v>
      </c>
      <c r="L6" s="1182" t="s">
        <v>1590</v>
      </c>
      <c r="M6" s="1020" t="s">
        <v>1991</v>
      </c>
      <c r="N6" s="488" t="s">
        <v>1591</v>
      </c>
      <c r="O6" s="1019" t="s">
        <v>1592</v>
      </c>
      <c r="P6" s="1020" t="s">
        <v>1593</v>
      </c>
      <c r="Q6" s="984" t="s">
        <v>1992</v>
      </c>
      <c r="R6" s="1020" t="s">
        <v>2153</v>
      </c>
      <c r="S6" s="984" t="s">
        <v>1594</v>
      </c>
      <c r="T6" s="1186" t="s">
        <v>2154</v>
      </c>
      <c r="U6" s="488" t="s">
        <v>1993</v>
      </c>
      <c r="V6" s="984" t="s">
        <v>1994</v>
      </c>
      <c r="W6" s="1020" t="s">
        <v>2155</v>
      </c>
      <c r="X6" s="984" t="s">
        <v>2033</v>
      </c>
      <c r="Y6" s="1021" t="s">
        <v>2156</v>
      </c>
      <c r="Z6" s="1022" t="s">
        <v>2556</v>
      </c>
      <c r="AA6" s="1020" t="s">
        <v>3543</v>
      </c>
      <c r="AB6" s="488" t="s">
        <v>3542</v>
      </c>
      <c r="AC6" s="984" t="s">
        <v>3490</v>
      </c>
      <c r="AD6" s="1020" t="s">
        <v>2157</v>
      </c>
      <c r="AE6" s="984" t="s">
        <v>1595</v>
      </c>
      <c r="AF6" s="1020" t="s">
        <v>2439</v>
      </c>
      <c r="AG6" s="488" t="s">
        <v>3206</v>
      </c>
      <c r="AH6" s="488" t="s">
        <v>3544</v>
      </c>
      <c r="AI6" s="984" t="s">
        <v>3545</v>
      </c>
      <c r="AJ6" s="1777"/>
      <c r="AK6" s="1023" t="s">
        <v>817</v>
      </c>
      <c r="AL6" s="1024" t="s">
        <v>818</v>
      </c>
      <c r="AM6" s="1015" t="s">
        <v>819</v>
      </c>
      <c r="AN6" s="1024" t="s">
        <v>820</v>
      </c>
      <c r="AO6" s="488" t="s">
        <v>1200</v>
      </c>
      <c r="AP6" s="984" t="s">
        <v>2158</v>
      </c>
      <c r="AQ6" s="1025" t="s">
        <v>821</v>
      </c>
      <c r="AR6" s="1020" t="s">
        <v>2159</v>
      </c>
      <c r="AS6" s="488" t="s">
        <v>2444</v>
      </c>
      <c r="AT6" s="984" t="s">
        <v>3199</v>
      </c>
      <c r="AU6" s="1026" t="s">
        <v>493</v>
      </c>
      <c r="AV6" s="984" t="s">
        <v>2162</v>
      </c>
      <c r="AW6" s="1026" t="s">
        <v>822</v>
      </c>
      <c r="AX6" s="1022" t="s">
        <v>2163</v>
      </c>
      <c r="AY6" s="1020" t="s">
        <v>2160</v>
      </c>
      <c r="AZ6" s="488" t="s">
        <v>1199</v>
      </c>
      <c r="BA6" s="488" t="s">
        <v>3290</v>
      </c>
      <c r="BB6" s="488" t="s">
        <v>3498</v>
      </c>
      <c r="BC6" s="1020" t="s">
        <v>2161</v>
      </c>
      <c r="BD6" s="984" t="s">
        <v>3457</v>
      </c>
      <c r="BE6" s="1020" t="s">
        <v>2164</v>
      </c>
      <c r="BF6" s="984" t="s">
        <v>3227</v>
      </c>
      <c r="BG6" s="1021" t="s">
        <v>1596</v>
      </c>
      <c r="BH6" s="985" t="s">
        <v>3428</v>
      </c>
    </row>
    <row r="7" spans="1:60" ht="19.5" customHeight="1" thickBot="1" x14ac:dyDescent="0.5">
      <c r="A7" s="1027" t="s">
        <v>823</v>
      </c>
      <c r="B7" s="1028">
        <f ca="1">IF(B9&gt;0,B8/B9,"-")</f>
        <v>0.94615384615384612</v>
      </c>
      <c r="C7" s="1029">
        <f>IF(C9&gt;0,C8/C9,"-")</f>
        <v>0.97103658536585369</v>
      </c>
      <c r="D7" s="1030">
        <f t="shared" ref="D7:J7" si="0">D8/D9</f>
        <v>1</v>
      </c>
      <c r="E7" s="1031">
        <f t="shared" si="0"/>
        <v>0</v>
      </c>
      <c r="F7" s="1032">
        <f t="shared" si="0"/>
        <v>1</v>
      </c>
      <c r="G7" s="1033">
        <f t="shared" si="0"/>
        <v>0.97701149425287359</v>
      </c>
      <c r="H7" s="1033">
        <f t="shared" si="0"/>
        <v>0.99047619047619051</v>
      </c>
      <c r="I7" s="1034">
        <f t="shared" si="0"/>
        <v>0.7142857142857143</v>
      </c>
      <c r="J7" s="1035">
        <f t="shared" si="0"/>
        <v>1</v>
      </c>
      <c r="K7" s="1034">
        <f t="shared" ref="K7:AJ7" si="1">IF(K9&gt;0,K8/K9,"-")</f>
        <v>0.76923076923076927</v>
      </c>
      <c r="L7" s="1036">
        <f t="shared" si="1"/>
        <v>1</v>
      </c>
      <c r="M7" s="1033">
        <f t="shared" si="1"/>
        <v>0.9568965517241379</v>
      </c>
      <c r="N7" s="1033">
        <f t="shared" si="1"/>
        <v>1</v>
      </c>
      <c r="O7" s="1037">
        <f t="shared" si="1"/>
        <v>1</v>
      </c>
      <c r="P7" s="1038">
        <f t="shared" si="1"/>
        <v>0.98245614035087714</v>
      </c>
      <c r="Q7" s="1039">
        <f t="shared" si="1"/>
        <v>0.96610169491525422</v>
      </c>
      <c r="R7" s="1038">
        <f t="shared" si="1"/>
        <v>0.90909090909090906</v>
      </c>
      <c r="S7" s="1040">
        <f t="shared" si="1"/>
        <v>1</v>
      </c>
      <c r="T7" s="1187">
        <f t="shared" si="1"/>
        <v>1</v>
      </c>
      <c r="U7" s="1035">
        <f t="shared" si="1"/>
        <v>1</v>
      </c>
      <c r="V7" s="1040">
        <f>IF(V9&gt;0,V8/V9,"-")</f>
        <v>1</v>
      </c>
      <c r="W7" s="1042">
        <f t="shared" si="1"/>
        <v>1</v>
      </c>
      <c r="X7" s="1039">
        <f t="shared" si="1"/>
        <v>0.9375</v>
      </c>
      <c r="Y7" s="1043">
        <f t="shared" si="1"/>
        <v>1</v>
      </c>
      <c r="Z7" s="1044">
        <f>IF(Z9&gt;0,Z8/Z9,"-")</f>
        <v>1</v>
      </c>
      <c r="AA7" s="1041" t="str">
        <f t="shared" ref="AA7" si="2">IF(AA9&gt;0,AA8/AA9,"-")</f>
        <v>-</v>
      </c>
      <c r="AB7" s="1035" t="str">
        <f t="shared" ref="AB7:AC7" si="3">IF(AB9&gt;0,AB8/AB9,"-")</f>
        <v>-</v>
      </c>
      <c r="AC7" s="1040" t="str">
        <f t="shared" si="3"/>
        <v>-</v>
      </c>
      <c r="AD7" s="1041">
        <f t="shared" si="1"/>
        <v>1</v>
      </c>
      <c r="AE7" s="1040">
        <f t="shared" si="1"/>
        <v>1</v>
      </c>
      <c r="AF7" s="1041">
        <f>IF(AF9&gt;0,AF8/AF9,"-")</f>
        <v>1</v>
      </c>
      <c r="AG7" s="1035">
        <f>IF(AG9&gt;0,AG8/AG9,"-")</f>
        <v>1</v>
      </c>
      <c r="AH7" s="1035">
        <f>IF(AH9&gt;0,AH8/AH9,"-")</f>
        <v>1</v>
      </c>
      <c r="AI7" s="1040" t="str">
        <f t="shared" ref="AI7" si="4">IF(AI9&gt;0,AI8/AI9,"-")</f>
        <v>-</v>
      </c>
      <c r="AJ7" s="1045">
        <f t="shared" ca="1" si="1"/>
        <v>0.81451612903225812</v>
      </c>
      <c r="AK7" s="1046">
        <v>0.5</v>
      </c>
      <c r="AL7" s="1047">
        <v>0</v>
      </c>
      <c r="AM7" s="1048">
        <v>1</v>
      </c>
      <c r="AN7" s="1049">
        <v>1</v>
      </c>
      <c r="AO7" s="1050">
        <f t="shared" ref="AO7:BG7" ca="1" si="5">IF(AO9&gt;0,AO8/AO9,"-")</f>
        <v>0.93333333333333335</v>
      </c>
      <c r="AP7" s="1051">
        <f t="shared" ca="1" si="5"/>
        <v>0.83333333333333337</v>
      </c>
      <c r="AQ7" s="1052">
        <f t="shared" ca="1" si="5"/>
        <v>0</v>
      </c>
      <c r="AR7" s="1053">
        <f ca="1">IF(AR9&gt;0,AR8/AR9,"-")</f>
        <v>0.66666666666666663</v>
      </c>
      <c r="AS7" s="1054">
        <f t="shared" ref="AS7" ca="1" si="6">IF(AS9&gt;0,AS8/AS9,"-")</f>
        <v>0.8</v>
      </c>
      <c r="AT7" s="1051">
        <f t="shared" ca="1" si="5"/>
        <v>1</v>
      </c>
      <c r="AU7" s="1055">
        <f t="shared" ca="1" si="5"/>
        <v>0</v>
      </c>
      <c r="AV7" s="1050">
        <f t="shared" ca="1" si="5"/>
        <v>0.5</v>
      </c>
      <c r="AW7" s="1049">
        <f t="shared" ca="1" si="5"/>
        <v>1</v>
      </c>
      <c r="AX7" s="1056">
        <f t="shared" ca="1" si="5"/>
        <v>1</v>
      </c>
      <c r="AY7" s="1057">
        <f t="shared" ca="1" si="5"/>
        <v>0.88235294117647056</v>
      </c>
      <c r="AZ7" s="1058">
        <f t="shared" ca="1" si="5"/>
        <v>1</v>
      </c>
      <c r="BA7" s="1050">
        <f t="shared" ref="BA7:BB7" ca="1" si="7">IF(BA9&gt;0,BA8/BA9,"-")</f>
        <v>0</v>
      </c>
      <c r="BB7" s="1050" t="str">
        <f t="shared" ca="1" si="7"/>
        <v>-</v>
      </c>
      <c r="BC7" s="1059">
        <f t="shared" ca="1" si="5"/>
        <v>0.9285714285714286</v>
      </c>
      <c r="BD7" s="1059">
        <f t="shared" ref="BD7" ca="1" si="8">IF(BD9&gt;0,BD8/BD9,"-")</f>
        <v>1</v>
      </c>
      <c r="BE7" s="1036">
        <f t="shared" ca="1" si="5"/>
        <v>1</v>
      </c>
      <c r="BF7" s="1058">
        <f t="shared" ref="BF7:BH7" ca="1" si="9">IF(BF9&gt;0,BF8/BF9,"-")</f>
        <v>0</v>
      </c>
      <c r="BG7" s="1060">
        <f t="shared" ca="1" si="5"/>
        <v>1</v>
      </c>
      <c r="BH7" s="1060" t="str">
        <f t="shared" ca="1" si="9"/>
        <v>-</v>
      </c>
    </row>
    <row r="8" spans="1:60" ht="16.2" x14ac:dyDescent="0.45">
      <c r="A8" s="1008" t="s">
        <v>824</v>
      </c>
      <c r="B8" s="1170">
        <f ca="1">C8+AJ8</f>
        <v>738</v>
      </c>
      <c r="C8" s="1061">
        <f>SUM(D8:AH8)</f>
        <v>637</v>
      </c>
      <c r="D8" s="1023">
        <f>COUNTIFS(发射纪录!$B:$B,"&lt;&gt;-",发射纪录!$N:$N,"=成功",发射纪录!$D:$D,"="&amp;CLEAN(火箭年間統計!D$6))</f>
        <v>2</v>
      </c>
      <c r="E8" s="1024">
        <f>COUNTIFS(发射纪录!$B:$B,"&lt;&gt;-",发射纪录!$N:$N,"=成功",发射纪录!$D:$D,"="&amp;CLEAN(火箭年間統計!E$6))</f>
        <v>0</v>
      </c>
      <c r="F8" s="1024">
        <f>COUNTIFS(发射纪录!$B:$B,"&lt;&gt;-",发射纪录!$N:$N,"=成功",发射纪录!$D:$D,"="&amp;CLEAN(火箭年間統計!F$6))</f>
        <v>3</v>
      </c>
      <c r="G8" s="1062">
        <f>COUNTIFS(发射纪录!$B:$B,"&lt;&gt;-",发射纪录!$N:$N,"=成功",发射纪录!$D:$D,"="&amp;CLEAN(G$6))</f>
        <v>85</v>
      </c>
      <c r="H8" s="1062">
        <f>COUNTIFS(发射纪录!$B:$B,"&lt;&gt;-",发射纪录!$N:$N,"=成功",发射纪录!$D:$D,"="&amp;CLEAN(H$6))</f>
        <v>104</v>
      </c>
      <c r="I8" s="1063">
        <f>COUNTIFS(发射纪录!$B:$B,"&lt;&gt;-",发射纪录!$N:$N,"=成功",发射纪录!$D:$D,"="&amp;CLEAN(I$6))</f>
        <v>5</v>
      </c>
      <c r="J8" s="1062">
        <f>COUNTIFS(发射纪录!$B:$B,"&lt;&gt;-",发射纪录!$N:$N,"=成功",发射纪录!$D:$D,"="&amp;CLEAN(J$6))</f>
        <v>29</v>
      </c>
      <c r="K8" s="1063">
        <f>COUNTIFS(发射纪录!$B:$B,"&lt;&gt;-",发射纪录!$N:$N,"=成功",发射纪录!$D:$D,"="&amp;CLEAN(K$6))</f>
        <v>10</v>
      </c>
      <c r="L8" s="1063">
        <f>COUNTIFS(发射纪录!$B:$B,"&lt;&gt;-",发射纪录!$N:$N,"=成功",发射纪录!$D:$D,"="&amp;CLEAN(L$6))</f>
        <v>27</v>
      </c>
      <c r="M8" s="1062">
        <f>COUNTIFS(发射纪录!$B:$B,"&lt;&gt;-",发射纪录!$N:$N,"=成功",发射纪录!$D:$D,"="&amp;CLEAN(M$6))</f>
        <v>111</v>
      </c>
      <c r="N8" s="1062">
        <f>COUNTIFS(发射纪录!$B:$B,"&lt;&gt;-",发射纪录!$N:$N,"=成功",发射纪录!$D:$D,"="&amp;CLEAN(N$6))</f>
        <v>20</v>
      </c>
      <c r="O8" s="1063">
        <f>COUNTIFS(发射纪录!$B:$B,"&lt;&gt;-",发射纪录!$N:$N,"=成功",发射纪录!$D:$D,"="&amp;CLEAN(O$6))</f>
        <v>2</v>
      </c>
      <c r="P8" s="1062">
        <f>COUNTIFS(发射纪录!$B:$B,"&lt;&gt;-",发射纪录!$N:$N,"=成功",发射纪录!$D:$D,"="&amp;CLEAN(P$6))</f>
        <v>56</v>
      </c>
      <c r="Q8" s="1062">
        <f>COUNTIFS(发射纪录!$B:$B,"&lt;&gt;-",发射纪录!$N:$N,"=成功",发射纪录!$D:$D,"="&amp;CLEAN(Q$6))</f>
        <v>57</v>
      </c>
      <c r="R8" s="1062">
        <f>COUNTIFS(发射纪录!$B:$B,"&lt;&gt;-",发射纪录!$N:$N,"=成功",发射纪录!$D:$D,"="&amp;CLEAN(R$6))</f>
        <v>10</v>
      </c>
      <c r="S8" s="1062">
        <f>COUNTIFS(发射纪录!$B:$B,"&lt;&gt;-",发射纪录!$N:$N,"=成功",发射纪录!$D:$D,"="&amp;CLEAN(S$6))</f>
        <v>7</v>
      </c>
      <c r="T8" s="1063">
        <f>COUNTIFS(发射纪录!$B:$B,"&lt;&gt;-",发射纪录!$N:$N,"=成功",发射纪录!$D:$D,"="&amp;CLEAN(T$6))</f>
        <v>15</v>
      </c>
      <c r="U8" s="1062">
        <f>COUNTIFS(发射纪录!$B:$B,"&lt;&gt;-",发射纪录!$N:$N,"=成功",发射纪录!$D:$D,"="&amp;CLEAN(U$6))</f>
        <v>25</v>
      </c>
      <c r="V8" s="1062">
        <f>COUNTIFS(发射纪录!$B:$B,"&lt;&gt;-",发射纪录!$N:$N,"=成功",发射纪录!$D:$D,"="&amp;CLEAN(V$6))</f>
        <v>1</v>
      </c>
      <c r="W8" s="1064">
        <f>COUNTIFS(发射纪录!$B:$B,"&lt;&gt;-",发射纪录!$N:$N,"=成功",发射纪录!$D:$D,"="&amp;CLEAN(W$6))</f>
        <v>11</v>
      </c>
      <c r="X8" s="1062">
        <f>COUNTIFS(发射纪录!$B:$B,"&lt;&gt;-",发射纪录!$N:$N,"=成功",发射纪录!$D:$D,"="&amp;CLEAN(X$6))</f>
        <v>15</v>
      </c>
      <c r="Y8" s="1064">
        <f>COUNTIFS(发射纪录!$B:$B,"&lt;&gt;-",发射纪录!$N:$N,"=成功",发射纪录!$D:$D,"="&amp;CLEAN(Y$6))</f>
        <v>7</v>
      </c>
      <c r="Z8" s="1064">
        <f>COUNTIFS(发射纪录!$B:$B,"&lt;&gt;-",发射纪录!$N:$N,"=成功",发射纪录!$D:$D,"="&amp;CLEAN(Z$6))</f>
        <v>9</v>
      </c>
      <c r="AA8" s="1062">
        <f>COUNTIFS(发射纪录!$B:$B,"&lt;&gt;-",发射纪录!$N:$N,"=成功",发射纪录!$D:$D,"="&amp;CLEAN(AA$6))</f>
        <v>0</v>
      </c>
      <c r="AB8" s="1062">
        <f>COUNTIFS(发射纪录!$B:$B,"&lt;&gt;-",发射纪录!$N:$N,"=成功",发射纪录!$D:$D,"="&amp;CLEAN(AB$6))</f>
        <v>0</v>
      </c>
      <c r="AC8" s="1062">
        <f>COUNTIFS(发射纪录!$B:$B,"&lt;&gt;-",发射纪录!$N:$N,"=成功",发射纪录!$D:$D,"="&amp;CLEAN(AC$6))</f>
        <v>0</v>
      </c>
      <c r="AD8" s="1062">
        <f>COUNTIFS(发射纪录!$B:$B,"&lt;&gt;-",发射纪录!$N:$N,"=成功",发射纪录!$D:$D,"="&amp;CLEAN(AD$6))</f>
        <v>12</v>
      </c>
      <c r="AE8" s="1062">
        <f>COUNTIFS(发射纪录!$B:$B,"&lt;&gt;-",发射纪录!$N:$N,"=成功",发射纪录!$D:$D,"="&amp;CLEAN(AE$6))</f>
        <v>6</v>
      </c>
      <c r="AF8" s="1065">
        <f>COUNTIFS(发射纪录!$B:$B,"&lt;&gt;-",发射纪录!$N:$N,"=成功",发射纪录!$D:$D,"="&amp;CLEAN(AF$6))</f>
        <v>6</v>
      </c>
      <c r="AG8" s="1065">
        <f>COUNTIFS(发射纪录!$B:$B,"&lt;&gt;-",发射纪录!$N:$N,"=成功",发射纪录!$D:$D,"="&amp;CLEAN(AG$6))</f>
        <v>1</v>
      </c>
      <c r="AH8" s="1065">
        <f>COUNTIFS(发射纪录!$B:$B,"&lt;&gt;-",发射纪录!$N:$N,"=成功",发射纪录!$D:$D,"="&amp;CLEAN(AH$6))</f>
        <v>1</v>
      </c>
      <c r="AI8" s="1062">
        <f>COUNTIFS(发射纪录!$B:$B,"&lt;&gt;-",发射纪录!$N:$N,"=成功",发射纪录!$D:$D,"="&amp;CLEAN(AI$6))</f>
        <v>0</v>
      </c>
      <c r="AJ8" s="1066">
        <f ca="1">SUM(AK8:BH8)</f>
        <v>101</v>
      </c>
      <c r="AK8" s="1023">
        <v>4</v>
      </c>
      <c r="AL8" s="1024">
        <v>0</v>
      </c>
      <c r="AM8" s="1024">
        <v>1</v>
      </c>
      <c r="AN8" s="1024">
        <v>2</v>
      </c>
      <c r="AO8" s="1067">
        <f ca="1">COUNTIFS(发射纪录!$C:$C,"&lt;&gt;-",发射纪录!$N:$N,"=成功",发射纪录!$D:$D,"="&amp;CLEAN(AO$6))</f>
        <v>28</v>
      </c>
      <c r="AP8" s="1068">
        <f ca="1">COUNTIFS(发射纪录!$C:$C,"&lt;&gt;-",发射纪录!$N:$N,"=成功",发射纪录!$D:$D,"="&amp;CLEAN(AP$6))</f>
        <v>5</v>
      </c>
      <c r="AQ8" s="1024">
        <f ca="1">COUNTIFS(发射纪录!$C:$C,"&lt;&gt;-",发射纪录!$N:$N,"=成功",发射纪录!$D:$D,"="&amp;CLEAN(AQ$6))</f>
        <v>0</v>
      </c>
      <c r="AR8" s="1024">
        <f ca="1">COUNTIFS(发射纪录!$C:$C,"&lt;&gt;-",发射纪录!$N:$N,"=成功",发射纪录!$D:$D,"="&amp;CLEAN(AR$6))</f>
        <v>2</v>
      </c>
      <c r="AS8" s="1068">
        <f ca="1">COUNTIFS(发射纪录!$C:$C,"&lt;&gt;-",发射纪录!$N:$N,"=成功",发射纪录!$D:$D,"="&amp;CLEAN(AS$6))</f>
        <v>4</v>
      </c>
      <c r="AT8" s="1068">
        <f ca="1">COUNTIFS(发射纪录!$C:$C,"&lt;&gt;-",发射纪录!$N:$N,"=成功",发射纪录!$D:$D,"="&amp;CLEAN(AT$6))</f>
        <v>1</v>
      </c>
      <c r="AU8" s="1024">
        <f ca="1">COUNTIFS(发射纪录!$C:$C,"&lt;&gt;-",发射纪录!$N:$N,"=成功",发射纪录!$D:$D,"="&amp;CLEAN(AU$6))</f>
        <v>0</v>
      </c>
      <c r="AV8" s="1067">
        <f ca="1">COUNTIFS(发射纪录!$C:$C,"&lt;&gt;-",发射纪录!$N:$N,"=成功",发射纪录!$D:$D,"="&amp;CLEAN(AV$6))</f>
        <v>4</v>
      </c>
      <c r="AW8" s="1024">
        <f ca="1">COUNTIFS(发射纪录!$C:$C,"&lt;&gt;-",发射纪录!$N:$N,"=成功",发射纪录!$D:$D,"="&amp;CLEAN(AW$6))</f>
        <v>1</v>
      </c>
      <c r="AX8" s="1068">
        <f ca="1">COUNTIFS(发射纪录!$C:$C,"&lt;&gt;-",发射纪录!$N:$N,"=成功",发射纪录!$D:$D,"="&amp;CLEAN(AX$6))</f>
        <v>11</v>
      </c>
      <c r="AY8" s="1067">
        <f ca="1">COUNTIFS(发射纪录!$C:$C,"&lt;&gt;-",发射纪录!$N:$N,"=成功",发射纪录!$D:$D,"="&amp;CLEAN(AY$6))</f>
        <v>15</v>
      </c>
      <c r="AZ8" s="1067">
        <f ca="1">COUNTIFS(发射纪录!$C:$C,"&lt;&gt;-",发射纪录!$N:$N,"=成功",发射纪录!$D:$D,"="&amp;CLEAN(AZ$6))</f>
        <v>6</v>
      </c>
      <c r="BA8" s="1067">
        <f ca="1">COUNTIFS(发射纪录!$C:$C,"&lt;&gt;-",发射纪录!$N:$N,"=成功",发射纪录!$D:$D,"="&amp;CLEAN(BA$6))</f>
        <v>0</v>
      </c>
      <c r="BB8" s="1067">
        <f ca="1">COUNTIFS(发射纪录!$C:$C,"&lt;&gt;-",发射纪录!$N:$N,"=成功",发射纪录!$D:$D,"="&amp;CLEAN(BB$6))</f>
        <v>0</v>
      </c>
      <c r="BC8" s="1068">
        <f ca="1">COUNTIFS(发射纪录!$C:$C,"&lt;&gt;-",发射纪录!$N:$N,"=成功",发射纪录!$D:$D,"="&amp;CLEAN(BC$6))</f>
        <v>13</v>
      </c>
      <c r="BD8" s="1068">
        <f ca="1">COUNTIFS(发射纪录!$C:$C,"&lt;&gt;-",发射纪录!$N:$N,"=成功",发射纪录!$D:$D,"="&amp;CLEAN(BD$6))</f>
        <v>1</v>
      </c>
      <c r="BE8" s="1063">
        <f ca="1">COUNTIFS(发射纪录!$C:$C,"&lt;&gt;-",发射纪录!$N:$N,"=成功",发射纪录!$D:$D,"="&amp;CLEAN(BE$6))</f>
        <v>1</v>
      </c>
      <c r="BF8" s="1067">
        <f ca="1">COUNTIFS(发射纪录!$C:$C,"&lt;&gt;-",发射纪录!$N:$N,"=成功",发射纪录!$D:$D,"="&amp;CLEAN(BF$6))</f>
        <v>0</v>
      </c>
      <c r="BG8" s="1069">
        <f ca="1">COUNTIFS(发射纪录!$C:$C,"&lt;&gt;-",发射纪录!$N:$N,"=成功",发射纪录!$D:$D,"="&amp;CLEAN(BG$6))</f>
        <v>2</v>
      </c>
      <c r="BH8" s="1069">
        <f ca="1">COUNTIFS(发射纪录!$C:$C,"&lt;&gt;-",发射纪录!$N:$N,"=成功",发射纪录!$D:$D,"="&amp;CLEAN(BH$6))</f>
        <v>0</v>
      </c>
    </row>
    <row r="9" spans="1:60" ht="16.8" thickBot="1" x14ac:dyDescent="0.5">
      <c r="A9" s="1070" t="s">
        <v>825</v>
      </c>
      <c r="B9" s="1071">
        <f ca="1">C9+AJ9</f>
        <v>780</v>
      </c>
      <c r="C9" s="1072">
        <f>SUM(D9:AH9)</f>
        <v>656</v>
      </c>
      <c r="D9" s="1073">
        <f>SUM(D10:D64)</f>
        <v>2</v>
      </c>
      <c r="E9" s="1074">
        <f>SUM(E10:E64)</f>
        <v>1</v>
      </c>
      <c r="F9" s="1074">
        <f>SUM(F10:F64)</f>
        <v>3</v>
      </c>
      <c r="G9" s="1075">
        <f>COUNTIFS(发射纪录!$B:$B,"&lt;&gt;-",发射纪录!$N:$N,"&lt;&gt;",发射纪录!$D:$D,"="&amp;CLEAN(G$6))</f>
        <v>87</v>
      </c>
      <c r="H9" s="1075">
        <f>COUNTIFS(发射纪录!$B:$B,"&lt;&gt;-",发射纪录!$N:$N,"&lt;&gt;",发射纪录!$D:$D,"="&amp;CLEAN(H$6))</f>
        <v>105</v>
      </c>
      <c r="I9" s="1076">
        <f>COUNTIFS(发射纪录!$B:$B,"&lt;&gt;-",发射纪录!$N:$N,"&lt;&gt;",发射纪录!$D:$D,"="&amp;CLEAN(I$6))</f>
        <v>7</v>
      </c>
      <c r="J9" s="1075">
        <f>COUNTIFS(发射纪录!$B:$B,"&lt;&gt;-",发射纪录!$N:$N,"&lt;&gt;",发射纪录!$D:$D,"="&amp;CLEAN(J$6))</f>
        <v>29</v>
      </c>
      <c r="K9" s="1076">
        <f>COUNTIFS(发射纪录!$B:$B,"&lt;&gt;-",发射纪录!$N:$N,"&lt;&gt;",发射纪录!$D:$D,"="&amp;CLEAN(K$6))</f>
        <v>13</v>
      </c>
      <c r="L9" s="1076">
        <f>COUNTIFS(发射纪录!$B:$B,"&lt;&gt;-",发射纪录!$N:$N,"&lt;&gt;",发射纪录!$D:$D,"="&amp;CLEAN(L$6))</f>
        <v>27</v>
      </c>
      <c r="M9" s="1075">
        <f>COUNTIFS(发射纪录!$B:$B,"&lt;&gt;-",发射纪录!$N:$N,"&lt;&gt;",发射纪录!$D:$D,"="&amp;CLEAN(M$6))</f>
        <v>116</v>
      </c>
      <c r="N9" s="1075">
        <f>COUNTIFS(发射纪录!$B:$B,"&lt;&gt;-",发射纪录!$N:$N,"&lt;&gt;",发射纪录!$D:$D,"="&amp;CLEAN(N$6))</f>
        <v>20</v>
      </c>
      <c r="O9" s="1076">
        <f>COUNTIFS(发射纪录!$B:$B,"&lt;&gt;-",发射纪录!$N:$N,"&lt;&gt;",发射纪录!$D:$D,"="&amp;CLEAN(O$6))</f>
        <v>2</v>
      </c>
      <c r="P9" s="1075">
        <f>COUNTIFS(发射纪录!$B:$B,"&lt;&gt;-",发射纪录!$N:$N,"&lt;&gt;",发射纪录!$D:$D,"="&amp;CLEAN(P$6))</f>
        <v>57</v>
      </c>
      <c r="Q9" s="1075">
        <f>COUNTIFS(发射纪录!$B:$B,"&lt;&gt;-",发射纪录!$N:$N,"&lt;&gt;",发射纪录!$D:$D,"="&amp;CLEAN(Q$6))</f>
        <v>59</v>
      </c>
      <c r="R9" s="1075">
        <f>COUNTIFS(发射纪录!$B:$B,"&lt;&gt;-",发射纪录!$N:$N,"&lt;&gt;",发射纪录!$D:$D,"="&amp;CLEAN(R$6))</f>
        <v>11</v>
      </c>
      <c r="S9" s="1075">
        <f>COUNTIFS(发射纪录!$B:$B,"&lt;&gt;-",发射纪录!$N:$N,"&lt;&gt;",发射纪录!$D:$D,"="&amp;CLEAN(S$6))</f>
        <v>7</v>
      </c>
      <c r="T9" s="1076">
        <f>COUNTIFS(发射纪录!$B:$B,"&lt;&gt;-",发射纪录!$N:$N,"&lt;&gt;",发射纪录!$D:$D,"="&amp;CLEAN(T$6))</f>
        <v>15</v>
      </c>
      <c r="U9" s="1075">
        <f>COUNTIFS(发射纪录!$B:$B,"&lt;&gt;-",发射纪录!$N:$N,"&lt;&gt;",发射纪录!$D:$D,"="&amp;CLEAN(U$6))</f>
        <v>25</v>
      </c>
      <c r="V9" s="1075">
        <f>COUNTIFS(发射纪录!$B:$B,"&lt;&gt;-",发射纪录!$N:$N,"&lt;&gt;",发射纪录!$D:$D,"="&amp;CLEAN(V$6))</f>
        <v>1</v>
      </c>
      <c r="W9" s="1077">
        <f>COUNTIFS(发射纪录!$B:$B,"&lt;&gt;-",发射纪录!$N:$N,"&lt;&gt;",发射纪录!$D:$D,"="&amp;CLEAN(W$6))</f>
        <v>11</v>
      </c>
      <c r="X9" s="1075">
        <f>COUNTIFS(发射纪录!$B:$B,"&lt;&gt;-",发射纪录!$N:$N,"&lt;&gt;",发射纪录!$D:$D,"="&amp;CLEAN(X$6))</f>
        <v>16</v>
      </c>
      <c r="Y9" s="1077">
        <f>COUNTIFS(发射纪录!$B:$B,"&lt;&gt;-",发射纪录!$N:$N,"&lt;&gt;",发射纪录!$D:$D,"="&amp;CLEAN(Y$6))</f>
        <v>7</v>
      </c>
      <c r="Z9" s="1077">
        <f>COUNTIFS(发射纪录!$B:$B,"&lt;&gt;-",发射纪录!$N:$N,"&lt;&gt;",发射纪录!$D:$D,"="&amp;CLEAN(Z$6))</f>
        <v>9</v>
      </c>
      <c r="AA9" s="1075">
        <f>COUNTIFS(发射纪录!$B:$B,"&lt;&gt;-",发射纪录!$N:$N,"&lt;&gt;",发射纪录!$D:$D,"="&amp;CLEAN(AA$6))</f>
        <v>0</v>
      </c>
      <c r="AB9" s="1075">
        <f>COUNTIFS(发射纪录!$B:$B,"&lt;&gt;-",发射纪录!$N:$N,"&lt;&gt;",发射纪录!$D:$D,"="&amp;CLEAN(AB$6))</f>
        <v>0</v>
      </c>
      <c r="AC9" s="1075">
        <f>COUNTIFS(发射纪录!$B:$B,"&lt;&gt;-",发射纪录!$N:$N,"&lt;&gt;",发射纪录!$D:$D,"="&amp;CLEAN(AC$6))</f>
        <v>0</v>
      </c>
      <c r="AD9" s="1075">
        <f>COUNTIFS(发射纪录!$B:$B,"&lt;&gt;-",发射纪录!$N:$N,"&lt;&gt;",发射纪录!$D:$D,"="&amp;CLEAN(AD$6))</f>
        <v>12</v>
      </c>
      <c r="AE9" s="1075">
        <f>COUNTIFS(发射纪录!$B:$B,"&lt;&gt;-",发射纪录!$N:$N,"&lt;&gt;",发射纪录!$D:$D,"="&amp;CLEAN(AE$6))</f>
        <v>6</v>
      </c>
      <c r="AF9" s="1078">
        <f>COUNTIFS(发射纪录!$B:$B,"&lt;&gt;-",发射纪录!$N:$N,"&lt;&gt;",发射纪录!$D:$D,"="&amp;CLEAN(AF$6))</f>
        <v>6</v>
      </c>
      <c r="AG9" s="1078">
        <f>COUNTIFS(发射纪录!$B:$B,"&lt;&gt;-",发射纪录!$N:$N,"&lt;&gt;",发射纪录!$D:$D,"="&amp;CLEAN(AG$6))</f>
        <v>1</v>
      </c>
      <c r="AH9" s="1078">
        <f>COUNTIFS(发射纪录!$B:$B,"&lt;&gt;-",发射纪录!$N:$N,"&lt;&gt;",发射纪录!$D:$D,"="&amp;CLEAN(AH$6))</f>
        <v>1</v>
      </c>
      <c r="AI9" s="1075">
        <f>COUNTIFS(发射纪录!$B:$B,"&lt;&gt;-",发射纪录!$N:$N,"&lt;&gt;",发射纪录!$D:$D,"="&amp;CLEAN(AI$6))</f>
        <v>0</v>
      </c>
      <c r="AJ9" s="1079">
        <f ca="1">SUM(AK9:BH9)</f>
        <v>124</v>
      </c>
      <c r="AK9" s="1073">
        <v>8</v>
      </c>
      <c r="AL9" s="1074">
        <v>3</v>
      </c>
      <c r="AM9" s="1074">
        <v>1</v>
      </c>
      <c r="AN9" s="1074">
        <v>2</v>
      </c>
      <c r="AO9" s="1080">
        <f ca="1">COUNTIFS(发射纪录!$C:$C,"&lt;&gt;-",发射纪录!$N:$N,"&lt;&gt;",发射纪录!$D:$D,"="&amp;CLEAN(AO$6))</f>
        <v>30</v>
      </c>
      <c r="AP9" s="1081">
        <f ca="1">COUNTIFS(发射纪录!$C:$C,"&lt;&gt;-",发射纪录!$N:$N,"&lt;&gt;",发射纪录!$D:$D,"="&amp;CLEAN(AP$6))</f>
        <v>6</v>
      </c>
      <c r="AQ9" s="1074">
        <f ca="1">COUNTIFS(发射纪录!$C:$C,"&lt;&gt;-",发射纪录!$N:$N,"&lt;&gt;",发射纪录!$D:$D,"="&amp;CLEAN(AQ$6))</f>
        <v>1</v>
      </c>
      <c r="AR9" s="1074">
        <f ca="1">COUNTIFS(发射纪录!$C:$C,"&lt;&gt;-",发射纪录!$N:$N,"&lt;&gt;",发射纪录!$D:$D,"="&amp;CLEAN(AR$6))</f>
        <v>3</v>
      </c>
      <c r="AS9" s="1081">
        <f ca="1">COUNTIFS(发射纪录!$C:$C,"&lt;&gt;-",发射纪录!$N:$N,"&lt;&gt;",发射纪录!$D:$D,"="&amp;CLEAN(AS$6))</f>
        <v>5</v>
      </c>
      <c r="AT9" s="1081">
        <f ca="1">COUNTIFS(发射纪录!$C:$C,"&lt;&gt;-",发射纪录!$N:$N,"&lt;&gt;",发射纪录!$D:$D,"="&amp;CLEAN(AT$6))</f>
        <v>1</v>
      </c>
      <c r="AU9" s="1074">
        <f ca="1">COUNTIFS(发射纪录!$C:$C,"&lt;&gt;-",发射纪录!$N:$N,"&lt;&gt;",发射纪录!$D:$D,"="&amp;CLEAN(AU$6))</f>
        <v>1</v>
      </c>
      <c r="AV9" s="1080">
        <f ca="1">COUNTIFS(发射纪录!$C:$C,"&lt;&gt;-",发射纪录!$N:$N,"&lt;&gt;",发射纪录!$D:$D,"="&amp;CLEAN(AV$6))</f>
        <v>8</v>
      </c>
      <c r="AW9" s="1074">
        <f ca="1">COUNTIFS(发射纪录!$C:$C,"&lt;&gt;-",发射纪录!$N:$N,"&lt;&gt;",发射纪录!$D:$D,"="&amp;CLEAN(AW$6))</f>
        <v>1</v>
      </c>
      <c r="AX9" s="1081">
        <f ca="1">COUNTIFS(发射纪录!$C:$C,"&lt;&gt;-",发射纪录!$N:$N,"&lt;&gt;",发射纪录!$D:$D,"="&amp;CLEAN(AX$6))</f>
        <v>11</v>
      </c>
      <c r="AY9" s="1080">
        <f ca="1">COUNTIFS(发射纪录!$C:$C,"&lt;&gt;-",发射纪录!$N:$N,"&lt;&gt;",发射纪录!$D:$D,"="&amp;CLEAN(AY$6))</f>
        <v>17</v>
      </c>
      <c r="AZ9" s="1080">
        <f ca="1">COUNTIFS(发射纪录!$C:$C,"&lt;&gt;-",发射纪录!$N:$N,"&lt;&gt;",发射纪录!$D:$D,"="&amp;CLEAN(AZ$6))</f>
        <v>6</v>
      </c>
      <c r="BA9" s="1080">
        <f ca="1">COUNTIFS(发射纪录!$C:$C,"&lt;&gt;-",发射纪录!$N:$N,"&lt;&gt;",发射纪录!$D:$D,"="&amp;CLEAN(BA$6))</f>
        <v>1</v>
      </c>
      <c r="BB9" s="1080">
        <f ca="1">COUNTIFS(发射纪录!$C:$C,"&lt;&gt;-",发射纪录!$N:$N,"&lt;&gt;",发射纪录!$D:$D,"="&amp;CLEAN(BB$6))</f>
        <v>0</v>
      </c>
      <c r="BC9" s="1081">
        <f ca="1">COUNTIFS(发射纪录!$C:$C,"&lt;&gt;-",发射纪录!$N:$N,"&lt;&gt;",发射纪录!$D:$D,"="&amp;CLEAN(BC$6))</f>
        <v>14</v>
      </c>
      <c r="BD9" s="1081">
        <f ca="1">COUNTIFS(发射纪录!$C:$C,"&lt;&gt;-",发射纪录!$N:$N,"&lt;&gt;",发射纪录!$D:$D,"="&amp;CLEAN(BD$6))</f>
        <v>1</v>
      </c>
      <c r="BE9" s="1076">
        <f ca="1">COUNTIFS(发射纪录!$C:$C,"&lt;&gt;-",发射纪录!$N:$N,"&lt;&gt;",发射纪录!$D:$D,"="&amp;CLEAN(BE$6))</f>
        <v>1</v>
      </c>
      <c r="BF9" s="1080">
        <f ca="1">COUNTIFS(发射纪录!$C:$C,"&lt;&gt;-",发射纪录!$N:$N,"&lt;&gt;",发射纪录!$D:$D,"="&amp;CLEAN(BF$6))</f>
        <v>1</v>
      </c>
      <c r="BG9" s="1082">
        <f ca="1">COUNTIFS(发射纪录!$C:$C,"&lt;&gt;-",发射纪录!$N:$N,"&lt;&gt;",发射纪录!$D:$D,"="&amp;CLEAN(BG$6))</f>
        <v>2</v>
      </c>
      <c r="BH9" s="1082">
        <f ca="1">COUNTIFS(发射纪录!$C:$C,"&lt;&gt;-",发射纪录!$N:$N,"&lt;&gt;",发射纪录!$D:$D,"="&amp;CLEAN(BH$6))</f>
        <v>0</v>
      </c>
    </row>
    <row r="10" spans="1:60" ht="16.8" thickTop="1" x14ac:dyDescent="0.45">
      <c r="A10" s="1083">
        <v>25569</v>
      </c>
      <c r="B10" s="1084">
        <v>1</v>
      </c>
      <c r="C10" s="1085">
        <v>1</v>
      </c>
      <c r="D10" s="1086">
        <f>COUNTIFS(发射纪录!$B:$B,"&lt;&gt;-",发射纪录!$G:$G,"&gt;="&amp;DATE(YEAR($A10),1,1),发射纪录!$G:$G,"&lt;="&amp;DATE(YEAR($A10),12,31),发射纪录!$N:$N,"&lt;&gt;",发射纪录!$D:$D,"="&amp;CLEAN(火箭年間統計!D$6))</f>
        <v>1</v>
      </c>
      <c r="E10" s="1087">
        <f>COUNTIFS(发射纪录!$B:$B,"&lt;&gt;-",发射纪录!$G:$G,"&gt;="&amp;DATE(YEAR($A10),1,1),发射纪录!$G:$G,"&lt;="&amp;DATE(YEAR($A10),12,31),发射纪录!$N:$N,"&lt;&gt;",发射纪录!$D:$D,"="&amp;CLEAN(火箭年間統計!E$6))</f>
        <v>0</v>
      </c>
      <c r="F10" s="1087">
        <f>COUNTIFS(发射纪录!$B:$B,"&lt;&gt;-",发射纪录!$G:$G,"&gt;="&amp;DATE(YEAR($A10),1,1),发射纪录!$G:$G,"&lt;="&amp;DATE(YEAR($A10),12,31),发射纪录!$N:$N,"&lt;&gt;",发射纪录!$D:$D,"="&amp;CLEAN(火箭年間統計!F$6))</f>
        <v>0</v>
      </c>
      <c r="G10" s="1088">
        <v>0</v>
      </c>
      <c r="H10" s="1088">
        <v>0</v>
      </c>
      <c r="I10" s="1089">
        <v>0</v>
      </c>
      <c r="J10" s="1090">
        <v>0</v>
      </c>
      <c r="K10" s="1089">
        <v>0</v>
      </c>
      <c r="L10" s="1089">
        <v>0</v>
      </c>
      <c r="M10" s="1090">
        <v>0</v>
      </c>
      <c r="N10" s="1091">
        <v>0</v>
      </c>
      <c r="O10" s="1089">
        <v>0</v>
      </c>
      <c r="P10" s="1090">
        <v>0</v>
      </c>
      <c r="Q10" s="1090">
        <v>0</v>
      </c>
      <c r="R10" s="1090">
        <v>0</v>
      </c>
      <c r="S10" s="1090">
        <v>0</v>
      </c>
      <c r="T10" s="1089">
        <v>0</v>
      </c>
      <c r="U10" s="1090">
        <v>0</v>
      </c>
      <c r="V10" s="1090">
        <v>0</v>
      </c>
      <c r="W10" s="1092">
        <v>0</v>
      </c>
      <c r="X10" s="1090">
        <v>0</v>
      </c>
      <c r="Y10" s="1092">
        <v>0</v>
      </c>
      <c r="Z10" s="1092">
        <v>0</v>
      </c>
      <c r="AA10" s="1090">
        <v>0</v>
      </c>
      <c r="AB10" s="1090">
        <v>0</v>
      </c>
      <c r="AC10" s="1090">
        <v>0</v>
      </c>
      <c r="AD10" s="1090">
        <v>0</v>
      </c>
      <c r="AE10" s="1088">
        <v>0</v>
      </c>
      <c r="AF10" s="1093">
        <v>0</v>
      </c>
      <c r="AG10" s="1093">
        <v>0</v>
      </c>
      <c r="AH10" s="1093">
        <v>0</v>
      </c>
      <c r="AI10" s="1088">
        <v>0</v>
      </c>
      <c r="AJ10" s="1094">
        <v>0</v>
      </c>
      <c r="AK10" s="1086">
        <v>0</v>
      </c>
      <c r="AL10" s="1087">
        <v>0</v>
      </c>
      <c r="AM10" s="1087">
        <v>0</v>
      </c>
      <c r="AN10" s="1087">
        <v>0</v>
      </c>
      <c r="AO10" s="1088">
        <v>0</v>
      </c>
      <c r="AP10" s="1096">
        <v>0</v>
      </c>
      <c r="AQ10" s="1087">
        <v>0</v>
      </c>
      <c r="AR10" s="1087">
        <v>0</v>
      </c>
      <c r="AS10" s="1096">
        <v>0</v>
      </c>
      <c r="AT10" s="1096">
        <v>0</v>
      </c>
      <c r="AU10" s="1087">
        <v>0</v>
      </c>
      <c r="AV10" s="1088">
        <v>0</v>
      </c>
      <c r="AW10" s="1087">
        <v>0</v>
      </c>
      <c r="AX10" s="1096">
        <v>0</v>
      </c>
      <c r="AY10" s="1088">
        <v>0</v>
      </c>
      <c r="AZ10" s="1088">
        <v>0</v>
      </c>
      <c r="BA10" s="1088">
        <v>0</v>
      </c>
      <c r="BB10" s="1088">
        <v>0</v>
      </c>
      <c r="BC10" s="1096">
        <v>0</v>
      </c>
      <c r="BD10" s="1096">
        <v>0</v>
      </c>
      <c r="BE10" s="1095">
        <v>0</v>
      </c>
      <c r="BF10" s="1097">
        <v>0</v>
      </c>
      <c r="BG10" s="1098">
        <v>0</v>
      </c>
      <c r="BH10" s="1099">
        <v>0</v>
      </c>
    </row>
    <row r="11" spans="1:60" ht="16.2" x14ac:dyDescent="0.45">
      <c r="A11" s="1100">
        <v>25934</v>
      </c>
      <c r="B11" s="1101">
        <v>1</v>
      </c>
      <c r="C11" s="1085">
        <v>1</v>
      </c>
      <c r="D11" s="1102">
        <f>COUNTIFS(发射纪录!$B:$B,"&lt;&gt;-",发射纪录!$G:$G,"&gt;="&amp;DATE(YEAR($A11),1,1),发射纪录!$G:$G,"&lt;="&amp;DATE(YEAR($A11),12,31),发射纪录!$N:$N,"&lt;&gt;",发射纪录!$D:$D,"="&amp;CLEAN(火箭年間統計!D$6))</f>
        <v>1</v>
      </c>
      <c r="E11" s="1103">
        <f>COUNTIFS(发射纪录!$B:$B,"&lt;&gt;-",发射纪录!$G:$G,"&gt;="&amp;DATE(YEAR($A11),1,1),发射纪录!$G:$G,"&lt;="&amp;DATE(YEAR($A11),12,31),发射纪录!$N:$N,"&lt;&gt;",发射纪录!$D:$D,"="&amp;CLEAN(火箭年間統計!E$6))</f>
        <v>0</v>
      </c>
      <c r="F11" s="1103">
        <f>COUNTIFS(发射纪录!$B:$B,"&lt;&gt;-",发射纪录!$G:$G,"&gt;="&amp;DATE(YEAR($A11),1,1),发射纪录!$G:$G,"&lt;="&amp;DATE(YEAR($A11),12,31),发射纪录!$N:$N,"&lt;&gt;",发射纪录!$D:$D,"="&amp;CLEAN(火箭年間統計!F$6))</f>
        <v>0</v>
      </c>
      <c r="G11" s="1104">
        <v>0</v>
      </c>
      <c r="H11" s="1104">
        <v>0</v>
      </c>
      <c r="I11" s="1089">
        <v>0</v>
      </c>
      <c r="J11" s="1090">
        <v>0</v>
      </c>
      <c r="K11" s="1089">
        <v>0</v>
      </c>
      <c r="L11" s="1089">
        <v>0</v>
      </c>
      <c r="M11" s="1090">
        <v>0</v>
      </c>
      <c r="N11" s="1091">
        <v>0</v>
      </c>
      <c r="O11" s="1089">
        <v>0</v>
      </c>
      <c r="P11" s="1090">
        <v>0</v>
      </c>
      <c r="Q11" s="1090">
        <v>0</v>
      </c>
      <c r="R11" s="1090">
        <v>0</v>
      </c>
      <c r="S11" s="1090">
        <v>0</v>
      </c>
      <c r="T11" s="1089">
        <v>0</v>
      </c>
      <c r="U11" s="1090">
        <v>0</v>
      </c>
      <c r="V11" s="1090">
        <v>0</v>
      </c>
      <c r="W11" s="1092">
        <v>0</v>
      </c>
      <c r="X11" s="1090">
        <v>0</v>
      </c>
      <c r="Y11" s="1092">
        <v>0</v>
      </c>
      <c r="Z11" s="1092">
        <v>0</v>
      </c>
      <c r="AA11" s="1090">
        <v>0</v>
      </c>
      <c r="AB11" s="1090">
        <v>0</v>
      </c>
      <c r="AC11" s="1090">
        <v>0</v>
      </c>
      <c r="AD11" s="1090">
        <v>0</v>
      </c>
      <c r="AE11" s="1088">
        <v>0</v>
      </c>
      <c r="AF11" s="1093">
        <v>0</v>
      </c>
      <c r="AG11" s="1093">
        <v>0</v>
      </c>
      <c r="AH11" s="1093">
        <v>0</v>
      </c>
      <c r="AI11" s="1088">
        <v>0</v>
      </c>
      <c r="AJ11" s="1105">
        <v>0</v>
      </c>
      <c r="AK11" s="1102">
        <v>0</v>
      </c>
      <c r="AL11" s="1103">
        <v>0</v>
      </c>
      <c r="AM11" s="1103">
        <v>0</v>
      </c>
      <c r="AN11" s="1103">
        <v>0</v>
      </c>
      <c r="AO11" s="1104">
        <v>0</v>
      </c>
      <c r="AP11" s="1107">
        <v>0</v>
      </c>
      <c r="AQ11" s="1103">
        <v>0</v>
      </c>
      <c r="AR11" s="1103">
        <v>0</v>
      </c>
      <c r="AS11" s="1107">
        <v>0</v>
      </c>
      <c r="AT11" s="1107">
        <v>0</v>
      </c>
      <c r="AU11" s="1103">
        <v>0</v>
      </c>
      <c r="AV11" s="1104">
        <v>0</v>
      </c>
      <c r="AW11" s="1103">
        <v>0</v>
      </c>
      <c r="AX11" s="1107">
        <v>0</v>
      </c>
      <c r="AY11" s="1104">
        <v>0</v>
      </c>
      <c r="AZ11" s="1104">
        <v>0</v>
      </c>
      <c r="BA11" s="1104">
        <v>0</v>
      </c>
      <c r="BB11" s="1104">
        <v>0</v>
      </c>
      <c r="BC11" s="1107">
        <v>0</v>
      </c>
      <c r="BD11" s="1107">
        <v>0</v>
      </c>
      <c r="BE11" s="1106">
        <v>0</v>
      </c>
      <c r="BF11" s="1108">
        <v>0</v>
      </c>
      <c r="BG11" s="1109">
        <v>0</v>
      </c>
      <c r="BH11" s="1110">
        <v>0</v>
      </c>
    </row>
    <row r="12" spans="1:60" ht="16.2" x14ac:dyDescent="0.45">
      <c r="A12" s="1100">
        <v>26299</v>
      </c>
      <c r="B12" s="1101">
        <v>0</v>
      </c>
      <c r="C12" s="1085">
        <v>0</v>
      </c>
      <c r="D12" s="1102">
        <f>COUNTIFS(发射纪录!$B:$B,"&lt;&gt;-",发射纪录!$G:$G,"&gt;="&amp;DATE(YEAR($A12),1,1),发射纪录!$G:$G,"&lt;="&amp;DATE(YEAR($A12),12,31),发射纪录!$N:$N,"&lt;&gt;",发射纪录!$D:$D,"="&amp;CLEAN(火箭年間統計!D$6))</f>
        <v>0</v>
      </c>
      <c r="E12" s="1103">
        <f>COUNTIFS(发射纪录!$B:$B,"&lt;&gt;-",发射纪录!$G:$G,"&gt;="&amp;DATE(YEAR($A12),1,1),发射纪录!$G:$G,"&lt;="&amp;DATE(YEAR($A12),12,31),发射纪录!$N:$N,"&lt;&gt;",发射纪录!$D:$D,"="&amp;CLEAN(火箭年間統計!E$6))</f>
        <v>0</v>
      </c>
      <c r="F12" s="1103">
        <f>COUNTIFS(发射纪录!$B:$B,"&lt;&gt;-",发射纪录!$G:$G,"&gt;="&amp;DATE(YEAR($A12),1,1),发射纪录!$G:$G,"&lt;="&amp;DATE(YEAR($A12),12,31),发射纪录!$N:$N,"&lt;&gt;",发射纪录!$D:$D,"="&amp;CLEAN(火箭年間統計!F$6))</f>
        <v>0</v>
      </c>
      <c r="G12" s="1104">
        <v>0</v>
      </c>
      <c r="H12" s="1104">
        <v>0</v>
      </c>
      <c r="I12" s="1089">
        <v>0</v>
      </c>
      <c r="J12" s="1090">
        <v>0</v>
      </c>
      <c r="K12" s="1089">
        <v>0</v>
      </c>
      <c r="L12" s="1089">
        <v>0</v>
      </c>
      <c r="M12" s="1090">
        <v>0</v>
      </c>
      <c r="N12" s="1091">
        <v>0</v>
      </c>
      <c r="O12" s="1089">
        <v>0</v>
      </c>
      <c r="P12" s="1090">
        <v>0</v>
      </c>
      <c r="Q12" s="1090">
        <v>0</v>
      </c>
      <c r="R12" s="1090">
        <v>0</v>
      </c>
      <c r="S12" s="1090">
        <v>0</v>
      </c>
      <c r="T12" s="1089">
        <v>0</v>
      </c>
      <c r="U12" s="1090">
        <v>0</v>
      </c>
      <c r="V12" s="1090">
        <v>0</v>
      </c>
      <c r="W12" s="1092">
        <v>0</v>
      </c>
      <c r="X12" s="1090">
        <v>0</v>
      </c>
      <c r="Y12" s="1092">
        <v>0</v>
      </c>
      <c r="Z12" s="1092">
        <v>0</v>
      </c>
      <c r="AA12" s="1090">
        <v>0</v>
      </c>
      <c r="AB12" s="1090">
        <v>0</v>
      </c>
      <c r="AC12" s="1090">
        <v>0</v>
      </c>
      <c r="AD12" s="1090">
        <v>0</v>
      </c>
      <c r="AE12" s="1088">
        <v>0</v>
      </c>
      <c r="AF12" s="1093">
        <v>0</v>
      </c>
      <c r="AG12" s="1093">
        <v>0</v>
      </c>
      <c r="AH12" s="1093">
        <v>0</v>
      </c>
      <c r="AI12" s="1088">
        <v>0</v>
      </c>
      <c r="AJ12" s="1105">
        <v>0</v>
      </c>
      <c r="AK12" s="1102">
        <v>0</v>
      </c>
      <c r="AL12" s="1103">
        <v>0</v>
      </c>
      <c r="AM12" s="1103">
        <v>0</v>
      </c>
      <c r="AN12" s="1103">
        <v>0</v>
      </c>
      <c r="AO12" s="1104">
        <v>0</v>
      </c>
      <c r="AP12" s="1107">
        <v>0</v>
      </c>
      <c r="AQ12" s="1103">
        <v>0</v>
      </c>
      <c r="AR12" s="1103">
        <v>0</v>
      </c>
      <c r="AS12" s="1107">
        <v>0</v>
      </c>
      <c r="AT12" s="1107">
        <v>0</v>
      </c>
      <c r="AU12" s="1103">
        <v>0</v>
      </c>
      <c r="AV12" s="1104">
        <v>0</v>
      </c>
      <c r="AW12" s="1103">
        <v>0</v>
      </c>
      <c r="AX12" s="1107">
        <v>0</v>
      </c>
      <c r="AY12" s="1104">
        <v>0</v>
      </c>
      <c r="AZ12" s="1104">
        <v>0</v>
      </c>
      <c r="BA12" s="1104">
        <v>0</v>
      </c>
      <c r="BB12" s="1104">
        <v>0</v>
      </c>
      <c r="BC12" s="1107">
        <v>0</v>
      </c>
      <c r="BD12" s="1107">
        <v>0</v>
      </c>
      <c r="BE12" s="1106">
        <v>0</v>
      </c>
      <c r="BF12" s="1108">
        <v>0</v>
      </c>
      <c r="BG12" s="1109">
        <v>0</v>
      </c>
      <c r="BH12" s="1110">
        <v>0</v>
      </c>
    </row>
    <row r="13" spans="1:60" ht="16.2" x14ac:dyDescent="0.45">
      <c r="A13" s="1100">
        <v>26665</v>
      </c>
      <c r="B13" s="1101">
        <v>1</v>
      </c>
      <c r="C13" s="1085">
        <v>0</v>
      </c>
      <c r="D13" s="1102">
        <f>COUNTIFS(发射纪录!$B:$B,"&lt;&gt;-",发射纪录!$G:$G,"&gt;="&amp;DATE(YEAR($A13),1,1),发射纪录!$G:$G,"&lt;="&amp;DATE(YEAR($A13),12,31),发射纪录!$N:$N,"&lt;&gt;",发射纪录!$D:$D,"="&amp;CLEAN(火箭年間統計!D$6))</f>
        <v>0</v>
      </c>
      <c r="E13" s="1103">
        <f>COUNTIFS(发射纪录!$B:$B,"&lt;&gt;-",发射纪录!$G:$G,"&gt;="&amp;DATE(YEAR($A13),1,1),发射纪录!$G:$G,"&lt;="&amp;DATE(YEAR($A13),12,31),发射纪录!$N:$N,"&lt;&gt;",发射纪录!$D:$D,"="&amp;CLEAN(火箭年間統計!E$6))</f>
        <v>0</v>
      </c>
      <c r="F13" s="1103">
        <f>COUNTIFS(发射纪录!$B:$B,"&lt;&gt;-",发射纪录!$G:$G,"&gt;="&amp;DATE(YEAR($A13),1,1),发射纪录!$G:$G,"&lt;="&amp;DATE(YEAR($A13),12,31),发射纪录!$N:$N,"&lt;&gt;",发射纪录!$D:$D,"="&amp;CLEAN(火箭年間統計!F$6))</f>
        <v>0</v>
      </c>
      <c r="G13" s="1104">
        <v>0</v>
      </c>
      <c r="H13" s="1104">
        <v>0</v>
      </c>
      <c r="I13" s="1089">
        <v>0</v>
      </c>
      <c r="J13" s="1090">
        <v>0</v>
      </c>
      <c r="K13" s="1089">
        <v>0</v>
      </c>
      <c r="L13" s="1089">
        <v>0</v>
      </c>
      <c r="M13" s="1090">
        <v>0</v>
      </c>
      <c r="N13" s="1091">
        <v>0</v>
      </c>
      <c r="O13" s="1089">
        <v>0</v>
      </c>
      <c r="P13" s="1090">
        <v>0</v>
      </c>
      <c r="Q13" s="1090">
        <v>0</v>
      </c>
      <c r="R13" s="1090">
        <v>0</v>
      </c>
      <c r="S13" s="1090">
        <v>0</v>
      </c>
      <c r="T13" s="1089">
        <v>0</v>
      </c>
      <c r="U13" s="1090">
        <v>0</v>
      </c>
      <c r="V13" s="1090">
        <v>0</v>
      </c>
      <c r="W13" s="1092">
        <v>0</v>
      </c>
      <c r="X13" s="1090">
        <v>0</v>
      </c>
      <c r="Y13" s="1092">
        <v>0</v>
      </c>
      <c r="Z13" s="1092">
        <v>0</v>
      </c>
      <c r="AA13" s="1090">
        <v>0</v>
      </c>
      <c r="AB13" s="1090">
        <v>0</v>
      </c>
      <c r="AC13" s="1090">
        <v>0</v>
      </c>
      <c r="AD13" s="1090">
        <v>0</v>
      </c>
      <c r="AE13" s="1088">
        <v>0</v>
      </c>
      <c r="AF13" s="1093">
        <v>0</v>
      </c>
      <c r="AG13" s="1093">
        <v>0</v>
      </c>
      <c r="AH13" s="1093">
        <v>0</v>
      </c>
      <c r="AI13" s="1088">
        <v>0</v>
      </c>
      <c r="AJ13" s="1105">
        <v>1</v>
      </c>
      <c r="AK13" s="1102">
        <v>1</v>
      </c>
      <c r="AL13" s="1103">
        <v>0</v>
      </c>
      <c r="AM13" s="1103">
        <v>0</v>
      </c>
      <c r="AN13" s="1103">
        <v>0</v>
      </c>
      <c r="AO13" s="1104">
        <v>0</v>
      </c>
      <c r="AP13" s="1107">
        <v>0</v>
      </c>
      <c r="AQ13" s="1103">
        <v>0</v>
      </c>
      <c r="AR13" s="1103">
        <v>0</v>
      </c>
      <c r="AS13" s="1107">
        <v>0</v>
      </c>
      <c r="AT13" s="1107">
        <v>0</v>
      </c>
      <c r="AU13" s="1103">
        <v>0</v>
      </c>
      <c r="AV13" s="1104">
        <v>0</v>
      </c>
      <c r="AW13" s="1103">
        <v>0</v>
      </c>
      <c r="AX13" s="1107">
        <v>0</v>
      </c>
      <c r="AY13" s="1104">
        <v>0</v>
      </c>
      <c r="AZ13" s="1104">
        <v>0</v>
      </c>
      <c r="BA13" s="1104">
        <v>0</v>
      </c>
      <c r="BB13" s="1104">
        <v>0</v>
      </c>
      <c r="BC13" s="1107">
        <v>0</v>
      </c>
      <c r="BD13" s="1107">
        <v>0</v>
      </c>
      <c r="BE13" s="1106">
        <v>0</v>
      </c>
      <c r="BF13" s="1108">
        <v>0</v>
      </c>
      <c r="BG13" s="1109">
        <v>0</v>
      </c>
      <c r="BH13" s="1110">
        <v>0</v>
      </c>
    </row>
    <row r="14" spans="1:60" ht="16.2" x14ac:dyDescent="0.45">
      <c r="A14" s="1100">
        <v>27030</v>
      </c>
      <c r="B14" s="1101">
        <v>2</v>
      </c>
      <c r="C14" s="1085">
        <v>1</v>
      </c>
      <c r="D14" s="1102">
        <f>COUNTIFS(发射纪录!$B:$B,"&lt;&gt;-",发射纪录!$G:$G,"&gt;="&amp;DATE(YEAR($A14),1,1),发射纪录!$G:$G,"&lt;="&amp;DATE(YEAR($A14),12,31),发射纪录!$N:$N,"&lt;&gt;",发射纪录!$D:$D,"="&amp;CLEAN(火箭年間統計!D$6))</f>
        <v>0</v>
      </c>
      <c r="E14" s="1103">
        <f>COUNTIFS(发射纪录!$B:$B,"&lt;&gt;-",发射纪录!$G:$G,"&gt;="&amp;DATE(YEAR($A14),1,1),发射纪录!$G:$G,"&lt;="&amp;DATE(YEAR($A14),12,31),发射纪录!$N:$N,"&lt;&gt;",发射纪录!$D:$D,"="&amp;CLEAN(火箭年間統計!E$6))</f>
        <v>1</v>
      </c>
      <c r="F14" s="1103">
        <f>COUNTIFS(发射纪录!$B:$B,"&lt;&gt;-",发射纪录!$G:$G,"&gt;="&amp;DATE(YEAR($A14),1,1),发射纪录!$G:$G,"&lt;="&amp;DATE(YEAR($A14),12,31),发射纪录!$N:$N,"&lt;&gt;",发射纪录!$D:$D,"="&amp;CLEAN(火箭年間統計!F$6))</f>
        <v>0</v>
      </c>
      <c r="G14" s="1104">
        <v>0</v>
      </c>
      <c r="H14" s="1104">
        <v>0</v>
      </c>
      <c r="I14" s="1089">
        <v>0</v>
      </c>
      <c r="J14" s="1090">
        <v>0</v>
      </c>
      <c r="K14" s="1089">
        <v>0</v>
      </c>
      <c r="L14" s="1089">
        <v>0</v>
      </c>
      <c r="M14" s="1090">
        <v>0</v>
      </c>
      <c r="N14" s="1091">
        <v>0</v>
      </c>
      <c r="O14" s="1089">
        <v>0</v>
      </c>
      <c r="P14" s="1090">
        <v>0</v>
      </c>
      <c r="Q14" s="1090">
        <v>0</v>
      </c>
      <c r="R14" s="1090">
        <v>0</v>
      </c>
      <c r="S14" s="1090">
        <v>0</v>
      </c>
      <c r="T14" s="1089">
        <v>0</v>
      </c>
      <c r="U14" s="1090">
        <v>0</v>
      </c>
      <c r="V14" s="1090">
        <v>0</v>
      </c>
      <c r="W14" s="1092">
        <v>0</v>
      </c>
      <c r="X14" s="1090">
        <v>0</v>
      </c>
      <c r="Y14" s="1092">
        <v>0</v>
      </c>
      <c r="Z14" s="1092">
        <v>0</v>
      </c>
      <c r="AA14" s="1090">
        <v>0</v>
      </c>
      <c r="AB14" s="1090">
        <v>0</v>
      </c>
      <c r="AC14" s="1090">
        <v>0</v>
      </c>
      <c r="AD14" s="1090">
        <v>0</v>
      </c>
      <c r="AE14" s="1088">
        <v>0</v>
      </c>
      <c r="AF14" s="1093">
        <v>0</v>
      </c>
      <c r="AG14" s="1093">
        <v>0</v>
      </c>
      <c r="AH14" s="1093">
        <v>0</v>
      </c>
      <c r="AI14" s="1088">
        <v>0</v>
      </c>
      <c r="AJ14" s="1105">
        <v>1</v>
      </c>
      <c r="AK14" s="1102">
        <v>1</v>
      </c>
      <c r="AL14" s="1103">
        <v>0</v>
      </c>
      <c r="AM14" s="1103">
        <v>0</v>
      </c>
      <c r="AN14" s="1103">
        <v>0</v>
      </c>
      <c r="AO14" s="1104">
        <v>0</v>
      </c>
      <c r="AP14" s="1107">
        <v>0</v>
      </c>
      <c r="AQ14" s="1103">
        <v>0</v>
      </c>
      <c r="AR14" s="1103">
        <v>0</v>
      </c>
      <c r="AS14" s="1107">
        <v>0</v>
      </c>
      <c r="AT14" s="1107">
        <v>0</v>
      </c>
      <c r="AU14" s="1103">
        <v>0</v>
      </c>
      <c r="AV14" s="1104">
        <v>0</v>
      </c>
      <c r="AW14" s="1103">
        <v>0</v>
      </c>
      <c r="AX14" s="1107">
        <v>0</v>
      </c>
      <c r="AY14" s="1104">
        <v>0</v>
      </c>
      <c r="AZ14" s="1104">
        <v>0</v>
      </c>
      <c r="BA14" s="1104">
        <v>0</v>
      </c>
      <c r="BB14" s="1104">
        <v>0</v>
      </c>
      <c r="BC14" s="1107">
        <v>0</v>
      </c>
      <c r="BD14" s="1107">
        <v>0</v>
      </c>
      <c r="BE14" s="1106">
        <v>0</v>
      </c>
      <c r="BF14" s="1108">
        <v>0</v>
      </c>
      <c r="BG14" s="1109">
        <v>0</v>
      </c>
      <c r="BH14" s="1110">
        <v>0</v>
      </c>
    </row>
    <row r="15" spans="1:60" ht="16.2" x14ac:dyDescent="0.45">
      <c r="A15" s="1100">
        <v>27395</v>
      </c>
      <c r="B15" s="1101">
        <v>3</v>
      </c>
      <c r="C15" s="1085">
        <v>1</v>
      </c>
      <c r="D15" s="1102">
        <f>COUNTIFS(发射纪录!$B:$B,"&lt;&gt;-",发射纪录!$G:$G,"&gt;="&amp;DATE(YEAR($A15),1,1),发射纪录!$G:$G,"&lt;="&amp;DATE(YEAR($A15),12,31),发射纪录!$N:$N,"&lt;&gt;",发射纪录!$D:$D,"="&amp;CLEAN(火箭年間統計!D$6))</f>
        <v>0</v>
      </c>
      <c r="E15" s="1103">
        <f>COUNTIFS(发射纪录!$B:$B,"&lt;&gt;-",发射纪录!$G:$G,"&gt;="&amp;DATE(YEAR($A15),1,1),发射纪录!$G:$G,"&lt;="&amp;DATE(YEAR($A15),12,31),发射纪录!$N:$N,"&lt;&gt;",发射纪录!$D:$D,"="&amp;CLEAN(火箭年間統計!E$6))</f>
        <v>0</v>
      </c>
      <c r="F15" s="1103">
        <f>COUNTIFS(发射纪录!$B:$B,"&lt;&gt;-",发射纪录!$G:$G,"&gt;="&amp;DATE(YEAR($A15),1,1),发射纪录!$G:$G,"&lt;="&amp;DATE(YEAR($A15),12,31),发射纪录!$N:$N,"&lt;&gt;",发射纪录!$D:$D,"="&amp;CLEAN(火箭年間統計!F$6))</f>
        <v>1</v>
      </c>
      <c r="G15" s="1104">
        <v>0</v>
      </c>
      <c r="H15" s="1104">
        <v>0</v>
      </c>
      <c r="I15" s="1089">
        <v>0</v>
      </c>
      <c r="J15" s="1090">
        <v>0</v>
      </c>
      <c r="K15" s="1089">
        <v>0</v>
      </c>
      <c r="L15" s="1089">
        <v>0</v>
      </c>
      <c r="M15" s="1090">
        <v>0</v>
      </c>
      <c r="N15" s="1091">
        <v>0</v>
      </c>
      <c r="O15" s="1089">
        <v>0</v>
      </c>
      <c r="P15" s="1090">
        <v>0</v>
      </c>
      <c r="Q15" s="1090">
        <v>0</v>
      </c>
      <c r="R15" s="1090">
        <v>0</v>
      </c>
      <c r="S15" s="1090">
        <v>0</v>
      </c>
      <c r="T15" s="1089">
        <v>0</v>
      </c>
      <c r="U15" s="1090">
        <v>0</v>
      </c>
      <c r="V15" s="1090">
        <v>0</v>
      </c>
      <c r="W15" s="1092">
        <v>0</v>
      </c>
      <c r="X15" s="1090">
        <v>0</v>
      </c>
      <c r="Y15" s="1092">
        <v>0</v>
      </c>
      <c r="Z15" s="1092">
        <v>0</v>
      </c>
      <c r="AA15" s="1090">
        <v>0</v>
      </c>
      <c r="AB15" s="1090">
        <v>0</v>
      </c>
      <c r="AC15" s="1090">
        <v>0</v>
      </c>
      <c r="AD15" s="1090">
        <v>0</v>
      </c>
      <c r="AE15" s="1088">
        <v>0</v>
      </c>
      <c r="AF15" s="1093">
        <v>0</v>
      </c>
      <c r="AG15" s="1093">
        <v>0</v>
      </c>
      <c r="AH15" s="1093">
        <v>0</v>
      </c>
      <c r="AI15" s="1088">
        <v>0</v>
      </c>
      <c r="AJ15" s="1105">
        <v>2</v>
      </c>
      <c r="AK15" s="1102">
        <v>2</v>
      </c>
      <c r="AL15" s="1103">
        <v>0</v>
      </c>
      <c r="AM15" s="1103">
        <v>0</v>
      </c>
      <c r="AN15" s="1103">
        <v>0</v>
      </c>
      <c r="AO15" s="1104">
        <v>0</v>
      </c>
      <c r="AP15" s="1107">
        <v>0</v>
      </c>
      <c r="AQ15" s="1103">
        <v>0</v>
      </c>
      <c r="AR15" s="1103">
        <v>0</v>
      </c>
      <c r="AS15" s="1107">
        <v>0</v>
      </c>
      <c r="AT15" s="1107">
        <v>0</v>
      </c>
      <c r="AU15" s="1103">
        <v>0</v>
      </c>
      <c r="AV15" s="1104">
        <v>0</v>
      </c>
      <c r="AW15" s="1103">
        <v>0</v>
      </c>
      <c r="AX15" s="1107">
        <v>0</v>
      </c>
      <c r="AY15" s="1104">
        <v>0</v>
      </c>
      <c r="AZ15" s="1104">
        <v>0</v>
      </c>
      <c r="BA15" s="1104">
        <v>0</v>
      </c>
      <c r="BB15" s="1104">
        <v>0</v>
      </c>
      <c r="BC15" s="1107">
        <v>0</v>
      </c>
      <c r="BD15" s="1107">
        <v>0</v>
      </c>
      <c r="BE15" s="1106">
        <v>0</v>
      </c>
      <c r="BF15" s="1108">
        <v>0</v>
      </c>
      <c r="BG15" s="1109">
        <v>0</v>
      </c>
      <c r="BH15" s="1110">
        <v>0</v>
      </c>
    </row>
    <row r="16" spans="1:60" ht="16.2" x14ac:dyDescent="0.45">
      <c r="A16" s="1100">
        <v>27760</v>
      </c>
      <c r="B16" s="1101">
        <v>3</v>
      </c>
      <c r="C16" s="1085">
        <v>1</v>
      </c>
      <c r="D16" s="1102">
        <f>COUNTIFS(发射纪录!$B:$B,"&lt;&gt;-",发射纪录!$G:$G,"&gt;="&amp;DATE(YEAR($A16),1,1),发射纪录!$G:$G,"&lt;="&amp;DATE(YEAR($A16),12,31),发射纪录!$N:$N,"&lt;&gt;",发射纪录!$D:$D,"="&amp;CLEAN(火箭年間統計!D$6))</f>
        <v>0</v>
      </c>
      <c r="E16" s="1103">
        <f>COUNTIFS(发射纪录!$B:$B,"&lt;&gt;-",发射纪录!$G:$G,"&gt;="&amp;DATE(YEAR($A16),1,1),发射纪录!$G:$G,"&lt;="&amp;DATE(YEAR($A16),12,31),发射纪录!$N:$N,"&lt;&gt;",发射纪录!$D:$D,"="&amp;CLEAN(火箭年間統計!E$6))</f>
        <v>0</v>
      </c>
      <c r="F16" s="1103">
        <f>COUNTIFS(发射纪录!$B:$B,"&lt;&gt;-",发射纪录!$G:$G,"&gt;="&amp;DATE(YEAR($A16),1,1),发射纪录!$G:$G,"&lt;="&amp;DATE(YEAR($A16),12,31),发射纪录!$N:$N,"&lt;&gt;",发射纪录!$D:$D,"="&amp;CLEAN(火箭年間統計!F$6))</f>
        <v>1</v>
      </c>
      <c r="G16" s="1104">
        <v>0</v>
      </c>
      <c r="H16" s="1104">
        <v>0</v>
      </c>
      <c r="I16" s="1089">
        <v>0</v>
      </c>
      <c r="J16" s="1090">
        <v>0</v>
      </c>
      <c r="K16" s="1089">
        <v>0</v>
      </c>
      <c r="L16" s="1089">
        <v>0</v>
      </c>
      <c r="M16" s="1090">
        <v>0</v>
      </c>
      <c r="N16" s="1091">
        <v>0</v>
      </c>
      <c r="O16" s="1089">
        <v>0</v>
      </c>
      <c r="P16" s="1090">
        <v>0</v>
      </c>
      <c r="Q16" s="1090">
        <v>0</v>
      </c>
      <c r="R16" s="1090">
        <v>0</v>
      </c>
      <c r="S16" s="1090">
        <v>0</v>
      </c>
      <c r="T16" s="1089">
        <v>0</v>
      </c>
      <c r="U16" s="1090">
        <v>0</v>
      </c>
      <c r="V16" s="1090">
        <v>0</v>
      </c>
      <c r="W16" s="1092">
        <v>0</v>
      </c>
      <c r="X16" s="1090">
        <v>0</v>
      </c>
      <c r="Y16" s="1092">
        <v>0</v>
      </c>
      <c r="Z16" s="1092">
        <v>0</v>
      </c>
      <c r="AA16" s="1090">
        <v>0</v>
      </c>
      <c r="AB16" s="1090">
        <v>0</v>
      </c>
      <c r="AC16" s="1090">
        <v>0</v>
      </c>
      <c r="AD16" s="1090">
        <v>0</v>
      </c>
      <c r="AE16" s="1088">
        <v>0</v>
      </c>
      <c r="AF16" s="1093">
        <v>0</v>
      </c>
      <c r="AG16" s="1093">
        <v>0</v>
      </c>
      <c r="AH16" s="1093">
        <v>0</v>
      </c>
      <c r="AI16" s="1088">
        <v>0</v>
      </c>
      <c r="AJ16" s="1105">
        <v>2</v>
      </c>
      <c r="AK16" s="1102">
        <v>2</v>
      </c>
      <c r="AL16" s="1103">
        <v>0</v>
      </c>
      <c r="AM16" s="1103">
        <v>0</v>
      </c>
      <c r="AN16" s="1103">
        <v>0</v>
      </c>
      <c r="AO16" s="1104">
        <v>0</v>
      </c>
      <c r="AP16" s="1107">
        <v>0</v>
      </c>
      <c r="AQ16" s="1103">
        <v>0</v>
      </c>
      <c r="AR16" s="1103">
        <v>0</v>
      </c>
      <c r="AS16" s="1107">
        <v>0</v>
      </c>
      <c r="AT16" s="1107">
        <v>0</v>
      </c>
      <c r="AU16" s="1103">
        <v>0</v>
      </c>
      <c r="AV16" s="1104">
        <v>0</v>
      </c>
      <c r="AW16" s="1103">
        <v>0</v>
      </c>
      <c r="AX16" s="1107">
        <v>0</v>
      </c>
      <c r="AY16" s="1104">
        <v>0</v>
      </c>
      <c r="AZ16" s="1104">
        <v>0</v>
      </c>
      <c r="BA16" s="1104">
        <v>0</v>
      </c>
      <c r="BB16" s="1104">
        <v>0</v>
      </c>
      <c r="BC16" s="1107">
        <v>0</v>
      </c>
      <c r="BD16" s="1107">
        <v>0</v>
      </c>
      <c r="BE16" s="1106">
        <v>0</v>
      </c>
      <c r="BF16" s="1108">
        <v>0</v>
      </c>
      <c r="BG16" s="1109">
        <v>0</v>
      </c>
      <c r="BH16" s="1110">
        <v>0</v>
      </c>
    </row>
    <row r="17" spans="1:60" ht="16.2" x14ac:dyDescent="0.45">
      <c r="A17" s="1100">
        <v>28126</v>
      </c>
      <c r="B17" s="1101">
        <v>0</v>
      </c>
      <c r="C17" s="1085">
        <v>0</v>
      </c>
      <c r="D17" s="1102">
        <f>COUNTIFS(发射纪录!$B:$B,"&lt;&gt;-",发射纪录!$G:$G,"&gt;="&amp;DATE(YEAR($A17),1,1),发射纪录!$G:$G,"&lt;="&amp;DATE(YEAR($A17),12,31),发射纪录!$N:$N,"&lt;&gt;",发射纪录!$D:$D,"="&amp;CLEAN(火箭年間統計!D$6))</f>
        <v>0</v>
      </c>
      <c r="E17" s="1103">
        <f>COUNTIFS(发射纪录!$B:$B,"&lt;&gt;-",发射纪录!$G:$G,"&gt;="&amp;DATE(YEAR($A17),1,1),发射纪录!$G:$G,"&lt;="&amp;DATE(YEAR($A17),12,31),发射纪录!$N:$N,"&lt;&gt;",发射纪录!$D:$D,"="&amp;CLEAN(火箭年間統計!E$6))</f>
        <v>0</v>
      </c>
      <c r="F17" s="1103">
        <f>COUNTIFS(发射纪录!$B:$B,"&lt;&gt;-",发射纪录!$G:$G,"&gt;="&amp;DATE(YEAR($A17),1,1),发射纪录!$G:$G,"&lt;="&amp;DATE(YEAR($A17),12,31),发射纪录!$N:$N,"&lt;&gt;",发射纪录!$D:$D,"="&amp;CLEAN(火箭年間統計!F$6))</f>
        <v>0</v>
      </c>
      <c r="G17" s="1104">
        <v>0</v>
      </c>
      <c r="H17" s="1104">
        <v>0</v>
      </c>
      <c r="I17" s="1089">
        <v>0</v>
      </c>
      <c r="J17" s="1090">
        <v>0</v>
      </c>
      <c r="K17" s="1089">
        <v>0</v>
      </c>
      <c r="L17" s="1089">
        <v>0</v>
      </c>
      <c r="M17" s="1090">
        <v>0</v>
      </c>
      <c r="N17" s="1091">
        <v>0</v>
      </c>
      <c r="O17" s="1089">
        <v>0</v>
      </c>
      <c r="P17" s="1090">
        <v>0</v>
      </c>
      <c r="Q17" s="1090">
        <v>0</v>
      </c>
      <c r="R17" s="1090">
        <v>0</v>
      </c>
      <c r="S17" s="1090">
        <v>0</v>
      </c>
      <c r="T17" s="1089">
        <v>0</v>
      </c>
      <c r="U17" s="1090">
        <v>0</v>
      </c>
      <c r="V17" s="1090">
        <v>0</v>
      </c>
      <c r="W17" s="1092">
        <v>0</v>
      </c>
      <c r="X17" s="1090">
        <v>0</v>
      </c>
      <c r="Y17" s="1092">
        <v>0</v>
      </c>
      <c r="Z17" s="1092">
        <v>0</v>
      </c>
      <c r="AA17" s="1090">
        <v>0</v>
      </c>
      <c r="AB17" s="1090">
        <v>0</v>
      </c>
      <c r="AC17" s="1090">
        <v>0</v>
      </c>
      <c r="AD17" s="1090">
        <v>0</v>
      </c>
      <c r="AE17" s="1088">
        <v>0</v>
      </c>
      <c r="AF17" s="1093">
        <v>0</v>
      </c>
      <c r="AG17" s="1093">
        <v>0</v>
      </c>
      <c r="AH17" s="1093">
        <v>0</v>
      </c>
      <c r="AI17" s="1088">
        <v>0</v>
      </c>
      <c r="AJ17" s="1105">
        <v>0</v>
      </c>
      <c r="AK17" s="1102">
        <v>0</v>
      </c>
      <c r="AL17" s="1103">
        <v>0</v>
      </c>
      <c r="AM17" s="1103">
        <v>0</v>
      </c>
      <c r="AN17" s="1103">
        <v>0</v>
      </c>
      <c r="AO17" s="1104">
        <v>0</v>
      </c>
      <c r="AP17" s="1107">
        <v>0</v>
      </c>
      <c r="AQ17" s="1103">
        <v>0</v>
      </c>
      <c r="AR17" s="1103">
        <v>0</v>
      </c>
      <c r="AS17" s="1107">
        <v>0</v>
      </c>
      <c r="AT17" s="1107">
        <v>0</v>
      </c>
      <c r="AU17" s="1103">
        <v>0</v>
      </c>
      <c r="AV17" s="1104">
        <v>0</v>
      </c>
      <c r="AW17" s="1103">
        <v>0</v>
      </c>
      <c r="AX17" s="1107">
        <v>0</v>
      </c>
      <c r="AY17" s="1104">
        <v>0</v>
      </c>
      <c r="AZ17" s="1104">
        <v>0</v>
      </c>
      <c r="BA17" s="1104">
        <v>0</v>
      </c>
      <c r="BB17" s="1104">
        <v>0</v>
      </c>
      <c r="BC17" s="1107">
        <v>0</v>
      </c>
      <c r="BD17" s="1107">
        <v>0</v>
      </c>
      <c r="BE17" s="1106">
        <v>0</v>
      </c>
      <c r="BF17" s="1108">
        <v>0</v>
      </c>
      <c r="BG17" s="1109">
        <v>0</v>
      </c>
      <c r="BH17" s="1110">
        <v>0</v>
      </c>
    </row>
    <row r="18" spans="1:60" ht="16.2" x14ac:dyDescent="0.45">
      <c r="A18" s="1100">
        <v>28491</v>
      </c>
      <c r="B18" s="1101">
        <v>1</v>
      </c>
      <c r="C18" s="1085">
        <v>1</v>
      </c>
      <c r="D18" s="1102">
        <f>COUNTIFS(发射纪录!$B:$B,"&lt;&gt;-",发射纪录!$G:$G,"&gt;="&amp;DATE(YEAR($A18),1,1),发射纪录!$G:$G,"&lt;="&amp;DATE(YEAR($A18),12,31),发射纪录!$N:$N,"&lt;&gt;",发射纪录!$D:$D,"="&amp;CLEAN(火箭年間統計!D$6))</f>
        <v>0</v>
      </c>
      <c r="E18" s="1103">
        <f>COUNTIFS(发射纪录!$B:$B,"&lt;&gt;-",发射纪录!$G:$G,"&gt;="&amp;DATE(YEAR($A18),1,1),发射纪录!$G:$G,"&lt;="&amp;DATE(YEAR($A18),12,31),发射纪录!$N:$N,"&lt;&gt;",发射纪录!$D:$D,"="&amp;CLEAN(火箭年間統計!E$6))</f>
        <v>0</v>
      </c>
      <c r="F18" s="1103">
        <f>COUNTIFS(发射纪录!$B:$B,"&lt;&gt;-",发射纪录!$G:$G,"&gt;="&amp;DATE(YEAR($A18),1,1),发射纪录!$G:$G,"&lt;="&amp;DATE(YEAR($A18),12,31),发射纪录!$N:$N,"&lt;&gt;",发射纪录!$D:$D,"="&amp;CLEAN(火箭年間統計!F$6))</f>
        <v>1</v>
      </c>
      <c r="G18" s="1104">
        <v>0</v>
      </c>
      <c r="H18" s="1104">
        <v>0</v>
      </c>
      <c r="I18" s="1089">
        <v>0</v>
      </c>
      <c r="J18" s="1090">
        <v>0</v>
      </c>
      <c r="K18" s="1089">
        <v>0</v>
      </c>
      <c r="L18" s="1089">
        <v>0</v>
      </c>
      <c r="M18" s="1090">
        <v>0</v>
      </c>
      <c r="N18" s="1091">
        <v>0</v>
      </c>
      <c r="O18" s="1089">
        <v>0</v>
      </c>
      <c r="P18" s="1090">
        <v>0</v>
      </c>
      <c r="Q18" s="1090">
        <v>0</v>
      </c>
      <c r="R18" s="1090">
        <v>0</v>
      </c>
      <c r="S18" s="1090">
        <v>0</v>
      </c>
      <c r="T18" s="1089">
        <v>0</v>
      </c>
      <c r="U18" s="1090">
        <v>0</v>
      </c>
      <c r="V18" s="1090">
        <v>0</v>
      </c>
      <c r="W18" s="1092">
        <v>0</v>
      </c>
      <c r="X18" s="1090">
        <v>0</v>
      </c>
      <c r="Y18" s="1092">
        <v>0</v>
      </c>
      <c r="Z18" s="1092">
        <v>0</v>
      </c>
      <c r="AA18" s="1090">
        <v>0</v>
      </c>
      <c r="AB18" s="1090">
        <v>0</v>
      </c>
      <c r="AC18" s="1090">
        <v>0</v>
      </c>
      <c r="AD18" s="1090">
        <v>0</v>
      </c>
      <c r="AE18" s="1088">
        <v>0</v>
      </c>
      <c r="AF18" s="1093">
        <v>0</v>
      </c>
      <c r="AG18" s="1093">
        <v>0</v>
      </c>
      <c r="AH18" s="1093">
        <v>0</v>
      </c>
      <c r="AI18" s="1088">
        <v>0</v>
      </c>
      <c r="AJ18" s="1105">
        <v>0</v>
      </c>
      <c r="AK18" s="1102">
        <v>0</v>
      </c>
      <c r="AL18" s="1103">
        <v>0</v>
      </c>
      <c r="AM18" s="1103">
        <v>0</v>
      </c>
      <c r="AN18" s="1103">
        <v>0</v>
      </c>
      <c r="AO18" s="1104">
        <v>0</v>
      </c>
      <c r="AP18" s="1107">
        <v>0</v>
      </c>
      <c r="AQ18" s="1103">
        <v>0</v>
      </c>
      <c r="AR18" s="1103">
        <v>0</v>
      </c>
      <c r="AS18" s="1107">
        <v>0</v>
      </c>
      <c r="AT18" s="1107">
        <v>0</v>
      </c>
      <c r="AU18" s="1103">
        <v>0</v>
      </c>
      <c r="AV18" s="1104">
        <v>0</v>
      </c>
      <c r="AW18" s="1103">
        <v>0</v>
      </c>
      <c r="AX18" s="1107">
        <v>0</v>
      </c>
      <c r="AY18" s="1104">
        <v>0</v>
      </c>
      <c r="AZ18" s="1104">
        <v>0</v>
      </c>
      <c r="BA18" s="1104">
        <v>0</v>
      </c>
      <c r="BB18" s="1104">
        <v>0</v>
      </c>
      <c r="BC18" s="1107">
        <v>0</v>
      </c>
      <c r="BD18" s="1107">
        <v>0</v>
      </c>
      <c r="BE18" s="1106">
        <v>0</v>
      </c>
      <c r="BF18" s="1108">
        <v>0</v>
      </c>
      <c r="BG18" s="1109">
        <v>0</v>
      </c>
      <c r="BH18" s="1110">
        <v>0</v>
      </c>
    </row>
    <row r="19" spans="1:60" ht="16.2" x14ac:dyDescent="0.45">
      <c r="A19" s="1100">
        <v>28856</v>
      </c>
      <c r="B19" s="1101">
        <v>1</v>
      </c>
      <c r="C19" s="1085">
        <v>0</v>
      </c>
      <c r="D19" s="1102">
        <f>COUNTIFS(发射纪录!$B:$B,"&lt;&gt;-",发射纪录!$G:$G,"&gt;="&amp;DATE(YEAR($A19),1,1),发射纪录!$G:$G,"&lt;="&amp;DATE(YEAR($A19),12,31),发射纪录!$N:$N,"&lt;&gt;",发射纪录!$D:$D,"="&amp;CLEAN(火箭年間統計!D$6))</f>
        <v>0</v>
      </c>
      <c r="E19" s="1103">
        <f>COUNTIFS(发射纪录!$B:$B,"&lt;&gt;-",发射纪录!$G:$G,"&gt;="&amp;DATE(YEAR($A19),1,1),发射纪录!$G:$G,"&lt;="&amp;DATE(YEAR($A19),12,31),发射纪录!$N:$N,"&lt;&gt;",发射纪录!$D:$D,"="&amp;CLEAN(火箭年間統計!E$6))</f>
        <v>0</v>
      </c>
      <c r="F19" s="1103">
        <f>COUNTIFS(发射纪录!$B:$B,"&lt;&gt;-",发射纪录!$G:$G,"&gt;="&amp;DATE(YEAR($A19),1,1),发射纪录!$G:$G,"&lt;="&amp;DATE(YEAR($A19),12,31),发射纪录!$N:$N,"&lt;&gt;",发射纪录!$D:$D,"="&amp;CLEAN(火箭年間統計!F$6))</f>
        <v>0</v>
      </c>
      <c r="G19" s="1104">
        <v>0</v>
      </c>
      <c r="H19" s="1104">
        <v>0</v>
      </c>
      <c r="I19" s="1089">
        <v>0</v>
      </c>
      <c r="J19" s="1090">
        <v>0</v>
      </c>
      <c r="K19" s="1089">
        <v>0</v>
      </c>
      <c r="L19" s="1089">
        <v>0</v>
      </c>
      <c r="M19" s="1090">
        <v>0</v>
      </c>
      <c r="N19" s="1091">
        <v>0</v>
      </c>
      <c r="O19" s="1089">
        <v>0</v>
      </c>
      <c r="P19" s="1090">
        <v>0</v>
      </c>
      <c r="Q19" s="1090">
        <v>0</v>
      </c>
      <c r="R19" s="1090">
        <v>0</v>
      </c>
      <c r="S19" s="1090">
        <v>0</v>
      </c>
      <c r="T19" s="1089">
        <v>0</v>
      </c>
      <c r="U19" s="1090">
        <v>0</v>
      </c>
      <c r="V19" s="1090">
        <v>0</v>
      </c>
      <c r="W19" s="1092">
        <v>0</v>
      </c>
      <c r="X19" s="1090">
        <v>0</v>
      </c>
      <c r="Y19" s="1092">
        <v>0</v>
      </c>
      <c r="Z19" s="1092">
        <v>0</v>
      </c>
      <c r="AA19" s="1090">
        <v>0</v>
      </c>
      <c r="AB19" s="1090">
        <v>0</v>
      </c>
      <c r="AC19" s="1090">
        <v>0</v>
      </c>
      <c r="AD19" s="1090">
        <v>0</v>
      </c>
      <c r="AE19" s="1088">
        <v>0</v>
      </c>
      <c r="AF19" s="1093">
        <v>0</v>
      </c>
      <c r="AG19" s="1093">
        <v>0</v>
      </c>
      <c r="AH19" s="1093">
        <v>0</v>
      </c>
      <c r="AI19" s="1088">
        <v>0</v>
      </c>
      <c r="AJ19" s="1105">
        <v>1</v>
      </c>
      <c r="AK19" s="1102">
        <v>1</v>
      </c>
      <c r="AL19" s="1103">
        <v>0</v>
      </c>
      <c r="AM19" s="1103">
        <v>0</v>
      </c>
      <c r="AN19" s="1103">
        <v>0</v>
      </c>
      <c r="AO19" s="1104">
        <v>0</v>
      </c>
      <c r="AP19" s="1107">
        <v>0</v>
      </c>
      <c r="AQ19" s="1103">
        <v>0</v>
      </c>
      <c r="AR19" s="1103">
        <v>0</v>
      </c>
      <c r="AS19" s="1107">
        <v>0</v>
      </c>
      <c r="AT19" s="1107">
        <v>0</v>
      </c>
      <c r="AU19" s="1103">
        <v>0</v>
      </c>
      <c r="AV19" s="1104">
        <v>0</v>
      </c>
      <c r="AW19" s="1103">
        <v>0</v>
      </c>
      <c r="AX19" s="1107">
        <v>0</v>
      </c>
      <c r="AY19" s="1104">
        <v>0</v>
      </c>
      <c r="AZ19" s="1104">
        <v>0</v>
      </c>
      <c r="BA19" s="1104">
        <v>0</v>
      </c>
      <c r="BB19" s="1104">
        <v>0</v>
      </c>
      <c r="BC19" s="1107">
        <v>0</v>
      </c>
      <c r="BD19" s="1107">
        <v>0</v>
      </c>
      <c r="BE19" s="1106">
        <v>0</v>
      </c>
      <c r="BF19" s="1108">
        <v>0</v>
      </c>
      <c r="BG19" s="1109">
        <v>0</v>
      </c>
      <c r="BH19" s="1110">
        <v>0</v>
      </c>
    </row>
    <row r="20" spans="1:60" ht="16.2" x14ac:dyDescent="0.45">
      <c r="A20" s="1100">
        <v>29221</v>
      </c>
      <c r="B20" s="1101">
        <v>0</v>
      </c>
      <c r="C20" s="1085">
        <v>0</v>
      </c>
      <c r="D20" s="1102">
        <f>COUNTIFS(发射纪录!$B:$B,"&lt;&gt;-",发射纪录!$G:$G,"&gt;="&amp;DATE(YEAR($A20),1,1),发射纪录!$G:$G,"&lt;="&amp;DATE(YEAR($A20),12,31),发射纪录!$N:$N,"&lt;&gt;",发射纪录!$D:$D,"="&amp;CLEAN(火箭年間統計!D$6))</f>
        <v>0</v>
      </c>
      <c r="E20" s="1103">
        <f>COUNTIFS(发射纪录!$B:$B,"&lt;&gt;-",发射纪录!$G:$G,"&gt;="&amp;DATE(YEAR($A20),1,1),发射纪录!$G:$G,"&lt;="&amp;DATE(YEAR($A20),12,31),发射纪录!$N:$N,"&lt;&gt;",发射纪录!$D:$D,"="&amp;CLEAN(火箭年間統計!E$6))</f>
        <v>0</v>
      </c>
      <c r="F20" s="1103">
        <f>COUNTIFS(发射纪录!$B:$B,"&lt;&gt;-",发射纪录!$G:$G,"&gt;="&amp;DATE(YEAR($A20),1,1),发射纪录!$G:$G,"&lt;="&amp;DATE(YEAR($A20),12,31),发射纪录!$N:$N,"&lt;&gt;",发射纪录!$D:$D,"="&amp;CLEAN(火箭年間統計!F$6))</f>
        <v>0</v>
      </c>
      <c r="G20" s="1104">
        <v>0</v>
      </c>
      <c r="H20" s="1104">
        <v>0</v>
      </c>
      <c r="I20" s="1089">
        <v>0</v>
      </c>
      <c r="J20" s="1090">
        <v>0</v>
      </c>
      <c r="K20" s="1089">
        <v>0</v>
      </c>
      <c r="L20" s="1089">
        <v>0</v>
      </c>
      <c r="M20" s="1090">
        <v>0</v>
      </c>
      <c r="N20" s="1091">
        <v>0</v>
      </c>
      <c r="O20" s="1089">
        <v>0</v>
      </c>
      <c r="P20" s="1090">
        <v>0</v>
      </c>
      <c r="Q20" s="1090">
        <v>0</v>
      </c>
      <c r="R20" s="1090">
        <v>0</v>
      </c>
      <c r="S20" s="1090">
        <v>0</v>
      </c>
      <c r="T20" s="1089">
        <v>0</v>
      </c>
      <c r="U20" s="1090">
        <v>0</v>
      </c>
      <c r="V20" s="1090">
        <v>0</v>
      </c>
      <c r="W20" s="1092">
        <v>0</v>
      </c>
      <c r="X20" s="1090">
        <v>0</v>
      </c>
      <c r="Y20" s="1092">
        <v>0</v>
      </c>
      <c r="Z20" s="1092">
        <v>0</v>
      </c>
      <c r="AA20" s="1090">
        <v>0</v>
      </c>
      <c r="AB20" s="1090">
        <v>0</v>
      </c>
      <c r="AC20" s="1090">
        <v>0</v>
      </c>
      <c r="AD20" s="1090">
        <v>0</v>
      </c>
      <c r="AE20" s="1088">
        <v>0</v>
      </c>
      <c r="AF20" s="1093">
        <v>0</v>
      </c>
      <c r="AG20" s="1093">
        <v>0</v>
      </c>
      <c r="AH20" s="1093">
        <v>0</v>
      </c>
      <c r="AI20" s="1088">
        <v>0</v>
      </c>
      <c r="AJ20" s="1105">
        <v>0</v>
      </c>
      <c r="AK20" s="1102">
        <v>0</v>
      </c>
      <c r="AL20" s="1103">
        <v>0</v>
      </c>
      <c r="AM20" s="1103">
        <v>0</v>
      </c>
      <c r="AN20" s="1103">
        <v>0</v>
      </c>
      <c r="AO20" s="1104">
        <v>0</v>
      </c>
      <c r="AP20" s="1107">
        <v>0</v>
      </c>
      <c r="AQ20" s="1103">
        <v>0</v>
      </c>
      <c r="AR20" s="1103">
        <v>0</v>
      </c>
      <c r="AS20" s="1107">
        <v>0</v>
      </c>
      <c r="AT20" s="1107">
        <v>0</v>
      </c>
      <c r="AU20" s="1103">
        <v>0</v>
      </c>
      <c r="AV20" s="1104">
        <v>0</v>
      </c>
      <c r="AW20" s="1103">
        <v>0</v>
      </c>
      <c r="AX20" s="1107">
        <v>0</v>
      </c>
      <c r="AY20" s="1104">
        <v>0</v>
      </c>
      <c r="AZ20" s="1104">
        <v>0</v>
      </c>
      <c r="BA20" s="1104">
        <v>0</v>
      </c>
      <c r="BB20" s="1104">
        <v>0</v>
      </c>
      <c r="BC20" s="1107">
        <v>0</v>
      </c>
      <c r="BD20" s="1107">
        <v>0</v>
      </c>
      <c r="BE20" s="1106">
        <v>0</v>
      </c>
      <c r="BF20" s="1108">
        <v>0</v>
      </c>
      <c r="BG20" s="1109">
        <v>0</v>
      </c>
      <c r="BH20" s="1110">
        <v>0</v>
      </c>
    </row>
    <row r="21" spans="1:60" ht="16.2" x14ac:dyDescent="0.45">
      <c r="A21" s="1100">
        <v>29587</v>
      </c>
      <c r="B21" s="1101">
        <v>1</v>
      </c>
      <c r="C21" s="1085">
        <v>0</v>
      </c>
      <c r="D21" s="1102">
        <f>COUNTIFS(发射纪录!$B:$B,"&lt;&gt;-",发射纪录!$G:$G,"&gt;="&amp;DATE(YEAR($A21),1,1),发射纪录!$G:$G,"&lt;="&amp;DATE(YEAR($A21),12,31),发射纪录!$N:$N,"&lt;&gt;",发射纪录!$D:$D,"="&amp;CLEAN(火箭年間統計!D$6))</f>
        <v>0</v>
      </c>
      <c r="E21" s="1103">
        <f>COUNTIFS(发射纪录!$B:$B,"&lt;&gt;-",发射纪录!$G:$G,"&gt;="&amp;DATE(YEAR($A21),1,1),发射纪录!$G:$G,"&lt;="&amp;DATE(YEAR($A21),12,31),发射纪录!$N:$N,"&lt;&gt;",发射纪录!$D:$D,"="&amp;CLEAN(火箭年間統計!E$6))</f>
        <v>0</v>
      </c>
      <c r="F21" s="1103">
        <f>COUNTIFS(发射纪录!$B:$B,"&lt;&gt;-",发射纪录!$G:$G,"&gt;="&amp;DATE(YEAR($A21),1,1),发射纪录!$G:$G,"&lt;="&amp;DATE(YEAR($A21),12,31),发射纪录!$N:$N,"&lt;&gt;",发射纪录!$D:$D,"="&amp;CLEAN(火箭年間統計!F$6))</f>
        <v>0</v>
      </c>
      <c r="G21" s="1104">
        <v>0</v>
      </c>
      <c r="H21" s="1104">
        <v>0</v>
      </c>
      <c r="I21" s="1089">
        <v>0</v>
      </c>
      <c r="J21" s="1090">
        <v>0</v>
      </c>
      <c r="K21" s="1089">
        <v>0</v>
      </c>
      <c r="L21" s="1089">
        <v>0</v>
      </c>
      <c r="M21" s="1090">
        <v>0</v>
      </c>
      <c r="N21" s="1091">
        <v>0</v>
      </c>
      <c r="O21" s="1089">
        <v>0</v>
      </c>
      <c r="P21" s="1090">
        <v>0</v>
      </c>
      <c r="Q21" s="1090">
        <v>0</v>
      </c>
      <c r="R21" s="1090">
        <v>0</v>
      </c>
      <c r="S21" s="1090">
        <v>0</v>
      </c>
      <c r="T21" s="1089">
        <v>0</v>
      </c>
      <c r="U21" s="1090">
        <v>0</v>
      </c>
      <c r="V21" s="1090">
        <v>0</v>
      </c>
      <c r="W21" s="1092">
        <v>0</v>
      </c>
      <c r="X21" s="1090">
        <v>0</v>
      </c>
      <c r="Y21" s="1092">
        <v>0</v>
      </c>
      <c r="Z21" s="1092">
        <v>0</v>
      </c>
      <c r="AA21" s="1090">
        <v>0</v>
      </c>
      <c r="AB21" s="1090">
        <v>0</v>
      </c>
      <c r="AC21" s="1090">
        <v>0</v>
      </c>
      <c r="AD21" s="1090">
        <v>0</v>
      </c>
      <c r="AE21" s="1088">
        <v>0</v>
      </c>
      <c r="AF21" s="1093">
        <v>0</v>
      </c>
      <c r="AG21" s="1093">
        <v>0</v>
      </c>
      <c r="AH21" s="1093">
        <v>0</v>
      </c>
      <c r="AI21" s="1088">
        <v>0</v>
      </c>
      <c r="AJ21" s="1105">
        <v>1</v>
      </c>
      <c r="AK21" s="1102">
        <v>1</v>
      </c>
      <c r="AL21" s="1103">
        <v>0</v>
      </c>
      <c r="AM21" s="1103">
        <v>0</v>
      </c>
      <c r="AN21" s="1103">
        <v>0</v>
      </c>
      <c r="AO21" s="1104">
        <v>0</v>
      </c>
      <c r="AP21" s="1107">
        <v>0</v>
      </c>
      <c r="AQ21" s="1103">
        <v>0</v>
      </c>
      <c r="AR21" s="1103">
        <v>0</v>
      </c>
      <c r="AS21" s="1107">
        <v>0</v>
      </c>
      <c r="AT21" s="1107">
        <v>0</v>
      </c>
      <c r="AU21" s="1103">
        <v>0</v>
      </c>
      <c r="AV21" s="1104">
        <v>0</v>
      </c>
      <c r="AW21" s="1103">
        <v>0</v>
      </c>
      <c r="AX21" s="1107">
        <v>0</v>
      </c>
      <c r="AY21" s="1104">
        <v>0</v>
      </c>
      <c r="AZ21" s="1104">
        <v>0</v>
      </c>
      <c r="BA21" s="1104">
        <v>0</v>
      </c>
      <c r="BB21" s="1104">
        <v>0</v>
      </c>
      <c r="BC21" s="1107">
        <v>0</v>
      </c>
      <c r="BD21" s="1107">
        <v>0</v>
      </c>
      <c r="BE21" s="1106">
        <v>0</v>
      </c>
      <c r="BF21" s="1108">
        <v>0</v>
      </c>
      <c r="BG21" s="1109">
        <v>0</v>
      </c>
      <c r="BH21" s="1110">
        <v>0</v>
      </c>
    </row>
    <row r="22" spans="1:60" ht="16.2" x14ac:dyDescent="0.45">
      <c r="A22" s="1100">
        <v>29952</v>
      </c>
      <c r="B22" s="1101">
        <v>1</v>
      </c>
      <c r="C22" s="1085">
        <v>1</v>
      </c>
      <c r="D22" s="1102">
        <f>COUNTIFS(发射纪录!$B:$B,"&lt;&gt;-",发射纪录!$G:$G,"&gt;="&amp;DATE(YEAR($A22),1,1),发射纪录!$G:$G,"&lt;="&amp;DATE(YEAR($A22),12,31),发射纪录!$N:$N,"&lt;&gt;",发射纪录!$D:$D,"="&amp;CLEAN(火箭年間統計!D$6))</f>
        <v>0</v>
      </c>
      <c r="E22" s="1103">
        <f>COUNTIFS(发射纪录!$B:$B,"&lt;&gt;-",发射纪录!$G:$G,"&gt;="&amp;DATE(YEAR($A22),1,1),发射纪录!$G:$G,"&lt;="&amp;DATE(YEAR($A22),12,31),发射纪录!$N:$N,"&lt;&gt;",发射纪录!$D:$D,"="&amp;CLEAN(火箭年間統計!E$6))</f>
        <v>0</v>
      </c>
      <c r="F22" s="1103">
        <f>COUNTIFS(发射纪录!$B:$B,"&lt;&gt;-",发射纪录!$G:$G,"&gt;="&amp;DATE(YEAR($A22),1,1),发射纪录!$G:$G,"&lt;="&amp;DATE(YEAR($A22),12,31),发射纪录!$N:$N,"&lt;&gt;",发射纪录!$D:$D,"="&amp;CLEAN(火箭年間統計!F$6))</f>
        <v>0</v>
      </c>
      <c r="G22" s="1104">
        <v>1</v>
      </c>
      <c r="H22" s="1104">
        <v>0</v>
      </c>
      <c r="I22" s="1089">
        <v>0</v>
      </c>
      <c r="J22" s="1090">
        <v>0</v>
      </c>
      <c r="K22" s="1089">
        <v>0</v>
      </c>
      <c r="L22" s="1089">
        <v>0</v>
      </c>
      <c r="M22" s="1090">
        <v>0</v>
      </c>
      <c r="N22" s="1091">
        <v>0</v>
      </c>
      <c r="O22" s="1089">
        <v>0</v>
      </c>
      <c r="P22" s="1090">
        <v>0</v>
      </c>
      <c r="Q22" s="1090">
        <v>0</v>
      </c>
      <c r="R22" s="1090">
        <v>0</v>
      </c>
      <c r="S22" s="1090">
        <v>0</v>
      </c>
      <c r="T22" s="1089">
        <v>0</v>
      </c>
      <c r="U22" s="1090">
        <v>0</v>
      </c>
      <c r="V22" s="1090">
        <v>0</v>
      </c>
      <c r="W22" s="1092">
        <v>0</v>
      </c>
      <c r="X22" s="1090">
        <v>0</v>
      </c>
      <c r="Y22" s="1092">
        <v>0</v>
      </c>
      <c r="Z22" s="1092">
        <v>0</v>
      </c>
      <c r="AA22" s="1090">
        <v>0</v>
      </c>
      <c r="AB22" s="1090">
        <v>0</v>
      </c>
      <c r="AC22" s="1090">
        <v>0</v>
      </c>
      <c r="AD22" s="1090">
        <v>0</v>
      </c>
      <c r="AE22" s="1088">
        <v>0</v>
      </c>
      <c r="AF22" s="1093">
        <v>0</v>
      </c>
      <c r="AG22" s="1093">
        <v>0</v>
      </c>
      <c r="AH22" s="1093">
        <v>0</v>
      </c>
      <c r="AI22" s="1088">
        <v>0</v>
      </c>
      <c r="AJ22" s="1105">
        <v>0</v>
      </c>
      <c r="AK22" s="1102">
        <v>0</v>
      </c>
      <c r="AL22" s="1103">
        <v>0</v>
      </c>
      <c r="AM22" s="1103">
        <v>0</v>
      </c>
      <c r="AN22" s="1103">
        <v>0</v>
      </c>
      <c r="AO22" s="1104">
        <v>0</v>
      </c>
      <c r="AP22" s="1107">
        <v>0</v>
      </c>
      <c r="AQ22" s="1103">
        <v>0</v>
      </c>
      <c r="AR22" s="1103">
        <v>0</v>
      </c>
      <c r="AS22" s="1107">
        <v>0</v>
      </c>
      <c r="AT22" s="1107">
        <v>0</v>
      </c>
      <c r="AU22" s="1103">
        <v>0</v>
      </c>
      <c r="AV22" s="1104">
        <v>0</v>
      </c>
      <c r="AW22" s="1103">
        <v>0</v>
      </c>
      <c r="AX22" s="1107">
        <v>0</v>
      </c>
      <c r="AY22" s="1104">
        <v>0</v>
      </c>
      <c r="AZ22" s="1104">
        <v>0</v>
      </c>
      <c r="BA22" s="1104">
        <v>0</v>
      </c>
      <c r="BB22" s="1104">
        <v>0</v>
      </c>
      <c r="BC22" s="1107">
        <v>0</v>
      </c>
      <c r="BD22" s="1107">
        <v>0</v>
      </c>
      <c r="BE22" s="1106">
        <v>0</v>
      </c>
      <c r="BF22" s="1108">
        <v>0</v>
      </c>
      <c r="BG22" s="1109">
        <v>0</v>
      </c>
      <c r="BH22" s="1110">
        <v>0</v>
      </c>
    </row>
    <row r="23" spans="1:60" ht="16.2" x14ac:dyDescent="0.45">
      <c r="A23" s="1100">
        <v>30317</v>
      </c>
      <c r="B23" s="1101">
        <v>1</v>
      </c>
      <c r="C23" s="1085">
        <v>1</v>
      </c>
      <c r="D23" s="1102">
        <f>COUNTIFS(发射纪录!$B:$B,"&lt;&gt;-",发射纪录!$G:$G,"&gt;="&amp;DATE(YEAR($A23),1,1),发射纪录!$G:$G,"&lt;="&amp;DATE(YEAR($A23),12,31),发射纪录!$N:$N,"&lt;&gt;",发射纪录!$D:$D,"="&amp;CLEAN(火箭年間統計!D$6))</f>
        <v>0</v>
      </c>
      <c r="E23" s="1103">
        <f>COUNTIFS(发射纪录!$B:$B,"&lt;&gt;-",发射纪录!$G:$G,"&gt;="&amp;DATE(YEAR($A23),1,1),发射纪录!$G:$G,"&lt;="&amp;DATE(YEAR($A23),12,31),发射纪录!$N:$N,"&lt;&gt;",发射纪录!$D:$D,"="&amp;CLEAN(火箭年間統計!E$6))</f>
        <v>0</v>
      </c>
      <c r="F23" s="1103">
        <f>COUNTIFS(发射纪录!$B:$B,"&lt;&gt;-",发射纪录!$G:$G,"&gt;="&amp;DATE(YEAR($A23),1,1),发射纪录!$G:$G,"&lt;="&amp;DATE(YEAR($A23),12,31),发射纪录!$N:$N,"&lt;&gt;",发射纪录!$D:$D,"="&amp;CLEAN(火箭年間統計!F$6))</f>
        <v>0</v>
      </c>
      <c r="G23" s="1104">
        <v>1</v>
      </c>
      <c r="H23" s="1104">
        <v>0</v>
      </c>
      <c r="I23" s="1089">
        <v>0</v>
      </c>
      <c r="J23" s="1090">
        <v>0</v>
      </c>
      <c r="K23" s="1089">
        <v>0</v>
      </c>
      <c r="L23" s="1089">
        <v>0</v>
      </c>
      <c r="M23" s="1090">
        <v>0</v>
      </c>
      <c r="N23" s="1091">
        <v>0</v>
      </c>
      <c r="O23" s="1089">
        <v>0</v>
      </c>
      <c r="P23" s="1090">
        <v>0</v>
      </c>
      <c r="Q23" s="1090">
        <v>0</v>
      </c>
      <c r="R23" s="1090">
        <v>0</v>
      </c>
      <c r="S23" s="1090">
        <v>0</v>
      </c>
      <c r="T23" s="1089">
        <v>0</v>
      </c>
      <c r="U23" s="1090">
        <v>0</v>
      </c>
      <c r="V23" s="1090">
        <v>0</v>
      </c>
      <c r="W23" s="1092">
        <v>0</v>
      </c>
      <c r="X23" s="1090">
        <v>0</v>
      </c>
      <c r="Y23" s="1092">
        <v>0</v>
      </c>
      <c r="Z23" s="1092">
        <v>0</v>
      </c>
      <c r="AA23" s="1090">
        <v>0</v>
      </c>
      <c r="AB23" s="1090">
        <v>0</v>
      </c>
      <c r="AC23" s="1090">
        <v>0</v>
      </c>
      <c r="AD23" s="1090">
        <v>0</v>
      </c>
      <c r="AE23" s="1088">
        <v>0</v>
      </c>
      <c r="AF23" s="1093">
        <v>0</v>
      </c>
      <c r="AG23" s="1093">
        <v>0</v>
      </c>
      <c r="AH23" s="1093">
        <v>0</v>
      </c>
      <c r="AI23" s="1088">
        <v>0</v>
      </c>
      <c r="AJ23" s="1105">
        <v>0</v>
      </c>
      <c r="AK23" s="1102">
        <v>0</v>
      </c>
      <c r="AL23" s="1103">
        <v>0</v>
      </c>
      <c r="AM23" s="1103">
        <v>0</v>
      </c>
      <c r="AN23" s="1103">
        <v>0</v>
      </c>
      <c r="AO23" s="1104">
        <v>0</v>
      </c>
      <c r="AP23" s="1107">
        <v>0</v>
      </c>
      <c r="AQ23" s="1103">
        <v>0</v>
      </c>
      <c r="AR23" s="1103">
        <v>0</v>
      </c>
      <c r="AS23" s="1107">
        <v>0</v>
      </c>
      <c r="AT23" s="1107">
        <v>0</v>
      </c>
      <c r="AU23" s="1103">
        <v>0</v>
      </c>
      <c r="AV23" s="1104">
        <v>0</v>
      </c>
      <c r="AW23" s="1103">
        <v>0</v>
      </c>
      <c r="AX23" s="1107">
        <v>0</v>
      </c>
      <c r="AY23" s="1104">
        <v>0</v>
      </c>
      <c r="AZ23" s="1104">
        <v>0</v>
      </c>
      <c r="BA23" s="1104">
        <v>0</v>
      </c>
      <c r="BB23" s="1104">
        <v>0</v>
      </c>
      <c r="BC23" s="1107">
        <v>0</v>
      </c>
      <c r="BD23" s="1107">
        <v>0</v>
      </c>
      <c r="BE23" s="1106">
        <v>0</v>
      </c>
      <c r="BF23" s="1108">
        <v>0</v>
      </c>
      <c r="BG23" s="1109">
        <v>0</v>
      </c>
      <c r="BH23" s="1110">
        <v>0</v>
      </c>
    </row>
    <row r="24" spans="1:60" ht="16.2" x14ac:dyDescent="0.45">
      <c r="A24" s="1100">
        <v>30682</v>
      </c>
      <c r="B24" s="1101">
        <v>3</v>
      </c>
      <c r="C24" s="1085">
        <v>3</v>
      </c>
      <c r="D24" s="1102">
        <f>COUNTIFS(发射纪录!$B:$B,"&lt;&gt;-",发射纪录!$G:$G,"&gt;="&amp;DATE(YEAR($A24),1,1),发射纪录!$G:$G,"&lt;="&amp;DATE(YEAR($A24),12,31),发射纪录!$N:$N,"&lt;&gt;",发射纪录!$D:$D,"="&amp;CLEAN(火箭年間統計!D$6))</f>
        <v>0</v>
      </c>
      <c r="E24" s="1103">
        <f>COUNTIFS(发射纪录!$B:$B,"&lt;&gt;-",发射纪录!$G:$G,"&gt;="&amp;DATE(YEAR($A24),1,1),发射纪录!$G:$G,"&lt;="&amp;DATE(YEAR($A24),12,31),发射纪录!$N:$N,"&lt;&gt;",发射纪录!$D:$D,"="&amp;CLEAN(火箭年間統計!E$6))</f>
        <v>0</v>
      </c>
      <c r="F24" s="1103">
        <f>COUNTIFS(发射纪录!$B:$B,"&lt;&gt;-",发射纪录!$G:$G,"&gt;="&amp;DATE(YEAR($A24),1,1),发射纪录!$G:$G,"&lt;="&amp;DATE(YEAR($A24),12,31),发射纪录!$N:$N,"&lt;&gt;",发射纪录!$D:$D,"="&amp;CLEAN(火箭年間統計!F$6))</f>
        <v>0</v>
      </c>
      <c r="G24" s="1104">
        <v>1</v>
      </c>
      <c r="H24" s="1104">
        <v>0</v>
      </c>
      <c r="I24" s="1089">
        <v>0</v>
      </c>
      <c r="J24" s="1090">
        <v>0</v>
      </c>
      <c r="K24" s="1089">
        <v>2</v>
      </c>
      <c r="L24" s="1089">
        <v>0</v>
      </c>
      <c r="M24" s="1090">
        <v>0</v>
      </c>
      <c r="N24" s="1091">
        <v>0</v>
      </c>
      <c r="O24" s="1089">
        <v>0</v>
      </c>
      <c r="P24" s="1090">
        <v>0</v>
      </c>
      <c r="Q24" s="1090">
        <v>0</v>
      </c>
      <c r="R24" s="1090">
        <v>0</v>
      </c>
      <c r="S24" s="1090">
        <v>0</v>
      </c>
      <c r="T24" s="1089">
        <v>0</v>
      </c>
      <c r="U24" s="1090">
        <v>0</v>
      </c>
      <c r="V24" s="1090">
        <v>0</v>
      </c>
      <c r="W24" s="1092">
        <v>0</v>
      </c>
      <c r="X24" s="1090">
        <v>0</v>
      </c>
      <c r="Y24" s="1092">
        <v>0</v>
      </c>
      <c r="Z24" s="1092">
        <v>0</v>
      </c>
      <c r="AA24" s="1090">
        <v>0</v>
      </c>
      <c r="AB24" s="1090">
        <v>0</v>
      </c>
      <c r="AC24" s="1090">
        <v>0</v>
      </c>
      <c r="AD24" s="1090">
        <v>0</v>
      </c>
      <c r="AE24" s="1088">
        <v>0</v>
      </c>
      <c r="AF24" s="1093">
        <v>0</v>
      </c>
      <c r="AG24" s="1093">
        <v>0</v>
      </c>
      <c r="AH24" s="1093">
        <v>0</v>
      </c>
      <c r="AI24" s="1088">
        <v>0</v>
      </c>
      <c r="AJ24" s="1105">
        <v>0</v>
      </c>
      <c r="AK24" s="1102">
        <v>0</v>
      </c>
      <c r="AL24" s="1103">
        <v>0</v>
      </c>
      <c r="AM24" s="1103">
        <v>0</v>
      </c>
      <c r="AN24" s="1103">
        <v>0</v>
      </c>
      <c r="AO24" s="1104">
        <v>0</v>
      </c>
      <c r="AP24" s="1107">
        <v>0</v>
      </c>
      <c r="AQ24" s="1103">
        <v>0</v>
      </c>
      <c r="AR24" s="1103">
        <v>0</v>
      </c>
      <c r="AS24" s="1107">
        <v>0</v>
      </c>
      <c r="AT24" s="1107">
        <v>0</v>
      </c>
      <c r="AU24" s="1103">
        <v>0</v>
      </c>
      <c r="AV24" s="1104">
        <v>0</v>
      </c>
      <c r="AW24" s="1103">
        <v>0</v>
      </c>
      <c r="AX24" s="1107">
        <v>0</v>
      </c>
      <c r="AY24" s="1104">
        <v>0</v>
      </c>
      <c r="AZ24" s="1104">
        <v>0</v>
      </c>
      <c r="BA24" s="1104">
        <v>0</v>
      </c>
      <c r="BB24" s="1104">
        <v>0</v>
      </c>
      <c r="BC24" s="1107">
        <v>0</v>
      </c>
      <c r="BD24" s="1107">
        <v>0</v>
      </c>
      <c r="BE24" s="1106">
        <v>0</v>
      </c>
      <c r="BF24" s="1108">
        <v>0</v>
      </c>
      <c r="BG24" s="1109">
        <v>0</v>
      </c>
      <c r="BH24" s="1110">
        <v>0</v>
      </c>
    </row>
    <row r="25" spans="1:60" ht="16.2" x14ac:dyDescent="0.45">
      <c r="A25" s="1100">
        <v>31048</v>
      </c>
      <c r="B25" s="1101">
        <v>1</v>
      </c>
      <c r="C25" s="1085">
        <v>1</v>
      </c>
      <c r="D25" s="1102">
        <f>COUNTIFS(发射纪录!$B:$B,"&lt;&gt;-",发射纪录!$G:$G,"&gt;="&amp;DATE(YEAR($A25),1,1),发射纪录!$G:$G,"&lt;="&amp;DATE(YEAR($A25),12,31),发射纪录!$N:$N,"&lt;&gt;",发射纪录!$D:$D,"="&amp;CLEAN(火箭年間統計!D$6))</f>
        <v>0</v>
      </c>
      <c r="E25" s="1103">
        <f>COUNTIFS(发射纪录!$B:$B,"&lt;&gt;-",发射纪录!$G:$G,"&gt;="&amp;DATE(YEAR($A25),1,1),发射纪录!$G:$G,"&lt;="&amp;DATE(YEAR($A25),12,31),发射纪录!$N:$N,"&lt;&gt;",发射纪录!$D:$D,"="&amp;CLEAN(火箭年間統計!E$6))</f>
        <v>0</v>
      </c>
      <c r="F25" s="1103">
        <f>COUNTIFS(发射纪录!$B:$B,"&lt;&gt;-",发射纪录!$G:$G,"&gt;="&amp;DATE(YEAR($A25),1,1),发射纪录!$G:$G,"&lt;="&amp;DATE(YEAR($A25),12,31),发射纪录!$N:$N,"&lt;&gt;",发射纪录!$D:$D,"="&amp;CLEAN(火箭年間統計!F$6))</f>
        <v>0</v>
      </c>
      <c r="G25" s="1104">
        <v>1</v>
      </c>
      <c r="H25" s="1104">
        <v>0</v>
      </c>
      <c r="I25" s="1089">
        <v>0</v>
      </c>
      <c r="J25" s="1090">
        <v>0</v>
      </c>
      <c r="K25" s="1089">
        <v>0</v>
      </c>
      <c r="L25" s="1089">
        <v>0</v>
      </c>
      <c r="M25" s="1090">
        <v>0</v>
      </c>
      <c r="N25" s="1091">
        <v>0</v>
      </c>
      <c r="O25" s="1089">
        <v>0</v>
      </c>
      <c r="P25" s="1090">
        <v>0</v>
      </c>
      <c r="Q25" s="1090">
        <v>0</v>
      </c>
      <c r="R25" s="1090">
        <v>0</v>
      </c>
      <c r="S25" s="1090">
        <v>0</v>
      </c>
      <c r="T25" s="1089">
        <v>0</v>
      </c>
      <c r="U25" s="1090">
        <v>0</v>
      </c>
      <c r="V25" s="1090">
        <v>0</v>
      </c>
      <c r="W25" s="1092">
        <v>0</v>
      </c>
      <c r="X25" s="1090">
        <v>0</v>
      </c>
      <c r="Y25" s="1092">
        <v>0</v>
      </c>
      <c r="Z25" s="1092">
        <v>0</v>
      </c>
      <c r="AA25" s="1090">
        <v>0</v>
      </c>
      <c r="AB25" s="1090">
        <v>0</v>
      </c>
      <c r="AC25" s="1090">
        <v>0</v>
      </c>
      <c r="AD25" s="1090">
        <v>0</v>
      </c>
      <c r="AE25" s="1088">
        <v>0</v>
      </c>
      <c r="AF25" s="1093">
        <v>0</v>
      </c>
      <c r="AG25" s="1093">
        <v>0</v>
      </c>
      <c r="AH25" s="1093">
        <v>0</v>
      </c>
      <c r="AI25" s="1088">
        <v>0</v>
      </c>
      <c r="AJ25" s="1105">
        <v>0</v>
      </c>
      <c r="AK25" s="1102">
        <v>0</v>
      </c>
      <c r="AL25" s="1103">
        <v>0</v>
      </c>
      <c r="AM25" s="1103">
        <v>0</v>
      </c>
      <c r="AN25" s="1103">
        <v>0</v>
      </c>
      <c r="AO25" s="1104">
        <v>0</v>
      </c>
      <c r="AP25" s="1107">
        <v>0</v>
      </c>
      <c r="AQ25" s="1103">
        <v>0</v>
      </c>
      <c r="AR25" s="1103">
        <v>0</v>
      </c>
      <c r="AS25" s="1107">
        <v>0</v>
      </c>
      <c r="AT25" s="1107">
        <v>0</v>
      </c>
      <c r="AU25" s="1103">
        <v>0</v>
      </c>
      <c r="AV25" s="1104">
        <v>0</v>
      </c>
      <c r="AW25" s="1103">
        <v>0</v>
      </c>
      <c r="AX25" s="1107">
        <v>0</v>
      </c>
      <c r="AY25" s="1104">
        <v>0</v>
      </c>
      <c r="AZ25" s="1104">
        <v>0</v>
      </c>
      <c r="BA25" s="1104">
        <v>0</v>
      </c>
      <c r="BB25" s="1104">
        <v>0</v>
      </c>
      <c r="BC25" s="1107">
        <v>0</v>
      </c>
      <c r="BD25" s="1107">
        <v>0</v>
      </c>
      <c r="BE25" s="1106">
        <v>0</v>
      </c>
      <c r="BF25" s="1108">
        <v>0</v>
      </c>
      <c r="BG25" s="1109">
        <v>0</v>
      </c>
      <c r="BH25" s="1110">
        <v>0</v>
      </c>
    </row>
    <row r="26" spans="1:60" ht="16.2" x14ac:dyDescent="0.45">
      <c r="A26" s="1100">
        <v>31413</v>
      </c>
      <c r="B26" s="1101">
        <v>2</v>
      </c>
      <c r="C26" s="1085">
        <v>2</v>
      </c>
      <c r="D26" s="1102">
        <f>COUNTIFS(发射纪录!$B:$B,"&lt;&gt;-",发射纪录!$G:$G,"&gt;="&amp;DATE(YEAR($A26),1,1),发射纪录!$G:$G,"&lt;="&amp;DATE(YEAR($A26),12,31),发射纪录!$N:$N,"&lt;&gt;",发射纪录!$D:$D,"="&amp;CLEAN(火箭年間統計!D$6))</f>
        <v>0</v>
      </c>
      <c r="E26" s="1103">
        <f>COUNTIFS(发射纪录!$B:$B,"&lt;&gt;-",发射纪录!$G:$G,"&gt;="&amp;DATE(YEAR($A26),1,1),发射纪录!$G:$G,"&lt;="&amp;DATE(YEAR($A26),12,31),发射纪录!$N:$N,"&lt;&gt;",发射纪录!$D:$D,"="&amp;CLEAN(火箭年間統計!E$6))</f>
        <v>0</v>
      </c>
      <c r="F26" s="1103">
        <f>COUNTIFS(发射纪录!$B:$B,"&lt;&gt;-",发射纪录!$G:$G,"&gt;="&amp;DATE(YEAR($A26),1,1),发射纪录!$G:$G,"&lt;="&amp;DATE(YEAR($A26),12,31),发射纪录!$N:$N,"&lt;&gt;",发射纪录!$D:$D,"="&amp;CLEAN(火箭年間統計!F$6))</f>
        <v>0</v>
      </c>
      <c r="G26" s="1104">
        <v>1</v>
      </c>
      <c r="H26" s="1104">
        <v>0</v>
      </c>
      <c r="I26" s="1089">
        <v>0</v>
      </c>
      <c r="J26" s="1090">
        <v>0</v>
      </c>
      <c r="K26" s="1089">
        <v>1</v>
      </c>
      <c r="L26" s="1089">
        <v>0</v>
      </c>
      <c r="M26" s="1090">
        <v>0</v>
      </c>
      <c r="N26" s="1091">
        <v>0</v>
      </c>
      <c r="O26" s="1089">
        <v>0</v>
      </c>
      <c r="P26" s="1090">
        <v>0</v>
      </c>
      <c r="Q26" s="1090">
        <v>0</v>
      </c>
      <c r="R26" s="1090">
        <v>0</v>
      </c>
      <c r="S26" s="1090">
        <v>0</v>
      </c>
      <c r="T26" s="1089">
        <v>0</v>
      </c>
      <c r="U26" s="1090">
        <v>0</v>
      </c>
      <c r="V26" s="1090">
        <v>0</v>
      </c>
      <c r="W26" s="1092">
        <v>0</v>
      </c>
      <c r="X26" s="1090">
        <v>0</v>
      </c>
      <c r="Y26" s="1092">
        <v>0</v>
      </c>
      <c r="Z26" s="1092">
        <v>0</v>
      </c>
      <c r="AA26" s="1090">
        <v>0</v>
      </c>
      <c r="AB26" s="1090">
        <v>0</v>
      </c>
      <c r="AC26" s="1090">
        <v>0</v>
      </c>
      <c r="AD26" s="1090">
        <v>0</v>
      </c>
      <c r="AE26" s="1088">
        <v>0</v>
      </c>
      <c r="AF26" s="1093">
        <v>0</v>
      </c>
      <c r="AG26" s="1093">
        <v>0</v>
      </c>
      <c r="AH26" s="1093">
        <v>0</v>
      </c>
      <c r="AI26" s="1088">
        <v>0</v>
      </c>
      <c r="AJ26" s="1105">
        <v>0</v>
      </c>
      <c r="AK26" s="1102">
        <v>0</v>
      </c>
      <c r="AL26" s="1103">
        <v>0</v>
      </c>
      <c r="AM26" s="1103">
        <v>0</v>
      </c>
      <c r="AN26" s="1103">
        <v>0</v>
      </c>
      <c r="AO26" s="1104">
        <v>0</v>
      </c>
      <c r="AP26" s="1107">
        <v>0</v>
      </c>
      <c r="AQ26" s="1103">
        <v>0</v>
      </c>
      <c r="AR26" s="1103">
        <v>0</v>
      </c>
      <c r="AS26" s="1107">
        <v>0</v>
      </c>
      <c r="AT26" s="1107">
        <v>0</v>
      </c>
      <c r="AU26" s="1103">
        <v>0</v>
      </c>
      <c r="AV26" s="1104">
        <v>0</v>
      </c>
      <c r="AW26" s="1103">
        <v>0</v>
      </c>
      <c r="AX26" s="1107">
        <v>0</v>
      </c>
      <c r="AY26" s="1104">
        <v>0</v>
      </c>
      <c r="AZ26" s="1104">
        <v>0</v>
      </c>
      <c r="BA26" s="1104">
        <v>0</v>
      </c>
      <c r="BB26" s="1104">
        <v>0</v>
      </c>
      <c r="BC26" s="1107">
        <v>0</v>
      </c>
      <c r="BD26" s="1107">
        <v>0</v>
      </c>
      <c r="BE26" s="1106">
        <v>0</v>
      </c>
      <c r="BF26" s="1108">
        <v>0</v>
      </c>
      <c r="BG26" s="1109">
        <v>0</v>
      </c>
      <c r="BH26" s="1110">
        <v>0</v>
      </c>
    </row>
    <row r="27" spans="1:60" ht="16.2" x14ac:dyDescent="0.45">
      <c r="A27" s="1100">
        <v>31778</v>
      </c>
      <c r="B27" s="1101">
        <v>2</v>
      </c>
      <c r="C27" s="1085">
        <v>2</v>
      </c>
      <c r="D27" s="1102">
        <f>COUNTIFS(发射纪录!$B:$B,"&lt;&gt;-",发射纪录!$G:$G,"&gt;="&amp;DATE(YEAR($A27),1,1),发射纪录!$G:$G,"&lt;="&amp;DATE(YEAR($A27),12,31),发射纪录!$N:$N,"&lt;&gt;",发射纪录!$D:$D,"="&amp;CLEAN(火箭年間統計!D$6))</f>
        <v>0</v>
      </c>
      <c r="E27" s="1103">
        <f>COUNTIFS(发射纪录!$B:$B,"&lt;&gt;-",发射纪录!$G:$G,"&gt;="&amp;DATE(YEAR($A27),1,1),发射纪录!$G:$G,"&lt;="&amp;DATE(YEAR($A27),12,31),发射纪录!$N:$N,"&lt;&gt;",发射纪录!$D:$D,"="&amp;CLEAN(火箭年間統計!E$6))</f>
        <v>0</v>
      </c>
      <c r="F27" s="1103">
        <f>COUNTIFS(发射纪录!$B:$B,"&lt;&gt;-",发射纪录!$G:$G,"&gt;="&amp;DATE(YEAR($A27),1,1),发射纪录!$G:$G,"&lt;="&amp;DATE(YEAR($A27),12,31),发射纪录!$N:$N,"&lt;&gt;",发射纪录!$D:$D,"="&amp;CLEAN(火箭年間統計!F$6))</f>
        <v>0</v>
      </c>
      <c r="G27" s="1104">
        <v>2</v>
      </c>
      <c r="H27" s="1104">
        <v>0</v>
      </c>
      <c r="I27" s="1089">
        <v>0</v>
      </c>
      <c r="J27" s="1090">
        <v>0</v>
      </c>
      <c r="K27" s="1089">
        <v>0</v>
      </c>
      <c r="L27" s="1089">
        <v>0</v>
      </c>
      <c r="M27" s="1090">
        <v>0</v>
      </c>
      <c r="N27" s="1091">
        <v>0</v>
      </c>
      <c r="O27" s="1089">
        <v>0</v>
      </c>
      <c r="P27" s="1090">
        <v>0</v>
      </c>
      <c r="Q27" s="1090">
        <v>0</v>
      </c>
      <c r="R27" s="1090">
        <v>0</v>
      </c>
      <c r="S27" s="1090">
        <v>0</v>
      </c>
      <c r="T27" s="1089">
        <v>0</v>
      </c>
      <c r="U27" s="1090">
        <v>0</v>
      </c>
      <c r="V27" s="1090">
        <v>0</v>
      </c>
      <c r="W27" s="1092">
        <v>0</v>
      </c>
      <c r="X27" s="1090">
        <v>0</v>
      </c>
      <c r="Y27" s="1092">
        <v>0</v>
      </c>
      <c r="Z27" s="1092">
        <v>0</v>
      </c>
      <c r="AA27" s="1090">
        <v>0</v>
      </c>
      <c r="AB27" s="1090">
        <v>0</v>
      </c>
      <c r="AC27" s="1090">
        <v>0</v>
      </c>
      <c r="AD27" s="1090">
        <v>0</v>
      </c>
      <c r="AE27" s="1088">
        <v>0</v>
      </c>
      <c r="AF27" s="1093">
        <v>0</v>
      </c>
      <c r="AG27" s="1093">
        <v>0</v>
      </c>
      <c r="AH27" s="1093">
        <v>0</v>
      </c>
      <c r="AI27" s="1088">
        <v>0</v>
      </c>
      <c r="AJ27" s="1105">
        <v>0</v>
      </c>
      <c r="AK27" s="1102">
        <v>0</v>
      </c>
      <c r="AL27" s="1103">
        <v>0</v>
      </c>
      <c r="AM27" s="1103">
        <v>0</v>
      </c>
      <c r="AN27" s="1103">
        <v>0</v>
      </c>
      <c r="AO27" s="1104">
        <v>0</v>
      </c>
      <c r="AP27" s="1107">
        <v>0</v>
      </c>
      <c r="AQ27" s="1103">
        <v>0</v>
      </c>
      <c r="AR27" s="1103">
        <v>0</v>
      </c>
      <c r="AS27" s="1107">
        <v>0</v>
      </c>
      <c r="AT27" s="1107">
        <v>0</v>
      </c>
      <c r="AU27" s="1103">
        <v>0</v>
      </c>
      <c r="AV27" s="1104">
        <v>0</v>
      </c>
      <c r="AW27" s="1103">
        <v>0</v>
      </c>
      <c r="AX27" s="1107">
        <v>0</v>
      </c>
      <c r="AY27" s="1104">
        <v>0</v>
      </c>
      <c r="AZ27" s="1104">
        <v>0</v>
      </c>
      <c r="BA27" s="1104">
        <v>0</v>
      </c>
      <c r="BB27" s="1104">
        <v>0</v>
      </c>
      <c r="BC27" s="1107">
        <v>0</v>
      </c>
      <c r="BD27" s="1107">
        <v>0</v>
      </c>
      <c r="BE27" s="1106">
        <v>0</v>
      </c>
      <c r="BF27" s="1108">
        <v>0</v>
      </c>
      <c r="BG27" s="1109">
        <v>0</v>
      </c>
      <c r="BH27" s="1110">
        <v>0</v>
      </c>
    </row>
    <row r="28" spans="1:60" ht="16.2" x14ac:dyDescent="0.45">
      <c r="A28" s="1100">
        <v>32143</v>
      </c>
      <c r="B28" s="1101">
        <v>4</v>
      </c>
      <c r="C28" s="1085">
        <v>4</v>
      </c>
      <c r="D28" s="1102">
        <f>COUNTIFS(发射纪录!$B:$B,"&lt;&gt;-",发射纪录!$G:$G,"&gt;="&amp;DATE(YEAR($A28),1,1),发射纪录!$G:$G,"&lt;="&amp;DATE(YEAR($A28),12,31),发射纪录!$N:$N,"&lt;&gt;",发射纪录!$D:$D,"="&amp;CLEAN(火箭年間統計!D$6))</f>
        <v>0</v>
      </c>
      <c r="E28" s="1103">
        <f>COUNTIFS(发射纪录!$B:$B,"&lt;&gt;-",发射纪录!$G:$G,"&gt;="&amp;DATE(YEAR($A28),1,1),发射纪录!$G:$G,"&lt;="&amp;DATE(YEAR($A28),12,31),发射纪录!$N:$N,"&lt;&gt;",发射纪录!$D:$D,"="&amp;CLEAN(火箭年間統計!E$6))</f>
        <v>0</v>
      </c>
      <c r="F28" s="1103">
        <f>COUNTIFS(发射纪录!$B:$B,"&lt;&gt;-",发射纪录!$G:$G,"&gt;="&amp;DATE(YEAR($A28),1,1),发射纪录!$G:$G,"&lt;="&amp;DATE(YEAR($A28),12,31),发射纪录!$N:$N,"&lt;&gt;",发射纪录!$D:$D,"="&amp;CLEAN(火箭年間統計!F$6))</f>
        <v>0</v>
      </c>
      <c r="G28" s="1104">
        <v>1</v>
      </c>
      <c r="H28" s="1104">
        <v>0</v>
      </c>
      <c r="I28" s="1089">
        <v>0</v>
      </c>
      <c r="J28" s="1090">
        <v>0</v>
      </c>
      <c r="K28" s="1089">
        <v>2</v>
      </c>
      <c r="L28" s="1089">
        <v>0</v>
      </c>
      <c r="M28" s="1090">
        <v>0</v>
      </c>
      <c r="N28" s="1091">
        <v>0</v>
      </c>
      <c r="O28" s="1089">
        <v>1</v>
      </c>
      <c r="P28" s="1090">
        <v>0</v>
      </c>
      <c r="Q28" s="1090">
        <v>0</v>
      </c>
      <c r="R28" s="1090">
        <v>0</v>
      </c>
      <c r="S28" s="1090">
        <v>0</v>
      </c>
      <c r="T28" s="1089">
        <v>0</v>
      </c>
      <c r="U28" s="1090">
        <v>0</v>
      </c>
      <c r="V28" s="1090">
        <v>0</v>
      </c>
      <c r="W28" s="1092">
        <v>0</v>
      </c>
      <c r="X28" s="1090">
        <v>0</v>
      </c>
      <c r="Y28" s="1092">
        <v>0</v>
      </c>
      <c r="Z28" s="1092">
        <v>0</v>
      </c>
      <c r="AA28" s="1090">
        <v>0</v>
      </c>
      <c r="AB28" s="1090">
        <v>0</v>
      </c>
      <c r="AC28" s="1090">
        <v>0</v>
      </c>
      <c r="AD28" s="1090">
        <v>0</v>
      </c>
      <c r="AE28" s="1088">
        <v>0</v>
      </c>
      <c r="AF28" s="1093">
        <v>0</v>
      </c>
      <c r="AG28" s="1093">
        <v>0</v>
      </c>
      <c r="AH28" s="1093">
        <v>0</v>
      </c>
      <c r="AI28" s="1088">
        <v>0</v>
      </c>
      <c r="AJ28" s="1105">
        <v>0</v>
      </c>
      <c r="AK28" s="1102">
        <v>0</v>
      </c>
      <c r="AL28" s="1103">
        <v>0</v>
      </c>
      <c r="AM28" s="1103">
        <v>0</v>
      </c>
      <c r="AN28" s="1103">
        <v>0</v>
      </c>
      <c r="AO28" s="1104">
        <v>0</v>
      </c>
      <c r="AP28" s="1107">
        <v>0</v>
      </c>
      <c r="AQ28" s="1103">
        <v>0</v>
      </c>
      <c r="AR28" s="1103">
        <v>0</v>
      </c>
      <c r="AS28" s="1107">
        <v>0</v>
      </c>
      <c r="AT28" s="1107">
        <v>0</v>
      </c>
      <c r="AU28" s="1103">
        <v>0</v>
      </c>
      <c r="AV28" s="1104">
        <v>0</v>
      </c>
      <c r="AW28" s="1103">
        <v>0</v>
      </c>
      <c r="AX28" s="1107">
        <v>0</v>
      </c>
      <c r="AY28" s="1104">
        <v>0</v>
      </c>
      <c r="AZ28" s="1104">
        <v>0</v>
      </c>
      <c r="BA28" s="1104">
        <v>0</v>
      </c>
      <c r="BB28" s="1104">
        <v>0</v>
      </c>
      <c r="BC28" s="1107">
        <v>0</v>
      </c>
      <c r="BD28" s="1107">
        <v>0</v>
      </c>
      <c r="BE28" s="1106">
        <v>0</v>
      </c>
      <c r="BF28" s="1108">
        <v>0</v>
      </c>
      <c r="BG28" s="1109">
        <v>0</v>
      </c>
      <c r="BH28" s="1110">
        <v>0</v>
      </c>
    </row>
    <row r="29" spans="1:60" ht="16.2" x14ac:dyDescent="0.45">
      <c r="A29" s="1100">
        <v>32509</v>
      </c>
      <c r="B29" s="1101">
        <v>0</v>
      </c>
      <c r="C29" s="1085">
        <v>0</v>
      </c>
      <c r="D29" s="1102">
        <f>COUNTIFS(发射纪录!$B:$B,"&lt;&gt;-",发射纪录!$G:$G,"&gt;="&amp;DATE(YEAR($A29),1,1),发射纪录!$G:$G,"&lt;="&amp;DATE(YEAR($A29),12,31),发射纪录!$N:$N,"&lt;&gt;",发射纪录!$D:$D,"="&amp;CLEAN(火箭年間統計!D$6))</f>
        <v>0</v>
      </c>
      <c r="E29" s="1103">
        <f>COUNTIFS(发射纪录!$B:$B,"&lt;&gt;-",发射纪录!$G:$G,"&gt;="&amp;DATE(YEAR($A29),1,1),发射纪录!$G:$G,"&lt;="&amp;DATE(YEAR($A29),12,31),发射纪录!$N:$N,"&lt;&gt;",发射纪录!$D:$D,"="&amp;CLEAN(火箭年間統計!E$6))</f>
        <v>0</v>
      </c>
      <c r="F29" s="1103">
        <f>COUNTIFS(发射纪录!$B:$B,"&lt;&gt;-",发射纪录!$G:$G,"&gt;="&amp;DATE(YEAR($A29),1,1),发射纪录!$G:$G,"&lt;="&amp;DATE(YEAR($A29),12,31),发射纪录!$N:$N,"&lt;&gt;",发射纪录!$D:$D,"="&amp;CLEAN(火箭年間統計!F$6))</f>
        <v>0</v>
      </c>
      <c r="G29" s="1104">
        <v>0</v>
      </c>
      <c r="H29" s="1104">
        <v>0</v>
      </c>
      <c r="I29" s="1089">
        <v>0</v>
      </c>
      <c r="J29" s="1090">
        <v>0</v>
      </c>
      <c r="K29" s="1089">
        <v>0</v>
      </c>
      <c r="L29" s="1089">
        <v>0</v>
      </c>
      <c r="M29" s="1090">
        <v>0</v>
      </c>
      <c r="N29" s="1091">
        <v>0</v>
      </c>
      <c r="O29" s="1089">
        <v>0</v>
      </c>
      <c r="P29" s="1090">
        <v>0</v>
      </c>
      <c r="Q29" s="1090">
        <v>0</v>
      </c>
      <c r="R29" s="1090">
        <v>0</v>
      </c>
      <c r="S29" s="1090">
        <v>0</v>
      </c>
      <c r="T29" s="1089">
        <v>0</v>
      </c>
      <c r="U29" s="1090">
        <v>0</v>
      </c>
      <c r="V29" s="1090">
        <v>0</v>
      </c>
      <c r="W29" s="1092">
        <v>0</v>
      </c>
      <c r="X29" s="1090">
        <v>0</v>
      </c>
      <c r="Y29" s="1092">
        <v>0</v>
      </c>
      <c r="Z29" s="1092">
        <v>0</v>
      </c>
      <c r="AA29" s="1090">
        <v>0</v>
      </c>
      <c r="AB29" s="1090">
        <v>0</v>
      </c>
      <c r="AC29" s="1090">
        <v>0</v>
      </c>
      <c r="AD29" s="1090">
        <v>0</v>
      </c>
      <c r="AE29" s="1088">
        <v>0</v>
      </c>
      <c r="AF29" s="1093">
        <v>0</v>
      </c>
      <c r="AG29" s="1093">
        <v>0</v>
      </c>
      <c r="AH29" s="1093">
        <v>0</v>
      </c>
      <c r="AI29" s="1088">
        <v>0</v>
      </c>
      <c r="AJ29" s="1105">
        <v>0</v>
      </c>
      <c r="AK29" s="1102">
        <v>0</v>
      </c>
      <c r="AL29" s="1103">
        <v>0</v>
      </c>
      <c r="AM29" s="1103">
        <v>0</v>
      </c>
      <c r="AN29" s="1103">
        <v>0</v>
      </c>
      <c r="AO29" s="1104">
        <v>0</v>
      </c>
      <c r="AP29" s="1107">
        <v>0</v>
      </c>
      <c r="AQ29" s="1103">
        <v>0</v>
      </c>
      <c r="AR29" s="1103">
        <v>0</v>
      </c>
      <c r="AS29" s="1107">
        <v>0</v>
      </c>
      <c r="AT29" s="1107">
        <v>0</v>
      </c>
      <c r="AU29" s="1103">
        <v>0</v>
      </c>
      <c r="AV29" s="1104">
        <v>0</v>
      </c>
      <c r="AW29" s="1103">
        <v>0</v>
      </c>
      <c r="AX29" s="1107">
        <v>0</v>
      </c>
      <c r="AY29" s="1104">
        <v>0</v>
      </c>
      <c r="AZ29" s="1104">
        <v>0</v>
      </c>
      <c r="BA29" s="1104">
        <v>0</v>
      </c>
      <c r="BB29" s="1104">
        <v>0</v>
      </c>
      <c r="BC29" s="1107">
        <v>0</v>
      </c>
      <c r="BD29" s="1107">
        <v>0</v>
      </c>
      <c r="BE29" s="1106">
        <v>0</v>
      </c>
      <c r="BF29" s="1108">
        <v>0</v>
      </c>
      <c r="BG29" s="1109">
        <v>0</v>
      </c>
      <c r="BH29" s="1110">
        <v>0</v>
      </c>
    </row>
    <row r="30" spans="1:60" ht="16.2" x14ac:dyDescent="0.45">
      <c r="A30" s="1100">
        <v>32874</v>
      </c>
      <c r="B30" s="1101">
        <v>5</v>
      </c>
      <c r="C30" s="1085">
        <v>5</v>
      </c>
      <c r="D30" s="1102">
        <f>COUNTIFS(发射纪录!$B:$B,"&lt;&gt;-",发射纪录!$G:$G,"&gt;="&amp;DATE(YEAR($A30),1,1),发射纪录!$G:$G,"&lt;="&amp;DATE(YEAR($A30),12,31),发射纪录!$N:$N,"&lt;&gt;",发射纪录!$D:$D,"="&amp;CLEAN(火箭年間統計!D$6))</f>
        <v>0</v>
      </c>
      <c r="E30" s="1103">
        <f>COUNTIFS(发射纪录!$B:$B,"&lt;&gt;-",发射纪录!$G:$G,"&gt;="&amp;DATE(YEAR($A30),1,1),发射纪录!$G:$G,"&lt;="&amp;DATE(YEAR($A30),12,31),发射纪录!$N:$N,"&lt;&gt;",发射纪录!$D:$D,"="&amp;CLEAN(火箭年間統計!E$6))</f>
        <v>0</v>
      </c>
      <c r="F30" s="1103">
        <f>COUNTIFS(发射纪录!$B:$B,"&lt;&gt;-",发射纪录!$G:$G,"&gt;="&amp;DATE(YEAR($A30),1,1),发射纪录!$G:$G,"&lt;="&amp;DATE(YEAR($A30),12,31),发射纪录!$N:$N,"&lt;&gt;",发射纪录!$D:$D,"="&amp;CLEAN(火箭年間統計!F$6))</f>
        <v>0</v>
      </c>
      <c r="G30" s="1104">
        <v>1</v>
      </c>
      <c r="H30" s="1104">
        <v>0</v>
      </c>
      <c r="I30" s="1089">
        <v>1</v>
      </c>
      <c r="J30" s="1090">
        <v>0</v>
      </c>
      <c r="K30" s="1089">
        <v>2</v>
      </c>
      <c r="L30" s="1089">
        <v>0</v>
      </c>
      <c r="M30" s="1090">
        <v>0</v>
      </c>
      <c r="N30" s="1091">
        <v>0</v>
      </c>
      <c r="O30" s="1089">
        <v>1</v>
      </c>
      <c r="P30" s="1090">
        <v>0</v>
      </c>
      <c r="Q30" s="1090">
        <v>0</v>
      </c>
      <c r="R30" s="1090">
        <v>0</v>
      </c>
      <c r="S30" s="1090">
        <v>0</v>
      </c>
      <c r="T30" s="1089">
        <v>0</v>
      </c>
      <c r="U30" s="1090">
        <v>0</v>
      </c>
      <c r="V30" s="1090">
        <v>0</v>
      </c>
      <c r="W30" s="1092">
        <v>0</v>
      </c>
      <c r="X30" s="1090">
        <v>0</v>
      </c>
      <c r="Y30" s="1092">
        <v>0</v>
      </c>
      <c r="Z30" s="1092">
        <v>0</v>
      </c>
      <c r="AA30" s="1090">
        <v>0</v>
      </c>
      <c r="AB30" s="1090">
        <v>0</v>
      </c>
      <c r="AC30" s="1090">
        <v>0</v>
      </c>
      <c r="AD30" s="1090">
        <v>0</v>
      </c>
      <c r="AE30" s="1088">
        <v>0</v>
      </c>
      <c r="AF30" s="1093">
        <v>0</v>
      </c>
      <c r="AG30" s="1093">
        <v>0</v>
      </c>
      <c r="AH30" s="1093">
        <v>0</v>
      </c>
      <c r="AI30" s="1088">
        <v>0</v>
      </c>
      <c r="AJ30" s="1105">
        <v>0</v>
      </c>
      <c r="AK30" s="1102">
        <v>0</v>
      </c>
      <c r="AL30" s="1103">
        <v>0</v>
      </c>
      <c r="AM30" s="1103">
        <v>0</v>
      </c>
      <c r="AN30" s="1103">
        <v>0</v>
      </c>
      <c r="AO30" s="1104">
        <v>0</v>
      </c>
      <c r="AP30" s="1107">
        <v>0</v>
      </c>
      <c r="AQ30" s="1103">
        <v>0</v>
      </c>
      <c r="AR30" s="1103">
        <v>0</v>
      </c>
      <c r="AS30" s="1107">
        <v>0</v>
      </c>
      <c r="AT30" s="1107">
        <v>0</v>
      </c>
      <c r="AU30" s="1103">
        <v>0</v>
      </c>
      <c r="AV30" s="1104">
        <v>0</v>
      </c>
      <c r="AW30" s="1103">
        <v>0</v>
      </c>
      <c r="AX30" s="1107">
        <v>0</v>
      </c>
      <c r="AY30" s="1104">
        <v>0</v>
      </c>
      <c r="AZ30" s="1104">
        <v>0</v>
      </c>
      <c r="BA30" s="1104">
        <v>0</v>
      </c>
      <c r="BB30" s="1104">
        <v>0</v>
      </c>
      <c r="BC30" s="1107">
        <v>0</v>
      </c>
      <c r="BD30" s="1107">
        <v>0</v>
      </c>
      <c r="BE30" s="1106">
        <v>0</v>
      </c>
      <c r="BF30" s="1108">
        <v>0</v>
      </c>
      <c r="BG30" s="1109">
        <v>0</v>
      </c>
      <c r="BH30" s="1110">
        <v>0</v>
      </c>
    </row>
    <row r="31" spans="1:60" ht="16.2" x14ac:dyDescent="0.45">
      <c r="A31" s="1100">
        <v>33239</v>
      </c>
      <c r="B31" s="1101">
        <v>1</v>
      </c>
      <c r="C31" s="1085">
        <v>1</v>
      </c>
      <c r="D31" s="1102">
        <f>COUNTIFS(发射纪录!$B:$B,"&lt;&gt;-",发射纪录!$G:$G,"&gt;="&amp;DATE(YEAR($A31),1,1),发射纪录!$G:$G,"&lt;="&amp;DATE(YEAR($A31),12,31),发射纪录!$N:$N,"&lt;&gt;",发射纪录!$D:$D,"="&amp;CLEAN(火箭年間統計!D$6))</f>
        <v>0</v>
      </c>
      <c r="E31" s="1103">
        <f>COUNTIFS(发射纪录!$B:$B,"&lt;&gt;-",发射纪录!$G:$G,"&gt;="&amp;DATE(YEAR($A31),1,1),发射纪录!$G:$G,"&lt;="&amp;DATE(YEAR($A31),12,31),发射纪录!$N:$N,"&lt;&gt;",发射纪录!$D:$D,"="&amp;CLEAN(火箭年間統計!E$6))</f>
        <v>0</v>
      </c>
      <c r="F31" s="1103">
        <f>COUNTIFS(发射纪录!$B:$B,"&lt;&gt;-",发射纪录!$G:$G,"&gt;="&amp;DATE(YEAR($A31),1,1),发射纪录!$G:$G,"&lt;="&amp;DATE(YEAR($A31),12,31),发射纪录!$N:$N,"&lt;&gt;",发射纪录!$D:$D,"="&amp;CLEAN(火箭年間統計!F$6))</f>
        <v>0</v>
      </c>
      <c r="G31" s="1104">
        <v>0</v>
      </c>
      <c r="H31" s="1104">
        <v>0</v>
      </c>
      <c r="I31" s="1089">
        <v>0</v>
      </c>
      <c r="J31" s="1090">
        <v>0</v>
      </c>
      <c r="K31" s="1089">
        <v>1</v>
      </c>
      <c r="L31" s="1089">
        <v>0</v>
      </c>
      <c r="M31" s="1090">
        <v>0</v>
      </c>
      <c r="N31" s="1091">
        <v>0</v>
      </c>
      <c r="O31" s="1089">
        <v>0</v>
      </c>
      <c r="P31" s="1090">
        <v>0</v>
      </c>
      <c r="Q31" s="1090">
        <v>0</v>
      </c>
      <c r="R31" s="1090">
        <v>0</v>
      </c>
      <c r="S31" s="1090">
        <v>0</v>
      </c>
      <c r="T31" s="1089">
        <v>0</v>
      </c>
      <c r="U31" s="1090">
        <v>0</v>
      </c>
      <c r="V31" s="1090">
        <v>0</v>
      </c>
      <c r="W31" s="1092">
        <v>0</v>
      </c>
      <c r="X31" s="1090">
        <v>0</v>
      </c>
      <c r="Y31" s="1092">
        <v>0</v>
      </c>
      <c r="Z31" s="1092">
        <v>0</v>
      </c>
      <c r="AA31" s="1090">
        <v>0</v>
      </c>
      <c r="AB31" s="1090">
        <v>0</v>
      </c>
      <c r="AC31" s="1090">
        <v>0</v>
      </c>
      <c r="AD31" s="1090">
        <v>0</v>
      </c>
      <c r="AE31" s="1088">
        <v>0</v>
      </c>
      <c r="AF31" s="1093">
        <v>0</v>
      </c>
      <c r="AG31" s="1093">
        <v>0</v>
      </c>
      <c r="AH31" s="1093">
        <v>0</v>
      </c>
      <c r="AI31" s="1088">
        <v>0</v>
      </c>
      <c r="AJ31" s="1105">
        <v>0</v>
      </c>
      <c r="AK31" s="1102">
        <v>0</v>
      </c>
      <c r="AL31" s="1103">
        <v>0</v>
      </c>
      <c r="AM31" s="1103">
        <v>0</v>
      </c>
      <c r="AN31" s="1103">
        <v>0</v>
      </c>
      <c r="AO31" s="1104">
        <v>0</v>
      </c>
      <c r="AP31" s="1107">
        <v>0</v>
      </c>
      <c r="AQ31" s="1103">
        <v>0</v>
      </c>
      <c r="AR31" s="1103">
        <v>0</v>
      </c>
      <c r="AS31" s="1107">
        <v>0</v>
      </c>
      <c r="AT31" s="1107">
        <v>0</v>
      </c>
      <c r="AU31" s="1103">
        <v>0</v>
      </c>
      <c r="AV31" s="1104">
        <v>0</v>
      </c>
      <c r="AW31" s="1103">
        <v>0</v>
      </c>
      <c r="AX31" s="1107">
        <v>0</v>
      </c>
      <c r="AY31" s="1104">
        <v>0</v>
      </c>
      <c r="AZ31" s="1104">
        <v>0</v>
      </c>
      <c r="BA31" s="1104">
        <v>0</v>
      </c>
      <c r="BB31" s="1104">
        <v>0</v>
      </c>
      <c r="BC31" s="1107">
        <v>0</v>
      </c>
      <c r="BD31" s="1107">
        <v>0</v>
      </c>
      <c r="BE31" s="1106">
        <v>0</v>
      </c>
      <c r="BF31" s="1108">
        <v>0</v>
      </c>
      <c r="BG31" s="1109">
        <v>0</v>
      </c>
      <c r="BH31" s="1110">
        <v>0</v>
      </c>
    </row>
    <row r="32" spans="1:60" ht="16.2" x14ac:dyDescent="0.45">
      <c r="A32" s="1100">
        <v>33604</v>
      </c>
      <c r="B32" s="1101">
        <v>4</v>
      </c>
      <c r="C32" s="1085">
        <v>4</v>
      </c>
      <c r="D32" s="1102">
        <f>COUNTIFS(发射纪录!$B:$B,"&lt;&gt;-",发射纪录!$G:$G,"&gt;="&amp;DATE(YEAR($A32),1,1),发射纪录!$G:$G,"&lt;="&amp;DATE(YEAR($A32),12,31),发射纪录!$N:$N,"&lt;&gt;",发射纪录!$D:$D,"="&amp;CLEAN(火箭年間統計!D$6))</f>
        <v>0</v>
      </c>
      <c r="E32" s="1103">
        <f>COUNTIFS(发射纪录!$B:$B,"&lt;&gt;-",发射纪录!$G:$G,"&gt;="&amp;DATE(YEAR($A32),1,1),发射纪录!$G:$G,"&lt;="&amp;DATE(YEAR($A32),12,31),发射纪录!$N:$N,"&lt;&gt;",发射纪录!$D:$D,"="&amp;CLEAN(火箭年間統計!E$6))</f>
        <v>0</v>
      </c>
      <c r="F32" s="1103">
        <f>COUNTIFS(发射纪录!$B:$B,"&lt;&gt;-",发射纪录!$G:$G,"&gt;="&amp;DATE(YEAR($A32),1,1),发射纪录!$G:$G,"&lt;="&amp;DATE(YEAR($A32),12,31),发射纪录!$N:$N,"&lt;&gt;",发射纪录!$D:$D,"="&amp;CLEAN(火箭年間統計!F$6))</f>
        <v>0</v>
      </c>
      <c r="G32" s="1104">
        <v>1</v>
      </c>
      <c r="H32" s="1104">
        <v>1</v>
      </c>
      <c r="I32" s="1089">
        <v>2</v>
      </c>
      <c r="J32" s="1090">
        <v>0</v>
      </c>
      <c r="K32" s="1089">
        <v>0</v>
      </c>
      <c r="L32" s="1089">
        <v>0</v>
      </c>
      <c r="M32" s="1090">
        <v>0</v>
      </c>
      <c r="N32" s="1091">
        <v>0</v>
      </c>
      <c r="O32" s="1089">
        <v>0</v>
      </c>
      <c r="P32" s="1090">
        <v>0</v>
      </c>
      <c r="Q32" s="1090">
        <v>0</v>
      </c>
      <c r="R32" s="1090">
        <v>0</v>
      </c>
      <c r="S32" s="1090">
        <v>0</v>
      </c>
      <c r="T32" s="1089">
        <v>0</v>
      </c>
      <c r="U32" s="1090">
        <v>0</v>
      </c>
      <c r="V32" s="1090">
        <v>0</v>
      </c>
      <c r="W32" s="1092">
        <v>0</v>
      </c>
      <c r="X32" s="1090">
        <v>0</v>
      </c>
      <c r="Y32" s="1092">
        <v>0</v>
      </c>
      <c r="Z32" s="1092">
        <v>0</v>
      </c>
      <c r="AA32" s="1090">
        <v>0</v>
      </c>
      <c r="AB32" s="1090">
        <v>0</v>
      </c>
      <c r="AC32" s="1090">
        <v>0</v>
      </c>
      <c r="AD32" s="1090">
        <v>0</v>
      </c>
      <c r="AE32" s="1088">
        <v>0</v>
      </c>
      <c r="AF32" s="1093">
        <v>0</v>
      </c>
      <c r="AG32" s="1093">
        <v>0</v>
      </c>
      <c r="AH32" s="1093">
        <v>0</v>
      </c>
      <c r="AI32" s="1088">
        <v>0</v>
      </c>
      <c r="AJ32" s="1105">
        <v>0</v>
      </c>
      <c r="AK32" s="1102">
        <v>0</v>
      </c>
      <c r="AL32" s="1103">
        <v>0</v>
      </c>
      <c r="AM32" s="1103">
        <v>0</v>
      </c>
      <c r="AN32" s="1103">
        <v>0</v>
      </c>
      <c r="AO32" s="1104">
        <v>0</v>
      </c>
      <c r="AP32" s="1107">
        <v>0</v>
      </c>
      <c r="AQ32" s="1103">
        <v>0</v>
      </c>
      <c r="AR32" s="1103">
        <v>0</v>
      </c>
      <c r="AS32" s="1107">
        <v>0</v>
      </c>
      <c r="AT32" s="1107">
        <v>0</v>
      </c>
      <c r="AU32" s="1103">
        <v>0</v>
      </c>
      <c r="AV32" s="1104">
        <v>0</v>
      </c>
      <c r="AW32" s="1103">
        <v>0</v>
      </c>
      <c r="AX32" s="1107">
        <v>0</v>
      </c>
      <c r="AY32" s="1104">
        <v>0</v>
      </c>
      <c r="AZ32" s="1104">
        <v>0</v>
      </c>
      <c r="BA32" s="1104">
        <v>0</v>
      </c>
      <c r="BB32" s="1104">
        <v>0</v>
      </c>
      <c r="BC32" s="1107">
        <v>0</v>
      </c>
      <c r="BD32" s="1107">
        <v>0</v>
      </c>
      <c r="BE32" s="1106">
        <v>0</v>
      </c>
      <c r="BF32" s="1108">
        <v>0</v>
      </c>
      <c r="BG32" s="1109">
        <v>0</v>
      </c>
      <c r="BH32" s="1110">
        <v>0</v>
      </c>
    </row>
    <row r="33" spans="1:60" ht="16.2" x14ac:dyDescent="0.45">
      <c r="A33" s="1100">
        <v>33970</v>
      </c>
      <c r="B33" s="1101">
        <v>1</v>
      </c>
      <c r="C33" s="1085">
        <v>1</v>
      </c>
      <c r="D33" s="1102">
        <f>COUNTIFS(发射纪录!$B:$B,"&lt;&gt;-",发射纪录!$G:$G,"&gt;="&amp;DATE(YEAR($A33),1,1),发射纪录!$G:$G,"&lt;="&amp;DATE(YEAR($A33),12,31),发射纪录!$N:$N,"&lt;&gt;",发射纪录!$D:$D,"="&amp;CLEAN(火箭年間統計!D$6))</f>
        <v>0</v>
      </c>
      <c r="E33" s="1103">
        <f>COUNTIFS(发射纪录!$B:$B,"&lt;&gt;-",发射纪录!$G:$G,"&gt;="&amp;DATE(YEAR($A33),1,1),发射纪录!$G:$G,"&lt;="&amp;DATE(YEAR($A33),12,31),发射纪录!$N:$N,"&lt;&gt;",发射纪录!$D:$D,"="&amp;CLEAN(火箭年間統計!E$6))</f>
        <v>0</v>
      </c>
      <c r="F33" s="1103">
        <f>COUNTIFS(发射纪录!$B:$B,"&lt;&gt;-",发射纪录!$G:$G,"&gt;="&amp;DATE(YEAR($A33),1,1),发射纪录!$G:$G,"&lt;="&amp;DATE(YEAR($A33),12,31),发射纪录!$N:$N,"&lt;&gt;",发射纪录!$D:$D,"="&amp;CLEAN(火箭年間統計!F$6))</f>
        <v>0</v>
      </c>
      <c r="G33" s="1104">
        <v>1</v>
      </c>
      <c r="H33" s="1104">
        <v>0</v>
      </c>
      <c r="I33" s="1089">
        <v>0</v>
      </c>
      <c r="J33" s="1090">
        <v>0</v>
      </c>
      <c r="K33" s="1089">
        <v>0</v>
      </c>
      <c r="L33" s="1089">
        <v>0</v>
      </c>
      <c r="M33" s="1090">
        <v>0</v>
      </c>
      <c r="N33" s="1091">
        <v>0</v>
      </c>
      <c r="O33" s="1089">
        <v>0</v>
      </c>
      <c r="P33" s="1090">
        <v>0</v>
      </c>
      <c r="Q33" s="1090">
        <v>0</v>
      </c>
      <c r="R33" s="1090">
        <v>0</v>
      </c>
      <c r="S33" s="1090">
        <v>0</v>
      </c>
      <c r="T33" s="1089">
        <v>0</v>
      </c>
      <c r="U33" s="1090">
        <v>0</v>
      </c>
      <c r="V33" s="1090">
        <v>0</v>
      </c>
      <c r="W33" s="1092">
        <v>0</v>
      </c>
      <c r="X33" s="1090">
        <v>0</v>
      </c>
      <c r="Y33" s="1092">
        <v>0</v>
      </c>
      <c r="Z33" s="1092">
        <v>0</v>
      </c>
      <c r="AA33" s="1090">
        <v>0</v>
      </c>
      <c r="AB33" s="1090">
        <v>0</v>
      </c>
      <c r="AC33" s="1090">
        <v>0</v>
      </c>
      <c r="AD33" s="1090">
        <v>0</v>
      </c>
      <c r="AE33" s="1088">
        <v>0</v>
      </c>
      <c r="AF33" s="1093">
        <v>0</v>
      </c>
      <c r="AG33" s="1093">
        <v>0</v>
      </c>
      <c r="AH33" s="1093">
        <v>0</v>
      </c>
      <c r="AI33" s="1088">
        <v>0</v>
      </c>
      <c r="AJ33" s="1105">
        <v>0</v>
      </c>
      <c r="AK33" s="1102">
        <v>0</v>
      </c>
      <c r="AL33" s="1103">
        <v>0</v>
      </c>
      <c r="AM33" s="1103">
        <v>0</v>
      </c>
      <c r="AN33" s="1103">
        <v>0</v>
      </c>
      <c r="AO33" s="1104">
        <v>0</v>
      </c>
      <c r="AP33" s="1107">
        <v>0</v>
      </c>
      <c r="AQ33" s="1103">
        <v>0</v>
      </c>
      <c r="AR33" s="1103">
        <v>0</v>
      </c>
      <c r="AS33" s="1107">
        <v>0</v>
      </c>
      <c r="AT33" s="1107">
        <v>0</v>
      </c>
      <c r="AU33" s="1103">
        <v>0</v>
      </c>
      <c r="AV33" s="1104">
        <v>0</v>
      </c>
      <c r="AW33" s="1103">
        <v>0</v>
      </c>
      <c r="AX33" s="1107">
        <v>0</v>
      </c>
      <c r="AY33" s="1104">
        <v>0</v>
      </c>
      <c r="AZ33" s="1104">
        <v>0</v>
      </c>
      <c r="BA33" s="1104">
        <v>0</v>
      </c>
      <c r="BB33" s="1104">
        <v>0</v>
      </c>
      <c r="BC33" s="1107">
        <v>0</v>
      </c>
      <c r="BD33" s="1107">
        <v>0</v>
      </c>
      <c r="BE33" s="1106">
        <v>0</v>
      </c>
      <c r="BF33" s="1108">
        <v>0</v>
      </c>
      <c r="BG33" s="1109">
        <v>0</v>
      </c>
      <c r="BH33" s="1110">
        <v>0</v>
      </c>
    </row>
    <row r="34" spans="1:60" ht="16.2" x14ac:dyDescent="0.45">
      <c r="A34" s="1100">
        <v>34335</v>
      </c>
      <c r="B34" s="1101">
        <v>5</v>
      </c>
      <c r="C34" s="1085">
        <v>5</v>
      </c>
      <c r="D34" s="1102">
        <f>COUNTIFS(发射纪录!$B:$B,"&lt;&gt;-",发射纪录!$G:$G,"&gt;="&amp;DATE(YEAR($A34),1,1),发射纪录!$G:$G,"&lt;="&amp;DATE(YEAR($A34),12,31),发射纪录!$N:$N,"&lt;&gt;",发射纪录!$D:$D,"="&amp;CLEAN(火箭年間統計!D$6))</f>
        <v>0</v>
      </c>
      <c r="E34" s="1103">
        <f>COUNTIFS(发射纪录!$B:$B,"&lt;&gt;-",发射纪录!$G:$G,"&gt;="&amp;DATE(YEAR($A34),1,1),发射纪录!$G:$G,"&lt;="&amp;DATE(YEAR($A34),12,31),发射纪录!$N:$N,"&lt;&gt;",发射纪录!$D:$D,"="&amp;CLEAN(火箭年間統計!E$6))</f>
        <v>0</v>
      </c>
      <c r="F34" s="1103">
        <f>COUNTIFS(发射纪录!$B:$B,"&lt;&gt;-",发射纪录!$G:$G,"&gt;="&amp;DATE(YEAR($A34),1,1),发射纪录!$G:$G,"&lt;="&amp;DATE(YEAR($A34),12,31),发射纪录!$N:$N,"&lt;&gt;",发射纪录!$D:$D,"="&amp;CLEAN(火箭年間統計!F$6))</f>
        <v>0</v>
      </c>
      <c r="G34" s="1104">
        <v>0</v>
      </c>
      <c r="H34" s="1104">
        <v>1</v>
      </c>
      <c r="I34" s="1089">
        <v>1</v>
      </c>
      <c r="J34" s="1090">
        <v>0</v>
      </c>
      <c r="K34" s="1089">
        <v>1</v>
      </c>
      <c r="L34" s="1089">
        <v>2</v>
      </c>
      <c r="M34" s="1090">
        <v>0</v>
      </c>
      <c r="N34" s="1091">
        <v>0</v>
      </c>
      <c r="O34" s="1089">
        <v>0</v>
      </c>
      <c r="P34" s="1090">
        <v>0</v>
      </c>
      <c r="Q34" s="1090">
        <v>0</v>
      </c>
      <c r="R34" s="1090">
        <v>0</v>
      </c>
      <c r="S34" s="1090">
        <v>0</v>
      </c>
      <c r="T34" s="1089">
        <v>0</v>
      </c>
      <c r="U34" s="1090">
        <v>0</v>
      </c>
      <c r="V34" s="1090">
        <v>0</v>
      </c>
      <c r="W34" s="1092">
        <v>0</v>
      </c>
      <c r="X34" s="1090">
        <v>0</v>
      </c>
      <c r="Y34" s="1092">
        <v>0</v>
      </c>
      <c r="Z34" s="1092">
        <v>0</v>
      </c>
      <c r="AA34" s="1090">
        <v>0</v>
      </c>
      <c r="AB34" s="1090">
        <v>0</v>
      </c>
      <c r="AC34" s="1090">
        <v>0</v>
      </c>
      <c r="AD34" s="1090">
        <v>0</v>
      </c>
      <c r="AE34" s="1088">
        <v>0</v>
      </c>
      <c r="AF34" s="1093">
        <v>0</v>
      </c>
      <c r="AG34" s="1093">
        <v>0</v>
      </c>
      <c r="AH34" s="1093">
        <v>0</v>
      </c>
      <c r="AI34" s="1088">
        <v>0</v>
      </c>
      <c r="AJ34" s="1105">
        <v>0</v>
      </c>
      <c r="AK34" s="1102">
        <v>0</v>
      </c>
      <c r="AL34" s="1103">
        <v>0</v>
      </c>
      <c r="AM34" s="1103">
        <v>0</v>
      </c>
      <c r="AN34" s="1103">
        <v>0</v>
      </c>
      <c r="AO34" s="1104">
        <v>0</v>
      </c>
      <c r="AP34" s="1107">
        <v>0</v>
      </c>
      <c r="AQ34" s="1103">
        <v>0</v>
      </c>
      <c r="AR34" s="1103">
        <v>0</v>
      </c>
      <c r="AS34" s="1107">
        <v>0</v>
      </c>
      <c r="AT34" s="1107">
        <v>0</v>
      </c>
      <c r="AU34" s="1103">
        <v>0</v>
      </c>
      <c r="AV34" s="1104">
        <v>0</v>
      </c>
      <c r="AW34" s="1103">
        <v>0</v>
      </c>
      <c r="AX34" s="1107">
        <v>0</v>
      </c>
      <c r="AY34" s="1104">
        <v>0</v>
      </c>
      <c r="AZ34" s="1104">
        <v>0</v>
      </c>
      <c r="BA34" s="1104">
        <v>0</v>
      </c>
      <c r="BB34" s="1104">
        <v>0</v>
      </c>
      <c r="BC34" s="1107">
        <v>0</v>
      </c>
      <c r="BD34" s="1107">
        <v>0</v>
      </c>
      <c r="BE34" s="1106">
        <v>0</v>
      </c>
      <c r="BF34" s="1108">
        <v>0</v>
      </c>
      <c r="BG34" s="1109">
        <v>0</v>
      </c>
      <c r="BH34" s="1110">
        <v>0</v>
      </c>
    </row>
    <row r="35" spans="1:60" ht="16.2" x14ac:dyDescent="0.45">
      <c r="A35" s="1100">
        <v>34700</v>
      </c>
      <c r="B35" s="1101">
        <v>3</v>
      </c>
      <c r="C35" s="1085">
        <v>3</v>
      </c>
      <c r="D35" s="1102">
        <f>COUNTIFS(发射纪录!$B:$B,"&lt;&gt;-",发射纪录!$G:$G,"&gt;="&amp;DATE(YEAR($A35),1,1),发射纪录!$G:$G,"&lt;="&amp;DATE(YEAR($A35),12,31),发射纪录!$N:$N,"&lt;&gt;",发射纪录!$D:$D,"="&amp;CLEAN(火箭年間統計!D$6))</f>
        <v>0</v>
      </c>
      <c r="E35" s="1103">
        <f>COUNTIFS(发射纪录!$B:$B,"&lt;&gt;-",发射纪录!$G:$G,"&gt;="&amp;DATE(YEAR($A35),1,1),发射纪录!$G:$G,"&lt;="&amp;DATE(YEAR($A35),12,31),发射纪录!$N:$N,"&lt;&gt;",发射纪录!$D:$D,"="&amp;CLEAN(火箭年間統計!E$6))</f>
        <v>0</v>
      </c>
      <c r="F35" s="1103">
        <f>COUNTIFS(发射纪录!$B:$B,"&lt;&gt;-",发射纪录!$G:$G,"&gt;="&amp;DATE(YEAR($A35),1,1),发射纪录!$G:$G,"&lt;="&amp;DATE(YEAR($A35),12,31),发射纪录!$N:$N,"&lt;&gt;",发射纪录!$D:$D,"="&amp;CLEAN(火箭年間統計!F$6))</f>
        <v>0</v>
      </c>
      <c r="G35" s="1104">
        <v>0</v>
      </c>
      <c r="H35" s="1104">
        <v>0</v>
      </c>
      <c r="I35" s="1089">
        <v>3</v>
      </c>
      <c r="J35" s="1090">
        <v>0</v>
      </c>
      <c r="K35" s="1089">
        <v>0</v>
      </c>
      <c r="L35" s="1089">
        <v>0</v>
      </c>
      <c r="M35" s="1090">
        <v>0</v>
      </c>
      <c r="N35" s="1091">
        <v>0</v>
      </c>
      <c r="O35" s="1089">
        <v>0</v>
      </c>
      <c r="P35" s="1090">
        <v>0</v>
      </c>
      <c r="Q35" s="1090">
        <v>0</v>
      </c>
      <c r="R35" s="1090">
        <v>0</v>
      </c>
      <c r="S35" s="1090">
        <v>0</v>
      </c>
      <c r="T35" s="1089">
        <v>0</v>
      </c>
      <c r="U35" s="1090">
        <v>0</v>
      </c>
      <c r="V35" s="1090">
        <v>0</v>
      </c>
      <c r="W35" s="1092">
        <v>0</v>
      </c>
      <c r="X35" s="1090">
        <v>0</v>
      </c>
      <c r="Y35" s="1092">
        <v>0</v>
      </c>
      <c r="Z35" s="1092">
        <v>0</v>
      </c>
      <c r="AA35" s="1090">
        <v>0</v>
      </c>
      <c r="AB35" s="1090">
        <v>0</v>
      </c>
      <c r="AC35" s="1090">
        <v>0</v>
      </c>
      <c r="AD35" s="1090">
        <v>0</v>
      </c>
      <c r="AE35" s="1088">
        <v>0</v>
      </c>
      <c r="AF35" s="1093">
        <v>0</v>
      </c>
      <c r="AG35" s="1093">
        <v>0</v>
      </c>
      <c r="AH35" s="1093">
        <v>0</v>
      </c>
      <c r="AI35" s="1088">
        <v>0</v>
      </c>
      <c r="AJ35" s="1105">
        <v>0</v>
      </c>
      <c r="AK35" s="1102">
        <v>0</v>
      </c>
      <c r="AL35" s="1103">
        <v>0</v>
      </c>
      <c r="AM35" s="1103">
        <v>0</v>
      </c>
      <c r="AN35" s="1103">
        <v>0</v>
      </c>
      <c r="AO35" s="1104">
        <v>0</v>
      </c>
      <c r="AP35" s="1107">
        <v>0</v>
      </c>
      <c r="AQ35" s="1103">
        <v>0</v>
      </c>
      <c r="AR35" s="1103">
        <v>0</v>
      </c>
      <c r="AS35" s="1107">
        <v>0</v>
      </c>
      <c r="AT35" s="1107">
        <v>0</v>
      </c>
      <c r="AU35" s="1103">
        <v>0</v>
      </c>
      <c r="AV35" s="1104">
        <v>0</v>
      </c>
      <c r="AW35" s="1103">
        <v>0</v>
      </c>
      <c r="AX35" s="1107">
        <v>0</v>
      </c>
      <c r="AY35" s="1104">
        <v>0</v>
      </c>
      <c r="AZ35" s="1104">
        <v>0</v>
      </c>
      <c r="BA35" s="1104">
        <v>0</v>
      </c>
      <c r="BB35" s="1104">
        <v>0</v>
      </c>
      <c r="BC35" s="1107">
        <v>0</v>
      </c>
      <c r="BD35" s="1107">
        <v>0</v>
      </c>
      <c r="BE35" s="1106">
        <v>0</v>
      </c>
      <c r="BF35" s="1108">
        <v>0</v>
      </c>
      <c r="BG35" s="1109">
        <v>0</v>
      </c>
      <c r="BH35" s="1110">
        <v>0</v>
      </c>
    </row>
    <row r="36" spans="1:60" ht="16.2" x14ac:dyDescent="0.45">
      <c r="A36" s="1100">
        <v>35065</v>
      </c>
      <c r="B36" s="1101">
        <v>4</v>
      </c>
      <c r="C36" s="1085">
        <v>4</v>
      </c>
      <c r="D36" s="1102">
        <f>COUNTIFS(发射纪录!$B:$B,"&lt;&gt;-",发射纪录!$G:$G,"&gt;="&amp;DATE(YEAR($A36),1,1),发射纪录!$G:$G,"&lt;="&amp;DATE(YEAR($A36),12,31),发射纪录!$N:$N,"&lt;&gt;",发射纪录!$D:$D,"="&amp;CLEAN(火箭年間統計!D$6))</f>
        <v>0</v>
      </c>
      <c r="E36" s="1103">
        <f>COUNTIFS(发射纪录!$B:$B,"&lt;&gt;-",发射纪录!$G:$G,"&gt;="&amp;DATE(YEAR($A36),1,1),发射纪录!$G:$G,"&lt;="&amp;DATE(YEAR($A36),12,31),发射纪录!$N:$N,"&lt;&gt;",发射纪录!$D:$D,"="&amp;CLEAN(火箭年間統計!E$6))</f>
        <v>0</v>
      </c>
      <c r="F36" s="1103">
        <f>COUNTIFS(发射纪录!$B:$B,"&lt;&gt;-",发射纪录!$G:$G,"&gt;="&amp;DATE(YEAR($A36),1,1),发射纪录!$G:$G,"&lt;="&amp;DATE(YEAR($A36),12,31),发射纪录!$N:$N,"&lt;&gt;",发射纪录!$D:$D,"="&amp;CLEAN(火箭年間統計!F$6))</f>
        <v>0</v>
      </c>
      <c r="G36" s="1104">
        <v>0</v>
      </c>
      <c r="H36" s="1104">
        <v>1</v>
      </c>
      <c r="I36" s="1089">
        <v>0</v>
      </c>
      <c r="J36" s="1090">
        <v>0</v>
      </c>
      <c r="K36" s="1089">
        <v>2</v>
      </c>
      <c r="L36" s="1089">
        <v>0</v>
      </c>
      <c r="M36" s="1090">
        <v>1</v>
      </c>
      <c r="N36" s="1091">
        <v>0</v>
      </c>
      <c r="O36" s="1089">
        <v>0</v>
      </c>
      <c r="P36" s="1090">
        <v>0</v>
      </c>
      <c r="Q36" s="1090">
        <v>0</v>
      </c>
      <c r="R36" s="1090">
        <v>0</v>
      </c>
      <c r="S36" s="1090">
        <v>0</v>
      </c>
      <c r="T36" s="1089">
        <v>0</v>
      </c>
      <c r="U36" s="1090">
        <v>0</v>
      </c>
      <c r="V36" s="1090">
        <v>0</v>
      </c>
      <c r="W36" s="1092">
        <v>0</v>
      </c>
      <c r="X36" s="1090">
        <v>0</v>
      </c>
      <c r="Y36" s="1092">
        <v>0</v>
      </c>
      <c r="Z36" s="1092">
        <v>0</v>
      </c>
      <c r="AA36" s="1090">
        <v>0</v>
      </c>
      <c r="AB36" s="1090">
        <v>0</v>
      </c>
      <c r="AC36" s="1090">
        <v>0</v>
      </c>
      <c r="AD36" s="1090">
        <v>0</v>
      </c>
      <c r="AE36" s="1088">
        <v>0</v>
      </c>
      <c r="AF36" s="1093">
        <v>0</v>
      </c>
      <c r="AG36" s="1093">
        <v>0</v>
      </c>
      <c r="AH36" s="1093">
        <v>0</v>
      </c>
      <c r="AI36" s="1088">
        <v>0</v>
      </c>
      <c r="AJ36" s="1105">
        <v>0</v>
      </c>
      <c r="AK36" s="1102">
        <v>0</v>
      </c>
      <c r="AL36" s="1103">
        <v>0</v>
      </c>
      <c r="AM36" s="1103">
        <v>0</v>
      </c>
      <c r="AN36" s="1103">
        <v>0</v>
      </c>
      <c r="AO36" s="1104">
        <v>0</v>
      </c>
      <c r="AP36" s="1107">
        <v>0</v>
      </c>
      <c r="AQ36" s="1103">
        <v>0</v>
      </c>
      <c r="AR36" s="1103">
        <v>0</v>
      </c>
      <c r="AS36" s="1107">
        <v>0</v>
      </c>
      <c r="AT36" s="1107">
        <v>0</v>
      </c>
      <c r="AU36" s="1103">
        <v>0</v>
      </c>
      <c r="AV36" s="1104">
        <v>0</v>
      </c>
      <c r="AW36" s="1103">
        <v>0</v>
      </c>
      <c r="AX36" s="1107">
        <v>0</v>
      </c>
      <c r="AY36" s="1104">
        <v>0</v>
      </c>
      <c r="AZ36" s="1104">
        <v>0</v>
      </c>
      <c r="BA36" s="1104">
        <v>0</v>
      </c>
      <c r="BB36" s="1104">
        <v>0</v>
      </c>
      <c r="BC36" s="1107">
        <v>0</v>
      </c>
      <c r="BD36" s="1107">
        <v>0</v>
      </c>
      <c r="BE36" s="1106">
        <v>0</v>
      </c>
      <c r="BF36" s="1108">
        <v>0</v>
      </c>
      <c r="BG36" s="1109">
        <v>0</v>
      </c>
      <c r="BH36" s="1110">
        <v>0</v>
      </c>
    </row>
    <row r="37" spans="1:60" ht="16.2" x14ac:dyDescent="0.45">
      <c r="A37" s="1100">
        <v>35431</v>
      </c>
      <c r="B37" s="1101">
        <v>6</v>
      </c>
      <c r="C37" s="1085">
        <v>6</v>
      </c>
      <c r="D37" s="1102">
        <f>COUNTIFS(发射纪录!$B:$B,"&lt;&gt;-",发射纪录!$G:$G,"&gt;="&amp;DATE(YEAR($A37),1,1),发射纪录!$G:$G,"&lt;="&amp;DATE(YEAR($A37),12,31),发射纪录!$N:$N,"&lt;&gt;",发射纪录!$D:$D,"="&amp;CLEAN(火箭年間統計!D$6))</f>
        <v>0</v>
      </c>
      <c r="E37" s="1103">
        <f>COUNTIFS(发射纪录!$B:$B,"&lt;&gt;-",发射纪录!$G:$G,"&gt;="&amp;DATE(YEAR($A37),1,1),发射纪录!$G:$G,"&lt;="&amp;DATE(YEAR($A37),12,31),发射纪录!$N:$N,"&lt;&gt;",发射纪录!$D:$D,"="&amp;CLEAN(火箭年間統計!E$6))</f>
        <v>0</v>
      </c>
      <c r="F37" s="1103">
        <f>COUNTIFS(发射纪录!$B:$B,"&lt;&gt;-",发射纪录!$G:$G,"&gt;="&amp;DATE(YEAR($A37),1,1),发射纪录!$G:$G,"&lt;="&amp;DATE(YEAR($A37),12,31),发射纪录!$N:$N,"&lt;&gt;",发射纪录!$D:$D,"="&amp;CLEAN(火箭年間統計!F$6))</f>
        <v>0</v>
      </c>
      <c r="G37" s="1104">
        <v>2</v>
      </c>
      <c r="H37" s="1104">
        <v>0</v>
      </c>
      <c r="I37" s="1089">
        <v>0</v>
      </c>
      <c r="J37" s="1090">
        <v>0</v>
      </c>
      <c r="K37" s="1089">
        <v>1</v>
      </c>
      <c r="L37" s="1089">
        <v>1</v>
      </c>
      <c r="M37" s="1090">
        <v>2</v>
      </c>
      <c r="N37" s="1091">
        <v>0</v>
      </c>
      <c r="O37" s="1089">
        <v>0</v>
      </c>
      <c r="P37" s="1090">
        <v>0</v>
      </c>
      <c r="Q37" s="1090">
        <v>0</v>
      </c>
      <c r="R37" s="1090">
        <v>0</v>
      </c>
      <c r="S37" s="1090">
        <v>0</v>
      </c>
      <c r="T37" s="1089">
        <v>0</v>
      </c>
      <c r="U37" s="1090">
        <v>0</v>
      </c>
      <c r="V37" s="1090">
        <v>0</v>
      </c>
      <c r="W37" s="1092">
        <v>0</v>
      </c>
      <c r="X37" s="1090">
        <v>0</v>
      </c>
      <c r="Y37" s="1092">
        <v>0</v>
      </c>
      <c r="Z37" s="1092">
        <v>0</v>
      </c>
      <c r="AA37" s="1090">
        <v>0</v>
      </c>
      <c r="AB37" s="1090">
        <v>0</v>
      </c>
      <c r="AC37" s="1090">
        <v>0</v>
      </c>
      <c r="AD37" s="1090">
        <v>0</v>
      </c>
      <c r="AE37" s="1088">
        <v>0</v>
      </c>
      <c r="AF37" s="1093">
        <v>0</v>
      </c>
      <c r="AG37" s="1093">
        <v>0</v>
      </c>
      <c r="AH37" s="1093">
        <v>0</v>
      </c>
      <c r="AI37" s="1088">
        <v>0</v>
      </c>
      <c r="AJ37" s="1105">
        <v>0</v>
      </c>
      <c r="AK37" s="1102">
        <v>0</v>
      </c>
      <c r="AL37" s="1103">
        <v>0</v>
      </c>
      <c r="AM37" s="1103">
        <v>0</v>
      </c>
      <c r="AN37" s="1103">
        <v>0</v>
      </c>
      <c r="AO37" s="1104">
        <v>0</v>
      </c>
      <c r="AP37" s="1107">
        <v>0</v>
      </c>
      <c r="AQ37" s="1103">
        <v>0</v>
      </c>
      <c r="AR37" s="1103">
        <v>0</v>
      </c>
      <c r="AS37" s="1107">
        <v>0</v>
      </c>
      <c r="AT37" s="1107">
        <v>0</v>
      </c>
      <c r="AU37" s="1103">
        <v>0</v>
      </c>
      <c r="AV37" s="1104">
        <v>0</v>
      </c>
      <c r="AW37" s="1103">
        <v>0</v>
      </c>
      <c r="AX37" s="1107">
        <v>0</v>
      </c>
      <c r="AY37" s="1104">
        <v>0</v>
      </c>
      <c r="AZ37" s="1104">
        <v>0</v>
      </c>
      <c r="BA37" s="1104">
        <v>0</v>
      </c>
      <c r="BB37" s="1104">
        <v>0</v>
      </c>
      <c r="BC37" s="1107">
        <v>0</v>
      </c>
      <c r="BD37" s="1107">
        <v>0</v>
      </c>
      <c r="BE37" s="1106">
        <v>0</v>
      </c>
      <c r="BF37" s="1108">
        <v>0</v>
      </c>
      <c r="BG37" s="1109">
        <v>0</v>
      </c>
      <c r="BH37" s="1110">
        <v>0</v>
      </c>
    </row>
    <row r="38" spans="1:60" ht="16.2" x14ac:dyDescent="0.45">
      <c r="A38" s="1100">
        <v>35796</v>
      </c>
      <c r="B38" s="1101">
        <v>6</v>
      </c>
      <c r="C38" s="1085">
        <v>6</v>
      </c>
      <c r="D38" s="1102">
        <f>COUNTIFS(发射纪录!$B:$B,"&lt;&gt;-",发射纪录!$G:$G,"&gt;="&amp;DATE(YEAR($A38),1,1),发射纪录!$G:$G,"&lt;="&amp;DATE(YEAR($A38),12,31),发射纪录!$N:$N,"&lt;&gt;",发射纪录!$D:$D,"="&amp;CLEAN(火箭年間統計!D$6))</f>
        <v>0</v>
      </c>
      <c r="E38" s="1103">
        <f>COUNTIFS(发射纪录!$B:$B,"&lt;&gt;-",发射纪录!$G:$G,"&gt;="&amp;DATE(YEAR($A38),1,1),发射纪录!$G:$G,"&lt;="&amp;DATE(YEAR($A38),12,31),发射纪录!$N:$N,"&lt;&gt;",发射纪录!$D:$D,"="&amp;CLEAN(火箭年間統計!E$6))</f>
        <v>0</v>
      </c>
      <c r="F38" s="1103">
        <f>COUNTIFS(发射纪录!$B:$B,"&lt;&gt;-",发射纪录!$G:$G,"&gt;="&amp;DATE(YEAR($A38),1,1),发射纪录!$G:$G,"&lt;="&amp;DATE(YEAR($A38),12,31),发射纪录!$N:$N,"&lt;&gt;",发射纪录!$D:$D,"="&amp;CLEAN(火箭年間統計!F$6))</f>
        <v>0</v>
      </c>
      <c r="G38" s="1104">
        <v>4</v>
      </c>
      <c r="H38" s="1104">
        <v>0</v>
      </c>
      <c r="I38" s="1089">
        <v>0</v>
      </c>
      <c r="J38" s="1090">
        <v>0</v>
      </c>
      <c r="K38" s="1089">
        <v>0</v>
      </c>
      <c r="L38" s="1089">
        <v>0</v>
      </c>
      <c r="M38" s="1090">
        <v>2</v>
      </c>
      <c r="N38" s="1091">
        <v>0</v>
      </c>
      <c r="O38" s="1089">
        <v>0</v>
      </c>
      <c r="P38" s="1090">
        <v>0</v>
      </c>
      <c r="Q38" s="1090">
        <v>0</v>
      </c>
      <c r="R38" s="1090">
        <v>0</v>
      </c>
      <c r="S38" s="1090">
        <v>0</v>
      </c>
      <c r="T38" s="1089">
        <v>0</v>
      </c>
      <c r="U38" s="1090">
        <v>0</v>
      </c>
      <c r="V38" s="1090">
        <v>0</v>
      </c>
      <c r="W38" s="1092">
        <v>0</v>
      </c>
      <c r="X38" s="1090">
        <v>0</v>
      </c>
      <c r="Y38" s="1092">
        <v>0</v>
      </c>
      <c r="Z38" s="1092">
        <v>0</v>
      </c>
      <c r="AA38" s="1090">
        <v>0</v>
      </c>
      <c r="AB38" s="1090">
        <v>0</v>
      </c>
      <c r="AC38" s="1090">
        <v>0</v>
      </c>
      <c r="AD38" s="1090">
        <v>0</v>
      </c>
      <c r="AE38" s="1088">
        <v>0</v>
      </c>
      <c r="AF38" s="1093">
        <v>0</v>
      </c>
      <c r="AG38" s="1093">
        <v>0</v>
      </c>
      <c r="AH38" s="1093">
        <v>0</v>
      </c>
      <c r="AI38" s="1088">
        <v>0</v>
      </c>
      <c r="AJ38" s="1105">
        <v>0</v>
      </c>
      <c r="AK38" s="1102">
        <v>0</v>
      </c>
      <c r="AL38" s="1103">
        <v>0</v>
      </c>
      <c r="AM38" s="1103">
        <v>0</v>
      </c>
      <c r="AN38" s="1103">
        <v>0</v>
      </c>
      <c r="AO38" s="1104">
        <v>0</v>
      </c>
      <c r="AP38" s="1107">
        <v>0</v>
      </c>
      <c r="AQ38" s="1103">
        <v>0</v>
      </c>
      <c r="AR38" s="1103">
        <v>0</v>
      </c>
      <c r="AS38" s="1107">
        <v>0</v>
      </c>
      <c r="AT38" s="1107">
        <v>0</v>
      </c>
      <c r="AU38" s="1103">
        <v>0</v>
      </c>
      <c r="AV38" s="1104">
        <v>0</v>
      </c>
      <c r="AW38" s="1103">
        <v>0</v>
      </c>
      <c r="AX38" s="1107">
        <v>0</v>
      </c>
      <c r="AY38" s="1104">
        <v>0</v>
      </c>
      <c r="AZ38" s="1104">
        <v>0</v>
      </c>
      <c r="BA38" s="1104">
        <v>0</v>
      </c>
      <c r="BB38" s="1104">
        <v>0</v>
      </c>
      <c r="BC38" s="1107">
        <v>0</v>
      </c>
      <c r="BD38" s="1107">
        <v>0</v>
      </c>
      <c r="BE38" s="1106">
        <v>0</v>
      </c>
      <c r="BF38" s="1108">
        <v>0</v>
      </c>
      <c r="BG38" s="1109">
        <v>0</v>
      </c>
      <c r="BH38" s="1110">
        <v>0</v>
      </c>
    </row>
    <row r="39" spans="1:60" ht="16.2" x14ac:dyDescent="0.45">
      <c r="A39" s="1100">
        <v>36161</v>
      </c>
      <c r="B39" s="1101">
        <v>4</v>
      </c>
      <c r="C39" s="1085">
        <v>4</v>
      </c>
      <c r="D39" s="1102">
        <f>COUNTIFS(发射纪录!$B:$B,"&lt;&gt;-",发射纪录!$G:$G,"&gt;="&amp;DATE(YEAR($A39),1,1),发射纪录!$G:$G,"&lt;="&amp;DATE(YEAR($A39),12,31),发射纪录!$N:$N,"&lt;&gt;",发射纪录!$D:$D,"="&amp;CLEAN(火箭年間統計!D$6))</f>
        <v>0</v>
      </c>
      <c r="E39" s="1103">
        <f>COUNTIFS(发射纪录!$B:$B,"&lt;&gt;-",发射纪录!$G:$G,"&gt;="&amp;DATE(YEAR($A39),1,1),发射纪录!$G:$G,"&lt;="&amp;DATE(YEAR($A39),12,31),发射纪录!$N:$N,"&lt;&gt;",发射纪录!$D:$D,"="&amp;CLEAN(火箭年間統計!E$6))</f>
        <v>0</v>
      </c>
      <c r="F39" s="1103">
        <f>COUNTIFS(发射纪录!$B:$B,"&lt;&gt;-",发射纪录!$G:$G,"&gt;="&amp;DATE(YEAR($A39),1,1),发射纪录!$G:$G,"&lt;="&amp;DATE(YEAR($A39),12,31),发射纪录!$N:$N,"&lt;&gt;",发射纪录!$D:$D,"="&amp;CLEAN(火箭年間統計!F$6))</f>
        <v>0</v>
      </c>
      <c r="G39" s="1104">
        <v>1</v>
      </c>
      <c r="H39" s="1104">
        <v>0</v>
      </c>
      <c r="I39" s="1089">
        <v>0</v>
      </c>
      <c r="J39" s="1090">
        <v>1</v>
      </c>
      <c r="K39" s="1089">
        <v>0</v>
      </c>
      <c r="L39" s="1089">
        <v>0</v>
      </c>
      <c r="M39" s="1090">
        <v>0</v>
      </c>
      <c r="N39" s="1091">
        <v>0</v>
      </c>
      <c r="O39" s="1089">
        <v>0</v>
      </c>
      <c r="P39" s="1090">
        <v>2</v>
      </c>
      <c r="Q39" s="1090">
        <v>0</v>
      </c>
      <c r="R39" s="1090">
        <v>0</v>
      </c>
      <c r="S39" s="1090">
        <v>0</v>
      </c>
      <c r="T39" s="1089">
        <v>0</v>
      </c>
      <c r="U39" s="1090">
        <v>0</v>
      </c>
      <c r="V39" s="1090">
        <v>0</v>
      </c>
      <c r="W39" s="1092">
        <v>0</v>
      </c>
      <c r="X39" s="1090">
        <v>0</v>
      </c>
      <c r="Y39" s="1092">
        <v>0</v>
      </c>
      <c r="Z39" s="1092">
        <v>0</v>
      </c>
      <c r="AA39" s="1090">
        <v>0</v>
      </c>
      <c r="AB39" s="1090">
        <v>0</v>
      </c>
      <c r="AC39" s="1090">
        <v>0</v>
      </c>
      <c r="AD39" s="1090">
        <v>0</v>
      </c>
      <c r="AE39" s="1088">
        <v>0</v>
      </c>
      <c r="AF39" s="1093">
        <v>0</v>
      </c>
      <c r="AG39" s="1093">
        <v>0</v>
      </c>
      <c r="AH39" s="1093">
        <v>0</v>
      </c>
      <c r="AI39" s="1088">
        <v>0</v>
      </c>
      <c r="AJ39" s="1105">
        <v>0</v>
      </c>
      <c r="AK39" s="1102">
        <v>0</v>
      </c>
      <c r="AL39" s="1103">
        <v>0</v>
      </c>
      <c r="AM39" s="1103">
        <v>0</v>
      </c>
      <c r="AN39" s="1103">
        <v>0</v>
      </c>
      <c r="AO39" s="1104">
        <v>0</v>
      </c>
      <c r="AP39" s="1107">
        <v>0</v>
      </c>
      <c r="AQ39" s="1103">
        <v>0</v>
      </c>
      <c r="AR39" s="1103">
        <v>0</v>
      </c>
      <c r="AS39" s="1107">
        <v>0</v>
      </c>
      <c r="AT39" s="1107">
        <v>0</v>
      </c>
      <c r="AU39" s="1103">
        <v>0</v>
      </c>
      <c r="AV39" s="1104">
        <v>0</v>
      </c>
      <c r="AW39" s="1103">
        <v>0</v>
      </c>
      <c r="AX39" s="1107">
        <v>0</v>
      </c>
      <c r="AY39" s="1104">
        <v>0</v>
      </c>
      <c r="AZ39" s="1104">
        <v>0</v>
      </c>
      <c r="BA39" s="1104">
        <v>0</v>
      </c>
      <c r="BB39" s="1104">
        <v>0</v>
      </c>
      <c r="BC39" s="1107">
        <v>0</v>
      </c>
      <c r="BD39" s="1107">
        <v>0</v>
      </c>
      <c r="BE39" s="1106">
        <v>0</v>
      </c>
      <c r="BF39" s="1108">
        <v>0</v>
      </c>
      <c r="BG39" s="1109">
        <v>0</v>
      </c>
      <c r="BH39" s="1110">
        <v>0</v>
      </c>
    </row>
    <row r="40" spans="1:60" ht="16.2" x14ac:dyDescent="0.45">
      <c r="A40" s="1100">
        <v>36526</v>
      </c>
      <c r="B40" s="1101">
        <v>5</v>
      </c>
      <c r="C40" s="1085">
        <v>5</v>
      </c>
      <c r="D40" s="1102">
        <f>COUNTIFS(发射纪录!$B:$B,"&lt;&gt;-",发射纪录!$G:$G,"&gt;="&amp;DATE(YEAR($A40),1,1),发射纪录!$G:$G,"&lt;="&amp;DATE(YEAR($A40),12,31),发射纪录!$N:$N,"&lt;&gt;",发射纪录!$D:$D,"="&amp;CLEAN(火箭年間統計!D$6))</f>
        <v>0</v>
      </c>
      <c r="E40" s="1103">
        <f>COUNTIFS(发射纪录!$B:$B,"&lt;&gt;-",发射纪录!$G:$G,"&gt;="&amp;DATE(YEAR($A40),1,1),发射纪录!$G:$G,"&lt;="&amp;DATE(YEAR($A40),12,31),发射纪录!$N:$N,"&lt;&gt;",发射纪录!$D:$D,"="&amp;CLEAN(火箭年間統計!E$6))</f>
        <v>0</v>
      </c>
      <c r="F40" s="1103">
        <f>COUNTIFS(发射纪录!$B:$B,"&lt;&gt;-",发射纪录!$G:$G,"&gt;="&amp;DATE(YEAR($A40),1,1),发射纪录!$G:$G,"&lt;="&amp;DATE(YEAR($A40),12,31),发射纪录!$N:$N,"&lt;&gt;",发射纪录!$D:$D,"="&amp;CLEAN(火箭年間統計!F$6))</f>
        <v>0</v>
      </c>
      <c r="G40" s="1104">
        <v>0</v>
      </c>
      <c r="H40" s="1104">
        <v>0</v>
      </c>
      <c r="I40" s="1089">
        <v>0</v>
      </c>
      <c r="J40" s="1090">
        <v>0</v>
      </c>
      <c r="K40" s="1089">
        <v>1</v>
      </c>
      <c r="L40" s="1089">
        <v>3</v>
      </c>
      <c r="M40" s="1090">
        <v>0</v>
      </c>
      <c r="N40" s="1091">
        <v>0</v>
      </c>
      <c r="O40" s="1089">
        <v>0</v>
      </c>
      <c r="P40" s="1090">
        <v>1</v>
      </c>
      <c r="Q40" s="1090">
        <v>0</v>
      </c>
      <c r="R40" s="1090">
        <v>0</v>
      </c>
      <c r="S40" s="1090">
        <v>0</v>
      </c>
      <c r="T40" s="1089">
        <v>0</v>
      </c>
      <c r="U40" s="1090">
        <v>0</v>
      </c>
      <c r="V40" s="1090">
        <v>0</v>
      </c>
      <c r="W40" s="1092">
        <v>0</v>
      </c>
      <c r="X40" s="1090">
        <v>0</v>
      </c>
      <c r="Y40" s="1092">
        <v>0</v>
      </c>
      <c r="Z40" s="1092">
        <v>0</v>
      </c>
      <c r="AA40" s="1090">
        <v>0</v>
      </c>
      <c r="AB40" s="1090">
        <v>0</v>
      </c>
      <c r="AC40" s="1090">
        <v>0</v>
      </c>
      <c r="AD40" s="1090">
        <v>0</v>
      </c>
      <c r="AE40" s="1088">
        <v>0</v>
      </c>
      <c r="AF40" s="1093">
        <v>0</v>
      </c>
      <c r="AG40" s="1093">
        <v>0</v>
      </c>
      <c r="AH40" s="1093">
        <v>0</v>
      </c>
      <c r="AI40" s="1088">
        <v>0</v>
      </c>
      <c r="AJ40" s="1105">
        <v>0</v>
      </c>
      <c r="AK40" s="1102">
        <v>0</v>
      </c>
      <c r="AL40" s="1103">
        <v>0</v>
      </c>
      <c r="AM40" s="1103">
        <v>0</v>
      </c>
      <c r="AN40" s="1103">
        <v>0</v>
      </c>
      <c r="AO40" s="1104">
        <v>0</v>
      </c>
      <c r="AP40" s="1107">
        <v>0</v>
      </c>
      <c r="AQ40" s="1103">
        <v>0</v>
      </c>
      <c r="AR40" s="1103">
        <v>0</v>
      </c>
      <c r="AS40" s="1107">
        <v>0</v>
      </c>
      <c r="AT40" s="1107">
        <v>0</v>
      </c>
      <c r="AU40" s="1103">
        <v>0</v>
      </c>
      <c r="AV40" s="1104">
        <v>0</v>
      </c>
      <c r="AW40" s="1103">
        <v>0</v>
      </c>
      <c r="AX40" s="1107">
        <v>0</v>
      </c>
      <c r="AY40" s="1104">
        <v>0</v>
      </c>
      <c r="AZ40" s="1104">
        <v>0</v>
      </c>
      <c r="BA40" s="1104">
        <v>0</v>
      </c>
      <c r="BB40" s="1104">
        <v>0</v>
      </c>
      <c r="BC40" s="1107">
        <v>0</v>
      </c>
      <c r="BD40" s="1107">
        <v>0</v>
      </c>
      <c r="BE40" s="1106">
        <v>0</v>
      </c>
      <c r="BF40" s="1108">
        <v>0</v>
      </c>
      <c r="BG40" s="1109">
        <v>0</v>
      </c>
      <c r="BH40" s="1110">
        <v>0</v>
      </c>
    </row>
    <row r="41" spans="1:60" ht="16.2" x14ac:dyDescent="0.45">
      <c r="A41" s="1100">
        <v>36892</v>
      </c>
      <c r="B41" s="1101">
        <v>1</v>
      </c>
      <c r="C41" s="1085">
        <v>1</v>
      </c>
      <c r="D41" s="1102">
        <f>COUNTIFS(发射纪录!$B:$B,"&lt;&gt;-",发射纪录!$G:$G,"&gt;="&amp;DATE(YEAR($A41),1,1),发射纪录!$G:$G,"&lt;="&amp;DATE(YEAR($A41),12,31),发射纪录!$N:$N,"&lt;&gt;",发射纪录!$D:$D,"="&amp;CLEAN(火箭年間統計!D$6))</f>
        <v>0</v>
      </c>
      <c r="E41" s="1103">
        <f>COUNTIFS(发射纪录!$B:$B,"&lt;&gt;-",发射纪录!$G:$G,"&gt;="&amp;DATE(YEAR($A41),1,1),发射纪录!$G:$G,"&lt;="&amp;DATE(YEAR($A41),12,31),发射纪录!$N:$N,"&lt;&gt;",发射纪录!$D:$D,"="&amp;CLEAN(火箭年間統計!E$6))</f>
        <v>0</v>
      </c>
      <c r="F41" s="1103">
        <f>COUNTIFS(发射纪录!$B:$B,"&lt;&gt;-",发射纪录!$G:$G,"&gt;="&amp;DATE(YEAR($A41),1,1),发射纪录!$G:$G,"&lt;="&amp;DATE(YEAR($A41),12,31),发射纪录!$N:$N,"&lt;&gt;",发射纪录!$D:$D,"="&amp;CLEAN(火箭年間統計!F$6))</f>
        <v>0</v>
      </c>
      <c r="G41" s="1104">
        <v>0</v>
      </c>
      <c r="H41" s="1104">
        <v>0</v>
      </c>
      <c r="I41" s="1089">
        <v>0</v>
      </c>
      <c r="J41" s="1090">
        <v>1</v>
      </c>
      <c r="K41" s="1089">
        <v>0</v>
      </c>
      <c r="L41" s="1089">
        <v>0</v>
      </c>
      <c r="M41" s="1090">
        <v>0</v>
      </c>
      <c r="N41" s="1091">
        <v>0</v>
      </c>
      <c r="O41" s="1089">
        <v>0</v>
      </c>
      <c r="P41" s="1090">
        <v>0</v>
      </c>
      <c r="Q41" s="1090">
        <v>0</v>
      </c>
      <c r="R41" s="1090">
        <v>0</v>
      </c>
      <c r="S41" s="1090">
        <v>0</v>
      </c>
      <c r="T41" s="1089">
        <v>0</v>
      </c>
      <c r="U41" s="1090">
        <v>0</v>
      </c>
      <c r="V41" s="1090">
        <v>0</v>
      </c>
      <c r="W41" s="1092">
        <v>0</v>
      </c>
      <c r="X41" s="1090">
        <v>0</v>
      </c>
      <c r="Y41" s="1092">
        <v>0</v>
      </c>
      <c r="Z41" s="1092">
        <v>0</v>
      </c>
      <c r="AA41" s="1090">
        <v>0</v>
      </c>
      <c r="AB41" s="1090">
        <v>0</v>
      </c>
      <c r="AC41" s="1090">
        <v>0</v>
      </c>
      <c r="AD41" s="1090">
        <v>0</v>
      </c>
      <c r="AE41" s="1088">
        <v>0</v>
      </c>
      <c r="AF41" s="1093">
        <v>0</v>
      </c>
      <c r="AG41" s="1093">
        <v>0</v>
      </c>
      <c r="AH41" s="1093">
        <v>0</v>
      </c>
      <c r="AI41" s="1088">
        <v>0</v>
      </c>
      <c r="AJ41" s="1105">
        <v>0</v>
      </c>
      <c r="AK41" s="1102">
        <v>0</v>
      </c>
      <c r="AL41" s="1103">
        <v>0</v>
      </c>
      <c r="AM41" s="1103">
        <v>0</v>
      </c>
      <c r="AN41" s="1103">
        <v>0</v>
      </c>
      <c r="AO41" s="1104">
        <v>0</v>
      </c>
      <c r="AP41" s="1107">
        <v>0</v>
      </c>
      <c r="AQ41" s="1103">
        <v>0</v>
      </c>
      <c r="AR41" s="1103">
        <v>0</v>
      </c>
      <c r="AS41" s="1107">
        <v>0</v>
      </c>
      <c r="AT41" s="1107">
        <v>0</v>
      </c>
      <c r="AU41" s="1103">
        <v>0</v>
      </c>
      <c r="AV41" s="1104">
        <v>0</v>
      </c>
      <c r="AW41" s="1103">
        <v>0</v>
      </c>
      <c r="AX41" s="1107">
        <v>0</v>
      </c>
      <c r="AY41" s="1104">
        <v>0</v>
      </c>
      <c r="AZ41" s="1104">
        <v>0</v>
      </c>
      <c r="BA41" s="1104">
        <v>0</v>
      </c>
      <c r="BB41" s="1104">
        <v>0</v>
      </c>
      <c r="BC41" s="1107">
        <v>0</v>
      </c>
      <c r="BD41" s="1107">
        <v>0</v>
      </c>
      <c r="BE41" s="1106">
        <v>0</v>
      </c>
      <c r="BF41" s="1108">
        <v>0</v>
      </c>
      <c r="BG41" s="1109">
        <v>0</v>
      </c>
      <c r="BH41" s="1110">
        <v>0</v>
      </c>
    </row>
    <row r="42" spans="1:60" ht="16.2" x14ac:dyDescent="0.45">
      <c r="A42" s="1100">
        <v>37257</v>
      </c>
      <c r="B42" s="1101">
        <v>5</v>
      </c>
      <c r="C42" s="1085">
        <v>4</v>
      </c>
      <c r="D42" s="1102">
        <f>COUNTIFS(发射纪录!$B:$B,"&lt;&gt;-",发射纪录!$G:$G,"&gt;="&amp;DATE(YEAR($A42),1,1),发射纪录!$G:$G,"&lt;="&amp;DATE(YEAR($A42),12,31),发射纪录!$N:$N,"&lt;&gt;",发射纪录!$D:$D,"="&amp;CLEAN(火箭年間統計!D$6))</f>
        <v>0</v>
      </c>
      <c r="E42" s="1103">
        <f>COUNTIFS(发射纪录!$B:$B,"&lt;&gt;-",发射纪录!$G:$G,"&gt;="&amp;DATE(YEAR($A42),1,1),发射纪录!$G:$G,"&lt;="&amp;DATE(YEAR($A42),12,31),发射纪录!$N:$N,"&lt;&gt;",发射纪录!$D:$D,"="&amp;CLEAN(火箭年間統計!E$6))</f>
        <v>0</v>
      </c>
      <c r="F42" s="1103">
        <f>COUNTIFS(发射纪录!$B:$B,"&lt;&gt;-",发射纪录!$G:$G,"&gt;="&amp;DATE(YEAR($A42),1,1),发射纪录!$G:$G,"&lt;="&amp;DATE(YEAR($A42),12,31),发射纪录!$N:$N,"&lt;&gt;",发射纪录!$D:$D,"="&amp;CLEAN(火箭年間統計!F$6))</f>
        <v>0</v>
      </c>
      <c r="G42" s="1104">
        <v>0</v>
      </c>
      <c r="H42" s="1104">
        <v>0</v>
      </c>
      <c r="I42" s="1089">
        <v>0</v>
      </c>
      <c r="J42" s="1090">
        <v>2</v>
      </c>
      <c r="K42" s="1089">
        <v>0</v>
      </c>
      <c r="L42" s="1089">
        <v>0</v>
      </c>
      <c r="M42" s="1090">
        <v>0</v>
      </c>
      <c r="N42" s="1091">
        <v>0</v>
      </c>
      <c r="O42" s="1089">
        <v>0</v>
      </c>
      <c r="P42" s="1090">
        <v>2</v>
      </c>
      <c r="Q42" s="1090">
        <v>0</v>
      </c>
      <c r="R42" s="1090">
        <v>0</v>
      </c>
      <c r="S42" s="1090">
        <v>0</v>
      </c>
      <c r="T42" s="1089">
        <v>0</v>
      </c>
      <c r="U42" s="1090">
        <v>0</v>
      </c>
      <c r="V42" s="1090">
        <v>0</v>
      </c>
      <c r="W42" s="1092">
        <v>0</v>
      </c>
      <c r="X42" s="1090">
        <v>0</v>
      </c>
      <c r="Y42" s="1092">
        <v>0</v>
      </c>
      <c r="Z42" s="1092">
        <v>0</v>
      </c>
      <c r="AA42" s="1090">
        <v>0</v>
      </c>
      <c r="AB42" s="1090">
        <v>0</v>
      </c>
      <c r="AC42" s="1090">
        <v>0</v>
      </c>
      <c r="AD42" s="1090">
        <v>0</v>
      </c>
      <c r="AE42" s="1088">
        <v>0</v>
      </c>
      <c r="AF42" s="1093">
        <v>0</v>
      </c>
      <c r="AG42" s="1093">
        <v>0</v>
      </c>
      <c r="AH42" s="1093">
        <v>0</v>
      </c>
      <c r="AI42" s="1088">
        <v>0</v>
      </c>
      <c r="AJ42" s="1105">
        <v>1</v>
      </c>
      <c r="AK42" s="1102">
        <v>0</v>
      </c>
      <c r="AL42" s="1103">
        <v>1</v>
      </c>
      <c r="AM42" s="1103">
        <v>0</v>
      </c>
      <c r="AN42" s="1103">
        <v>0</v>
      </c>
      <c r="AO42" s="1104">
        <v>0</v>
      </c>
      <c r="AP42" s="1107">
        <v>0</v>
      </c>
      <c r="AQ42" s="1103">
        <v>0</v>
      </c>
      <c r="AR42" s="1103">
        <v>0</v>
      </c>
      <c r="AS42" s="1107">
        <v>0</v>
      </c>
      <c r="AT42" s="1107">
        <v>0</v>
      </c>
      <c r="AU42" s="1103">
        <v>0</v>
      </c>
      <c r="AV42" s="1104">
        <v>0</v>
      </c>
      <c r="AW42" s="1103">
        <v>0</v>
      </c>
      <c r="AX42" s="1107">
        <v>0</v>
      </c>
      <c r="AY42" s="1104">
        <v>0</v>
      </c>
      <c r="AZ42" s="1104">
        <v>0</v>
      </c>
      <c r="BA42" s="1104">
        <v>0</v>
      </c>
      <c r="BB42" s="1104">
        <v>0</v>
      </c>
      <c r="BC42" s="1107">
        <v>0</v>
      </c>
      <c r="BD42" s="1107">
        <v>0</v>
      </c>
      <c r="BE42" s="1106">
        <v>0</v>
      </c>
      <c r="BF42" s="1108">
        <v>0</v>
      </c>
      <c r="BG42" s="1109">
        <v>0</v>
      </c>
      <c r="BH42" s="1110">
        <v>0</v>
      </c>
    </row>
    <row r="43" spans="1:60" ht="16.2" x14ac:dyDescent="0.45">
      <c r="A43" s="1100">
        <v>37622</v>
      </c>
      <c r="B43" s="1101">
        <v>7</v>
      </c>
      <c r="C43" s="1085">
        <v>6</v>
      </c>
      <c r="D43" s="1102">
        <f>COUNTIFS(发射纪录!$B:$B,"&lt;&gt;-",发射纪录!$G:$G,"&gt;="&amp;DATE(YEAR($A43),1,1),发射纪录!$G:$G,"&lt;="&amp;DATE(YEAR($A43),12,31),发射纪录!$N:$N,"&lt;&gt;",发射纪录!$D:$D,"="&amp;CLEAN(火箭年間統計!D$6))</f>
        <v>0</v>
      </c>
      <c r="E43" s="1103">
        <f>COUNTIFS(发射纪录!$B:$B,"&lt;&gt;-",发射纪录!$G:$G,"&gt;="&amp;DATE(YEAR($A43),1,1),发射纪录!$G:$G,"&lt;="&amp;DATE(YEAR($A43),12,31),发射纪录!$N:$N,"&lt;&gt;",发射纪录!$D:$D,"="&amp;CLEAN(火箭年間統計!E$6))</f>
        <v>0</v>
      </c>
      <c r="F43" s="1103">
        <f>COUNTIFS(发射纪录!$B:$B,"&lt;&gt;-",发射纪录!$G:$G,"&gt;="&amp;DATE(YEAR($A43),1,1),发射纪录!$G:$G,"&lt;="&amp;DATE(YEAR($A43),12,31),发射纪录!$N:$N,"&lt;&gt;",发射纪录!$D:$D,"="&amp;CLEAN(火箭年間統計!F$6))</f>
        <v>0</v>
      </c>
      <c r="G43" s="1104">
        <v>1</v>
      </c>
      <c r="H43" s="1104">
        <v>1</v>
      </c>
      <c r="I43" s="1089">
        <v>0</v>
      </c>
      <c r="J43" s="1090">
        <v>1</v>
      </c>
      <c r="K43" s="1089">
        <v>0</v>
      </c>
      <c r="L43" s="1089">
        <v>2</v>
      </c>
      <c r="M43" s="1090">
        <v>0</v>
      </c>
      <c r="N43" s="1091">
        <v>0</v>
      </c>
      <c r="O43" s="1089">
        <v>0</v>
      </c>
      <c r="P43" s="1090">
        <v>1</v>
      </c>
      <c r="Q43" s="1090">
        <v>0</v>
      </c>
      <c r="R43" s="1090">
        <v>0</v>
      </c>
      <c r="S43" s="1090">
        <v>0</v>
      </c>
      <c r="T43" s="1089">
        <v>0</v>
      </c>
      <c r="U43" s="1090">
        <v>0</v>
      </c>
      <c r="V43" s="1090">
        <v>0</v>
      </c>
      <c r="W43" s="1092">
        <v>0</v>
      </c>
      <c r="X43" s="1090">
        <v>0</v>
      </c>
      <c r="Y43" s="1092">
        <v>0</v>
      </c>
      <c r="Z43" s="1092">
        <v>0</v>
      </c>
      <c r="AA43" s="1090">
        <v>0</v>
      </c>
      <c r="AB43" s="1090">
        <v>0</v>
      </c>
      <c r="AC43" s="1090">
        <v>0</v>
      </c>
      <c r="AD43" s="1090">
        <v>0</v>
      </c>
      <c r="AE43" s="1088">
        <v>0</v>
      </c>
      <c r="AF43" s="1093">
        <v>0</v>
      </c>
      <c r="AG43" s="1093">
        <v>0</v>
      </c>
      <c r="AH43" s="1093">
        <v>0</v>
      </c>
      <c r="AI43" s="1088">
        <v>0</v>
      </c>
      <c r="AJ43" s="1105">
        <v>1</v>
      </c>
      <c r="AK43" s="1102">
        <v>0</v>
      </c>
      <c r="AL43" s="1103">
        <v>1</v>
      </c>
      <c r="AM43" s="1103">
        <v>0</v>
      </c>
      <c r="AN43" s="1103">
        <v>0</v>
      </c>
      <c r="AO43" s="1104">
        <v>0</v>
      </c>
      <c r="AP43" s="1107">
        <v>0</v>
      </c>
      <c r="AQ43" s="1103">
        <v>0</v>
      </c>
      <c r="AR43" s="1103">
        <v>0</v>
      </c>
      <c r="AS43" s="1107">
        <v>0</v>
      </c>
      <c r="AT43" s="1107">
        <v>0</v>
      </c>
      <c r="AU43" s="1103">
        <v>0</v>
      </c>
      <c r="AV43" s="1104">
        <v>0</v>
      </c>
      <c r="AW43" s="1103">
        <v>0</v>
      </c>
      <c r="AX43" s="1107">
        <v>0</v>
      </c>
      <c r="AY43" s="1104">
        <v>0</v>
      </c>
      <c r="AZ43" s="1104">
        <v>0</v>
      </c>
      <c r="BA43" s="1104">
        <v>0</v>
      </c>
      <c r="BB43" s="1104">
        <v>0</v>
      </c>
      <c r="BC43" s="1107">
        <v>0</v>
      </c>
      <c r="BD43" s="1107">
        <v>0</v>
      </c>
      <c r="BE43" s="1106">
        <v>0</v>
      </c>
      <c r="BF43" s="1108">
        <v>0</v>
      </c>
      <c r="BG43" s="1109">
        <v>0</v>
      </c>
      <c r="BH43" s="1110">
        <v>0</v>
      </c>
    </row>
    <row r="44" spans="1:60" ht="16.2" x14ac:dyDescent="0.45">
      <c r="A44" s="1100">
        <v>37987</v>
      </c>
      <c r="B44" s="1101">
        <v>8</v>
      </c>
      <c r="C44" s="1085">
        <v>8</v>
      </c>
      <c r="D44" s="1102">
        <f>COUNTIFS(发射纪录!$B:$B,"&lt;&gt;-",发射纪录!$G:$G,"&gt;="&amp;DATE(YEAR($A44),1,1),发射纪录!$G:$G,"&lt;="&amp;DATE(YEAR($A44),12,31),发射纪录!$N:$N,"&lt;&gt;",发射纪录!$D:$D,"="&amp;CLEAN(火箭年間統計!D$6))</f>
        <v>0</v>
      </c>
      <c r="E44" s="1103">
        <f>COUNTIFS(发射纪录!$B:$B,"&lt;&gt;-",发射纪录!$G:$G,"&gt;="&amp;DATE(YEAR($A44),1,1),发射纪录!$G:$G,"&lt;="&amp;DATE(YEAR($A44),12,31),发射纪录!$N:$N,"&lt;&gt;",发射纪录!$D:$D,"="&amp;CLEAN(火箭年間統計!E$6))</f>
        <v>0</v>
      </c>
      <c r="F44" s="1103">
        <f>COUNTIFS(发射纪录!$B:$B,"&lt;&gt;-",发射纪录!$G:$G,"&gt;="&amp;DATE(YEAR($A44),1,1),发射纪录!$G:$G,"&lt;="&amp;DATE(YEAR($A44),12,31),发射纪录!$N:$N,"&lt;&gt;",发射纪录!$D:$D,"="&amp;CLEAN(火箭年間統計!F$6))</f>
        <v>0</v>
      </c>
      <c r="G44" s="1104">
        <v>4</v>
      </c>
      <c r="H44" s="1104">
        <v>1</v>
      </c>
      <c r="I44" s="1089">
        <v>0</v>
      </c>
      <c r="J44" s="1090">
        <v>0</v>
      </c>
      <c r="K44" s="1089">
        <v>0</v>
      </c>
      <c r="L44" s="1089">
        <v>1</v>
      </c>
      <c r="M44" s="1090">
        <v>0</v>
      </c>
      <c r="N44" s="1091">
        <v>0</v>
      </c>
      <c r="O44" s="1089">
        <v>0</v>
      </c>
      <c r="P44" s="1090">
        <v>2</v>
      </c>
      <c r="Q44" s="1090">
        <v>0</v>
      </c>
      <c r="R44" s="1090">
        <v>0</v>
      </c>
      <c r="S44" s="1090">
        <v>0</v>
      </c>
      <c r="T44" s="1089">
        <v>0</v>
      </c>
      <c r="U44" s="1090">
        <v>0</v>
      </c>
      <c r="V44" s="1090">
        <v>0</v>
      </c>
      <c r="W44" s="1092">
        <v>0</v>
      </c>
      <c r="X44" s="1090">
        <v>0</v>
      </c>
      <c r="Y44" s="1092">
        <v>0</v>
      </c>
      <c r="Z44" s="1092">
        <v>0</v>
      </c>
      <c r="AA44" s="1090">
        <v>0</v>
      </c>
      <c r="AB44" s="1090">
        <v>0</v>
      </c>
      <c r="AC44" s="1090">
        <v>0</v>
      </c>
      <c r="AD44" s="1090">
        <v>0</v>
      </c>
      <c r="AE44" s="1088">
        <v>0</v>
      </c>
      <c r="AF44" s="1093">
        <v>0</v>
      </c>
      <c r="AG44" s="1093">
        <v>0</v>
      </c>
      <c r="AH44" s="1093">
        <v>0</v>
      </c>
      <c r="AI44" s="1088">
        <v>0</v>
      </c>
      <c r="AJ44" s="1105">
        <v>0</v>
      </c>
      <c r="AK44" s="1102">
        <v>0</v>
      </c>
      <c r="AL44" s="1103">
        <v>0</v>
      </c>
      <c r="AM44" s="1103">
        <v>0</v>
      </c>
      <c r="AN44" s="1103">
        <v>0</v>
      </c>
      <c r="AO44" s="1104">
        <v>0</v>
      </c>
      <c r="AP44" s="1107">
        <v>0</v>
      </c>
      <c r="AQ44" s="1103">
        <v>0</v>
      </c>
      <c r="AR44" s="1103">
        <v>0</v>
      </c>
      <c r="AS44" s="1107">
        <v>0</v>
      </c>
      <c r="AT44" s="1107">
        <v>0</v>
      </c>
      <c r="AU44" s="1103">
        <v>0</v>
      </c>
      <c r="AV44" s="1104">
        <v>0</v>
      </c>
      <c r="AW44" s="1103">
        <v>0</v>
      </c>
      <c r="AX44" s="1107">
        <v>0</v>
      </c>
      <c r="AY44" s="1104">
        <v>0</v>
      </c>
      <c r="AZ44" s="1104">
        <v>0</v>
      </c>
      <c r="BA44" s="1104">
        <v>0</v>
      </c>
      <c r="BB44" s="1104">
        <v>0</v>
      </c>
      <c r="BC44" s="1107">
        <v>0</v>
      </c>
      <c r="BD44" s="1107">
        <v>0</v>
      </c>
      <c r="BE44" s="1106">
        <v>0</v>
      </c>
      <c r="BF44" s="1108">
        <v>0</v>
      </c>
      <c r="BG44" s="1109">
        <v>0</v>
      </c>
      <c r="BH44" s="1110">
        <v>0</v>
      </c>
    </row>
    <row r="45" spans="1:60" ht="16.2" x14ac:dyDescent="0.45">
      <c r="A45" s="1100">
        <v>38353</v>
      </c>
      <c r="B45" s="1101">
        <v>6</v>
      </c>
      <c r="C45" s="1085">
        <v>5</v>
      </c>
      <c r="D45" s="1102">
        <f>COUNTIFS(发射纪录!$B:$B,"&lt;&gt;-",发射纪录!$G:$G,"&gt;="&amp;DATE(YEAR($A45),1,1),发射纪录!$G:$G,"&lt;="&amp;DATE(YEAR($A45),12,31),发射纪录!$N:$N,"&lt;&gt;",发射纪录!$D:$D,"="&amp;CLEAN(火箭年間統計!D$6))</f>
        <v>0</v>
      </c>
      <c r="E45" s="1103">
        <f>COUNTIFS(发射纪录!$B:$B,"&lt;&gt;-",发射纪录!$G:$G,"&gt;="&amp;DATE(YEAR($A45),1,1),发射纪录!$G:$G,"&lt;="&amp;DATE(YEAR($A45),12,31),发射纪录!$N:$N,"&lt;&gt;",发射纪录!$D:$D,"="&amp;CLEAN(火箭年間統計!E$6))</f>
        <v>0</v>
      </c>
      <c r="F45" s="1103">
        <f>COUNTIFS(发射纪录!$B:$B,"&lt;&gt;-",发射纪录!$G:$G,"&gt;="&amp;DATE(YEAR($A45),1,1),发射纪录!$G:$G,"&lt;="&amp;DATE(YEAR($A45),12,31),发射纪录!$N:$N,"&lt;&gt;",发射纪录!$D:$D,"="&amp;CLEAN(火箭年間統計!F$6))</f>
        <v>0</v>
      </c>
      <c r="G45" s="1104">
        <v>1</v>
      </c>
      <c r="H45" s="1104">
        <v>2</v>
      </c>
      <c r="I45" s="1089">
        <v>0</v>
      </c>
      <c r="J45" s="1090">
        <v>1</v>
      </c>
      <c r="K45" s="1089">
        <v>0</v>
      </c>
      <c r="L45" s="1089">
        <v>0</v>
      </c>
      <c r="M45" s="1090">
        <v>1</v>
      </c>
      <c r="N45" s="1091">
        <v>0</v>
      </c>
      <c r="O45" s="1089">
        <v>0</v>
      </c>
      <c r="P45" s="1090">
        <v>0</v>
      </c>
      <c r="Q45" s="1090">
        <v>0</v>
      </c>
      <c r="R45" s="1090">
        <v>0</v>
      </c>
      <c r="S45" s="1090">
        <v>0</v>
      </c>
      <c r="T45" s="1089">
        <v>0</v>
      </c>
      <c r="U45" s="1090">
        <v>0</v>
      </c>
      <c r="V45" s="1090">
        <v>0</v>
      </c>
      <c r="W45" s="1092">
        <v>0</v>
      </c>
      <c r="X45" s="1090">
        <v>0</v>
      </c>
      <c r="Y45" s="1092">
        <v>0</v>
      </c>
      <c r="Z45" s="1092">
        <v>0</v>
      </c>
      <c r="AA45" s="1090">
        <v>0</v>
      </c>
      <c r="AB45" s="1090">
        <v>0</v>
      </c>
      <c r="AC45" s="1090">
        <v>0</v>
      </c>
      <c r="AD45" s="1090">
        <v>0</v>
      </c>
      <c r="AE45" s="1088">
        <v>0</v>
      </c>
      <c r="AF45" s="1093">
        <v>0</v>
      </c>
      <c r="AG45" s="1093">
        <v>0</v>
      </c>
      <c r="AH45" s="1093">
        <v>0</v>
      </c>
      <c r="AI45" s="1088">
        <v>0</v>
      </c>
      <c r="AJ45" s="1105">
        <v>1</v>
      </c>
      <c r="AK45" s="1102">
        <v>0</v>
      </c>
      <c r="AL45" s="1103">
        <v>1</v>
      </c>
      <c r="AM45" s="1103">
        <v>0</v>
      </c>
      <c r="AN45" s="1103">
        <v>0</v>
      </c>
      <c r="AO45" s="1104">
        <v>0</v>
      </c>
      <c r="AP45" s="1107">
        <v>0</v>
      </c>
      <c r="AQ45" s="1103">
        <v>0</v>
      </c>
      <c r="AR45" s="1103">
        <v>0</v>
      </c>
      <c r="AS45" s="1107">
        <v>0</v>
      </c>
      <c r="AT45" s="1107">
        <v>0</v>
      </c>
      <c r="AU45" s="1103">
        <v>0</v>
      </c>
      <c r="AV45" s="1104">
        <v>0</v>
      </c>
      <c r="AW45" s="1103">
        <v>0</v>
      </c>
      <c r="AX45" s="1107">
        <v>0</v>
      </c>
      <c r="AY45" s="1104">
        <v>0</v>
      </c>
      <c r="AZ45" s="1104">
        <v>0</v>
      </c>
      <c r="BA45" s="1104">
        <v>0</v>
      </c>
      <c r="BB45" s="1104">
        <v>0</v>
      </c>
      <c r="BC45" s="1107">
        <v>0</v>
      </c>
      <c r="BD45" s="1107">
        <v>0</v>
      </c>
      <c r="BE45" s="1106">
        <v>0</v>
      </c>
      <c r="BF45" s="1108">
        <v>0</v>
      </c>
      <c r="BG45" s="1109">
        <v>0</v>
      </c>
      <c r="BH45" s="1110">
        <v>0</v>
      </c>
    </row>
    <row r="46" spans="1:60" ht="16.2" x14ac:dyDescent="0.45">
      <c r="A46" s="1100">
        <v>38718</v>
      </c>
      <c r="B46" s="1101">
        <v>6</v>
      </c>
      <c r="C46" s="1085">
        <v>6</v>
      </c>
      <c r="D46" s="1102">
        <f>COUNTIFS(发射纪录!$B:$B,"&lt;&gt;-",发射纪录!$G:$G,"&gt;="&amp;DATE(YEAR($A46),1,1),发射纪录!$G:$G,"&lt;="&amp;DATE(YEAR($A46),12,31),发射纪录!$N:$N,"&lt;&gt;",发射纪录!$D:$D,"="&amp;CLEAN(火箭年間統計!D$6))</f>
        <v>0</v>
      </c>
      <c r="E46" s="1103">
        <f>COUNTIFS(发射纪录!$B:$B,"&lt;&gt;-",发射纪录!$G:$G,"&gt;="&amp;DATE(YEAR($A46),1,1),发射纪录!$G:$G,"&lt;="&amp;DATE(YEAR($A46),12,31),发射纪录!$N:$N,"&lt;&gt;",发射纪录!$D:$D,"="&amp;CLEAN(火箭年間統計!E$6))</f>
        <v>0</v>
      </c>
      <c r="F46" s="1103">
        <f>COUNTIFS(发射纪录!$B:$B,"&lt;&gt;-",发射纪录!$G:$G,"&gt;="&amp;DATE(YEAR($A46),1,1),发射纪录!$G:$G,"&lt;="&amp;DATE(YEAR($A46),12,31),发射纪录!$N:$N,"&lt;&gt;",发射纪录!$D:$D,"="&amp;CLEAN(火箭年間統計!F$6))</f>
        <v>0</v>
      </c>
      <c r="G46" s="1104">
        <v>1</v>
      </c>
      <c r="H46" s="1104">
        <v>0</v>
      </c>
      <c r="I46" s="1089">
        <v>0</v>
      </c>
      <c r="J46" s="1090">
        <v>0</v>
      </c>
      <c r="K46" s="1089">
        <v>0</v>
      </c>
      <c r="L46" s="1089">
        <v>2</v>
      </c>
      <c r="M46" s="1090">
        <v>1</v>
      </c>
      <c r="N46" s="1091">
        <v>0</v>
      </c>
      <c r="O46" s="1089">
        <v>0</v>
      </c>
      <c r="P46" s="1090">
        <v>1</v>
      </c>
      <c r="Q46" s="1090">
        <v>1</v>
      </c>
      <c r="R46" s="1090">
        <v>0</v>
      </c>
      <c r="S46" s="1090">
        <v>0</v>
      </c>
      <c r="T46" s="1089">
        <v>0</v>
      </c>
      <c r="U46" s="1090">
        <v>0</v>
      </c>
      <c r="V46" s="1090">
        <v>0</v>
      </c>
      <c r="W46" s="1092">
        <v>0</v>
      </c>
      <c r="X46" s="1090">
        <v>0</v>
      </c>
      <c r="Y46" s="1092">
        <v>0</v>
      </c>
      <c r="Z46" s="1092">
        <v>0</v>
      </c>
      <c r="AA46" s="1090">
        <v>0</v>
      </c>
      <c r="AB46" s="1090">
        <v>0</v>
      </c>
      <c r="AC46" s="1090">
        <v>0</v>
      </c>
      <c r="AD46" s="1090">
        <v>0</v>
      </c>
      <c r="AE46" s="1088">
        <v>0</v>
      </c>
      <c r="AF46" s="1093">
        <v>0</v>
      </c>
      <c r="AG46" s="1093">
        <v>0</v>
      </c>
      <c r="AH46" s="1093">
        <v>0</v>
      </c>
      <c r="AI46" s="1088">
        <v>0</v>
      </c>
      <c r="AJ46" s="1105">
        <v>0</v>
      </c>
      <c r="AK46" s="1102">
        <v>0</v>
      </c>
      <c r="AL46" s="1103">
        <v>0</v>
      </c>
      <c r="AM46" s="1103">
        <v>0</v>
      </c>
      <c r="AN46" s="1103">
        <v>0</v>
      </c>
      <c r="AO46" s="1104">
        <v>0</v>
      </c>
      <c r="AP46" s="1107">
        <v>0</v>
      </c>
      <c r="AQ46" s="1103">
        <v>0</v>
      </c>
      <c r="AR46" s="1103">
        <v>0</v>
      </c>
      <c r="AS46" s="1107">
        <v>0</v>
      </c>
      <c r="AT46" s="1107">
        <v>0</v>
      </c>
      <c r="AU46" s="1103">
        <v>0</v>
      </c>
      <c r="AV46" s="1104">
        <v>0</v>
      </c>
      <c r="AW46" s="1103">
        <v>0</v>
      </c>
      <c r="AX46" s="1107">
        <v>0</v>
      </c>
      <c r="AY46" s="1104">
        <v>0</v>
      </c>
      <c r="AZ46" s="1104">
        <v>0</v>
      </c>
      <c r="BA46" s="1104">
        <v>0</v>
      </c>
      <c r="BB46" s="1104">
        <v>0</v>
      </c>
      <c r="BC46" s="1107">
        <v>0</v>
      </c>
      <c r="BD46" s="1107">
        <v>0</v>
      </c>
      <c r="BE46" s="1106">
        <v>0</v>
      </c>
      <c r="BF46" s="1108">
        <v>0</v>
      </c>
      <c r="BG46" s="1109">
        <v>0</v>
      </c>
      <c r="BH46" s="1110">
        <v>0</v>
      </c>
    </row>
    <row r="47" spans="1:60" ht="16.2" x14ac:dyDescent="0.45">
      <c r="A47" s="1100">
        <v>39083</v>
      </c>
      <c r="B47" s="1101">
        <v>10</v>
      </c>
      <c r="C47" s="1085">
        <v>10</v>
      </c>
      <c r="D47" s="1102">
        <f>COUNTIFS(发射纪录!$B:$B,"&lt;&gt;-",发射纪录!$G:$G,"&gt;="&amp;DATE(YEAR($A47),1,1),发射纪录!$G:$G,"&lt;="&amp;DATE(YEAR($A47),12,31),发射纪录!$N:$N,"&lt;&gt;",发射纪录!$D:$D,"="&amp;CLEAN(火箭年間統計!D$6))</f>
        <v>0</v>
      </c>
      <c r="E47" s="1103">
        <f>COUNTIFS(发射纪录!$B:$B,"&lt;&gt;-",发射纪录!$G:$G,"&gt;="&amp;DATE(YEAR($A47),1,1),发射纪录!$G:$G,"&lt;="&amp;DATE(YEAR($A47),12,31),发射纪录!$N:$N,"&lt;&gt;",发射纪录!$D:$D,"="&amp;CLEAN(火箭年間統計!E$6))</f>
        <v>0</v>
      </c>
      <c r="F47" s="1103">
        <f>COUNTIFS(发射纪录!$B:$B,"&lt;&gt;-",发射纪录!$G:$G,"&gt;="&amp;DATE(YEAR($A47),1,1),发射纪录!$G:$G,"&lt;="&amp;DATE(YEAR($A47),12,31),发射纪录!$N:$N,"&lt;&gt;",发射纪录!$D:$D,"="&amp;CLEAN(火箭年間統計!F$6))</f>
        <v>0</v>
      </c>
      <c r="G47" s="1104">
        <v>1</v>
      </c>
      <c r="H47" s="1104">
        <v>1</v>
      </c>
      <c r="I47" s="1089">
        <v>0</v>
      </c>
      <c r="J47" s="1090">
        <v>0</v>
      </c>
      <c r="K47" s="1089">
        <v>0</v>
      </c>
      <c r="L47" s="1089">
        <v>4</v>
      </c>
      <c r="M47" s="1090">
        <v>2</v>
      </c>
      <c r="N47" s="1091">
        <v>0</v>
      </c>
      <c r="O47" s="1089">
        <v>0</v>
      </c>
      <c r="P47" s="1090">
        <v>1</v>
      </c>
      <c r="Q47" s="1090">
        <v>1</v>
      </c>
      <c r="R47" s="1090">
        <v>0</v>
      </c>
      <c r="S47" s="1090">
        <v>0</v>
      </c>
      <c r="T47" s="1089">
        <v>0</v>
      </c>
      <c r="U47" s="1090">
        <v>0</v>
      </c>
      <c r="V47" s="1090">
        <v>0</v>
      </c>
      <c r="W47" s="1092">
        <v>0</v>
      </c>
      <c r="X47" s="1090">
        <v>0</v>
      </c>
      <c r="Y47" s="1092">
        <v>0</v>
      </c>
      <c r="Z47" s="1092">
        <v>0</v>
      </c>
      <c r="AA47" s="1090">
        <v>0</v>
      </c>
      <c r="AB47" s="1090">
        <v>0</v>
      </c>
      <c r="AC47" s="1090">
        <v>0</v>
      </c>
      <c r="AD47" s="1090">
        <v>0</v>
      </c>
      <c r="AE47" s="1088">
        <v>0</v>
      </c>
      <c r="AF47" s="1093">
        <v>0</v>
      </c>
      <c r="AG47" s="1093">
        <v>0</v>
      </c>
      <c r="AH47" s="1093">
        <v>0</v>
      </c>
      <c r="AI47" s="1088">
        <v>0</v>
      </c>
      <c r="AJ47" s="1105">
        <v>0</v>
      </c>
      <c r="AK47" s="1102">
        <v>0</v>
      </c>
      <c r="AL47" s="1103">
        <v>0</v>
      </c>
      <c r="AM47" s="1103">
        <v>0</v>
      </c>
      <c r="AN47" s="1103">
        <v>0</v>
      </c>
      <c r="AO47" s="1104">
        <v>0</v>
      </c>
      <c r="AP47" s="1107">
        <v>0</v>
      </c>
      <c r="AQ47" s="1103">
        <v>0</v>
      </c>
      <c r="AR47" s="1103">
        <v>0</v>
      </c>
      <c r="AS47" s="1107">
        <v>0</v>
      </c>
      <c r="AT47" s="1107">
        <v>0</v>
      </c>
      <c r="AU47" s="1103">
        <v>0</v>
      </c>
      <c r="AV47" s="1104">
        <v>0</v>
      </c>
      <c r="AW47" s="1103">
        <v>0</v>
      </c>
      <c r="AX47" s="1107">
        <v>0</v>
      </c>
      <c r="AY47" s="1104">
        <v>0</v>
      </c>
      <c r="AZ47" s="1104">
        <v>0</v>
      </c>
      <c r="BA47" s="1104">
        <v>0</v>
      </c>
      <c r="BB47" s="1104">
        <v>0</v>
      </c>
      <c r="BC47" s="1107">
        <v>0</v>
      </c>
      <c r="BD47" s="1107">
        <v>0</v>
      </c>
      <c r="BE47" s="1106">
        <v>0</v>
      </c>
      <c r="BF47" s="1108">
        <v>0</v>
      </c>
      <c r="BG47" s="1109">
        <v>0</v>
      </c>
      <c r="BH47" s="1110">
        <v>0</v>
      </c>
    </row>
    <row r="48" spans="1:60" ht="16.2" x14ac:dyDescent="0.45">
      <c r="A48" s="1100">
        <v>39448</v>
      </c>
      <c r="B48" s="1101">
        <v>11</v>
      </c>
      <c r="C48" s="1085">
        <v>11</v>
      </c>
      <c r="D48" s="1102">
        <f>COUNTIFS(发射纪录!$B:$B,"&lt;&gt;-",发射纪录!$G:$G,"&gt;="&amp;DATE(YEAR($A48),1,1),发射纪录!$G:$G,"&lt;="&amp;DATE(YEAR($A48),12,31),发射纪录!$N:$N,"&lt;&gt;",发射纪录!$D:$D,"="&amp;CLEAN(火箭年間統計!D$6))</f>
        <v>0</v>
      </c>
      <c r="E48" s="1103">
        <f>COUNTIFS(发射纪录!$B:$B,"&lt;&gt;-",发射纪录!$G:$G,"&gt;="&amp;DATE(YEAR($A48),1,1),发射纪录!$G:$G,"&lt;="&amp;DATE(YEAR($A48),12,31),发射纪录!$N:$N,"&lt;&gt;",发射纪录!$D:$D,"="&amp;CLEAN(火箭年間統計!E$6))</f>
        <v>0</v>
      </c>
      <c r="F48" s="1103">
        <f>COUNTIFS(发射纪录!$B:$B,"&lt;&gt;-",发射纪录!$G:$G,"&gt;="&amp;DATE(YEAR($A48),1,1),发射纪录!$G:$G,"&lt;="&amp;DATE(YEAR($A48),12,31),发射纪录!$N:$N,"&lt;&gt;",发射纪录!$D:$D,"="&amp;CLEAN(火箭年間統計!F$6))</f>
        <v>0</v>
      </c>
      <c r="G48" s="1104">
        <v>1</v>
      </c>
      <c r="H48" s="1104">
        <v>2</v>
      </c>
      <c r="I48" s="1089">
        <v>0</v>
      </c>
      <c r="J48" s="1090">
        <v>1</v>
      </c>
      <c r="K48" s="1089">
        <v>0</v>
      </c>
      <c r="L48" s="1089">
        <v>1</v>
      </c>
      <c r="M48" s="1090">
        <v>2</v>
      </c>
      <c r="N48" s="1091">
        <v>1</v>
      </c>
      <c r="O48" s="1089">
        <v>0</v>
      </c>
      <c r="P48" s="1090">
        <v>2</v>
      </c>
      <c r="Q48" s="1090">
        <v>1</v>
      </c>
      <c r="R48" s="1090">
        <v>0</v>
      </c>
      <c r="S48" s="1090">
        <v>0</v>
      </c>
      <c r="T48" s="1089">
        <v>0</v>
      </c>
      <c r="U48" s="1090">
        <v>0</v>
      </c>
      <c r="V48" s="1090">
        <v>0</v>
      </c>
      <c r="W48" s="1092">
        <v>0</v>
      </c>
      <c r="X48" s="1090">
        <v>0</v>
      </c>
      <c r="Y48" s="1092">
        <v>0</v>
      </c>
      <c r="Z48" s="1092">
        <v>0</v>
      </c>
      <c r="AA48" s="1090">
        <v>0</v>
      </c>
      <c r="AB48" s="1090">
        <v>0</v>
      </c>
      <c r="AC48" s="1090">
        <v>0</v>
      </c>
      <c r="AD48" s="1090">
        <v>0</v>
      </c>
      <c r="AE48" s="1088">
        <v>0</v>
      </c>
      <c r="AF48" s="1093">
        <v>0</v>
      </c>
      <c r="AG48" s="1093">
        <v>0</v>
      </c>
      <c r="AH48" s="1093">
        <v>0</v>
      </c>
      <c r="AI48" s="1088">
        <v>0</v>
      </c>
      <c r="AJ48" s="1105">
        <v>0</v>
      </c>
      <c r="AK48" s="1102">
        <v>0</v>
      </c>
      <c r="AL48" s="1103">
        <v>0</v>
      </c>
      <c r="AM48" s="1103">
        <v>0</v>
      </c>
      <c r="AN48" s="1103">
        <v>0</v>
      </c>
      <c r="AO48" s="1104">
        <v>0</v>
      </c>
      <c r="AP48" s="1107">
        <v>0</v>
      </c>
      <c r="AQ48" s="1103">
        <v>0</v>
      </c>
      <c r="AR48" s="1103">
        <v>0</v>
      </c>
      <c r="AS48" s="1107">
        <v>0</v>
      </c>
      <c r="AT48" s="1107">
        <v>0</v>
      </c>
      <c r="AU48" s="1103">
        <v>0</v>
      </c>
      <c r="AV48" s="1104">
        <v>0</v>
      </c>
      <c r="AW48" s="1103">
        <v>0</v>
      </c>
      <c r="AX48" s="1107">
        <v>0</v>
      </c>
      <c r="AY48" s="1104">
        <v>0</v>
      </c>
      <c r="AZ48" s="1104">
        <v>0</v>
      </c>
      <c r="BA48" s="1104">
        <v>0</v>
      </c>
      <c r="BB48" s="1104">
        <v>0</v>
      </c>
      <c r="BC48" s="1107">
        <v>0</v>
      </c>
      <c r="BD48" s="1107">
        <v>0</v>
      </c>
      <c r="BE48" s="1106">
        <v>0</v>
      </c>
      <c r="BF48" s="1108">
        <v>0</v>
      </c>
      <c r="BG48" s="1109">
        <v>0</v>
      </c>
      <c r="BH48" s="1110">
        <v>0</v>
      </c>
    </row>
    <row r="49" spans="1:60" ht="16.2" x14ac:dyDescent="0.45">
      <c r="A49" s="1100">
        <v>39814</v>
      </c>
      <c r="B49" s="1101">
        <v>6</v>
      </c>
      <c r="C49" s="1085">
        <v>6</v>
      </c>
      <c r="D49" s="1102">
        <f>COUNTIFS(发射纪录!$B:$B,"&lt;&gt;-",发射纪录!$G:$G,"&gt;="&amp;DATE(YEAR($A49),1,1),发射纪录!$G:$G,"&lt;="&amp;DATE(YEAR($A49),12,31),发射纪录!$N:$N,"&lt;&gt;",发射纪录!$D:$D,"="&amp;CLEAN(火箭年間統計!D$6))</f>
        <v>0</v>
      </c>
      <c r="E49" s="1103">
        <f>COUNTIFS(发射纪录!$B:$B,"&lt;&gt;-",发射纪录!$G:$G,"&gt;="&amp;DATE(YEAR($A49),1,1),发射纪录!$G:$G,"&lt;="&amp;DATE(YEAR($A49),12,31),发射纪录!$N:$N,"&lt;&gt;",发射纪录!$D:$D,"="&amp;CLEAN(火箭年間統計!E$6))</f>
        <v>0</v>
      </c>
      <c r="F49" s="1103">
        <f>COUNTIFS(发射纪录!$B:$B,"&lt;&gt;-",发射纪录!$G:$G,"&gt;="&amp;DATE(YEAR($A49),1,1),发射纪录!$G:$G,"&lt;="&amp;DATE(YEAR($A49),12,31),发射纪录!$N:$N,"&lt;&gt;",发射纪录!$D:$D,"="&amp;CLEAN(火箭年間統計!F$6))</f>
        <v>0</v>
      </c>
      <c r="G49" s="1104">
        <v>2</v>
      </c>
      <c r="H49" s="1104">
        <v>1</v>
      </c>
      <c r="I49" s="1089">
        <v>0</v>
      </c>
      <c r="J49" s="1090">
        <v>0</v>
      </c>
      <c r="K49" s="1089">
        <v>0</v>
      </c>
      <c r="L49" s="1089">
        <v>0</v>
      </c>
      <c r="M49" s="1090">
        <v>1</v>
      </c>
      <c r="N49" s="1091">
        <v>1</v>
      </c>
      <c r="O49" s="1089">
        <v>0</v>
      </c>
      <c r="P49" s="1090">
        <v>0</v>
      </c>
      <c r="Q49" s="1090">
        <v>1</v>
      </c>
      <c r="R49" s="1090">
        <v>0</v>
      </c>
      <c r="S49" s="1090">
        <v>0</v>
      </c>
      <c r="T49" s="1089">
        <v>0</v>
      </c>
      <c r="U49" s="1090">
        <v>0</v>
      </c>
      <c r="V49" s="1090">
        <v>0</v>
      </c>
      <c r="W49" s="1092">
        <v>0</v>
      </c>
      <c r="X49" s="1090">
        <v>0</v>
      </c>
      <c r="Y49" s="1092">
        <v>0</v>
      </c>
      <c r="Z49" s="1092">
        <v>0</v>
      </c>
      <c r="AA49" s="1090">
        <v>0</v>
      </c>
      <c r="AB49" s="1090">
        <v>0</v>
      </c>
      <c r="AC49" s="1090">
        <v>0</v>
      </c>
      <c r="AD49" s="1090">
        <v>0</v>
      </c>
      <c r="AE49" s="1088">
        <v>0</v>
      </c>
      <c r="AF49" s="1093">
        <v>0</v>
      </c>
      <c r="AG49" s="1093">
        <v>0</v>
      </c>
      <c r="AH49" s="1093">
        <v>0</v>
      </c>
      <c r="AI49" s="1088">
        <v>0</v>
      </c>
      <c r="AJ49" s="1105">
        <v>0</v>
      </c>
      <c r="AK49" s="1102">
        <v>0</v>
      </c>
      <c r="AL49" s="1103">
        <v>0</v>
      </c>
      <c r="AM49" s="1103">
        <v>0</v>
      </c>
      <c r="AN49" s="1103">
        <v>0</v>
      </c>
      <c r="AO49" s="1104">
        <v>0</v>
      </c>
      <c r="AP49" s="1107">
        <v>0</v>
      </c>
      <c r="AQ49" s="1103">
        <v>0</v>
      </c>
      <c r="AR49" s="1103">
        <v>0</v>
      </c>
      <c r="AS49" s="1107">
        <v>0</v>
      </c>
      <c r="AT49" s="1107">
        <v>0</v>
      </c>
      <c r="AU49" s="1103">
        <v>0</v>
      </c>
      <c r="AV49" s="1104">
        <v>0</v>
      </c>
      <c r="AW49" s="1103">
        <v>0</v>
      </c>
      <c r="AX49" s="1107">
        <v>0</v>
      </c>
      <c r="AY49" s="1104">
        <v>0</v>
      </c>
      <c r="AZ49" s="1104">
        <v>0</v>
      </c>
      <c r="BA49" s="1104">
        <v>0</v>
      </c>
      <c r="BB49" s="1104">
        <v>0</v>
      </c>
      <c r="BC49" s="1107">
        <v>0</v>
      </c>
      <c r="BD49" s="1107">
        <v>0</v>
      </c>
      <c r="BE49" s="1106">
        <v>0</v>
      </c>
      <c r="BF49" s="1108">
        <v>0</v>
      </c>
      <c r="BG49" s="1109">
        <v>0</v>
      </c>
      <c r="BH49" s="1110">
        <v>0</v>
      </c>
    </row>
    <row r="50" spans="1:60" ht="16.2" x14ac:dyDescent="0.45">
      <c r="A50" s="1100">
        <v>40179</v>
      </c>
      <c r="B50" s="1101">
        <v>15</v>
      </c>
      <c r="C50" s="1085">
        <v>15</v>
      </c>
      <c r="D50" s="1102">
        <f>COUNTIFS(发射纪录!$B:$B,"&lt;&gt;-",发射纪录!$G:$G,"&gt;="&amp;DATE(YEAR($A50),1,1),发射纪录!$G:$G,"&lt;="&amp;DATE(YEAR($A50),12,31),发射纪录!$N:$N,"&lt;&gt;",发射纪录!$D:$D,"="&amp;CLEAN(火箭年間統計!D$6))</f>
        <v>0</v>
      </c>
      <c r="E50" s="1103">
        <f>COUNTIFS(发射纪录!$B:$B,"&lt;&gt;-",发射纪录!$G:$G,"&gt;="&amp;DATE(YEAR($A50),1,1),发射纪录!$G:$G,"&lt;="&amp;DATE(YEAR($A50),12,31),发射纪录!$N:$N,"&lt;&gt;",发射纪录!$D:$D,"="&amp;CLEAN(火箭年間統計!E$6))</f>
        <v>0</v>
      </c>
      <c r="F50" s="1103">
        <f>COUNTIFS(发射纪录!$B:$B,"&lt;&gt;-",发射纪录!$G:$G,"&gt;="&amp;DATE(YEAR($A50),1,1),发射纪录!$G:$G,"&lt;="&amp;DATE(YEAR($A50),12,31),发射纪录!$N:$N,"&lt;&gt;",发射纪录!$D:$D,"="&amp;CLEAN(火箭年間統計!F$6))</f>
        <v>0</v>
      </c>
      <c r="G50" s="1104">
        <v>0</v>
      </c>
      <c r="H50" s="1104">
        <v>3</v>
      </c>
      <c r="I50" s="1089">
        <v>0</v>
      </c>
      <c r="J50" s="1090">
        <v>0</v>
      </c>
      <c r="K50" s="1089">
        <v>0</v>
      </c>
      <c r="L50" s="1089">
        <v>3</v>
      </c>
      <c r="M50" s="1090">
        <v>1</v>
      </c>
      <c r="N50" s="1091">
        <v>4</v>
      </c>
      <c r="O50" s="1089">
        <v>0</v>
      </c>
      <c r="P50" s="1090">
        <v>1</v>
      </c>
      <c r="Q50" s="1090">
        <v>3</v>
      </c>
      <c r="R50" s="1090">
        <v>0</v>
      </c>
      <c r="S50" s="1090">
        <v>0</v>
      </c>
      <c r="T50" s="1089">
        <v>0</v>
      </c>
      <c r="U50" s="1090">
        <v>0</v>
      </c>
      <c r="V50" s="1090">
        <v>0</v>
      </c>
      <c r="W50" s="1092">
        <v>0</v>
      </c>
      <c r="X50" s="1090">
        <v>0</v>
      </c>
      <c r="Y50" s="1092">
        <v>0</v>
      </c>
      <c r="Z50" s="1092">
        <v>0</v>
      </c>
      <c r="AA50" s="1090">
        <v>0</v>
      </c>
      <c r="AB50" s="1090">
        <v>0</v>
      </c>
      <c r="AC50" s="1090">
        <v>0</v>
      </c>
      <c r="AD50" s="1090">
        <v>0</v>
      </c>
      <c r="AE50" s="1088">
        <v>0</v>
      </c>
      <c r="AF50" s="1093">
        <v>0</v>
      </c>
      <c r="AG50" s="1093">
        <v>0</v>
      </c>
      <c r="AH50" s="1093">
        <v>0</v>
      </c>
      <c r="AI50" s="1088">
        <v>0</v>
      </c>
      <c r="AJ50" s="1105">
        <v>0</v>
      </c>
      <c r="AK50" s="1102">
        <v>0</v>
      </c>
      <c r="AL50" s="1103">
        <v>0</v>
      </c>
      <c r="AM50" s="1103">
        <v>0</v>
      </c>
      <c r="AN50" s="1103">
        <v>0</v>
      </c>
      <c r="AO50" s="1104">
        <v>0</v>
      </c>
      <c r="AP50" s="1107">
        <v>0</v>
      </c>
      <c r="AQ50" s="1103">
        <v>0</v>
      </c>
      <c r="AR50" s="1103">
        <v>0</v>
      </c>
      <c r="AS50" s="1107">
        <v>0</v>
      </c>
      <c r="AT50" s="1107">
        <v>0</v>
      </c>
      <c r="AU50" s="1103">
        <v>0</v>
      </c>
      <c r="AV50" s="1104">
        <v>0</v>
      </c>
      <c r="AW50" s="1103">
        <v>0</v>
      </c>
      <c r="AX50" s="1107">
        <v>0</v>
      </c>
      <c r="AY50" s="1104">
        <v>0</v>
      </c>
      <c r="AZ50" s="1104">
        <v>0</v>
      </c>
      <c r="BA50" s="1104">
        <v>0</v>
      </c>
      <c r="BB50" s="1104">
        <v>0</v>
      </c>
      <c r="BC50" s="1107">
        <v>0</v>
      </c>
      <c r="BD50" s="1107">
        <v>0</v>
      </c>
      <c r="BE50" s="1106">
        <v>0</v>
      </c>
      <c r="BF50" s="1108">
        <v>0</v>
      </c>
      <c r="BG50" s="1109">
        <v>0</v>
      </c>
      <c r="BH50" s="1110">
        <v>0</v>
      </c>
    </row>
    <row r="51" spans="1:60" ht="16.2" x14ac:dyDescent="0.45">
      <c r="A51" s="1100">
        <v>40544</v>
      </c>
      <c r="B51" s="1101">
        <f t="shared" ref="B51:B66" si="10">C51+AJ51</f>
        <v>19</v>
      </c>
      <c r="C51" s="1085">
        <v>19</v>
      </c>
      <c r="D51" s="1102">
        <f>COUNTIFS(发射纪录!$B:$B,"&lt;&gt;-",发射纪录!$G:$G,"&gt;="&amp;DATE(YEAR($A51),1,1),发射纪录!$G:$G,"&lt;="&amp;DATE(YEAR($A51),12,31),发射纪录!$N:$N,"&lt;&gt;",发射纪录!$D:$D,"="&amp;CLEAN(火箭年間統計!D$6))</f>
        <v>0</v>
      </c>
      <c r="E51" s="1103">
        <f>COUNTIFS(发射纪录!$B:$B,"&lt;&gt;-",发射纪录!$G:$G,"&gt;="&amp;DATE(YEAR($A51),1,1),发射纪录!$G:$G,"&lt;="&amp;DATE(YEAR($A51),12,31),发射纪录!$N:$N,"&lt;&gt;",发射纪录!$D:$D,"="&amp;CLEAN(火箭年間統計!E$6))</f>
        <v>0</v>
      </c>
      <c r="F51" s="1103">
        <f>COUNTIFS(发射纪录!$B:$B,"&lt;&gt;-",发射纪录!$G:$G,"&gt;="&amp;DATE(YEAR($A51),1,1),发射纪录!$G:$G,"&lt;="&amp;DATE(YEAR($A51),12,31),发射纪录!$N:$N,"&lt;&gt;",发射纪录!$D:$D,"="&amp;CLEAN(火箭年間統計!F$6))</f>
        <v>0</v>
      </c>
      <c r="G51" s="1104">
        <f>COUNTIFS(发射纪录!$B:$B,"&lt;&gt;-",发射纪录!$G:$G,"&gt;="&amp;DATE(YEAR($A51),1,1),发射纪录!$G:$G,"&lt;="&amp;DATE(YEAR($A51),12,31),发射纪录!$N:$N,"&lt;&gt;",发射纪录!$D:$D,"="&amp;CLEAN(火箭年間統計!G$6))</f>
        <v>4</v>
      </c>
      <c r="H51" s="1104">
        <f>COUNTIFS(发射纪录!$B:$B,"&lt;&gt;-",发射纪录!$G:$G,"&gt;="&amp;DATE(YEAR($A51),1,1),发射纪录!$G:$G,"&lt;="&amp;DATE(YEAR($A51),12,31),发射纪录!$N:$N,"&lt;&gt;",发射纪录!$D:$D,"="&amp;CLEAN(火箭年間統計!H$6))</f>
        <v>1</v>
      </c>
      <c r="I51" s="1089">
        <f>COUNTIFS(发射纪录!$B:$B,"&lt;&gt;-",发射纪录!$G:$G,"&gt;="&amp;DATE(YEAR($A51),1,1),发射纪录!$G:$G,"&lt;="&amp;DATE(YEAR($A51),12,31),发射纪录!$N:$N,"&lt;&gt;",发射纪录!$D:$D,"="&amp;CLEAN(火箭年間統計!I$6))</f>
        <v>0</v>
      </c>
      <c r="J51" s="1090">
        <f>COUNTIFS(发射纪录!$B:$B,"&lt;&gt;-",发射纪录!$G:$G,"&gt;="&amp;DATE(YEAR($A51),1,1),发射纪录!$G:$G,"&lt;="&amp;DATE(YEAR($A51),12,31),发射纪录!$N:$N,"&lt;&gt;",发射纪录!$D:$D,"="&amp;CLEAN(火箭年間統計!J$6))</f>
        <v>2</v>
      </c>
      <c r="K51" s="1089">
        <f>COUNTIFS(发射纪录!$B:$B,"&lt;&gt;-",发射纪录!$G:$G,"&gt;="&amp;DATE(YEAR($A51),1,1),发射纪录!$G:$G,"&lt;="&amp;DATE(YEAR($A51),12,31),发射纪录!$N:$N,"&lt;&gt;",发射纪录!$D:$D,"="&amp;CLEAN(火箭年間統計!K$6))</f>
        <v>0</v>
      </c>
      <c r="L51" s="1089">
        <f>COUNTIFS(发射纪录!$B:$B,"&lt;&gt;-",发射纪录!$G:$G,"&gt;="&amp;DATE(YEAR($A51),1,1),发射纪录!$G:$G,"&lt;="&amp;DATE(YEAR($A51),12,31),发射纪录!$N:$N,"&lt;&gt;",发射纪录!$D:$D,"="&amp;CLEAN(火箭年間統計!L$6))</f>
        <v>3</v>
      </c>
      <c r="M51" s="1090">
        <v>5</v>
      </c>
      <c r="N51" s="1091">
        <v>1</v>
      </c>
      <c r="O51" s="1089">
        <v>0</v>
      </c>
      <c r="P51" s="1090">
        <v>3</v>
      </c>
      <c r="Q51" s="1090">
        <v>0</v>
      </c>
      <c r="R51" s="1090">
        <v>0</v>
      </c>
      <c r="S51" s="1090">
        <v>0</v>
      </c>
      <c r="T51" s="1089">
        <v>0</v>
      </c>
      <c r="U51" s="1090">
        <v>0</v>
      </c>
      <c r="V51" s="1090">
        <v>0</v>
      </c>
      <c r="W51" s="1092">
        <v>0</v>
      </c>
      <c r="X51" s="1090">
        <v>0</v>
      </c>
      <c r="Y51" s="1092">
        <v>0</v>
      </c>
      <c r="Z51" s="1092">
        <v>0</v>
      </c>
      <c r="AA51" s="1090">
        <v>0</v>
      </c>
      <c r="AB51" s="1090">
        <v>0</v>
      </c>
      <c r="AC51" s="1090">
        <v>0</v>
      </c>
      <c r="AD51" s="1090">
        <v>0</v>
      </c>
      <c r="AE51" s="1088">
        <v>0</v>
      </c>
      <c r="AF51" s="1093">
        <v>0</v>
      </c>
      <c r="AG51" s="1093">
        <v>0</v>
      </c>
      <c r="AH51" s="1093">
        <v>0</v>
      </c>
      <c r="AI51" s="1088">
        <v>0</v>
      </c>
      <c r="AJ51" s="1105">
        <v>0</v>
      </c>
      <c r="AK51" s="1102">
        <v>0</v>
      </c>
      <c r="AL51" s="1103">
        <v>0</v>
      </c>
      <c r="AM51" s="1103">
        <v>0</v>
      </c>
      <c r="AN51" s="1103">
        <v>0</v>
      </c>
      <c r="AO51" s="1104">
        <v>0</v>
      </c>
      <c r="AP51" s="1107">
        <v>0</v>
      </c>
      <c r="AQ51" s="1103">
        <v>0</v>
      </c>
      <c r="AR51" s="1103">
        <v>0</v>
      </c>
      <c r="AS51" s="1107">
        <v>0</v>
      </c>
      <c r="AT51" s="1107">
        <v>0</v>
      </c>
      <c r="AU51" s="1103">
        <v>0</v>
      </c>
      <c r="AV51" s="1104">
        <v>0</v>
      </c>
      <c r="AW51" s="1103">
        <v>0</v>
      </c>
      <c r="AX51" s="1107">
        <v>0</v>
      </c>
      <c r="AY51" s="1104">
        <v>0</v>
      </c>
      <c r="AZ51" s="1104">
        <v>0</v>
      </c>
      <c r="BA51" s="1104">
        <v>0</v>
      </c>
      <c r="BB51" s="1104">
        <v>0</v>
      </c>
      <c r="BC51" s="1107">
        <v>0</v>
      </c>
      <c r="BD51" s="1107">
        <v>0</v>
      </c>
      <c r="BE51" s="1106">
        <v>0</v>
      </c>
      <c r="BF51" s="1108">
        <v>0</v>
      </c>
      <c r="BG51" s="1109">
        <v>0</v>
      </c>
      <c r="BH51" s="1110">
        <v>0</v>
      </c>
    </row>
    <row r="52" spans="1:60" ht="16.2" x14ac:dyDescent="0.45">
      <c r="A52" s="1100">
        <v>40909</v>
      </c>
      <c r="B52" s="1101">
        <f t="shared" si="10"/>
        <v>19</v>
      </c>
      <c r="C52" s="1085">
        <v>19</v>
      </c>
      <c r="D52" s="1102">
        <f>COUNTIFS(发射纪录!$B:$B,"&lt;&gt;-",发射纪录!$G:$G,"&gt;="&amp;DATE(YEAR($A52),1,1),发射纪录!$G:$G,"&lt;="&amp;DATE(YEAR($A52),12,31),发射纪录!$N:$N,"&lt;&gt;",发射纪录!$D:$D,"="&amp;CLEAN(火箭年間統計!D$6))</f>
        <v>0</v>
      </c>
      <c r="E52" s="1103">
        <f>COUNTIFS(发射纪录!$B:$B,"&lt;&gt;-",发射纪录!$G:$G,"&gt;="&amp;DATE(YEAR($A52),1,1),发射纪录!$G:$G,"&lt;="&amp;DATE(YEAR($A52),12,31),发射纪录!$N:$N,"&lt;&gt;",发射纪录!$D:$D,"="&amp;CLEAN(火箭年間統計!E$6))</f>
        <v>0</v>
      </c>
      <c r="F52" s="1103">
        <f>COUNTIFS(发射纪录!$B:$B,"&lt;&gt;-",发射纪录!$G:$G,"&gt;="&amp;DATE(YEAR($A52),1,1),发射纪录!$G:$G,"&lt;="&amp;DATE(YEAR($A52),12,31),发射纪录!$N:$N,"&lt;&gt;",发射纪录!$D:$D,"="&amp;CLEAN(火箭年間統計!F$6))</f>
        <v>0</v>
      </c>
      <c r="G52" s="1104">
        <f>COUNTIFS(发射纪录!$B:$B,"&lt;&gt;-",发射纪录!$G:$G,"&gt;="&amp;DATE(YEAR($A52),1,1),发射纪录!$G:$G,"&lt;="&amp;DATE(YEAR($A52),12,31),发射纪录!$N:$N,"&lt;&gt;",发射纪录!$D:$D,"="&amp;CLEAN(火箭年間統計!G$6))</f>
        <v>2</v>
      </c>
      <c r="H52" s="1104">
        <f>COUNTIFS(发射纪录!$B:$B,"&lt;&gt;-",发射纪录!$G:$G,"&gt;="&amp;DATE(YEAR($A52),1,1),发射纪录!$G:$G,"&lt;="&amp;DATE(YEAR($A52),12,31),发射纪录!$N:$N,"&lt;&gt;",发射纪录!$D:$D,"="&amp;CLEAN(火箭年間統計!H$6))</f>
        <v>3</v>
      </c>
      <c r="I52" s="1089">
        <f>COUNTIFS(发射纪录!$B:$B,"&lt;&gt;-",发射纪录!$G:$G,"&gt;="&amp;DATE(YEAR($A52),1,1),发射纪录!$G:$G,"&lt;="&amp;DATE(YEAR($A52),12,31),发射纪录!$N:$N,"&lt;&gt;",发射纪录!$D:$D,"="&amp;CLEAN(火箭年間統計!I$6))</f>
        <v>0</v>
      </c>
      <c r="J52" s="1090">
        <f>COUNTIFS(发射纪录!$B:$B,"&lt;&gt;-",发射纪录!$G:$G,"&gt;="&amp;DATE(YEAR($A52),1,1),发射纪录!$G:$G,"&lt;="&amp;DATE(YEAR($A52),12,31),发射纪录!$N:$N,"&lt;&gt;",发射纪录!$D:$D,"="&amp;CLEAN(火箭年間統計!J$6))</f>
        <v>1</v>
      </c>
      <c r="K52" s="1089">
        <f>COUNTIFS(发射纪录!$B:$B,"&lt;&gt;-",发射纪录!$G:$G,"&gt;="&amp;DATE(YEAR($A52),1,1),发射纪录!$G:$G,"&lt;="&amp;DATE(YEAR($A52),12,31),发射纪录!$N:$N,"&lt;&gt;",发射纪录!$D:$D,"="&amp;CLEAN(火箭年間統計!K$6))</f>
        <v>0</v>
      </c>
      <c r="L52" s="1089">
        <f>COUNTIFS(发射纪录!$B:$B,"&lt;&gt;-",发射纪录!$G:$G,"&gt;="&amp;DATE(YEAR($A52),1,1),发射纪录!$G:$G,"&lt;="&amp;DATE(YEAR($A52),12,31),发射纪录!$N:$N,"&lt;&gt;",发射纪录!$D:$D,"="&amp;CLEAN(火箭年間統計!L$6))</f>
        <v>1</v>
      </c>
      <c r="M52" s="1090">
        <v>5</v>
      </c>
      <c r="N52" s="1091">
        <v>3</v>
      </c>
      <c r="O52" s="1089">
        <v>0</v>
      </c>
      <c r="P52" s="1090">
        <v>2</v>
      </c>
      <c r="Q52" s="1090">
        <v>2</v>
      </c>
      <c r="R52" s="1090">
        <v>0</v>
      </c>
      <c r="S52" s="1090">
        <v>0</v>
      </c>
      <c r="T52" s="1089">
        <v>0</v>
      </c>
      <c r="U52" s="1090">
        <v>0</v>
      </c>
      <c r="V52" s="1090">
        <v>0</v>
      </c>
      <c r="W52" s="1092">
        <v>0</v>
      </c>
      <c r="X52" s="1090">
        <v>0</v>
      </c>
      <c r="Y52" s="1092">
        <v>0</v>
      </c>
      <c r="Z52" s="1092">
        <v>0</v>
      </c>
      <c r="AA52" s="1090">
        <v>0</v>
      </c>
      <c r="AB52" s="1090">
        <v>0</v>
      </c>
      <c r="AC52" s="1090">
        <v>0</v>
      </c>
      <c r="AD52" s="1090">
        <v>0</v>
      </c>
      <c r="AE52" s="1088">
        <v>0</v>
      </c>
      <c r="AF52" s="1093">
        <v>0</v>
      </c>
      <c r="AG52" s="1093">
        <v>0</v>
      </c>
      <c r="AH52" s="1093">
        <v>0</v>
      </c>
      <c r="AI52" s="1088">
        <v>0</v>
      </c>
      <c r="AJ52" s="1105">
        <v>0</v>
      </c>
      <c r="AK52" s="1102">
        <v>0</v>
      </c>
      <c r="AL52" s="1103">
        <v>0</v>
      </c>
      <c r="AM52" s="1103">
        <v>0</v>
      </c>
      <c r="AN52" s="1103">
        <v>0</v>
      </c>
      <c r="AO52" s="1104">
        <v>0</v>
      </c>
      <c r="AP52" s="1107">
        <v>0</v>
      </c>
      <c r="AQ52" s="1103">
        <v>0</v>
      </c>
      <c r="AR52" s="1103">
        <v>0</v>
      </c>
      <c r="AS52" s="1107">
        <v>0</v>
      </c>
      <c r="AT52" s="1107">
        <v>0</v>
      </c>
      <c r="AU52" s="1103">
        <v>0</v>
      </c>
      <c r="AV52" s="1104">
        <v>0</v>
      </c>
      <c r="AW52" s="1103">
        <v>0</v>
      </c>
      <c r="AX52" s="1107">
        <v>0</v>
      </c>
      <c r="AY52" s="1104">
        <v>0</v>
      </c>
      <c r="AZ52" s="1104">
        <v>0</v>
      </c>
      <c r="BA52" s="1104">
        <v>0</v>
      </c>
      <c r="BB52" s="1104">
        <v>0</v>
      </c>
      <c r="BC52" s="1107">
        <v>0</v>
      </c>
      <c r="BD52" s="1107">
        <v>0</v>
      </c>
      <c r="BE52" s="1106">
        <v>0</v>
      </c>
      <c r="BF52" s="1108">
        <v>0</v>
      </c>
      <c r="BG52" s="1109">
        <v>0</v>
      </c>
      <c r="BH52" s="1110">
        <v>0</v>
      </c>
    </row>
    <row r="53" spans="1:60" ht="16.2" x14ac:dyDescent="0.45">
      <c r="A53" s="1100">
        <v>41275</v>
      </c>
      <c r="B53" s="1101">
        <f t="shared" si="10"/>
        <v>15</v>
      </c>
      <c r="C53" s="1085">
        <v>14</v>
      </c>
      <c r="D53" s="1102">
        <f>COUNTIFS(发射纪录!$B:$B,"&lt;&gt;-",发射纪录!$G:$G,"&gt;="&amp;DATE(YEAR($A53),1,1),发射纪录!$G:$G,"&lt;="&amp;DATE(YEAR($A53),12,31),发射纪录!$N:$N,"&lt;&gt;",发射纪录!$D:$D,"="&amp;CLEAN(火箭年間統計!D$6))</f>
        <v>0</v>
      </c>
      <c r="E53" s="1103">
        <f>COUNTIFS(发射纪录!$B:$B,"&lt;&gt;-",发射纪录!$G:$G,"&gt;="&amp;DATE(YEAR($A53),1,1),发射纪录!$G:$G,"&lt;="&amp;DATE(YEAR($A53),12,31),发射纪录!$N:$N,"&lt;&gt;",发射纪录!$D:$D,"="&amp;CLEAN(火箭年間統計!E$6))</f>
        <v>0</v>
      </c>
      <c r="F53" s="1103">
        <f>COUNTIFS(发射纪录!$B:$B,"&lt;&gt;-",发射纪录!$G:$G,"&gt;="&amp;DATE(YEAR($A53),1,1),发射纪录!$G:$G,"&lt;="&amp;DATE(YEAR($A53),12,31),发射纪录!$N:$N,"&lt;&gt;",发射纪录!$D:$D,"="&amp;CLEAN(火箭年間統計!F$6))</f>
        <v>0</v>
      </c>
      <c r="G53" s="1104">
        <f>COUNTIFS(发射纪录!$B:$B,"&lt;&gt;-",发射纪录!$G:$G,"&gt;="&amp;DATE(YEAR($A53),1,1),发射纪录!$G:$G,"&lt;="&amp;DATE(YEAR($A53),12,31),发射纪录!$N:$N,"&lt;&gt;",发射纪录!$D:$D,"="&amp;CLEAN(火箭年間統計!G$6))</f>
        <v>2</v>
      </c>
      <c r="H53" s="1104">
        <f>COUNTIFS(发射纪录!$B:$B,"&lt;&gt;-",发射纪录!$G:$G,"&gt;="&amp;DATE(YEAR($A53),1,1),发射纪录!$G:$G,"&lt;="&amp;DATE(YEAR($A53),12,31),发射纪录!$N:$N,"&lt;&gt;",发射纪录!$D:$D,"="&amp;CLEAN(火箭年間統計!H$6))</f>
        <v>2</v>
      </c>
      <c r="I53" s="1089">
        <f>COUNTIFS(发射纪录!$B:$B,"&lt;&gt;-",发射纪录!$G:$G,"&gt;="&amp;DATE(YEAR($A53),1,1),发射纪录!$G:$G,"&lt;="&amp;DATE(YEAR($A53),12,31),发射纪录!$N:$N,"&lt;&gt;",发射纪录!$D:$D,"="&amp;CLEAN(火箭年間統計!I$6))</f>
        <v>0</v>
      </c>
      <c r="J53" s="1090">
        <f>COUNTIFS(发射纪录!$B:$B,"&lt;&gt;-",发射纪录!$G:$G,"&gt;="&amp;DATE(YEAR($A53),1,1),发射纪录!$G:$G,"&lt;="&amp;DATE(YEAR($A53),12,31),发射纪录!$N:$N,"&lt;&gt;",发射纪录!$D:$D,"="&amp;CLEAN(火箭年間統計!J$6))</f>
        <v>1</v>
      </c>
      <c r="K53" s="1089">
        <f>COUNTIFS(发射纪录!$B:$B,"&lt;&gt;-",发射纪录!$G:$G,"&gt;="&amp;DATE(YEAR($A53),1,1),发射纪录!$G:$G,"&lt;="&amp;DATE(YEAR($A53),12,31),发射纪录!$N:$N,"&lt;&gt;",发射纪录!$D:$D,"="&amp;CLEAN(火箭年間統計!K$6))</f>
        <v>0</v>
      </c>
      <c r="L53" s="1089">
        <f>COUNTIFS(发射纪录!$B:$B,"&lt;&gt;-",发射纪录!$G:$G,"&gt;="&amp;DATE(YEAR($A53),1,1),发射纪录!$G:$G,"&lt;="&amp;DATE(YEAR($A53),12,31),发射纪录!$N:$N,"&lt;&gt;",发射纪录!$D:$D,"="&amp;CLEAN(火箭年間統計!L$6))</f>
        <v>0</v>
      </c>
      <c r="M53" s="1090">
        <v>3</v>
      </c>
      <c r="N53" s="1091">
        <v>0</v>
      </c>
      <c r="O53" s="1089">
        <v>0</v>
      </c>
      <c r="P53" s="1090">
        <v>2</v>
      </c>
      <c r="Q53" s="1090">
        <v>4</v>
      </c>
      <c r="R53" s="1090">
        <v>0</v>
      </c>
      <c r="S53" s="1090">
        <v>0</v>
      </c>
      <c r="T53" s="1089">
        <v>0</v>
      </c>
      <c r="U53" s="1090">
        <v>0</v>
      </c>
      <c r="V53" s="1090">
        <v>0</v>
      </c>
      <c r="W53" s="1092">
        <v>0</v>
      </c>
      <c r="X53" s="1090">
        <v>0</v>
      </c>
      <c r="Y53" s="1092">
        <v>0</v>
      </c>
      <c r="Z53" s="1092">
        <v>0</v>
      </c>
      <c r="AA53" s="1090">
        <v>0</v>
      </c>
      <c r="AB53" s="1090">
        <v>0</v>
      </c>
      <c r="AC53" s="1090">
        <v>0</v>
      </c>
      <c r="AD53" s="1090">
        <v>0</v>
      </c>
      <c r="AE53" s="1088">
        <v>0</v>
      </c>
      <c r="AF53" s="1093">
        <v>0</v>
      </c>
      <c r="AG53" s="1093">
        <v>0</v>
      </c>
      <c r="AH53" s="1093">
        <v>0</v>
      </c>
      <c r="AI53" s="1088">
        <v>0</v>
      </c>
      <c r="AJ53" s="1105">
        <v>1</v>
      </c>
      <c r="AK53" s="1102">
        <v>0</v>
      </c>
      <c r="AL53" s="1103">
        <v>0</v>
      </c>
      <c r="AM53" s="1103">
        <v>0</v>
      </c>
      <c r="AN53" s="1103">
        <v>1</v>
      </c>
      <c r="AO53" s="1104">
        <v>0</v>
      </c>
      <c r="AP53" s="1107">
        <v>0</v>
      </c>
      <c r="AQ53" s="1103">
        <v>0</v>
      </c>
      <c r="AR53" s="1103">
        <v>0</v>
      </c>
      <c r="AS53" s="1107">
        <v>0</v>
      </c>
      <c r="AT53" s="1107">
        <v>0</v>
      </c>
      <c r="AU53" s="1103">
        <v>0</v>
      </c>
      <c r="AV53" s="1104">
        <v>0</v>
      </c>
      <c r="AW53" s="1103">
        <v>0</v>
      </c>
      <c r="AX53" s="1107">
        <v>0</v>
      </c>
      <c r="AY53" s="1104">
        <v>0</v>
      </c>
      <c r="AZ53" s="1104">
        <v>0</v>
      </c>
      <c r="BA53" s="1104">
        <v>0</v>
      </c>
      <c r="BB53" s="1104">
        <v>0</v>
      </c>
      <c r="BC53" s="1107">
        <v>0</v>
      </c>
      <c r="BD53" s="1107">
        <v>0</v>
      </c>
      <c r="BE53" s="1106">
        <v>0</v>
      </c>
      <c r="BF53" s="1108">
        <v>0</v>
      </c>
      <c r="BG53" s="1109">
        <v>0</v>
      </c>
      <c r="BH53" s="1110">
        <v>0</v>
      </c>
    </row>
    <row r="54" spans="1:60" ht="16.2" x14ac:dyDescent="0.45">
      <c r="A54" s="1100">
        <v>41640</v>
      </c>
      <c r="B54" s="1101">
        <f t="shared" si="10"/>
        <v>16</v>
      </c>
      <c r="C54" s="1085">
        <v>15</v>
      </c>
      <c r="D54" s="1102">
        <f>COUNTIFS(发射纪录!$B:$B,"&lt;&gt;-",发射纪录!$G:$G,"&gt;="&amp;DATE(YEAR($A54),1,1),发射纪录!$G:$G,"&lt;="&amp;DATE(YEAR($A54),12,31),发射纪录!$N:$N,"&lt;&gt;",发射纪录!$D:$D,"="&amp;CLEAN(火箭年間統計!D$6))</f>
        <v>0</v>
      </c>
      <c r="E54" s="1103">
        <f>COUNTIFS(发射纪录!$B:$B,"&lt;&gt;-",发射纪录!$G:$G,"&gt;="&amp;DATE(YEAR($A54),1,1),发射纪录!$G:$G,"&lt;="&amp;DATE(YEAR($A54),12,31),发射纪录!$N:$N,"&lt;&gt;",发射纪录!$D:$D,"="&amp;CLEAN(火箭年間統計!E$6))</f>
        <v>0</v>
      </c>
      <c r="F54" s="1103">
        <f>COUNTIFS(发射纪录!$B:$B,"&lt;&gt;-",发射纪录!$G:$G,"&gt;="&amp;DATE(YEAR($A54),1,1),发射纪录!$G:$G,"&lt;="&amp;DATE(YEAR($A54),12,31),发射纪录!$N:$N,"&lt;&gt;",发射纪录!$D:$D,"="&amp;CLEAN(火箭年間統計!F$6))</f>
        <v>0</v>
      </c>
      <c r="G54" s="1104">
        <f>COUNTIFS(发射纪录!$B:$B,"&lt;&gt;-",发射纪录!$G:$G,"&gt;="&amp;DATE(YEAR($A54),1,1),发射纪录!$G:$G,"&lt;="&amp;DATE(YEAR($A54),12,31),发射纪录!$N:$N,"&lt;&gt;",发射纪录!$D:$D,"="&amp;CLEAN(火箭年間統計!G$6))</f>
        <v>4</v>
      </c>
      <c r="H54" s="1104">
        <f>COUNTIFS(发射纪录!$B:$B,"&lt;&gt;-",发射纪录!$G:$G,"&gt;="&amp;DATE(YEAR($A54),1,1),发射纪录!$G:$G,"&lt;="&amp;DATE(YEAR($A54),12,31),发射纪录!$N:$N,"&lt;&gt;",发射纪录!$D:$D,"="&amp;CLEAN(火箭年間統計!H$6))</f>
        <v>2</v>
      </c>
      <c r="I54" s="1089">
        <f>COUNTIFS(发射纪录!$B:$B,"&lt;&gt;-",发射纪录!$G:$G,"&gt;="&amp;DATE(YEAR($A54),1,1),发射纪录!$G:$G,"&lt;="&amp;DATE(YEAR($A54),12,31),发射纪录!$N:$N,"&lt;&gt;",发射纪录!$D:$D,"="&amp;CLEAN(火箭年間統計!I$6))</f>
        <v>0</v>
      </c>
      <c r="J54" s="1090">
        <f>COUNTIFS(发射纪录!$B:$B,"&lt;&gt;-",发射纪录!$G:$G,"&gt;="&amp;DATE(YEAR($A54),1,1),发射纪录!$G:$G,"&lt;="&amp;DATE(YEAR($A54),12,31),发射纪录!$N:$N,"&lt;&gt;",发射纪录!$D:$D,"="&amp;CLEAN(火箭年間統計!J$6))</f>
        <v>0</v>
      </c>
      <c r="K54" s="1089">
        <f>COUNTIFS(发射纪录!$B:$B,"&lt;&gt;-",发射纪录!$G:$G,"&gt;="&amp;DATE(YEAR($A54),1,1),发射纪录!$G:$G,"&lt;="&amp;DATE(YEAR($A54),12,31),发射纪录!$N:$N,"&lt;&gt;",发射纪录!$D:$D,"="&amp;CLEAN(火箭年間統計!K$6))</f>
        <v>0</v>
      </c>
      <c r="L54" s="1089">
        <f>COUNTIFS(发射纪录!$B:$B,"&lt;&gt;-",发射纪录!$G:$G,"&gt;="&amp;DATE(YEAR($A54),1,1),发射纪录!$G:$G,"&lt;="&amp;DATE(YEAR($A54),12,31),发射纪录!$N:$N,"&lt;&gt;",发射纪录!$D:$D,"="&amp;CLEAN(火箭年間統計!L$6))</f>
        <v>1</v>
      </c>
      <c r="M54" s="1090">
        <v>0</v>
      </c>
      <c r="N54" s="1091">
        <v>1</v>
      </c>
      <c r="O54" s="1089">
        <v>0</v>
      </c>
      <c r="P54" s="1090">
        <v>4</v>
      </c>
      <c r="Q54" s="1090">
        <v>3</v>
      </c>
      <c r="R54" s="1090">
        <v>0</v>
      </c>
      <c r="S54" s="1090">
        <v>0</v>
      </c>
      <c r="T54" s="1089">
        <v>0</v>
      </c>
      <c r="U54" s="1090">
        <v>0</v>
      </c>
      <c r="V54" s="1090">
        <v>0</v>
      </c>
      <c r="W54" s="1092">
        <v>0</v>
      </c>
      <c r="X54" s="1090">
        <v>0</v>
      </c>
      <c r="Y54" s="1092">
        <v>0</v>
      </c>
      <c r="Z54" s="1092">
        <v>0</v>
      </c>
      <c r="AA54" s="1090">
        <v>0</v>
      </c>
      <c r="AB54" s="1090">
        <v>0</v>
      </c>
      <c r="AC54" s="1090">
        <v>0</v>
      </c>
      <c r="AD54" s="1090">
        <v>0</v>
      </c>
      <c r="AE54" s="1088">
        <v>0</v>
      </c>
      <c r="AF54" s="1093">
        <v>0</v>
      </c>
      <c r="AG54" s="1093">
        <v>0</v>
      </c>
      <c r="AH54" s="1093">
        <v>0</v>
      </c>
      <c r="AI54" s="1088">
        <v>0</v>
      </c>
      <c r="AJ54" s="1105">
        <v>1</v>
      </c>
      <c r="AK54" s="1102">
        <v>0</v>
      </c>
      <c r="AL54" s="1103">
        <v>0</v>
      </c>
      <c r="AM54" s="1103">
        <v>0</v>
      </c>
      <c r="AN54" s="1103">
        <v>1</v>
      </c>
      <c r="AO54" s="1104">
        <v>0</v>
      </c>
      <c r="AP54" s="1107">
        <v>0</v>
      </c>
      <c r="AQ54" s="1103">
        <v>0</v>
      </c>
      <c r="AR54" s="1103">
        <v>0</v>
      </c>
      <c r="AS54" s="1107">
        <v>0</v>
      </c>
      <c r="AT54" s="1107">
        <v>0</v>
      </c>
      <c r="AU54" s="1103">
        <v>0</v>
      </c>
      <c r="AV54" s="1104">
        <v>0</v>
      </c>
      <c r="AW54" s="1103">
        <v>0</v>
      </c>
      <c r="AX54" s="1107">
        <v>0</v>
      </c>
      <c r="AY54" s="1104">
        <v>0</v>
      </c>
      <c r="AZ54" s="1104">
        <v>0</v>
      </c>
      <c r="BA54" s="1104">
        <v>0</v>
      </c>
      <c r="BB54" s="1104">
        <v>0</v>
      </c>
      <c r="BC54" s="1107">
        <v>0</v>
      </c>
      <c r="BD54" s="1107">
        <v>0</v>
      </c>
      <c r="BE54" s="1106">
        <v>0</v>
      </c>
      <c r="BF54" s="1108">
        <v>0</v>
      </c>
      <c r="BG54" s="1109">
        <v>0</v>
      </c>
      <c r="BH54" s="1110">
        <v>0</v>
      </c>
    </row>
    <row r="55" spans="1:60" ht="16.2" x14ac:dyDescent="0.45">
      <c r="A55" s="1100">
        <v>42005</v>
      </c>
      <c r="B55" s="1101">
        <f t="shared" si="10"/>
        <v>19</v>
      </c>
      <c r="C55" s="1085">
        <v>19</v>
      </c>
      <c r="D55" s="1102">
        <f>COUNTIFS(发射纪录!$B:$B,"&lt;&gt;-",发射纪录!$G:$G,"&gt;="&amp;DATE(YEAR($A55),1,1),发射纪录!$G:$G,"&lt;="&amp;DATE(YEAR($A55),12,31),发射纪录!$N:$N,"&lt;&gt;",发射纪录!$D:$D,"="&amp;CLEAN(火箭年間統計!D$6))</f>
        <v>0</v>
      </c>
      <c r="E55" s="1103">
        <f>COUNTIFS(发射纪录!$B:$B,"&lt;&gt;-",发射纪录!$G:$G,"&gt;="&amp;DATE(YEAR($A55),1,1),发射纪录!$G:$G,"&lt;="&amp;DATE(YEAR($A55),12,31),发射纪录!$N:$N,"&lt;&gt;",发射纪录!$D:$D,"="&amp;CLEAN(火箭年間統計!E$6))</f>
        <v>0</v>
      </c>
      <c r="F55" s="1103">
        <f>COUNTIFS(发射纪录!$B:$B,"&lt;&gt;-",发射纪录!$G:$G,"&gt;="&amp;DATE(YEAR($A55),1,1),发射纪录!$G:$G,"&lt;="&amp;DATE(YEAR($A55),12,31),发射纪录!$N:$N,"&lt;&gt;",发射纪录!$D:$D,"="&amp;CLEAN(火箭年間統計!F$6))</f>
        <v>0</v>
      </c>
      <c r="G55" s="1104">
        <f>COUNTIFS(发射纪录!$B:$B,"&lt;&gt;-",发射纪录!$G:$G,"&gt;="&amp;DATE(YEAR($A55),1,1),发射纪录!$G:$G,"&lt;="&amp;DATE(YEAR($A55),12,31),发射纪录!$N:$N,"&lt;&gt;",发射纪录!$D:$D,"="&amp;CLEAN(火箭年間統計!G$6))</f>
        <v>0</v>
      </c>
      <c r="H55" s="1104">
        <f>COUNTIFS(发射纪录!$B:$B,"&lt;&gt;-",发射纪录!$G:$G,"&gt;="&amp;DATE(YEAR($A55),1,1),发射纪录!$G:$G,"&lt;="&amp;DATE(YEAR($A55),12,31),发射纪录!$N:$N,"&lt;&gt;",发射纪录!$D:$D,"="&amp;CLEAN(火箭年間統計!H$6))</f>
        <v>4</v>
      </c>
      <c r="I55" s="1089">
        <f>COUNTIFS(发射纪录!$B:$B,"&lt;&gt;-",发射纪录!$G:$G,"&gt;="&amp;DATE(YEAR($A55),1,1),发射纪录!$G:$G,"&lt;="&amp;DATE(YEAR($A55),12,31),发射纪录!$N:$N,"&lt;&gt;",发射纪录!$D:$D,"="&amp;CLEAN(火箭年間統計!I$6))</f>
        <v>0</v>
      </c>
      <c r="J55" s="1090">
        <f>COUNTIFS(发射纪录!$B:$B,"&lt;&gt;-",发射纪录!$G:$G,"&gt;="&amp;DATE(YEAR($A55),1,1),发射纪录!$G:$G,"&lt;="&amp;DATE(YEAR($A55),12,31),发射纪录!$N:$N,"&lt;&gt;",发射纪录!$D:$D,"="&amp;CLEAN(火箭年間統計!J$6))</f>
        <v>0</v>
      </c>
      <c r="K55" s="1089">
        <f>COUNTIFS(发射纪录!$B:$B,"&lt;&gt;-",发射纪录!$G:$G,"&gt;="&amp;DATE(YEAR($A55),1,1),发射纪录!$G:$G,"&lt;="&amp;DATE(YEAR($A55),12,31),发射纪录!$N:$N,"&lt;&gt;",发射纪录!$D:$D,"="&amp;CLEAN(火箭年間統計!K$6))</f>
        <v>0</v>
      </c>
      <c r="L55" s="1089">
        <f>COUNTIFS(发射纪录!$B:$B,"&lt;&gt;-",发射纪录!$G:$G,"&gt;="&amp;DATE(YEAR($A55),1,1),发射纪录!$G:$G,"&lt;="&amp;DATE(YEAR($A55),12,31),发射纪录!$N:$N,"&lt;&gt;",发射纪录!$D:$D,"="&amp;CLEAN(火箭年間統計!L$6))</f>
        <v>0</v>
      </c>
      <c r="M55" s="1090">
        <v>8</v>
      </c>
      <c r="N55" s="1091">
        <v>1</v>
      </c>
      <c r="O55" s="1089">
        <v>0</v>
      </c>
      <c r="P55" s="1090">
        <v>2</v>
      </c>
      <c r="Q55" s="1090">
        <v>2</v>
      </c>
      <c r="R55" s="1090">
        <v>0</v>
      </c>
      <c r="S55" s="1090">
        <v>0</v>
      </c>
      <c r="T55" s="1089">
        <v>1</v>
      </c>
      <c r="U55" s="1090">
        <v>0</v>
      </c>
      <c r="V55" s="1090">
        <v>0</v>
      </c>
      <c r="W55" s="1092">
        <v>0</v>
      </c>
      <c r="X55" s="1090">
        <v>0</v>
      </c>
      <c r="Y55" s="1092">
        <v>0</v>
      </c>
      <c r="Z55" s="1092">
        <v>0</v>
      </c>
      <c r="AA55" s="1090">
        <v>0</v>
      </c>
      <c r="AB55" s="1090">
        <v>0</v>
      </c>
      <c r="AC55" s="1090">
        <v>0</v>
      </c>
      <c r="AD55" s="1090">
        <v>1</v>
      </c>
      <c r="AE55" s="1088">
        <v>0</v>
      </c>
      <c r="AF55" s="1093">
        <v>0</v>
      </c>
      <c r="AG55" s="1093">
        <v>0</v>
      </c>
      <c r="AH55" s="1093">
        <v>0</v>
      </c>
      <c r="AI55" s="1088">
        <v>0</v>
      </c>
      <c r="AJ55" s="1105">
        <v>0</v>
      </c>
      <c r="AK55" s="1102">
        <v>0</v>
      </c>
      <c r="AL55" s="1103">
        <v>0</v>
      </c>
      <c r="AM55" s="1103">
        <v>0</v>
      </c>
      <c r="AN55" s="1103">
        <v>0</v>
      </c>
      <c r="AO55" s="1104">
        <v>0</v>
      </c>
      <c r="AP55" s="1107">
        <v>0</v>
      </c>
      <c r="AQ55" s="1103">
        <v>0</v>
      </c>
      <c r="AR55" s="1103">
        <v>0</v>
      </c>
      <c r="AS55" s="1107">
        <v>0</v>
      </c>
      <c r="AT55" s="1107">
        <v>0</v>
      </c>
      <c r="AU55" s="1103">
        <v>0</v>
      </c>
      <c r="AV55" s="1104">
        <v>0</v>
      </c>
      <c r="AW55" s="1103">
        <v>0</v>
      </c>
      <c r="AX55" s="1107">
        <v>0</v>
      </c>
      <c r="AY55" s="1104">
        <v>0</v>
      </c>
      <c r="AZ55" s="1104">
        <v>0</v>
      </c>
      <c r="BA55" s="1104">
        <v>0</v>
      </c>
      <c r="BB55" s="1104">
        <v>0</v>
      </c>
      <c r="BC55" s="1107">
        <v>0</v>
      </c>
      <c r="BD55" s="1107">
        <v>0</v>
      </c>
      <c r="BE55" s="1106">
        <v>0</v>
      </c>
      <c r="BF55" s="1108">
        <v>0</v>
      </c>
      <c r="BG55" s="1109">
        <v>0</v>
      </c>
      <c r="BH55" s="1110">
        <v>0</v>
      </c>
    </row>
    <row r="56" spans="1:60" ht="16.2" x14ac:dyDescent="0.45">
      <c r="A56" s="1100">
        <v>42370</v>
      </c>
      <c r="B56" s="1101">
        <f t="shared" si="10"/>
        <v>22</v>
      </c>
      <c r="C56" s="1085">
        <v>22</v>
      </c>
      <c r="D56" s="1102">
        <f>COUNTIFS(发射纪录!$B:$B,"&lt;&gt;-",发射纪录!$G:$G,"&gt;="&amp;DATE(YEAR($A56),1,1),发射纪录!$G:$G,"&lt;="&amp;DATE(YEAR($A56),12,31),发射纪录!$N:$N,"&lt;&gt;",发射纪录!$D:$D,"="&amp;CLEAN(火箭年間統計!D$6))</f>
        <v>0</v>
      </c>
      <c r="E56" s="1103">
        <f>COUNTIFS(发射纪录!$B:$B,"&lt;&gt;-",发射纪录!$G:$G,"&gt;="&amp;DATE(YEAR($A56),1,1),发射纪录!$G:$G,"&lt;="&amp;DATE(YEAR($A56),12,31),发射纪录!$N:$N,"&lt;&gt;",发射纪录!$D:$D,"="&amp;CLEAN(火箭年間統計!E$6))</f>
        <v>0</v>
      </c>
      <c r="F56" s="1103">
        <f>COUNTIFS(发射纪录!$B:$B,"&lt;&gt;-",发射纪录!$G:$G,"&gt;="&amp;DATE(YEAR($A56),1,1),发射纪录!$G:$G,"&lt;="&amp;DATE(YEAR($A56),12,31),发射纪录!$N:$N,"&lt;&gt;",发射纪录!$D:$D,"="&amp;CLEAN(火箭年間統計!F$6))</f>
        <v>0</v>
      </c>
      <c r="G56" s="1104">
        <f>COUNTIFS(发射纪录!$B:$B,"&lt;&gt;-",发射纪录!$G:$G,"&gt;="&amp;DATE(YEAR($A56),1,1),发射纪录!$G:$G,"&lt;="&amp;DATE(YEAR($A56),12,31),发射纪录!$N:$N,"&lt;&gt;",发射纪录!$D:$D,"="&amp;CLEAN(火箭年間統計!G$6))</f>
        <v>0</v>
      </c>
      <c r="H56" s="1104">
        <f>COUNTIFS(发射纪录!$B:$B,"&lt;&gt;-",发射纪录!$G:$G,"&gt;="&amp;DATE(YEAR($A56),1,1),发射纪录!$G:$G,"&lt;="&amp;DATE(YEAR($A56),12,31),发射纪录!$N:$N,"&lt;&gt;",发射纪录!$D:$D,"="&amp;CLEAN(火箭年間統計!H$6))</f>
        <v>6</v>
      </c>
      <c r="I56" s="1089">
        <f>COUNTIFS(发射纪录!$B:$B,"&lt;&gt;-",发射纪录!$G:$G,"&gt;="&amp;DATE(YEAR($A56),1,1),发射纪录!$G:$G,"&lt;="&amp;DATE(YEAR($A56),12,31),发射纪录!$N:$N,"&lt;&gt;",发射纪录!$D:$D,"="&amp;CLEAN(火箭年間統計!I$6))</f>
        <v>0</v>
      </c>
      <c r="J56" s="1090">
        <f>COUNTIFS(发射纪录!$B:$B,"&lt;&gt;-",发射纪录!$G:$G,"&gt;="&amp;DATE(YEAR($A56),1,1),发射纪录!$G:$G,"&lt;="&amp;DATE(YEAR($A56),12,31),发射纪录!$N:$N,"&lt;&gt;",发射纪录!$D:$D,"="&amp;CLEAN(火箭年間統計!J$6))</f>
        <v>2</v>
      </c>
      <c r="K56" s="1089">
        <f>COUNTIFS(发射纪录!$B:$B,"&lt;&gt;-",发射纪录!$G:$G,"&gt;="&amp;DATE(YEAR($A56),1,1),发射纪录!$G:$G,"&lt;="&amp;DATE(YEAR($A56),12,31),发射纪录!$N:$N,"&lt;&gt;",发射纪录!$D:$D,"="&amp;CLEAN(火箭年間統計!K$6))</f>
        <v>0</v>
      </c>
      <c r="L56" s="1089">
        <f>COUNTIFS(发射纪录!$B:$B,"&lt;&gt;-",发射纪录!$G:$G,"&gt;="&amp;DATE(YEAR($A56),1,1),发射纪录!$G:$G,"&lt;="&amp;DATE(YEAR($A56),12,31),发射纪录!$N:$N,"&lt;&gt;",发射纪录!$D:$D,"="&amp;CLEAN(火箭年間統計!L$6))</f>
        <v>1</v>
      </c>
      <c r="M56" s="1090">
        <v>3</v>
      </c>
      <c r="N56" s="1091">
        <v>3</v>
      </c>
      <c r="O56" s="1089">
        <v>0</v>
      </c>
      <c r="P56" s="1090">
        <v>2</v>
      </c>
      <c r="Q56" s="1090">
        <v>2</v>
      </c>
      <c r="R56" s="1090">
        <v>1</v>
      </c>
      <c r="S56" s="1090">
        <v>0</v>
      </c>
      <c r="T56" s="1089">
        <v>0</v>
      </c>
      <c r="U56" s="1090">
        <v>0</v>
      </c>
      <c r="V56" s="1090">
        <v>0</v>
      </c>
      <c r="W56" s="1092">
        <v>1</v>
      </c>
      <c r="X56" s="1090">
        <v>0</v>
      </c>
      <c r="Y56" s="1092">
        <v>0</v>
      </c>
      <c r="Z56" s="1092">
        <v>0</v>
      </c>
      <c r="AA56" s="1090">
        <v>0</v>
      </c>
      <c r="AB56" s="1090">
        <v>0</v>
      </c>
      <c r="AC56" s="1090">
        <v>0</v>
      </c>
      <c r="AD56" s="1090">
        <v>1</v>
      </c>
      <c r="AE56" s="1088">
        <v>0</v>
      </c>
      <c r="AF56" s="1093">
        <v>0</v>
      </c>
      <c r="AG56" s="1093">
        <v>0</v>
      </c>
      <c r="AH56" s="1093">
        <v>0</v>
      </c>
      <c r="AI56" s="1088">
        <v>0</v>
      </c>
      <c r="AJ56" s="1105">
        <v>0</v>
      </c>
      <c r="AK56" s="1102">
        <v>0</v>
      </c>
      <c r="AL56" s="1103">
        <v>0</v>
      </c>
      <c r="AM56" s="1103">
        <v>0</v>
      </c>
      <c r="AN56" s="1103">
        <v>0</v>
      </c>
      <c r="AO56" s="1104">
        <v>0</v>
      </c>
      <c r="AP56" s="1107">
        <v>0</v>
      </c>
      <c r="AQ56" s="1103">
        <v>0</v>
      </c>
      <c r="AR56" s="1103">
        <v>0</v>
      </c>
      <c r="AS56" s="1107">
        <v>0</v>
      </c>
      <c r="AT56" s="1107">
        <v>0</v>
      </c>
      <c r="AU56" s="1103">
        <v>0</v>
      </c>
      <c r="AV56" s="1104">
        <v>0</v>
      </c>
      <c r="AW56" s="1103">
        <v>0</v>
      </c>
      <c r="AX56" s="1107">
        <v>0</v>
      </c>
      <c r="AY56" s="1104">
        <v>0</v>
      </c>
      <c r="AZ56" s="1104">
        <v>0</v>
      </c>
      <c r="BA56" s="1104">
        <v>0</v>
      </c>
      <c r="BB56" s="1104">
        <v>0</v>
      </c>
      <c r="BC56" s="1107">
        <v>0</v>
      </c>
      <c r="BD56" s="1107">
        <v>0</v>
      </c>
      <c r="BE56" s="1106">
        <v>0</v>
      </c>
      <c r="BF56" s="1108">
        <v>0</v>
      </c>
      <c r="BG56" s="1109">
        <v>0</v>
      </c>
      <c r="BH56" s="1110">
        <v>0</v>
      </c>
    </row>
    <row r="57" spans="1:60" ht="16.2" x14ac:dyDescent="0.45">
      <c r="A57" s="1100">
        <v>42736</v>
      </c>
      <c r="B57" s="1101">
        <f t="shared" si="10"/>
        <v>18</v>
      </c>
      <c r="C57" s="1085">
        <v>16</v>
      </c>
      <c r="D57" s="1102">
        <f>COUNTIFS(发射纪录!$B:$B,"&lt;&gt;-",发射纪录!$G:$G,"&gt;="&amp;DATE(YEAR($A57),1,1),发射纪录!$G:$G,"&lt;="&amp;DATE(YEAR($A57),12,31),发射纪录!$N:$N,"&lt;&gt;",发射纪录!$D:$D,"="&amp;CLEAN(火箭年間統計!D$6))</f>
        <v>0</v>
      </c>
      <c r="E57" s="1103">
        <f>COUNTIFS(发射纪录!$B:$B,"&lt;&gt;-",发射纪录!$G:$G,"&gt;="&amp;DATE(YEAR($A57),1,1),发射纪录!$G:$G,"&lt;="&amp;DATE(YEAR($A57),12,31),发射纪录!$N:$N,"&lt;&gt;",发射纪录!$D:$D,"="&amp;CLEAN(火箭年間統計!E$6))</f>
        <v>0</v>
      </c>
      <c r="F57" s="1103">
        <f>COUNTIFS(发射纪录!$B:$B,"&lt;&gt;-",发射纪录!$G:$G,"&gt;="&amp;DATE(YEAR($A57),1,1),发射纪录!$G:$G,"&lt;="&amp;DATE(YEAR($A57),12,31),发射纪录!$N:$N,"&lt;&gt;",发射纪录!$D:$D,"="&amp;CLEAN(火箭年間統計!F$6))</f>
        <v>0</v>
      </c>
      <c r="G57" s="1104">
        <f>COUNTIFS(发射纪录!$B:$B,"&lt;&gt;-",发射纪录!$G:$G,"&gt;="&amp;DATE(YEAR($A57),1,1),发射纪录!$G:$G,"&lt;="&amp;DATE(YEAR($A57),12,31),发射纪录!$N:$N,"&lt;&gt;",发射纪录!$D:$D,"="&amp;CLEAN(火箭年間統計!G$6))</f>
        <v>3</v>
      </c>
      <c r="H57" s="1104">
        <f>COUNTIFS(发射纪录!$B:$B,"&lt;&gt;-",发射纪录!$G:$G,"&gt;="&amp;DATE(YEAR($A57),1,1),发射纪录!$G:$G,"&lt;="&amp;DATE(YEAR($A57),12,31),发射纪录!$N:$N,"&lt;&gt;",发射纪录!$D:$D,"="&amp;CLEAN(火箭年間統計!H$6))</f>
        <v>3</v>
      </c>
      <c r="I57" s="1089">
        <f>COUNTIFS(发射纪录!$B:$B,"&lt;&gt;-",发射纪录!$G:$G,"&gt;="&amp;DATE(YEAR($A57),1,1),发射纪录!$G:$G,"&lt;="&amp;DATE(YEAR($A57),12,31),发射纪录!$N:$N,"&lt;&gt;",发射纪录!$D:$D,"="&amp;CLEAN(火箭年間統計!I$6))</f>
        <v>0</v>
      </c>
      <c r="J57" s="1090">
        <f>COUNTIFS(发射纪录!$B:$B,"&lt;&gt;-",发射纪录!$G:$G,"&gt;="&amp;DATE(YEAR($A57),1,1),发射纪录!$G:$G,"&lt;="&amp;DATE(YEAR($A57),12,31),发射纪录!$N:$N,"&lt;&gt;",发射纪录!$D:$D,"="&amp;CLEAN(火箭年間統計!J$6))</f>
        <v>0</v>
      </c>
      <c r="K57" s="1089">
        <f>COUNTIFS(发射纪录!$B:$B,"&lt;&gt;-",发射纪录!$G:$G,"&gt;="&amp;DATE(YEAR($A57),1,1),发射纪录!$G:$G,"&lt;="&amp;DATE(YEAR($A57),12,31),发射纪录!$N:$N,"&lt;&gt;",发射纪录!$D:$D,"="&amp;CLEAN(火箭年間統計!K$6))</f>
        <v>0</v>
      </c>
      <c r="L57" s="1089">
        <f>COUNTIFS(发射纪录!$B:$B,"&lt;&gt;-",发射纪录!$G:$G,"&gt;="&amp;DATE(YEAR($A57),1,1),发射纪录!$G:$G,"&lt;="&amp;DATE(YEAR($A57),12,31),发射纪录!$N:$N,"&lt;&gt;",发射纪录!$D:$D,"="&amp;CLEAN(火箭年間統計!L$6))</f>
        <v>0</v>
      </c>
      <c r="M57" s="1090">
        <v>5</v>
      </c>
      <c r="N57" s="1091">
        <v>0</v>
      </c>
      <c r="O57" s="1089">
        <v>0</v>
      </c>
      <c r="P57" s="1090">
        <v>1</v>
      </c>
      <c r="Q57" s="1090">
        <v>1</v>
      </c>
      <c r="R57" s="1090">
        <v>1</v>
      </c>
      <c r="S57" s="1090">
        <v>0</v>
      </c>
      <c r="T57" s="1089">
        <v>1</v>
      </c>
      <c r="U57" s="1090">
        <v>0</v>
      </c>
      <c r="V57" s="1090">
        <v>0</v>
      </c>
      <c r="W57" s="1092">
        <v>1</v>
      </c>
      <c r="X57" s="1090">
        <v>0</v>
      </c>
      <c r="Y57" s="1092">
        <v>0</v>
      </c>
      <c r="Z57" s="1092">
        <v>0</v>
      </c>
      <c r="AA57" s="1090">
        <v>0</v>
      </c>
      <c r="AB57" s="1090">
        <v>0</v>
      </c>
      <c r="AC57" s="1090">
        <v>0</v>
      </c>
      <c r="AD57" s="1090">
        <v>0</v>
      </c>
      <c r="AE57" s="1088">
        <v>0</v>
      </c>
      <c r="AF57" s="1093">
        <v>0</v>
      </c>
      <c r="AG57" s="1093">
        <v>0</v>
      </c>
      <c r="AH57" s="1093">
        <v>0</v>
      </c>
      <c r="AI57" s="1088">
        <v>0</v>
      </c>
      <c r="AJ57" s="1105">
        <v>2</v>
      </c>
      <c r="AK57" s="1102">
        <v>0</v>
      </c>
      <c r="AL57" s="1103">
        <v>0</v>
      </c>
      <c r="AM57" s="1103">
        <v>1</v>
      </c>
      <c r="AN57" s="1103">
        <v>0</v>
      </c>
      <c r="AO57" s="1104">
        <v>1</v>
      </c>
      <c r="AP57" s="1107">
        <v>0</v>
      </c>
      <c r="AQ57" s="1103">
        <v>0</v>
      </c>
      <c r="AR57" s="1103">
        <v>0</v>
      </c>
      <c r="AS57" s="1107">
        <v>0</v>
      </c>
      <c r="AT57" s="1107">
        <v>0</v>
      </c>
      <c r="AU57" s="1103">
        <v>0</v>
      </c>
      <c r="AV57" s="1104">
        <v>0</v>
      </c>
      <c r="AW57" s="1103">
        <v>0</v>
      </c>
      <c r="AX57" s="1107">
        <v>0</v>
      </c>
      <c r="AY57" s="1104">
        <v>0</v>
      </c>
      <c r="AZ57" s="1104">
        <v>0</v>
      </c>
      <c r="BA57" s="1104">
        <v>0</v>
      </c>
      <c r="BB57" s="1104">
        <v>0</v>
      </c>
      <c r="BC57" s="1107">
        <v>0</v>
      </c>
      <c r="BD57" s="1107">
        <v>0</v>
      </c>
      <c r="BE57" s="1106">
        <v>0</v>
      </c>
      <c r="BF57" s="1108">
        <v>0</v>
      </c>
      <c r="BG57" s="1109">
        <v>0</v>
      </c>
      <c r="BH57" s="1110">
        <v>0</v>
      </c>
    </row>
    <row r="58" spans="1:60" ht="16.2" x14ac:dyDescent="0.45">
      <c r="A58" s="1100">
        <v>43101</v>
      </c>
      <c r="B58" s="1101">
        <f t="shared" si="10"/>
        <v>39</v>
      </c>
      <c r="C58" s="1085">
        <v>37</v>
      </c>
      <c r="D58" s="1102">
        <f>COUNTIFS(发射纪录!$B:$B,"&lt;&gt;-",发射纪录!$G:$G,"&gt;="&amp;DATE(YEAR($A58),1,1),发射纪录!$G:$G,"&lt;="&amp;DATE(YEAR($A58),12,31),发射纪录!$N:$N,"&lt;&gt;",发射纪录!$D:$D,"="&amp;CLEAN(火箭年間統計!D$6))</f>
        <v>0</v>
      </c>
      <c r="E58" s="1103">
        <f>COUNTIFS(发射纪录!$B:$B,"&lt;&gt;-",发射纪录!$G:$G,"&gt;="&amp;DATE(YEAR($A58),1,1),发射纪录!$G:$G,"&lt;="&amp;DATE(YEAR($A58),12,31),发射纪录!$N:$N,"&lt;&gt;",发射纪录!$D:$D,"="&amp;CLEAN(火箭年間統計!E$6))</f>
        <v>0</v>
      </c>
      <c r="F58" s="1103">
        <f>COUNTIFS(发射纪录!$B:$B,"&lt;&gt;-",发射纪录!$G:$G,"&gt;="&amp;DATE(YEAR($A58),1,1),发射纪录!$G:$G,"&lt;="&amp;DATE(YEAR($A58),12,31),发射纪录!$N:$N,"&lt;&gt;",发射纪录!$D:$D,"="&amp;CLEAN(火箭年間統計!F$6))</f>
        <v>0</v>
      </c>
      <c r="G58" s="1104">
        <f>COUNTIFS(发射纪录!$B:$B,"&lt;&gt;-",发射纪录!$G:$G,"&gt;="&amp;DATE(YEAR($A58),1,1),发射纪录!$G:$G,"&lt;="&amp;DATE(YEAR($A58),12,31),发射纪录!$N:$N,"&lt;&gt;",发射纪录!$D:$D,"="&amp;CLEAN(火箭年間統計!G$6))</f>
        <v>6</v>
      </c>
      <c r="H58" s="1104">
        <f>COUNTIFS(发射纪录!$B:$B,"&lt;&gt;-",发射纪录!$G:$G,"&gt;="&amp;DATE(YEAR($A58),1,1),发射纪录!$G:$G,"&lt;="&amp;DATE(YEAR($A58),12,31),发射纪录!$N:$N,"&lt;&gt;",发射纪录!$D:$D,"="&amp;CLEAN(火箭年間統計!H$6))</f>
        <v>8</v>
      </c>
      <c r="I58" s="1089">
        <f>COUNTIFS(发射纪录!$B:$B,"&lt;&gt;-",发射纪录!$G:$G,"&gt;="&amp;DATE(YEAR($A58),1,1),发射纪录!$G:$G,"&lt;="&amp;DATE(YEAR($A58),12,31),发射纪录!$N:$N,"&lt;&gt;",发射纪录!$D:$D,"="&amp;CLEAN(火箭年間統計!I$6))</f>
        <v>0</v>
      </c>
      <c r="J58" s="1090">
        <f>COUNTIFS(发射纪录!$B:$B,"&lt;&gt;-",发射纪录!$G:$G,"&gt;="&amp;DATE(YEAR($A58),1,1),发射纪录!$G:$G,"&lt;="&amp;DATE(YEAR($A58),12,31),发射纪录!$N:$N,"&lt;&gt;",发射纪录!$D:$D,"="&amp;CLEAN(火箭年間統計!J$6))</f>
        <v>0</v>
      </c>
      <c r="K58" s="1089">
        <f>COUNTIFS(发射纪录!$B:$B,"&lt;&gt;-",发射纪录!$G:$G,"&gt;="&amp;DATE(YEAR($A58),1,1),发射纪录!$G:$G,"&lt;="&amp;DATE(YEAR($A58),12,31),发射纪录!$N:$N,"&lt;&gt;",发射纪录!$D:$D,"="&amp;CLEAN(火箭年間統計!K$6))</f>
        <v>0</v>
      </c>
      <c r="L58" s="1089">
        <f>COUNTIFS(发射纪录!$B:$B,"&lt;&gt;-",发射纪录!$G:$G,"&gt;="&amp;DATE(YEAR($A58),1,1),发射纪录!$G:$G,"&lt;="&amp;DATE(YEAR($A58),12,31),发射纪录!$N:$N,"&lt;&gt;",发射纪录!$D:$D,"="&amp;CLEAN(火箭年間統計!L$6))</f>
        <v>2</v>
      </c>
      <c r="M58" s="1090">
        <v>11</v>
      </c>
      <c r="N58" s="1091">
        <v>1</v>
      </c>
      <c r="O58" s="1089">
        <v>0</v>
      </c>
      <c r="P58" s="1090">
        <v>2</v>
      </c>
      <c r="Q58" s="1090">
        <v>4</v>
      </c>
      <c r="R58" s="1090">
        <v>0</v>
      </c>
      <c r="S58" s="1090">
        <v>0</v>
      </c>
      <c r="T58" s="1089">
        <v>0</v>
      </c>
      <c r="U58" s="1090">
        <v>0</v>
      </c>
      <c r="V58" s="1090">
        <v>0</v>
      </c>
      <c r="W58" s="1092">
        <v>0</v>
      </c>
      <c r="X58" s="1090">
        <v>0</v>
      </c>
      <c r="Y58" s="1092">
        <v>0</v>
      </c>
      <c r="Z58" s="1092">
        <v>0</v>
      </c>
      <c r="AA58" s="1090">
        <v>0</v>
      </c>
      <c r="AB58" s="1090">
        <v>0</v>
      </c>
      <c r="AC58" s="1090">
        <v>0</v>
      </c>
      <c r="AD58" s="1090">
        <v>3</v>
      </c>
      <c r="AE58" s="1088">
        <v>0</v>
      </c>
      <c r="AF58" s="1093">
        <v>0</v>
      </c>
      <c r="AG58" s="1093">
        <v>0</v>
      </c>
      <c r="AH58" s="1093">
        <v>0</v>
      </c>
      <c r="AI58" s="1088">
        <v>0</v>
      </c>
      <c r="AJ58" s="1105">
        <v>2</v>
      </c>
      <c r="AK58" s="1102">
        <v>0</v>
      </c>
      <c r="AL58" s="1103">
        <v>0</v>
      </c>
      <c r="AM58" s="1103">
        <v>0</v>
      </c>
      <c r="AN58" s="1103">
        <v>0</v>
      </c>
      <c r="AO58" s="1104">
        <v>1</v>
      </c>
      <c r="AP58" s="1107">
        <v>0</v>
      </c>
      <c r="AQ58" s="1103">
        <v>1</v>
      </c>
      <c r="AR58" s="1103">
        <v>0</v>
      </c>
      <c r="AS58" s="1107">
        <v>0</v>
      </c>
      <c r="AT58" s="1107">
        <v>0</v>
      </c>
      <c r="AU58" s="1103">
        <v>0</v>
      </c>
      <c r="AV58" s="1104">
        <v>0</v>
      </c>
      <c r="AW58" s="1103">
        <v>0</v>
      </c>
      <c r="AX58" s="1107">
        <v>0</v>
      </c>
      <c r="AY58" s="1104">
        <v>0</v>
      </c>
      <c r="AZ58" s="1104">
        <v>0</v>
      </c>
      <c r="BA58" s="1104">
        <v>0</v>
      </c>
      <c r="BB58" s="1104">
        <v>0</v>
      </c>
      <c r="BC58" s="1107">
        <v>0</v>
      </c>
      <c r="BD58" s="1107">
        <v>0</v>
      </c>
      <c r="BE58" s="1106">
        <v>0</v>
      </c>
      <c r="BF58" s="1108">
        <v>0</v>
      </c>
      <c r="BG58" s="1109">
        <v>0</v>
      </c>
      <c r="BH58" s="1110">
        <v>0</v>
      </c>
    </row>
    <row r="59" spans="1:60" ht="16.2" x14ac:dyDescent="0.45">
      <c r="A59" s="1100">
        <v>43466</v>
      </c>
      <c r="B59" s="1101">
        <f t="shared" si="10"/>
        <v>34</v>
      </c>
      <c r="C59" s="1085">
        <v>26</v>
      </c>
      <c r="D59" s="1102">
        <f>COUNTIFS(发射纪录!$B:$B,"&lt;&gt;-",发射纪录!$G:$G,"&gt;="&amp;DATE(YEAR($A59),1,1),发射纪录!$G:$G,"&lt;="&amp;DATE(YEAR($A59),12,31),发射纪录!$N:$N,"&lt;&gt;",发射纪录!$D:$D,"="&amp;CLEAN(火箭年間統計!D$6))</f>
        <v>0</v>
      </c>
      <c r="E59" s="1103">
        <f>COUNTIFS(发射纪录!$B:$B,"&lt;&gt;-",发射纪录!$G:$G,"&gt;="&amp;DATE(YEAR($A59),1,1),发射纪录!$G:$G,"&lt;="&amp;DATE(YEAR($A59),12,31),发射纪录!$N:$N,"&lt;&gt;",发射纪录!$D:$D,"="&amp;CLEAN(火箭年間統計!E$6))</f>
        <v>0</v>
      </c>
      <c r="F59" s="1103">
        <f>COUNTIFS(发射纪录!$B:$B,"&lt;&gt;-",发射纪录!$G:$G,"&gt;="&amp;DATE(YEAR($A59),1,1),发射纪录!$G:$G,"&lt;="&amp;DATE(YEAR($A59),12,31),发射纪录!$N:$N,"&lt;&gt;",发射纪录!$D:$D,"="&amp;CLEAN(火箭年間統計!F$6))</f>
        <v>0</v>
      </c>
      <c r="G59" s="1104">
        <f>COUNTIFS(发射纪录!$B:$B,"&lt;&gt;-",发射纪录!$G:$G,"&gt;="&amp;DATE(YEAR($A59),1,1),发射纪录!$G:$G,"&lt;="&amp;DATE(YEAR($A59),12,31),发射纪录!$N:$N,"&lt;&gt;",发射纪录!$D:$D,"="&amp;CLEAN(火箭年間統計!G$6))</f>
        <v>1</v>
      </c>
      <c r="H59" s="1104">
        <f>COUNTIFS(发射纪录!$B:$B,"&lt;&gt;-",发射纪录!$G:$G,"&gt;="&amp;DATE(YEAR($A59),1,1),发射纪录!$G:$G,"&lt;="&amp;DATE(YEAR($A59),12,31),发射纪录!$N:$N,"&lt;&gt;",发射纪录!$D:$D,"="&amp;CLEAN(火箭年間統計!H$6))</f>
        <v>1</v>
      </c>
      <c r="I59" s="1089">
        <f>COUNTIFS(发射纪录!$B:$B,"&lt;&gt;-",发射纪录!$G:$G,"&gt;="&amp;DATE(YEAR($A59),1,1),发射纪录!$G:$G,"&lt;="&amp;DATE(YEAR($A59),12,31),发射纪录!$N:$N,"&lt;&gt;",发射纪录!$D:$D,"="&amp;CLEAN(火箭年間統計!I$6))</f>
        <v>0</v>
      </c>
      <c r="J59" s="1090">
        <f>COUNTIFS(发射纪录!$B:$B,"&lt;&gt;-",发射纪录!$G:$G,"&gt;="&amp;DATE(YEAR($A59),1,1),发射纪录!$G:$G,"&lt;="&amp;DATE(YEAR($A59),12,31),发射纪录!$N:$N,"&lt;&gt;",发射纪录!$D:$D,"="&amp;CLEAN(火箭年間統計!J$6))</f>
        <v>0</v>
      </c>
      <c r="K59" s="1089">
        <f>COUNTIFS(发射纪录!$B:$B,"&lt;&gt;-",发射纪录!$G:$G,"&gt;="&amp;DATE(YEAR($A59),1,1),发射纪录!$G:$G,"&lt;="&amp;DATE(YEAR($A59),12,31),发射纪录!$N:$N,"&lt;&gt;",发射纪录!$D:$D,"="&amp;CLEAN(火箭年間統計!K$6))</f>
        <v>0</v>
      </c>
      <c r="L59" s="1089">
        <f>COUNTIFS(发射纪录!$B:$B,"&lt;&gt;-",发射纪录!$G:$G,"&gt;="&amp;DATE(YEAR($A59),1,1),发射纪录!$G:$G,"&lt;="&amp;DATE(YEAR($A59),12,31),发射纪录!$N:$N,"&lt;&gt;",发射纪录!$D:$D,"="&amp;CLEAN(火箭年間統計!L$6))</f>
        <v>0</v>
      </c>
      <c r="M59" s="1090">
        <v>11</v>
      </c>
      <c r="N59" s="1091">
        <v>1</v>
      </c>
      <c r="O59" s="1089">
        <v>0</v>
      </c>
      <c r="P59" s="1090">
        <v>4</v>
      </c>
      <c r="Q59" s="1090">
        <v>3</v>
      </c>
      <c r="R59" s="1090">
        <v>1</v>
      </c>
      <c r="S59" s="1090">
        <v>0</v>
      </c>
      <c r="T59" s="1089">
        <v>1</v>
      </c>
      <c r="U59" s="1090">
        <v>0</v>
      </c>
      <c r="V59" s="1090">
        <v>0</v>
      </c>
      <c r="W59" s="1092">
        <v>0</v>
      </c>
      <c r="X59" s="1090">
        <v>0</v>
      </c>
      <c r="Y59" s="1092">
        <v>0</v>
      </c>
      <c r="Z59" s="1092">
        <v>0</v>
      </c>
      <c r="AA59" s="1090">
        <v>0</v>
      </c>
      <c r="AB59" s="1090">
        <v>0</v>
      </c>
      <c r="AC59" s="1090">
        <v>0</v>
      </c>
      <c r="AD59" s="1090">
        <v>2</v>
      </c>
      <c r="AE59" s="1088">
        <v>1</v>
      </c>
      <c r="AF59" s="1093">
        <v>0</v>
      </c>
      <c r="AG59" s="1093">
        <v>0</v>
      </c>
      <c r="AH59" s="1093">
        <v>0</v>
      </c>
      <c r="AI59" s="1088">
        <v>1</v>
      </c>
      <c r="AJ59" s="1105">
        <v>8</v>
      </c>
      <c r="AK59" s="1102">
        <v>0</v>
      </c>
      <c r="AL59" s="1103">
        <v>0</v>
      </c>
      <c r="AM59" s="1103">
        <v>0</v>
      </c>
      <c r="AN59" s="1103">
        <v>0</v>
      </c>
      <c r="AO59" s="1104">
        <v>5</v>
      </c>
      <c r="AP59" s="1107">
        <v>0</v>
      </c>
      <c r="AQ59" s="1103">
        <v>0</v>
      </c>
      <c r="AR59" s="1103">
        <v>0</v>
      </c>
      <c r="AS59" s="1107">
        <v>0</v>
      </c>
      <c r="AT59" s="1107">
        <v>0</v>
      </c>
      <c r="AU59" s="1103">
        <v>1</v>
      </c>
      <c r="AV59" s="1104">
        <v>1</v>
      </c>
      <c r="AW59" s="1103">
        <v>1</v>
      </c>
      <c r="AX59" s="1107">
        <v>0</v>
      </c>
      <c r="AY59" s="1104">
        <v>0</v>
      </c>
      <c r="AZ59" s="1104">
        <v>0</v>
      </c>
      <c r="BA59" s="1104">
        <v>0</v>
      </c>
      <c r="BB59" s="1104">
        <v>0</v>
      </c>
      <c r="BC59" s="1107">
        <v>0</v>
      </c>
      <c r="BD59" s="1107">
        <v>0</v>
      </c>
      <c r="BE59" s="1106">
        <v>0</v>
      </c>
      <c r="BF59" s="1108">
        <v>0</v>
      </c>
      <c r="BG59" s="1109">
        <v>0</v>
      </c>
      <c r="BH59" s="1110">
        <v>0</v>
      </c>
    </row>
    <row r="60" spans="1:60" ht="16.2" x14ac:dyDescent="0.45">
      <c r="A60" s="1100">
        <v>43831</v>
      </c>
      <c r="B60" s="1101">
        <f t="shared" si="10"/>
        <v>39</v>
      </c>
      <c r="C60" s="1085">
        <v>34</v>
      </c>
      <c r="D60" s="1102">
        <f>COUNTIFS(发射纪录!$B:$B,"&lt;&gt;-",发射纪录!$G:$G,"&gt;="&amp;DATE(YEAR($A60),1,1),发射纪录!$G:$G,"&lt;="&amp;DATE(YEAR($A60),12,31),发射纪录!$N:$N,"&lt;&gt;",发射纪录!$D:$D,"="&amp;CLEAN(火箭年間統計!D$6))</f>
        <v>0</v>
      </c>
      <c r="E60" s="1103">
        <f>COUNTIFS(发射纪录!$B:$B,"&lt;&gt;-",发射纪录!$G:$G,"&gt;="&amp;DATE(YEAR($A60),1,1),发射纪录!$G:$G,"&lt;="&amp;DATE(YEAR($A60),12,31),发射纪录!$N:$N,"&lt;&gt;",发射纪录!$D:$D,"="&amp;CLEAN(火箭年間統計!E$6))</f>
        <v>0</v>
      </c>
      <c r="F60" s="1103">
        <f>COUNTIFS(发射纪录!$B:$B,"&lt;&gt;-",发射纪录!$G:$G,"&gt;="&amp;DATE(YEAR($A60),1,1),发射纪录!$G:$G,"&lt;="&amp;DATE(YEAR($A60),12,31),发射纪录!$N:$N,"&lt;&gt;",发射纪录!$D:$D,"="&amp;CLEAN(火箭年間統計!F$6))</f>
        <v>0</v>
      </c>
      <c r="G60" s="1104">
        <f>COUNTIFS(发射纪录!$B:$B,"&lt;&gt;-",发射纪录!$G:$G,"&gt;="&amp;DATE(YEAR($A60),1,1),发射纪录!$G:$G,"&lt;="&amp;DATE(YEAR($A60),12,31),发射纪录!$N:$N,"&lt;&gt;",发射纪录!$D:$D,"="&amp;CLEAN(火箭年間統計!G$6))</f>
        <v>3</v>
      </c>
      <c r="H60" s="1104">
        <f>COUNTIFS(发射纪录!$B:$B,"&lt;&gt;-",发射纪录!$G:$G,"&gt;="&amp;DATE(YEAR($A60),1,1),发射纪录!$G:$G,"&lt;="&amp;DATE(YEAR($A60),12,31),发射纪录!$N:$N,"&lt;&gt;",发射纪录!$D:$D,"="&amp;CLEAN(火箭年間統計!H$6))</f>
        <v>7</v>
      </c>
      <c r="I60" s="1089">
        <f>COUNTIFS(发射纪录!$B:$B,"&lt;&gt;-",发射纪录!$G:$G,"&gt;="&amp;DATE(YEAR($A60),1,1),发射纪录!$G:$G,"&lt;="&amp;DATE(YEAR($A60),12,31),发射纪录!$N:$N,"&lt;&gt;",发射纪录!$D:$D,"="&amp;CLEAN(火箭年間統計!I$6))</f>
        <v>0</v>
      </c>
      <c r="J60" s="1090">
        <f>COUNTIFS(发射纪录!$B:$B,"&lt;&gt;-",发射纪录!$G:$G,"&gt;="&amp;DATE(YEAR($A60),1,1),发射纪录!$G:$G,"&lt;="&amp;DATE(YEAR($A60),12,31),发射纪录!$N:$N,"&lt;&gt;",发射纪录!$D:$D,"="&amp;CLEAN(火箭年間統計!J$6))</f>
        <v>1</v>
      </c>
      <c r="K60" s="1089">
        <f>COUNTIFS(发射纪录!$B:$B,"&lt;&gt;-",发射纪录!$G:$G,"&gt;="&amp;DATE(YEAR($A60),1,1),发射纪录!$G:$G,"&lt;="&amp;DATE(YEAR($A60),12,31),发射纪录!$N:$N,"&lt;&gt;",发射纪录!$D:$D,"="&amp;CLEAN(火箭年間統計!K$6))</f>
        <v>0</v>
      </c>
      <c r="L60" s="1089">
        <f>COUNTIFS(发射纪录!$B:$B,"&lt;&gt;-",发射纪录!$G:$G,"&gt;="&amp;DATE(YEAR($A60),1,1),发射纪录!$G:$G,"&lt;="&amp;DATE(YEAR($A60),12,31),发射纪录!$N:$N,"&lt;&gt;",发射纪录!$D:$D,"="&amp;CLEAN(火箭年間統計!L$6))</f>
        <v>0</v>
      </c>
      <c r="M60" s="1090">
        <v>8</v>
      </c>
      <c r="N60" s="1091">
        <v>0</v>
      </c>
      <c r="O60" s="1089">
        <v>0</v>
      </c>
      <c r="P60" s="1090">
        <v>5</v>
      </c>
      <c r="Q60" s="1090">
        <v>1</v>
      </c>
      <c r="R60" s="1090">
        <v>2</v>
      </c>
      <c r="S60" s="1090">
        <v>1</v>
      </c>
      <c r="T60" s="1089">
        <v>1</v>
      </c>
      <c r="U60" s="1090">
        <v>0</v>
      </c>
      <c r="V60" s="1090">
        <v>0</v>
      </c>
      <c r="W60" s="1092">
        <v>0</v>
      </c>
      <c r="X60" s="1090">
        <v>1</v>
      </c>
      <c r="Y60" s="1092">
        <v>1</v>
      </c>
      <c r="Z60" s="1092">
        <v>1</v>
      </c>
      <c r="AA60" s="1090">
        <v>0</v>
      </c>
      <c r="AB60" s="1090">
        <v>0</v>
      </c>
      <c r="AC60" s="1090">
        <v>0</v>
      </c>
      <c r="AD60" s="1090">
        <v>2</v>
      </c>
      <c r="AE60" s="1088">
        <v>1</v>
      </c>
      <c r="AF60" s="1093">
        <v>0</v>
      </c>
      <c r="AG60" s="1093">
        <v>0</v>
      </c>
      <c r="AH60" s="1093">
        <v>0</v>
      </c>
      <c r="AI60" s="1088">
        <v>1</v>
      </c>
      <c r="AJ60" s="1105">
        <v>5</v>
      </c>
      <c r="AK60" s="1102">
        <v>0</v>
      </c>
      <c r="AL60" s="1103">
        <v>0</v>
      </c>
      <c r="AM60" s="1103">
        <v>0</v>
      </c>
      <c r="AN60" s="1103">
        <v>0</v>
      </c>
      <c r="AO60" s="1104">
        <v>3</v>
      </c>
      <c r="AP60" s="1107">
        <v>1</v>
      </c>
      <c r="AQ60" s="1103">
        <v>0</v>
      </c>
      <c r="AR60" s="1103">
        <v>0</v>
      </c>
      <c r="AS60" s="1107">
        <v>0</v>
      </c>
      <c r="AT60" s="1107">
        <v>0</v>
      </c>
      <c r="AU60" s="1103">
        <v>0</v>
      </c>
      <c r="AV60" s="1104">
        <v>0</v>
      </c>
      <c r="AW60" s="1103">
        <v>0</v>
      </c>
      <c r="AX60" s="1107">
        <v>0</v>
      </c>
      <c r="AY60" s="1104">
        <v>1</v>
      </c>
      <c r="AZ60" s="1104">
        <v>0</v>
      </c>
      <c r="BA60" s="1104">
        <v>1</v>
      </c>
      <c r="BB60" s="1104">
        <v>1</v>
      </c>
      <c r="BC60" s="1107">
        <v>0</v>
      </c>
      <c r="BD60" s="1107">
        <v>0</v>
      </c>
      <c r="BE60" s="1106">
        <v>0</v>
      </c>
      <c r="BF60" s="1108">
        <v>0</v>
      </c>
      <c r="BG60" s="1109">
        <v>0</v>
      </c>
      <c r="BH60" s="1110">
        <v>0</v>
      </c>
    </row>
    <row r="61" spans="1:60" ht="16.2" x14ac:dyDescent="0.45">
      <c r="A61" s="1100">
        <v>44197</v>
      </c>
      <c r="B61" s="1101">
        <f t="shared" ca="1" si="10"/>
        <v>55</v>
      </c>
      <c r="C61" s="1085">
        <f>SUM(D61:AE61)</f>
        <v>48</v>
      </c>
      <c r="D61" s="1102">
        <f>COUNTIFS(发射纪录!$B:$B,"&lt;&gt;-",发射纪录!$G:$G,"&gt;="&amp;DATE(YEAR($A61),1,1),发射纪录!$G:$G,"&lt;="&amp;DATE(YEAR($A61),12,31),发射纪录!$N:$N,"&lt;&gt;",发射纪录!$D:$D,"="&amp;CLEAN(火箭年間統計!D$6))</f>
        <v>0</v>
      </c>
      <c r="E61" s="1103">
        <f>COUNTIFS(发射纪录!$B:$B,"&lt;&gt;-",发射纪录!$G:$G,"&gt;="&amp;DATE(YEAR($A61),1,1),发射纪录!$G:$G,"&lt;="&amp;DATE(YEAR($A61),12,31),发射纪录!$N:$N,"&lt;&gt;",发射纪录!$D:$D,"="&amp;CLEAN(火箭年間統計!E$6))</f>
        <v>0</v>
      </c>
      <c r="F61" s="1103">
        <f>COUNTIFS(发射纪录!$B:$B,"&lt;&gt;-",发射纪录!$G:$G,"&gt;="&amp;DATE(YEAR($A61),1,1),发射纪录!$G:$G,"&lt;="&amp;DATE(YEAR($A61),12,31),发射纪录!$N:$N,"&lt;&gt;",发射纪录!$D:$D,"="&amp;CLEAN(火箭年間統計!F$6))</f>
        <v>0</v>
      </c>
      <c r="G61" s="1104">
        <f>COUNTIFS(发射纪录!$B:$B,"&lt;&gt;-",发射纪录!$G:$G,"&gt;="&amp;DATE(YEAR($A61),1,1),发射纪录!$G:$G,"&lt;="&amp;DATE(YEAR($A61),12,31),发射纪录!$N:$N,"&lt;&gt;",发射纪录!$D:$D,"="&amp;CLEAN(火箭年間統計!G$6))</f>
        <v>5</v>
      </c>
      <c r="H61" s="1104">
        <f>COUNTIFS(发射纪录!$B:$B,"&lt;&gt;-",发射纪录!$G:$G,"&gt;="&amp;DATE(YEAR($A61),1,1),发射纪录!$G:$G,"&lt;="&amp;DATE(YEAR($A61),12,31),发射纪录!$N:$N,"&lt;&gt;",发射纪录!$D:$D,"="&amp;CLEAN(火箭年間統計!H$6))</f>
        <v>6</v>
      </c>
      <c r="I61" s="1089">
        <f>COUNTIFS(发射纪录!$B:$B,"&lt;&gt;-",发射纪录!$G:$G,"&gt;="&amp;DATE(YEAR($A61),1,1),发射纪录!$G:$G,"&lt;="&amp;DATE(YEAR($A61),12,31),发射纪录!$N:$N,"&lt;&gt;",发射纪录!$D:$D,"="&amp;CLEAN(火箭年間統計!I$6))</f>
        <v>0</v>
      </c>
      <c r="J61" s="1090">
        <f>COUNTIFS(发射纪录!$B:$B,"&lt;&gt;-",发射纪录!$G:$G,"&gt;="&amp;DATE(YEAR($A61),1,1),发射纪录!$G:$G,"&lt;="&amp;DATE(YEAR($A61),12,31),发射纪录!$N:$N,"&lt;&gt;",发射纪录!$D:$D,"="&amp;CLEAN(火箭年間統計!J$6))</f>
        <v>2</v>
      </c>
      <c r="K61" s="1089">
        <f>COUNTIFS(发射纪录!$B:$B,"&lt;&gt;-",发射纪录!$G:$G,"&gt;="&amp;DATE(YEAR($A61),1,1),发射纪录!$G:$G,"&lt;="&amp;DATE(YEAR($A61),12,31),发射纪录!$N:$N,"&lt;&gt;",发射纪录!$D:$D,"="&amp;CLEAN(火箭年間統計!K$6))</f>
        <v>0</v>
      </c>
      <c r="L61" s="1089">
        <f>COUNTIFS(发射纪录!$B:$B,"&lt;&gt;-",发射纪录!$G:$G,"&gt;="&amp;DATE(YEAR($A61),1,1),发射纪录!$G:$G,"&lt;="&amp;DATE(YEAR($A61),12,31),发射纪录!$N:$N,"&lt;&gt;",发射纪录!$D:$D,"="&amp;CLEAN(火箭年間統計!L$6))</f>
        <v>0</v>
      </c>
      <c r="M61" s="1090">
        <f>COUNTIFS(发射纪录!$B:$B,"&lt;&gt;-",发射纪录!$G:$G,"&gt;="&amp;DATE(YEAR($A61),1,1),发射纪录!$G:$G,"&lt;="&amp;DATE(YEAR($A61),12,31),发射纪录!$N:$N,"&lt;&gt;",发射纪录!$D:$D,"="&amp;CLEAN(火箭年間統計!M$6))</f>
        <v>11</v>
      </c>
      <c r="N61" s="1091">
        <f>COUNTIFS(发射纪录!$B:$B,"&lt;&gt;-",发射纪录!$G:$G,"&gt;="&amp;DATE(YEAR($A61),1,1),发射纪录!$G:$G,"&lt;="&amp;DATE(YEAR($A61),12,31),发射纪录!$N:$N,"&lt;&gt;",发射纪录!$D:$D,"="&amp;CLEAN(火箭年間統計!N$6))</f>
        <v>1</v>
      </c>
      <c r="O61" s="1089">
        <f>COUNTIFS(发射纪录!$B:$B,"&lt;&gt;-",发射纪录!$G:$G,"&gt;="&amp;DATE(YEAR($A61),1,1),发射纪录!$G:$G,"&lt;="&amp;DATE(YEAR($A61),12,31),发射纪录!$N:$N,"&lt;&gt;",发射纪录!$D:$D,"="&amp;CLEAN(火箭年間統計!O$6))</f>
        <v>0</v>
      </c>
      <c r="P61" s="1090">
        <f>COUNTIFS(发射纪录!$B:$B,"&lt;&gt;-",发射纪录!$G:$G,"&gt;="&amp;DATE(YEAR($A61),1,1),发射纪录!$G:$G,"&lt;="&amp;DATE(YEAR($A61),12,31),发射纪录!$N:$N,"&lt;&gt;",发射纪录!$D:$D,"="&amp;CLEAN(火箭年間統計!P$6))</f>
        <v>5</v>
      </c>
      <c r="Q61" s="1090">
        <f>COUNTIFS(发射纪录!$B:$B,"&lt;&gt;-",发射纪录!$G:$G,"&gt;="&amp;DATE(YEAR($A61),1,1),发射纪录!$G:$G,"&lt;="&amp;DATE(YEAR($A61),12,31),发射纪录!$N:$N,"&lt;&gt;",发射纪录!$D:$D,"="&amp;CLEAN(火箭年間統計!Q$6))</f>
        <v>9</v>
      </c>
      <c r="R61" s="1090">
        <f>COUNTIFS(发射纪录!$B:$B,"&lt;&gt;-",发射纪录!$G:$G,"&gt;="&amp;DATE(YEAR($A61),1,1),发射纪录!$G:$G,"&lt;="&amp;DATE(YEAR($A61),12,31),发射纪录!$N:$N,"&lt;&gt;",发射纪录!$D:$D,"="&amp;CLEAN(火箭年間統計!R$6))</f>
        <v>0</v>
      </c>
      <c r="S61" s="1090">
        <f>COUNTIFS(发射纪录!$B:$B,"&lt;&gt;-",发射纪录!$G:$G,"&gt;="&amp;DATE(YEAR($A61),1,1),发射纪录!$G:$G,"&lt;="&amp;DATE(YEAR($A61),12,31),发射纪录!$N:$N,"&lt;&gt;",发射纪录!$D:$D,"="&amp;CLEAN(火箭年間統計!S$6))</f>
        <v>1</v>
      </c>
      <c r="T61" s="1089">
        <f>COUNTIFS(发射纪录!$B:$B,"&lt;&gt;-",发射纪录!$G:$G,"&gt;="&amp;DATE(YEAR($A61),1,1),发射纪录!$G:$G,"&lt;="&amp;DATE(YEAR($A61),12,31),发射纪录!$N:$N,"&lt;&gt;",发射纪录!$D:$D,"="&amp;CLEAN(火箭年間統計!T$6))</f>
        <v>4</v>
      </c>
      <c r="U61" s="1090">
        <f>COUNTIFS(发射纪录!$B:$B,"&lt;&gt;-",发射纪录!$G:$G,"&gt;="&amp;DATE(YEAR($A61),1,1),发射纪录!$G:$G,"&lt;="&amp;DATE(YEAR($A61),12,31),发射纪录!$N:$N,"&lt;&gt;",发射纪录!$D:$D,"="&amp;CLEAN(火箭年間統計!U$6))</f>
        <v>0</v>
      </c>
      <c r="V61" s="1090">
        <f>COUNTIFS(发射纪录!$B:$B,"&lt;&gt;-",发射纪录!$G:$G,"&gt;="&amp;DATE(YEAR($A61),1,1),发射纪录!$G:$G,"&lt;="&amp;DATE(YEAR($A61),12,31),发射纪录!$N:$N,"&lt;&gt;",发射纪录!$D:$D,"="&amp;CLEAN(火箭年間統計!V$6))</f>
        <v>0</v>
      </c>
      <c r="W61" s="1092">
        <f>COUNTIFS(发射纪录!$B:$B,"&lt;&gt;-",发射纪录!$G:$G,"&gt;="&amp;DATE(YEAR($A61),1,1),发射纪录!$G:$G,"&lt;="&amp;DATE(YEAR($A61),12,31),发射纪录!$N:$N,"&lt;&gt;",发射纪录!$D:$D,"="&amp;CLEAN(火箭年間統計!W$6))</f>
        <v>2</v>
      </c>
      <c r="X61" s="1090">
        <f>COUNTIFS(发射纪录!$B:$B,"&lt;&gt;-",发射纪录!$G:$G,"&gt;="&amp;DATE(YEAR($A61),1,1),发射纪录!$G:$G,"&lt;="&amp;DATE(YEAR($A61),12,31),发射纪录!$N:$N,"&lt;&gt;",发射纪录!$D:$D,"="&amp;CLEAN(火箭年間統計!X$6))</f>
        <v>2</v>
      </c>
      <c r="Y61" s="1092">
        <f>COUNTIFS(发射纪录!$B:$B,"&lt;&gt;-",发射纪录!$G:$G,"&gt;="&amp;DATE(YEAR($A61),1,1),发射纪录!$G:$G,"&lt;="&amp;DATE(YEAR($A61),12,31),发射纪录!$N:$N,"&lt;&gt;",发射纪录!$D:$D,"="&amp;CLEAN(火箭年間統計!Y$6))</f>
        <v>0</v>
      </c>
      <c r="Z61" s="1092">
        <f>COUNTIFS(发射纪录!$B:$B,"&lt;&gt;-",发射纪录!$G:$G,"&gt;="&amp;DATE(YEAR($A61),1,1),发射纪录!$G:$G,"&lt;="&amp;DATE(YEAR($A61),12,31),发射纪录!$N:$N,"&lt;&gt;",发射纪录!$D:$D,"="&amp;CLEAN(火箭年間統計!Z$6))</f>
        <v>0</v>
      </c>
      <c r="AA61" s="1090">
        <f>COUNTIFS(发射纪录!$B:$B,"&lt;&gt;-",发射纪录!$G:$G,"&gt;="&amp;DATE(YEAR($A61),1,1),发射纪录!$G:$G,"&lt;="&amp;DATE(YEAR($A61),12,31),发射纪录!$N:$N,"&lt;&gt;",发射纪录!$D:$D,"="&amp;CLEAN(火箭年間統計!AA$6))</f>
        <v>0</v>
      </c>
      <c r="AB61" s="1090">
        <f>COUNTIFS(发射纪录!$B:$B,"&lt;&gt;-",发射纪录!$G:$G,"&gt;="&amp;DATE(YEAR($A61),1,1),发射纪录!$G:$G,"&lt;="&amp;DATE(YEAR($A61),12,31),发射纪录!$N:$N,"&lt;&gt;",发射纪录!$D:$D,"="&amp;CLEAN(火箭年間統計!AB$6))</f>
        <v>0</v>
      </c>
      <c r="AC61" s="1090">
        <f>COUNTIFS(发射纪录!$B:$B,"&lt;&gt;-",发射纪录!$G:$G,"&gt;="&amp;DATE(YEAR($A61),1,1),发射纪录!$G:$G,"&lt;="&amp;DATE(YEAR($A61),12,31),发射纪录!$N:$N,"&lt;&gt;",发射纪录!$D:$D,"="&amp;CLEAN(火箭年間統計!AC$6))</f>
        <v>0</v>
      </c>
      <c r="AD61" s="1090">
        <f>COUNTIFS(发射纪录!$B:$B,"&lt;&gt;-",发射纪录!$G:$G,"&gt;="&amp;DATE(YEAR($A61),1,1),发射纪录!$G:$G,"&lt;="&amp;DATE(YEAR($A61),12,31),发射纪录!$N:$N,"&lt;&gt;",发射纪录!$D:$D,"="&amp;CLEAN(火箭年間統計!AD$6))</f>
        <v>0</v>
      </c>
      <c r="AE61" s="1088">
        <f>COUNTIFS(发射纪录!$B:$B,"&lt;&gt;-",发射纪录!$G:$G,"&gt;="&amp;DATE(YEAR($A61),1,1),发射纪录!$G:$G,"&lt;="&amp;DATE(YEAR($A61),12,31),发射纪录!$N:$N,"&lt;&gt;",发射纪录!$D:$D,"="&amp;CLEAN(火箭年間統計!AE$6))</f>
        <v>0</v>
      </c>
      <c r="AF61" s="1093">
        <f>COUNTIFS(发射纪录!$B:$B,"&lt;&gt;-",发射纪录!$G:$G,"&gt;="&amp;DATE(YEAR($A61),1,1),发射纪录!$G:$G,"&lt;="&amp;DATE(YEAR($A61),12,31),发射纪录!$N:$N,"&lt;&gt;",发射纪录!$D:$D,"="&amp;CLEAN(火箭年間統計!AF$6))</f>
        <v>0</v>
      </c>
      <c r="AG61" s="1093">
        <f>COUNTIFS(发射纪录!$B:$B,"&lt;&gt;-",发射纪录!$G:$G,"&gt;="&amp;DATE(YEAR($A61),1,1),发射纪录!$G:$G,"&lt;="&amp;DATE(YEAR($A61),12,31),发射纪录!$N:$N,"&lt;&gt;",发射纪录!$D:$D,"="&amp;CLEAN(火箭年間統計!AG$6))</f>
        <v>0</v>
      </c>
      <c r="AH61" s="1093">
        <f>COUNTIFS(发射纪录!$B:$B,"&lt;&gt;-",发射纪录!$G:$G,"&gt;="&amp;DATE(YEAR($A61),1,1),发射纪录!$G:$G,"&lt;="&amp;DATE(YEAR($A61),12,31),发射纪录!$N:$N,"&lt;&gt;",发射纪录!$D:$D,"="&amp;CLEAN(火箭年間統計!AH$6))</f>
        <v>0</v>
      </c>
      <c r="AI61" s="1088">
        <f>COUNTIFS(发射纪录!$B:$B,"&lt;&gt;-",发射纪录!$G:$G,"&gt;="&amp;DATE(YEAR($A61),1,1),发射纪录!$G:$G,"&lt;="&amp;DATE(YEAR($A61),12,31),发射纪录!$N:$N,"&lt;&gt;",发射纪录!$D:$D,"="&amp;CLEAN(火箭年間統計!AI$6))</f>
        <v>0</v>
      </c>
      <c r="AJ61" s="1105">
        <f t="shared" ref="AJ61:AJ66" ca="1" si="11">SUM(AK61:BG61)</f>
        <v>7</v>
      </c>
      <c r="AK61" s="1102">
        <f ca="1">COUNTIFS(发射纪录!$C:$C,"&lt;&gt;-",发射纪录!$G:$G,"&gt;="&amp;DATE(YEAR($A61),1,1),发射纪录!$G:$G,"&lt;="&amp;DATE(YEAR($A61),12,31),发射纪录!$N:$N,"&lt;&gt;",发射纪录!$D:$D,"="&amp;CLEAN(火箭年間統計!AK$6))</f>
        <v>0</v>
      </c>
      <c r="AL61" s="1103">
        <f ca="1">COUNTIFS(发射纪录!$C:$C,"&lt;&gt;-",发射纪录!$G:$G,"&gt;="&amp;DATE(YEAR($A61),1,1),发射纪录!$G:$G,"&lt;="&amp;DATE(YEAR($A61),12,31),发射纪录!$N:$N,"&lt;&gt;",发射纪录!$D:$D,"="&amp;CLEAN(火箭年間統計!AL$6))</f>
        <v>0</v>
      </c>
      <c r="AM61" s="1103">
        <f ca="1">COUNTIFS(发射纪录!$C:$C,"&lt;&gt;-",发射纪录!$G:$G,"&gt;="&amp;DATE(YEAR($A61),1,1),发射纪录!$G:$G,"&lt;="&amp;DATE(YEAR($A61),12,31),发射纪录!$N:$N,"&lt;&gt;",发射纪录!$D:$D,"="&amp;CLEAN(火箭年間統計!AM$6))</f>
        <v>0</v>
      </c>
      <c r="AN61" s="1103">
        <f ca="1">COUNTIFS(发射纪录!$C:$C,"&lt;&gt;-",发射纪录!$G:$G,"&gt;="&amp;DATE(YEAR($A61),1,1),发射纪录!$G:$G,"&lt;="&amp;DATE(YEAR($A61),12,31),发射纪录!$N:$N,"&lt;&gt;",发射纪录!$D:$D,"="&amp;CLEAN(火箭年間統計!AN$6))</f>
        <v>0</v>
      </c>
      <c r="AO61" s="1104">
        <f ca="1">COUNTIFS(发射纪录!$C:$C,"&lt;&gt;-",发射纪录!$G:$G,"&gt;="&amp;DATE(YEAR($A61),1,1),发射纪录!$G:$G,"&lt;="&amp;DATE(YEAR($A61),12,31),发射纪录!$N:$N,"&lt;&gt;",发射纪录!$D:$D,"="&amp;CLEAN(火箭年間統計!AO$6))</f>
        <v>4</v>
      </c>
      <c r="AP61" s="1107">
        <f ca="1">COUNTIFS(发射纪录!$C:$C,"&lt;&gt;-",发射纪录!$G:$G,"&gt;="&amp;DATE(YEAR($A61),1,1),发射纪录!$G:$G,"&lt;="&amp;DATE(YEAR($A61),12,31),发射纪录!$N:$N,"&lt;&gt;",发射纪录!$D:$D,"="&amp;CLEAN(火箭年間統計!AP$6))</f>
        <v>0</v>
      </c>
      <c r="AQ61" s="1103">
        <f ca="1">COUNTIFS(发射纪录!$C:$C,"&lt;&gt;-",发射纪录!$G:$G,"&gt;="&amp;DATE(YEAR($A61),1,1),发射纪录!$G:$G,"&lt;="&amp;DATE(YEAR($A61),12,31),发射纪录!$N:$N,"&lt;&gt;",发射纪录!$D:$D,"="&amp;CLEAN(火箭年間統計!AQ$6))</f>
        <v>0</v>
      </c>
      <c r="AR61" s="1103">
        <f ca="1">COUNTIFS(发射纪录!$C:$C,"&lt;&gt;-",发射纪录!$G:$G,"&gt;="&amp;DATE(YEAR($A61),1,1),发射纪录!$G:$G,"&lt;="&amp;DATE(YEAR($A61),12,31),发射纪录!$N:$N,"&lt;&gt;",发射纪录!$D:$D,"="&amp;CLEAN(火箭年間統計!AR$6))</f>
        <v>0</v>
      </c>
      <c r="AS61" s="1107">
        <f ca="1">COUNTIFS(发射纪录!$C:$C,"&lt;&gt;-",发射纪录!$G:$G,"&gt;="&amp;DATE(YEAR($A61),1,1),发射纪录!$G:$G,"&lt;="&amp;DATE(YEAR($A61),12,31),发射纪录!$N:$N,"&lt;&gt;",发射纪录!$D:$D,"="&amp;CLEAN(火箭年間統計!AS$6))</f>
        <v>0</v>
      </c>
      <c r="AT61" s="1107">
        <f ca="1">COUNTIFS(发射纪录!$C:$C,"&lt;&gt;-",发射纪录!$G:$G,"&gt;="&amp;DATE(YEAR($A61),1,1),发射纪录!$G:$G,"&lt;="&amp;DATE(YEAR($A61),12,31),发射纪录!$N:$N,"&lt;&gt;",发射纪录!$D:$D,"="&amp;CLEAN(火箭年間統計!AT$6))</f>
        <v>0</v>
      </c>
      <c r="AU61" s="1103">
        <f ca="1">COUNTIFS(发射纪录!$C:$C,"&lt;&gt;-",发射纪录!$G:$G,"&gt;="&amp;DATE(YEAR($A61),1,1),发射纪录!$G:$G,"&lt;="&amp;DATE(YEAR($A61),12,31),发射纪录!$N:$N,"&lt;&gt;",发射纪录!$D:$D,"="&amp;CLEAN(火箭年間統計!AU$6))</f>
        <v>0</v>
      </c>
      <c r="AV61" s="1104">
        <f ca="1">COUNTIFS(发射纪录!$C:$C,"&lt;&gt;-",发射纪录!$G:$G,"&gt;="&amp;DATE(YEAR($A61),1,1),发射纪录!$G:$G,"&lt;="&amp;DATE(YEAR($A61),12,31),发射纪录!$N:$N,"&lt;&gt;",发射纪录!$D:$D,"="&amp;CLEAN(火箭年間統計!AV$6))</f>
        <v>2</v>
      </c>
      <c r="AW61" s="1103">
        <f ca="1">COUNTIFS(发射纪录!$C:$C,"&lt;&gt;-",发射纪录!$G:$G,"&gt;="&amp;DATE(YEAR($A61),1,1),发射纪录!$G:$G,"&lt;="&amp;DATE(YEAR($A61),12,31),发射纪录!$N:$N,"&lt;&gt;",发射纪录!$D:$D,"="&amp;CLEAN(火箭年間統計!AW$6))</f>
        <v>0</v>
      </c>
      <c r="AX61" s="1107">
        <f ca="1">COUNTIFS(发射纪录!$C:$C,"&lt;&gt;-",发射纪录!$G:$G,"&gt;="&amp;DATE(YEAR($A61),1,1),发射纪录!$G:$G,"&lt;="&amp;DATE(YEAR($A61),12,31),发射纪录!$N:$N,"&lt;&gt;",发射纪录!$D:$D,"="&amp;CLEAN(火箭年間統計!AX$6))</f>
        <v>0</v>
      </c>
      <c r="AY61" s="1104">
        <f ca="1">COUNTIFS(发射纪录!$C:$C,"&lt;&gt;-",发射纪录!$G:$G,"&gt;="&amp;DATE(YEAR($A61),1,1),发射纪录!$G:$G,"&lt;="&amp;DATE(YEAR($A61),12,31),发射纪录!$N:$N,"&lt;&gt;",发射纪录!$D:$D,"="&amp;CLEAN(火箭年間統計!AY$6))</f>
        <v>1</v>
      </c>
      <c r="AZ61" s="1104">
        <f ca="1">COUNTIFS(发射纪录!$C:$C,"&lt;&gt;-",发射纪录!$G:$G,"&gt;="&amp;DATE(YEAR($A61),1,1),发射纪录!$G:$G,"&lt;="&amp;DATE(YEAR($A61),12,31),发射纪录!$N:$N,"&lt;&gt;",发射纪录!$D:$D,"="&amp;CLEAN(火箭年間統計!AZ$6))</f>
        <v>0</v>
      </c>
      <c r="BA61" s="1104">
        <f ca="1">COUNTIFS(发射纪录!$C:$C,"&lt;&gt;-",发射纪录!$G:$G,"&gt;="&amp;DATE(YEAR($A61),1,1),发射纪录!$G:$G,"&lt;="&amp;DATE(YEAR($A61),12,31),发射纪录!$N:$N,"&lt;&gt;",发射纪录!$D:$D,"="&amp;CLEAN(火箭年間統計!BA$6))</f>
        <v>0</v>
      </c>
      <c r="BB61" s="1104">
        <f ca="1">COUNTIFS(发射纪录!$C:$C,"&lt;&gt;-",发射纪录!$G:$G,"&gt;="&amp;DATE(YEAR($A61),1,1),发射纪录!$G:$G,"&lt;="&amp;DATE(YEAR($A61),12,31),发射纪录!$N:$N,"&lt;&gt;",发射纪录!$D:$D,"="&amp;CLEAN(火箭年間統計!BB$6))</f>
        <v>0</v>
      </c>
      <c r="BC61" s="1107">
        <f ca="1">COUNTIFS(发射纪录!$C:$C,"&lt;&gt;-",发射纪录!$G:$G,"&gt;="&amp;DATE(YEAR($A61),1,1),发射纪录!$G:$G,"&lt;="&amp;DATE(YEAR($A61),12,31),发射纪录!$N:$N,"&lt;&gt;",发射纪录!$D:$D,"="&amp;CLEAN(火箭年間統計!BC$6))</f>
        <v>0</v>
      </c>
      <c r="BD61" s="1107">
        <f ca="1">COUNTIFS(发射纪录!$C:$C,"&lt;&gt;-",发射纪录!$G:$G,"&gt;="&amp;DATE(YEAR($A61),1,1),发射纪录!$G:$G,"&lt;="&amp;DATE(YEAR($A61),12,31),发射纪录!$N:$N,"&lt;&gt;",发射纪录!$D:$D,"="&amp;CLEAN(火箭年間統計!BD$6))</f>
        <v>0</v>
      </c>
      <c r="BE61" s="1106">
        <f ca="1">COUNTIFS(发射纪录!$C:$C,"&lt;&gt;-",发射纪录!$G:$G,"&gt;="&amp;DATE(YEAR($A61),1,1),发射纪录!$G:$G,"&lt;="&amp;DATE(YEAR($A61),12,31),发射纪录!$N:$N,"&lt;&gt;",发射纪录!$D:$D,"="&amp;CLEAN(火箭年間統計!BE$6))</f>
        <v>0</v>
      </c>
      <c r="BF61" s="1108">
        <f ca="1">COUNTIFS(发射纪录!$C:$C,"&lt;&gt;-",发射纪录!$G:$G,"&gt;="&amp;DATE(YEAR($A61),1,1),发射纪录!$G:$G,"&lt;="&amp;DATE(YEAR($A61),12,31),发射纪录!$N:$N,"&lt;&gt;",发射纪录!$D:$D,"="&amp;CLEAN(火箭年間統計!BF$6))</f>
        <v>0</v>
      </c>
      <c r="BG61" s="1109">
        <f ca="1">COUNTIFS(发射纪录!$C:$C,"&lt;&gt;-",发射纪录!$G:$G,"&gt;="&amp;DATE(YEAR($A61),1,1),发射纪录!$G:$G,"&lt;="&amp;DATE(YEAR($A61),12,31),发射纪录!$N:$N,"&lt;&gt;",发射纪录!$D:$D,"="&amp;CLEAN(火箭年間統計!BG$6))</f>
        <v>0</v>
      </c>
      <c r="BH61" s="1110">
        <f ca="1">COUNTIFS(发射纪录!$C:$C,"&lt;&gt;-",发射纪录!$G:$G,"&gt;="&amp;DATE(YEAR($A61),1,1),发射纪录!$G:$G,"&lt;="&amp;DATE(YEAR($A61),12,31),发射纪录!$N:$N,"&lt;&gt;",发射纪录!$D:$D,"="&amp;CLEAN(火箭年間統計!BH$6))</f>
        <v>0</v>
      </c>
    </row>
    <row r="62" spans="1:60" ht="16.2" x14ac:dyDescent="0.45">
      <c r="A62" s="1100">
        <v>44562</v>
      </c>
      <c r="B62" s="1101">
        <f t="shared" ca="1" si="10"/>
        <v>64</v>
      </c>
      <c r="C62" s="1085">
        <f>SUM(D62:AE62)</f>
        <v>53</v>
      </c>
      <c r="D62" s="1102">
        <f>COUNTIFS(发射纪录!$B:$B,"&lt;&gt;-",发射纪录!$G:$G,"&gt;="&amp;DATE(YEAR($A62),1,1),发射纪录!$G:$G,"&lt;="&amp;DATE(YEAR($A62),12,31),发射纪录!$N:$N,"&lt;&gt;",发射纪录!$D:$D,"="&amp;CLEAN(火箭年間統計!D$6))</f>
        <v>0</v>
      </c>
      <c r="E62" s="1103">
        <f>COUNTIFS(发射纪录!$B:$B,"&lt;&gt;-",发射纪录!$G:$G,"&gt;="&amp;DATE(YEAR($A62),1,1),发射纪录!$G:$G,"&lt;="&amp;DATE(YEAR($A62),12,31),发射纪录!$N:$N,"&lt;&gt;",发射纪录!$D:$D,"="&amp;CLEAN(火箭年間統計!E$6))</f>
        <v>0</v>
      </c>
      <c r="F62" s="1103">
        <f>COUNTIFS(发射纪录!$B:$B,"&lt;&gt;-",发射纪录!$G:$G,"&gt;="&amp;DATE(YEAR($A62),1,1),发射纪录!$G:$G,"&lt;="&amp;DATE(YEAR($A62),12,31),发射纪录!$N:$N,"&lt;&gt;",发射纪录!$D:$D,"="&amp;CLEAN(火箭年間統計!F$6))</f>
        <v>0</v>
      </c>
      <c r="G62" s="1104">
        <f>COUNTIFS(发射纪录!$B:$B,"&lt;&gt;-",发射纪录!$G:$G,"&gt;="&amp;DATE(YEAR($A62),1,1),发射纪录!$G:$G,"&lt;="&amp;DATE(YEAR($A62),12,31),发射纪录!$N:$N,"&lt;&gt;",发射纪录!$D:$D,"="&amp;CLEAN(火箭年間統計!G$6))</f>
        <v>6</v>
      </c>
      <c r="H62" s="1104">
        <f>COUNTIFS(发射纪录!$B:$B,"&lt;&gt;-",发射纪录!$G:$G,"&gt;="&amp;DATE(YEAR($A62),1,1),发射纪录!$G:$G,"&lt;="&amp;DATE(YEAR($A62),12,31),发射纪录!$N:$N,"&lt;&gt;",发射纪录!$D:$D,"="&amp;CLEAN(火箭年間統計!H$6))</f>
        <v>15</v>
      </c>
      <c r="I62" s="1089">
        <f>COUNTIFS(发射纪录!$B:$B,"&lt;&gt;-",发射纪录!$G:$G,"&gt;="&amp;DATE(YEAR($A62),1,1),发射纪录!$G:$G,"&lt;="&amp;DATE(YEAR($A62),12,31),发射纪录!$N:$N,"&lt;&gt;",发射纪录!$D:$D,"="&amp;CLEAN(火箭年間統計!I$6))</f>
        <v>0</v>
      </c>
      <c r="J62" s="1090">
        <f>COUNTIFS(发射纪录!$B:$B,"&lt;&gt;-",发射纪录!$G:$G,"&gt;="&amp;DATE(YEAR($A62),1,1),发射纪录!$G:$G,"&lt;="&amp;DATE(YEAR($A62),12,31),发射纪录!$N:$N,"&lt;&gt;",发射纪录!$D:$D,"="&amp;CLEAN(火箭年間統計!J$6))</f>
        <v>3</v>
      </c>
      <c r="K62" s="1089">
        <f>COUNTIFS(发射纪录!$B:$B,"&lt;&gt;-",发射纪录!$G:$G,"&gt;="&amp;DATE(YEAR($A62),1,1),发射纪录!$G:$G,"&lt;="&amp;DATE(YEAR($A62),12,31),发射纪录!$N:$N,"&lt;&gt;",发射纪录!$D:$D,"="&amp;CLEAN(火箭年間統計!K$6))</f>
        <v>0</v>
      </c>
      <c r="L62" s="1089">
        <f>COUNTIFS(发射纪录!$B:$B,"&lt;&gt;-",发射纪录!$G:$G,"&gt;="&amp;DATE(YEAR($A62),1,1),发射纪录!$G:$G,"&lt;="&amp;DATE(YEAR($A62),12,31),发射纪录!$N:$N,"&lt;&gt;",发射纪录!$D:$D,"="&amp;CLEAN(火箭年間統計!L$6))</f>
        <v>0</v>
      </c>
      <c r="M62" s="1090">
        <f>COUNTIFS(发射纪录!$B:$B,"&lt;&gt;-",发射纪录!$G:$G,"&gt;="&amp;DATE(YEAR($A62),1,1),发射纪录!$G:$G,"&lt;="&amp;DATE(YEAR($A62),12,31),发射纪录!$N:$N,"&lt;&gt;",发射纪录!$D:$D,"="&amp;CLEAN(火箭年間統計!M$6))</f>
        <v>4</v>
      </c>
      <c r="N62" s="1091">
        <f>COUNTIFS(发射纪录!$B:$B,"&lt;&gt;-",发射纪录!$G:$G,"&gt;="&amp;DATE(YEAR($A62),1,1),发射纪录!$G:$G,"&lt;="&amp;DATE(YEAR($A62),12,31),发射纪录!$N:$N,"&lt;&gt;",发射纪录!$D:$D,"="&amp;CLEAN(火箭年間統計!N$6))</f>
        <v>0</v>
      </c>
      <c r="O62" s="1089">
        <f>COUNTIFS(发射纪录!$B:$B,"&lt;&gt;-",发射纪录!$G:$G,"&gt;="&amp;DATE(YEAR($A62),1,1),发射纪录!$G:$G,"&lt;="&amp;DATE(YEAR($A62),12,31),发射纪录!$N:$N,"&lt;&gt;",发射纪录!$D:$D,"="&amp;CLEAN(火箭年間統計!O$6))</f>
        <v>0</v>
      </c>
      <c r="P62" s="1090">
        <f>COUNTIFS(发射纪录!$B:$B,"&lt;&gt;-",发射纪录!$G:$G,"&gt;="&amp;DATE(YEAR($A62),1,1),发射纪录!$G:$G,"&lt;="&amp;DATE(YEAR($A62),12,31),发射纪录!$N:$N,"&lt;&gt;",发射纪录!$D:$D,"="&amp;CLEAN(火箭年間統計!P$6))</f>
        <v>2</v>
      </c>
      <c r="Q62" s="1090">
        <f>COUNTIFS(发射纪录!$B:$B,"&lt;&gt;-",发射纪录!$G:$G,"&gt;="&amp;DATE(YEAR($A62),1,1),发射纪录!$G:$G,"&lt;="&amp;DATE(YEAR($A62),12,31),发射纪录!$N:$N,"&lt;&gt;",发射纪录!$D:$D,"="&amp;CLEAN(火箭年間統計!Q$6))</f>
        <v>9</v>
      </c>
      <c r="R62" s="1090">
        <f>COUNTIFS(发射纪录!$B:$B,"&lt;&gt;-",发射纪录!$G:$G,"&gt;="&amp;DATE(YEAR($A62),1,1),发射纪录!$G:$G,"&lt;="&amp;DATE(YEAR($A62),12,31),发射纪录!$N:$N,"&lt;&gt;",发射纪录!$D:$D,"="&amp;CLEAN(火箭年間統計!R$6))</f>
        <v>0</v>
      </c>
      <c r="S62" s="1090">
        <f>COUNTIFS(发射纪录!$B:$B,"&lt;&gt;-",发射纪录!$G:$G,"&gt;="&amp;DATE(YEAR($A62),1,1),发射纪录!$G:$G,"&lt;="&amp;DATE(YEAR($A62),12,31),发射纪录!$N:$N,"&lt;&gt;",发射纪录!$D:$D,"="&amp;CLEAN(火箭年間統計!S$6))</f>
        <v>2</v>
      </c>
      <c r="T62" s="1089">
        <f>COUNTIFS(发射纪录!$B:$B,"&lt;&gt;-",发射纪录!$G:$G,"&gt;="&amp;DATE(YEAR($A62),1,1),发射纪录!$G:$G,"&lt;="&amp;DATE(YEAR($A62),12,31),发射纪录!$N:$N,"&lt;&gt;",发射纪录!$D:$D,"="&amp;CLEAN(火箭年間統計!T$6))</f>
        <v>2</v>
      </c>
      <c r="U62" s="1090">
        <f>COUNTIFS(发射纪录!$B:$B,"&lt;&gt;-",发射纪录!$G:$G,"&gt;="&amp;DATE(YEAR($A62),1,1),发射纪录!$G:$G,"&lt;="&amp;DATE(YEAR($A62),12,31),发射纪录!$N:$N,"&lt;&gt;",发射纪录!$D:$D,"="&amp;CLEAN(火箭年間統計!U$6))</f>
        <v>2</v>
      </c>
      <c r="V62" s="1090">
        <f>COUNTIFS(发射纪录!$B:$B,"&lt;&gt;-",发射纪录!$G:$G,"&gt;="&amp;DATE(YEAR($A62),1,1),发射纪录!$G:$G,"&lt;="&amp;DATE(YEAR($A62),12,31),发射纪录!$N:$N,"&lt;&gt;",发射纪录!$D:$D,"="&amp;CLEAN(火箭年間統計!V$6))</f>
        <v>0</v>
      </c>
      <c r="W62" s="1092">
        <f>COUNTIFS(发射纪录!$B:$B,"&lt;&gt;-",发射纪录!$G:$G,"&gt;="&amp;DATE(YEAR($A62),1,1),发射纪录!$G:$G,"&lt;="&amp;DATE(YEAR($A62),12,31),发射纪录!$N:$N,"&lt;&gt;",发射纪录!$D:$D,"="&amp;CLEAN(火箭年間統計!W$6))</f>
        <v>2</v>
      </c>
      <c r="X62" s="1090">
        <f>COUNTIFS(发射纪录!$B:$B,"&lt;&gt;-",发射纪录!$G:$G,"&gt;="&amp;DATE(YEAR($A62),1,1),发射纪录!$G:$G,"&lt;="&amp;DATE(YEAR($A62),12,31),发射纪录!$N:$N,"&lt;&gt;",发射纪录!$D:$D,"="&amp;CLEAN(火箭年間統計!X$6))</f>
        <v>1</v>
      </c>
      <c r="Y62" s="1092">
        <f>COUNTIFS(发射纪录!$B:$B,"&lt;&gt;-",发射纪录!$G:$G,"&gt;="&amp;DATE(YEAR($A62),1,1),发射纪录!$G:$G,"&lt;="&amp;DATE(YEAR($A62),12,31),发射纪录!$N:$N,"&lt;&gt;",发射纪录!$D:$D,"="&amp;CLEAN(火箭年間統計!Y$6))</f>
        <v>1</v>
      </c>
      <c r="Z62" s="1092">
        <f>COUNTIFS(发射纪录!$B:$B,"&lt;&gt;-",发射纪录!$G:$G,"&gt;="&amp;DATE(YEAR($A62),1,1),发射纪录!$G:$G,"&lt;="&amp;DATE(YEAR($A62),12,31),发射纪录!$N:$N,"&lt;&gt;",发射纪录!$D:$D,"="&amp;CLEAN(火箭年間統計!Z$6))</f>
        <v>0</v>
      </c>
      <c r="AA62" s="1090">
        <f>COUNTIFS(发射纪录!$B:$B,"&lt;&gt;-",发射纪录!$G:$G,"&gt;="&amp;DATE(YEAR($A62),1,1),发射纪录!$G:$G,"&lt;="&amp;DATE(YEAR($A62),12,31),发射纪录!$N:$N,"&lt;&gt;",发射纪录!$D:$D,"="&amp;CLEAN(火箭年間統計!AA$6))</f>
        <v>0</v>
      </c>
      <c r="AB62" s="1090">
        <f>COUNTIFS(发射纪录!$B:$B,"&lt;&gt;-",发射纪录!$G:$G,"&gt;="&amp;DATE(YEAR($A62),1,1),发射纪录!$G:$G,"&lt;="&amp;DATE(YEAR($A62),12,31),发射纪录!$N:$N,"&lt;&gt;",发射纪录!$D:$D,"="&amp;CLEAN(火箭年間統計!AB$6))</f>
        <v>0</v>
      </c>
      <c r="AC62" s="1090">
        <f>COUNTIFS(发射纪录!$B:$B,"&lt;&gt;-",发射纪录!$G:$G,"&gt;="&amp;DATE(YEAR($A62),1,1),发射纪录!$G:$G,"&lt;="&amp;DATE(YEAR($A62),12,31),发射纪录!$N:$N,"&lt;&gt;",发射纪录!$D:$D,"="&amp;CLEAN(火箭年間統計!AC$6))</f>
        <v>0</v>
      </c>
      <c r="AD62" s="1090">
        <f>COUNTIFS(发射纪录!$B:$B,"&lt;&gt;-",发射纪录!$G:$G,"&gt;="&amp;DATE(YEAR($A62),1,1),发射纪录!$G:$G,"&lt;="&amp;DATE(YEAR($A62),12,31),发射纪录!$N:$N,"&lt;&gt;",发射纪录!$D:$D,"="&amp;CLEAN(火箭年間統計!AD$6))</f>
        <v>2</v>
      </c>
      <c r="AE62" s="1088">
        <f>COUNTIFS(发射纪录!$B:$B,"&lt;&gt;-",发射纪录!$G:$G,"&gt;="&amp;DATE(YEAR($A62),1,1),发射纪录!$G:$G,"&lt;="&amp;DATE(YEAR($A62),12,31),发射纪录!$N:$N,"&lt;&gt;",发射纪录!$D:$D,"="&amp;CLEAN(火箭年間統計!AE$6))</f>
        <v>2</v>
      </c>
      <c r="AF62" s="1093">
        <f>COUNTIFS(发射纪录!$B:$B,"&lt;&gt;-",发射纪录!$G:$G,"&gt;="&amp;DATE(YEAR($A62),1,1),发射纪录!$G:$G,"&lt;="&amp;DATE(YEAR($A62),12,31),发射纪录!$N:$N,"&lt;&gt;",发射纪录!$D:$D,"="&amp;CLEAN(火箭年間統計!AF$6))</f>
        <v>0</v>
      </c>
      <c r="AG62" s="1093">
        <f>COUNTIFS(发射纪录!$B:$B,"&lt;&gt;-",发射纪录!$G:$G,"&gt;="&amp;DATE(YEAR($A62),1,1),发射纪录!$G:$G,"&lt;="&amp;DATE(YEAR($A62),12,31),发射纪录!$N:$N,"&lt;&gt;",发射纪录!$D:$D,"="&amp;CLEAN(火箭年間統計!AG$6))</f>
        <v>0</v>
      </c>
      <c r="AH62" s="1093">
        <f>COUNTIFS(发射纪录!$B:$B,"&lt;&gt;-",发射纪录!$G:$G,"&gt;="&amp;DATE(YEAR($A62),1,1),发射纪录!$G:$G,"&lt;="&amp;DATE(YEAR($A62),12,31),发射纪录!$N:$N,"&lt;&gt;",发射纪录!$D:$D,"="&amp;CLEAN(火箭年間統計!AH$6))</f>
        <v>0</v>
      </c>
      <c r="AI62" s="1088">
        <f>COUNTIFS(发射纪录!$B:$B,"&lt;&gt;-",发射纪录!$G:$G,"&gt;="&amp;DATE(YEAR($A62),1,1),发射纪录!$G:$G,"&lt;="&amp;DATE(YEAR($A62),12,31),发射纪录!$N:$N,"&lt;&gt;",发射纪录!$D:$D,"="&amp;CLEAN(火箭年間統計!AI$6))</f>
        <v>0</v>
      </c>
      <c r="AJ62" s="1105">
        <f t="shared" ca="1" si="11"/>
        <v>11</v>
      </c>
      <c r="AK62" s="1102">
        <f ca="1">COUNTIFS(发射纪录!$C:$C,"&lt;&gt;-",发射纪录!$G:$G,"&gt;="&amp;DATE(YEAR($A62),1,1),发射纪录!$G:$G,"&lt;="&amp;DATE(YEAR($A62),12,31),发射纪录!$N:$N,"&lt;&gt;",发射纪录!$D:$D,"="&amp;CLEAN(火箭年間統計!AK$6))</f>
        <v>0</v>
      </c>
      <c r="AL62" s="1103">
        <f ca="1">COUNTIFS(发射纪录!$C:$C,"&lt;&gt;-",发射纪录!$G:$G,"&gt;="&amp;DATE(YEAR($A62),1,1),发射纪录!$G:$G,"&lt;="&amp;DATE(YEAR($A62),12,31),发射纪录!$N:$N,"&lt;&gt;",发射纪录!$D:$D,"="&amp;CLEAN(火箭年間統計!AL$6))</f>
        <v>0</v>
      </c>
      <c r="AM62" s="1103">
        <f ca="1">COUNTIFS(发射纪录!$C:$C,"&lt;&gt;-",发射纪录!$G:$G,"&gt;="&amp;DATE(YEAR($A62),1,1),发射纪录!$G:$G,"&lt;="&amp;DATE(YEAR($A62),12,31),发射纪录!$N:$N,"&lt;&gt;",发射纪录!$D:$D,"="&amp;CLEAN(火箭年間統計!AM$6))</f>
        <v>0</v>
      </c>
      <c r="AN62" s="1103">
        <f ca="1">COUNTIFS(发射纪录!$C:$C,"&lt;&gt;-",发射纪录!$G:$G,"&gt;="&amp;DATE(YEAR($A62),1,1),发射纪录!$G:$G,"&lt;="&amp;DATE(YEAR($A62),12,31),发射纪录!$N:$N,"&lt;&gt;",发射纪录!$D:$D,"="&amp;CLEAN(火箭年間統計!AN$6))</f>
        <v>0</v>
      </c>
      <c r="AO62" s="1104">
        <f ca="1">COUNTIFS(发射纪录!$C:$C,"&lt;&gt;-",发射纪录!$G:$G,"&gt;="&amp;DATE(YEAR($A62),1,1),发射纪录!$G:$G,"&lt;="&amp;DATE(YEAR($A62),12,31),发射纪录!$N:$N,"&lt;&gt;",发射纪录!$D:$D,"="&amp;CLEAN(火箭年間統計!AO$6))</f>
        <v>4</v>
      </c>
      <c r="AP62" s="1107">
        <f ca="1">COUNTIFS(发射纪录!$C:$C,"&lt;&gt;-",发射纪录!$G:$G,"&gt;="&amp;DATE(YEAR($A62),1,1),发射纪录!$G:$G,"&lt;="&amp;DATE(YEAR($A62),12,31),发射纪录!$N:$N,"&lt;&gt;",发射纪录!$D:$D,"="&amp;CLEAN(火箭年間統計!AP$6))</f>
        <v>1</v>
      </c>
      <c r="AQ62" s="1103">
        <f ca="1">COUNTIFS(发射纪录!$C:$C,"&lt;&gt;-",发射纪录!$G:$G,"&gt;="&amp;DATE(YEAR($A62),1,1),发射纪录!$G:$G,"&lt;="&amp;DATE(YEAR($A62),12,31),发射纪录!$N:$N,"&lt;&gt;",发射纪录!$D:$D,"="&amp;CLEAN(火箭年間統計!AQ$6))</f>
        <v>0</v>
      </c>
      <c r="AR62" s="1103">
        <f ca="1">COUNTIFS(发射纪录!$C:$C,"&lt;&gt;-",发射纪录!$G:$G,"&gt;="&amp;DATE(YEAR($A62),1,1),发射纪录!$G:$G,"&lt;="&amp;DATE(YEAR($A62),12,31),发射纪录!$N:$N,"&lt;&gt;",发射纪录!$D:$D,"="&amp;CLEAN(火箭年間統計!AR$6))</f>
        <v>1</v>
      </c>
      <c r="AS62" s="1107">
        <f ca="1">COUNTIFS(发射纪录!$C:$C,"&lt;&gt;-",发射纪录!$G:$G,"&gt;="&amp;DATE(YEAR($A62),1,1),发射纪录!$G:$G,"&lt;="&amp;DATE(YEAR($A62),12,31),发射纪录!$N:$N,"&lt;&gt;",发射纪录!$D:$D,"="&amp;CLEAN(火箭年間統計!AS$6))</f>
        <v>0</v>
      </c>
      <c r="AT62" s="1107">
        <f ca="1">COUNTIFS(发射纪录!$C:$C,"&lt;&gt;-",发射纪录!$G:$G,"&gt;="&amp;DATE(YEAR($A62),1,1),发射纪录!$G:$G,"&lt;="&amp;DATE(YEAR($A62),12,31),发射纪录!$N:$N,"&lt;&gt;",发射纪录!$D:$D,"="&amp;CLEAN(火箭年間統計!AT$6))</f>
        <v>0</v>
      </c>
      <c r="AU62" s="1103">
        <f ca="1">COUNTIFS(发射纪录!$C:$C,"&lt;&gt;-",发射纪录!$G:$G,"&gt;="&amp;DATE(YEAR($A62),1,1),发射纪录!$G:$G,"&lt;="&amp;DATE(YEAR($A62),12,31),发射纪录!$N:$N,"&lt;&gt;",发射纪录!$D:$D,"="&amp;CLEAN(火箭年間統計!AU$6))</f>
        <v>0</v>
      </c>
      <c r="AV62" s="1104">
        <f ca="1">COUNTIFS(发射纪录!$C:$C,"&lt;&gt;-",发射纪录!$G:$G,"&gt;="&amp;DATE(YEAR($A62),1,1),发射纪录!$G:$G,"&lt;="&amp;DATE(YEAR($A62),12,31),发射纪录!$N:$N,"&lt;&gt;",发射纪录!$D:$D,"="&amp;CLEAN(火箭年間統計!AV$6))</f>
        <v>1</v>
      </c>
      <c r="AW62" s="1103">
        <f ca="1">COUNTIFS(发射纪录!$C:$C,"&lt;&gt;-",发射纪录!$G:$G,"&gt;="&amp;DATE(YEAR($A62),1,1),发射纪录!$G:$G,"&lt;="&amp;DATE(YEAR($A62),12,31),发射纪录!$N:$N,"&lt;&gt;",发射纪录!$D:$D,"="&amp;CLEAN(火箭年間統計!AW$6))</f>
        <v>0</v>
      </c>
      <c r="AX62" s="1107">
        <f ca="1">COUNTIFS(发射纪录!$C:$C,"&lt;&gt;-",发射纪录!$G:$G,"&gt;="&amp;DATE(YEAR($A62),1,1),发射纪录!$G:$G,"&lt;="&amp;DATE(YEAR($A62),12,31),发射纪录!$N:$N,"&lt;&gt;",发射纪录!$D:$D,"="&amp;CLEAN(火箭年間統計!AX$6))</f>
        <v>1</v>
      </c>
      <c r="AY62" s="1104">
        <f ca="1">COUNTIFS(发射纪录!$C:$C,"&lt;&gt;-",发射纪录!$G:$G,"&gt;="&amp;DATE(YEAR($A62),1,1),发射纪录!$G:$G,"&lt;="&amp;DATE(YEAR($A62),12,31),发射纪录!$N:$N,"&lt;&gt;",发射纪录!$D:$D,"="&amp;CLEAN(火箭年間統計!AY$6))</f>
        <v>2</v>
      </c>
      <c r="AZ62" s="1104">
        <f ca="1">COUNTIFS(发射纪录!$C:$C,"&lt;&gt;-",发射纪录!$G:$G,"&gt;="&amp;DATE(YEAR($A62),1,1),发射纪录!$G:$G,"&lt;="&amp;DATE(YEAR($A62),12,31),发射纪录!$N:$N,"&lt;&gt;",发射纪录!$D:$D,"="&amp;CLEAN(火箭年間統計!AZ$6))</f>
        <v>0</v>
      </c>
      <c r="BA62" s="1104">
        <f ca="1">COUNTIFS(发射纪录!$C:$C,"&lt;&gt;-",发射纪录!$G:$G,"&gt;="&amp;DATE(YEAR($A62),1,1),发射纪录!$G:$G,"&lt;="&amp;DATE(YEAR($A62),12,31),发射纪录!$N:$N,"&lt;&gt;",发射纪录!$D:$D,"="&amp;CLEAN(火箭年間統計!BA$6))</f>
        <v>0</v>
      </c>
      <c r="BB62" s="1104">
        <f ca="1">COUNTIFS(发射纪录!$C:$C,"&lt;&gt;-",发射纪录!$G:$G,"&gt;="&amp;DATE(YEAR($A62),1,1),发射纪录!$G:$G,"&lt;="&amp;DATE(YEAR($A62),12,31),发射纪录!$N:$N,"&lt;&gt;",发射纪录!$D:$D,"="&amp;CLEAN(火箭年間統計!BB$6))</f>
        <v>0</v>
      </c>
      <c r="BC62" s="1107">
        <f ca="1">COUNTIFS(发射纪录!$C:$C,"&lt;&gt;-",发射纪录!$G:$G,"&gt;="&amp;DATE(YEAR($A62),1,1),发射纪录!$G:$G,"&lt;="&amp;DATE(YEAR($A62),12,31),发射纪录!$N:$N,"&lt;&gt;",发射纪录!$D:$D,"="&amp;CLEAN(火箭年間統計!BC$6))</f>
        <v>1</v>
      </c>
      <c r="BD62" s="1107">
        <f ca="1">COUNTIFS(发射纪录!$C:$C,"&lt;&gt;-",发射纪录!$G:$G,"&gt;="&amp;DATE(YEAR($A62),1,1),发射纪录!$G:$G,"&lt;="&amp;DATE(YEAR($A62),12,31),发射纪录!$N:$N,"&lt;&gt;",发射纪录!$D:$D,"="&amp;CLEAN(火箭年間統計!BD$6))</f>
        <v>0</v>
      </c>
      <c r="BE62" s="1106">
        <f ca="1">COUNTIFS(发射纪录!$C:$C,"&lt;&gt;-",发射纪录!$G:$G,"&gt;="&amp;DATE(YEAR($A62),1,1),发射纪录!$G:$G,"&lt;="&amp;DATE(YEAR($A62),12,31),发射纪录!$N:$N,"&lt;&gt;",发射纪录!$D:$D,"="&amp;CLEAN(火箭年間統計!BE$6))</f>
        <v>0</v>
      </c>
      <c r="BF62" s="1108">
        <f ca="1">COUNTIFS(发射纪录!$C:$C,"&lt;&gt;-",发射纪录!$G:$G,"&gt;="&amp;DATE(YEAR($A62),1,1),发射纪录!$G:$G,"&lt;="&amp;DATE(YEAR($A62),12,31),发射纪录!$N:$N,"&lt;&gt;",发射纪录!$D:$D,"="&amp;CLEAN(火箭年間統計!BF$6))</f>
        <v>0</v>
      </c>
      <c r="BG62" s="1109">
        <f ca="1">COUNTIFS(发射纪录!$C:$C,"&lt;&gt;-",发射纪录!$G:$G,"&gt;="&amp;DATE(YEAR($A62),1,1),发射纪录!$G:$G,"&lt;="&amp;DATE(YEAR($A62),12,31),发射纪录!$N:$N,"&lt;&gt;",发射纪录!$D:$D,"="&amp;CLEAN(火箭年間統計!BG$6))</f>
        <v>0</v>
      </c>
      <c r="BH62" s="1110">
        <f ca="1">COUNTIFS(发射纪录!$C:$C,"&lt;&gt;-",发射纪录!$G:$G,"&gt;="&amp;DATE(YEAR($A62),1,1),发射纪录!$G:$G,"&lt;="&amp;DATE(YEAR($A62),12,31),发射纪录!$N:$N,"&lt;&gt;",发射纪录!$D:$D,"="&amp;CLEAN(火箭年間統計!BH$6))</f>
        <v>0</v>
      </c>
    </row>
    <row r="63" spans="1:60" ht="16.2" x14ac:dyDescent="0.45">
      <c r="A63" s="1111">
        <v>44927</v>
      </c>
      <c r="B63" s="1112">
        <f t="shared" ca="1" si="10"/>
        <v>67</v>
      </c>
      <c r="C63" s="1113">
        <f>SUM(D63:AE63)</f>
        <v>47</v>
      </c>
      <c r="D63" s="1114">
        <f>COUNTIFS(发射纪录!$B:$B,"&lt;&gt;-",发射纪录!$G:$G,"&gt;="&amp;DATE(YEAR($A63),1,1),发射纪录!$G:$G,"&lt;="&amp;DATE(YEAR($A63),12,31),发射纪录!$N:$N,"&lt;&gt;",发射纪录!$D:$D,"="&amp;CLEAN(火箭年間統計!D$6))</f>
        <v>0</v>
      </c>
      <c r="E63" s="1115">
        <f>COUNTIFS(发射纪录!$B:$B,"&lt;&gt;-",发射纪录!$G:$G,"&gt;="&amp;DATE(YEAR($A63),1,1),发射纪录!$G:$G,"&lt;="&amp;DATE(YEAR($A63),12,31),发射纪录!$N:$N,"&lt;&gt;",发射纪录!$D:$D,"="&amp;CLEAN(火箭年間統計!E$6))</f>
        <v>0</v>
      </c>
      <c r="F63" s="1115">
        <f>COUNTIFS(发射纪录!$B:$B,"&lt;&gt;-",发射纪录!$G:$G,"&gt;="&amp;DATE(YEAR($A63),1,1),发射纪录!$G:$G,"&lt;="&amp;DATE(YEAR($A63),12,31),发射纪录!$N:$N,"&lt;&gt;",发射纪录!$D:$D,"="&amp;CLEAN(火箭年間統計!F$6))</f>
        <v>0</v>
      </c>
      <c r="G63" s="1116">
        <f>COUNTIFS(发射纪录!$B:$B,"&lt;&gt;-",发射纪录!$G:$G,"&gt;="&amp;DATE(YEAR($A63),1,1),发射纪录!$G:$G,"&lt;="&amp;DATE(YEAR($A63),12,31),发射纪录!$N:$N,"&lt;&gt;",发射纪录!$D:$D,"="&amp;CLEAN(火箭年間統計!G$6))</f>
        <v>9</v>
      </c>
      <c r="H63" s="1116">
        <f>COUNTIFS(发射纪录!$B:$B,"&lt;&gt;-",发射纪录!$G:$G,"&gt;="&amp;DATE(YEAR($A63),1,1),发射纪录!$G:$G,"&lt;="&amp;DATE(YEAR($A63),12,31),发射纪录!$N:$N,"&lt;&gt;",发射纪录!$D:$D,"="&amp;CLEAN(火箭年間統計!H$6))</f>
        <v>13</v>
      </c>
      <c r="I63" s="1117">
        <f>COUNTIFS(发射纪录!$B:$B,"&lt;&gt;-",发射纪录!$G:$G,"&gt;="&amp;DATE(YEAR($A63),1,1),发射纪录!$G:$G,"&lt;="&amp;DATE(YEAR($A63),12,31),发射纪录!$N:$N,"&lt;&gt;",发射纪录!$D:$D,"="&amp;CLEAN(火箭年間統計!I$6))</f>
        <v>0</v>
      </c>
      <c r="J63" s="1118">
        <f>COUNTIFS(发射纪录!$B:$B,"&lt;&gt;-",发射纪录!$G:$G,"&gt;="&amp;DATE(YEAR($A63),1,1),发射纪录!$G:$G,"&lt;="&amp;DATE(YEAR($A63),12,31),发射纪录!$N:$N,"&lt;&gt;",发射纪录!$D:$D,"="&amp;CLEAN(火箭年間統計!J$6))</f>
        <v>3</v>
      </c>
      <c r="K63" s="1117">
        <f>COUNTIFS(发射纪录!$B:$B,"&lt;&gt;-",发射纪录!$G:$G,"&gt;="&amp;DATE(YEAR($A63),1,1),发射纪录!$G:$G,"&lt;="&amp;DATE(YEAR($A63),12,31),发射纪录!$N:$N,"&lt;&gt;",发射纪录!$D:$D,"="&amp;CLEAN(火箭年間統計!K$6))</f>
        <v>0</v>
      </c>
      <c r="L63" s="1117">
        <f>COUNTIFS(发射纪录!$B:$B,"&lt;&gt;-",发射纪录!$G:$G,"&gt;="&amp;DATE(YEAR($A63),1,1),发射纪录!$G:$G,"&lt;="&amp;DATE(YEAR($A63),12,31),发射纪录!$N:$N,"&lt;&gt;",发射纪录!$D:$D,"="&amp;CLEAN(火箭年間統計!L$6))</f>
        <v>0</v>
      </c>
      <c r="M63" s="1118">
        <f>COUNTIFS(发射纪录!$B:$B,"&lt;&gt;-",发射纪录!$G:$G,"&gt;="&amp;DATE(YEAR($A63),1,1),发射纪录!$G:$G,"&lt;="&amp;DATE(YEAR($A63),12,31),发射纪录!$N:$N,"&lt;&gt;",发射纪录!$D:$D,"="&amp;CLEAN(火箭年間統計!M$6))</f>
        <v>6</v>
      </c>
      <c r="N63" s="1119">
        <f>COUNTIFS(发射纪录!$B:$B,"&lt;&gt;-",发射纪录!$G:$G,"&gt;="&amp;DATE(YEAR($A63),1,1),发射纪录!$G:$G,"&lt;="&amp;DATE(YEAR($A63),12,31),发射纪录!$N:$N,"&lt;&gt;",发射纪录!$D:$D,"="&amp;CLEAN(火箭年間統計!N$6))</f>
        <v>0</v>
      </c>
      <c r="O63" s="1117">
        <f>COUNTIFS(发射纪录!$B:$B,"&lt;&gt;-",发射纪录!$G:$G,"&gt;="&amp;DATE(YEAR($A63),1,1),发射纪录!$G:$G,"&lt;="&amp;DATE(YEAR($A63),12,31),发射纪录!$N:$N,"&lt;&gt;",发射纪录!$D:$D,"="&amp;CLEAN(火箭年間統計!O$6))</f>
        <v>0</v>
      </c>
      <c r="P63" s="1118">
        <f>COUNTIFS(发射纪录!$B:$B,"&lt;&gt;-",发射纪录!$G:$G,"&gt;="&amp;DATE(YEAR($A63),1,1),发射纪录!$G:$G,"&lt;="&amp;DATE(YEAR($A63),12,31),发射纪录!$N:$N,"&lt;&gt;",发射纪录!$D:$D,"="&amp;CLEAN(火箭年間統計!P$6))</f>
        <v>1</v>
      </c>
      <c r="Q63" s="1118">
        <f>COUNTIFS(发射纪录!$B:$B,"&lt;&gt;-",发射纪录!$G:$G,"&gt;="&amp;DATE(YEAR($A63),1,1),发射纪录!$G:$G,"&lt;="&amp;DATE(YEAR($A63),12,31),发射纪录!$N:$N,"&lt;&gt;",发射纪录!$D:$D,"="&amp;CLEAN(火箭年間統計!Q$6))</f>
        <v>6</v>
      </c>
      <c r="R63" s="1118">
        <f>COUNTIFS(发射纪录!$B:$B,"&lt;&gt;-",发射纪录!$G:$G,"&gt;="&amp;DATE(YEAR($A63),1,1),发射纪录!$G:$G,"&lt;="&amp;DATE(YEAR($A63),12,31),发射纪录!$N:$N,"&lt;&gt;",发射纪录!$D:$D,"="&amp;CLEAN(火箭年間統計!R$6))</f>
        <v>1</v>
      </c>
      <c r="S63" s="1118">
        <f>COUNTIFS(发射纪录!$B:$B,"&lt;&gt;-",发射纪录!$G:$G,"&gt;="&amp;DATE(YEAR($A63),1,1),发射纪录!$G:$G,"&lt;="&amp;DATE(YEAR($A63),12,31),发射纪录!$N:$N,"&lt;&gt;",发射纪录!$D:$D,"="&amp;CLEAN(火箭年間統計!S$6))</f>
        <v>0</v>
      </c>
      <c r="T63" s="1117">
        <f>COUNTIFS(发射纪录!$B:$B,"&lt;&gt;-",发射纪录!$G:$G,"&gt;="&amp;DATE(YEAR($A63),1,1),发射纪录!$G:$G,"&lt;="&amp;DATE(YEAR($A63),12,31),发射纪录!$N:$N,"&lt;&gt;",发射纪录!$D:$D,"="&amp;CLEAN(火箭年間統計!T$6))</f>
        <v>1</v>
      </c>
      <c r="U63" s="1118">
        <f>COUNTIFS(发射纪录!$B:$B,"&lt;&gt;-",发射纪录!$G:$G,"&gt;="&amp;DATE(YEAR($A63),1,1),发射纪录!$G:$G,"&lt;="&amp;DATE(YEAR($A63),12,31),发射纪录!$N:$N,"&lt;&gt;",发射纪录!$D:$D,"="&amp;CLEAN(火箭年間統計!U$6))</f>
        <v>2</v>
      </c>
      <c r="V63" s="1118">
        <f>COUNTIFS(发射纪录!$B:$B,"&lt;&gt;-",发射纪录!$G:$G,"&gt;="&amp;DATE(YEAR($A63),1,1),发射纪录!$G:$G,"&lt;="&amp;DATE(YEAR($A63),12,31),发射纪录!$N:$N,"&lt;&gt;",发射纪录!$D:$D,"="&amp;CLEAN(火箭年間統計!V$6))</f>
        <v>0</v>
      </c>
      <c r="W63" s="1120">
        <f>COUNTIFS(发射纪录!$B:$B,"&lt;&gt;-",发射纪录!$G:$G,"&gt;="&amp;DATE(YEAR($A63),1,1),发射纪录!$G:$G,"&lt;="&amp;DATE(YEAR($A63),12,31),发射纪录!$N:$N,"&lt;&gt;",发射纪录!$D:$D,"="&amp;CLEAN(火箭年間統計!W$6))</f>
        <v>1</v>
      </c>
      <c r="X63" s="1118">
        <f>COUNTIFS(发射纪录!$B:$B,"&lt;&gt;-",发射纪录!$G:$G,"&gt;="&amp;DATE(YEAR($A63),1,1),发射纪录!$G:$G,"&lt;="&amp;DATE(YEAR($A63),12,31),发射纪录!$N:$N,"&lt;&gt;",发射纪录!$D:$D,"="&amp;CLEAN(火箭年間統計!X$6))</f>
        <v>2</v>
      </c>
      <c r="Y63" s="1120">
        <f>COUNTIFS(发射纪录!$B:$B,"&lt;&gt;-",发射纪录!$G:$G,"&gt;="&amp;DATE(YEAR($A63),1,1),发射纪录!$G:$G,"&lt;="&amp;DATE(YEAR($A63),12,31),发射纪录!$N:$N,"&lt;&gt;",发射纪录!$D:$D,"="&amp;CLEAN(火箭年間統計!Y$6))</f>
        <v>0</v>
      </c>
      <c r="Z63" s="1120">
        <f>COUNTIFS(发射纪录!$B:$B,"&lt;&gt;-",发射纪录!$G:$G,"&gt;="&amp;DATE(YEAR($A63),1,1),发射纪录!$G:$G,"&lt;="&amp;DATE(YEAR($A63),12,31),发射纪录!$N:$N,"&lt;&gt;",发射纪录!$D:$D,"="&amp;CLEAN(火箭年間統計!Z$6))</f>
        <v>0</v>
      </c>
      <c r="AA63" s="1118">
        <f>COUNTIFS(发射纪录!$B:$B,"&lt;&gt;-",发射纪录!$G:$G,"&gt;="&amp;DATE(YEAR($A63),1,1),发射纪录!$G:$G,"&lt;="&amp;DATE(YEAR($A63),12,31),发射纪录!$N:$N,"&lt;&gt;",发射纪录!$D:$D,"="&amp;CLEAN(火箭年間統計!AA$6))</f>
        <v>0</v>
      </c>
      <c r="AB63" s="1118">
        <f>COUNTIFS(发射纪录!$B:$B,"&lt;&gt;-",发射纪录!$G:$G,"&gt;="&amp;DATE(YEAR($A63),1,1),发射纪录!$G:$G,"&lt;="&amp;DATE(YEAR($A63),12,31),发射纪录!$N:$N,"&lt;&gt;",发射纪录!$D:$D,"="&amp;CLEAN(火箭年間統計!AB$6))</f>
        <v>0</v>
      </c>
      <c r="AC63" s="1118">
        <f>COUNTIFS(发射纪录!$B:$B,"&lt;&gt;-",发射纪录!$G:$G,"&gt;="&amp;DATE(YEAR($A63),1,1),发射纪录!$G:$G,"&lt;="&amp;DATE(YEAR($A63),12,31),发射纪录!$N:$N,"&lt;&gt;",发射纪录!$D:$D,"="&amp;CLEAN(火箭年間統計!AC$6))</f>
        <v>0</v>
      </c>
      <c r="AD63" s="1118">
        <f>COUNTIFS(发射纪录!$B:$B,"&lt;&gt;-",发射纪录!$G:$G,"&gt;="&amp;DATE(YEAR($A63),1,1),发射纪录!$G:$G,"&lt;="&amp;DATE(YEAR($A63),12,31),发射纪录!$N:$N,"&lt;&gt;",发射纪录!$D:$D,"="&amp;CLEAN(火箭年間統計!AD$6))</f>
        <v>1</v>
      </c>
      <c r="AE63" s="1121">
        <f>COUNTIFS(发射纪录!$B:$B,"&lt;&gt;-",发射纪录!$G:$G,"&gt;="&amp;DATE(YEAR($A63),1,1),发射纪录!$G:$G,"&lt;="&amp;DATE(YEAR($A63),12,31),发射纪录!$N:$N,"&lt;&gt;",发射纪录!$D:$D,"="&amp;CLEAN(火箭年間統計!AE$6))</f>
        <v>1</v>
      </c>
      <c r="AF63" s="1122">
        <f>COUNTIFS(发射纪录!$B:$B,"&lt;&gt;-",发射纪录!$G:$G,"&gt;="&amp;DATE(YEAR($A63),1,1),发射纪录!$G:$G,"&lt;="&amp;DATE(YEAR($A63),12,31),发射纪录!$N:$N,"&lt;&gt;",发射纪录!$D:$D,"="&amp;CLEAN(火箭年間統計!AF$6))</f>
        <v>0</v>
      </c>
      <c r="AG63" s="1122">
        <f>COUNTIFS(发射纪录!$B:$B,"&lt;&gt;-",发射纪录!$G:$G,"&gt;="&amp;DATE(YEAR($A63),1,1),发射纪录!$G:$G,"&lt;="&amp;DATE(YEAR($A63),12,31),发射纪录!$N:$N,"&lt;&gt;",发射纪录!$D:$D,"="&amp;CLEAN(火箭年間統計!AG$6))</f>
        <v>0</v>
      </c>
      <c r="AH63" s="1122">
        <f>COUNTIFS(发射纪录!$B:$B,"&lt;&gt;-",发射纪录!$G:$G,"&gt;="&amp;DATE(YEAR($A63),1,1),发射纪录!$G:$G,"&lt;="&amp;DATE(YEAR($A63),12,31),发射纪录!$N:$N,"&lt;&gt;",发射纪录!$D:$D,"="&amp;CLEAN(火箭年間統計!AH$6))</f>
        <v>0</v>
      </c>
      <c r="AI63" s="1121">
        <f>COUNTIFS(发射纪录!$B:$B,"&lt;&gt;-",发射纪录!$G:$G,"&gt;="&amp;DATE(YEAR($A63),1,1),发射纪录!$G:$G,"&lt;="&amp;DATE(YEAR($A63),12,31),发射纪录!$N:$N,"&lt;&gt;",发射纪录!$D:$D,"="&amp;CLEAN(火箭年間統計!AI$6))</f>
        <v>0</v>
      </c>
      <c r="AJ63" s="1123">
        <f t="shared" ca="1" si="11"/>
        <v>20</v>
      </c>
      <c r="AK63" s="1114">
        <f ca="1">COUNTIFS(发射纪录!$C:$C,"&lt;&gt;-",发射纪录!$G:$G,"&gt;="&amp;DATE(YEAR($A63),1,1),发射纪录!$G:$G,"&lt;="&amp;DATE(YEAR($A63),12,31),发射纪录!$N:$N,"&lt;&gt;",发射纪录!$D:$D,"="&amp;CLEAN(火箭年間統計!AK$6))</f>
        <v>0</v>
      </c>
      <c r="AL63" s="1115">
        <f ca="1">COUNTIFS(发射纪录!$C:$C,"&lt;&gt;-",发射纪录!$G:$G,"&gt;="&amp;DATE(YEAR($A63),1,1),发射纪录!$G:$G,"&lt;="&amp;DATE(YEAR($A63),12,31),发射纪录!$N:$N,"&lt;&gt;",发射纪录!$D:$D,"="&amp;CLEAN(火箭年間統計!AL$6))</f>
        <v>0</v>
      </c>
      <c r="AM63" s="1115">
        <f ca="1">COUNTIFS(发射纪录!$C:$C,"&lt;&gt;-",发射纪录!$G:$G,"&gt;="&amp;DATE(YEAR($A63),1,1),发射纪录!$G:$G,"&lt;="&amp;DATE(YEAR($A63),12,31),发射纪录!$N:$N,"&lt;&gt;",发射纪录!$D:$D,"="&amp;CLEAN(火箭年間統計!AM$6))</f>
        <v>0</v>
      </c>
      <c r="AN63" s="1115">
        <f ca="1">COUNTIFS(发射纪录!$C:$C,"&lt;&gt;-",发射纪录!$G:$G,"&gt;="&amp;DATE(YEAR($A63),1,1),发射纪录!$G:$G,"&lt;="&amp;DATE(YEAR($A63),12,31),发射纪录!$N:$N,"&lt;&gt;",发射纪录!$D:$D,"="&amp;CLEAN(火箭年間統計!AN$6))</f>
        <v>0</v>
      </c>
      <c r="AO63" s="1116">
        <f ca="1">COUNTIFS(发射纪录!$C:$C,"&lt;&gt;-",发射纪录!$G:$G,"&gt;="&amp;DATE(YEAR($A63),1,1),发射纪录!$G:$G,"&lt;="&amp;DATE(YEAR($A63),12,31),发射纪录!$N:$N,"&lt;&gt;",发射纪录!$D:$D,"="&amp;CLEAN(火箭年間統計!AO$6))</f>
        <v>6</v>
      </c>
      <c r="AP63" s="1125">
        <f ca="1">COUNTIFS(发射纪录!$C:$C,"&lt;&gt;-",发射纪录!$G:$G,"&gt;="&amp;DATE(YEAR($A63),1,1),发射纪录!$G:$G,"&lt;="&amp;DATE(YEAR($A63),12,31),发射纪录!$N:$N,"&lt;&gt;",发射纪录!$D:$D,"="&amp;CLEAN(火箭年間統計!AP$6))</f>
        <v>0</v>
      </c>
      <c r="AQ63" s="1115">
        <f ca="1">COUNTIFS(发射纪录!$C:$C,"&lt;&gt;-",发射纪录!$G:$G,"&gt;="&amp;DATE(YEAR($A63),1,1),发射纪录!$G:$G,"&lt;="&amp;DATE(YEAR($A63),12,31),发射纪录!$N:$N,"&lt;&gt;",发射纪录!$D:$D,"="&amp;CLEAN(火箭年間統計!AQ$6))</f>
        <v>0</v>
      </c>
      <c r="AR63" s="1115">
        <f ca="1">COUNTIFS(发射纪录!$C:$C,"&lt;&gt;-",发射纪录!$G:$G,"&gt;="&amp;DATE(YEAR($A63),1,1),发射纪录!$G:$G,"&lt;="&amp;DATE(YEAR($A63),12,31),发射纪录!$N:$N,"&lt;&gt;",发射纪录!$D:$D,"="&amp;CLEAN(火箭年間統計!AR$6))</f>
        <v>2</v>
      </c>
      <c r="AS63" s="1125">
        <f ca="1">COUNTIFS(发射纪录!$C:$C,"&lt;&gt;-",发射纪录!$G:$G,"&gt;="&amp;DATE(YEAR($A63),1,1),发射纪录!$G:$G,"&lt;="&amp;DATE(YEAR($A63),12,31),发射纪录!$N:$N,"&lt;&gt;",发射纪录!$D:$D,"="&amp;CLEAN(火箭年間統計!AS$6))</f>
        <v>0</v>
      </c>
      <c r="AT63" s="1125">
        <f ca="1">COUNTIFS(发射纪录!$C:$C,"&lt;&gt;-",发射纪录!$G:$G,"&gt;="&amp;DATE(YEAR($A63),1,1),发射纪录!$G:$G,"&lt;="&amp;DATE(YEAR($A63),12,31),发射纪录!$N:$N,"&lt;&gt;",发射纪录!$D:$D,"="&amp;CLEAN(火箭年間統計!AT$6))</f>
        <v>0</v>
      </c>
      <c r="AU63" s="1115">
        <f ca="1">COUNTIFS(发射纪录!$C:$C,"&lt;&gt;-",发射纪录!$G:$G,"&gt;="&amp;DATE(YEAR($A63),1,1),发射纪录!$G:$G,"&lt;="&amp;DATE(YEAR($A63),12,31),发射纪录!$N:$N,"&lt;&gt;",发射纪录!$D:$D,"="&amp;CLEAN(火箭年間統計!AU$6))</f>
        <v>0</v>
      </c>
      <c r="AV63" s="1116">
        <f ca="1">COUNTIFS(发射纪录!$C:$C,"&lt;&gt;-",发射纪录!$G:$G,"&gt;="&amp;DATE(YEAR($A63),1,1),发射纪录!$G:$G,"&lt;="&amp;DATE(YEAR($A63),12,31),发射纪录!$N:$N,"&lt;&gt;",发射纪录!$D:$D,"="&amp;CLEAN(火箭年間統計!AV$6))</f>
        <v>2</v>
      </c>
      <c r="AW63" s="1115">
        <f ca="1">COUNTIFS(发射纪录!$C:$C,"&lt;&gt;-",发射纪录!$G:$G,"&gt;="&amp;DATE(YEAR($A63),1,1),发射纪录!$G:$G,"&lt;="&amp;DATE(YEAR($A63),12,31),发射纪录!$N:$N,"&lt;&gt;",发射纪录!$D:$D,"="&amp;CLEAN(火箭年間統計!AW$6))</f>
        <v>0</v>
      </c>
      <c r="AX63" s="1125">
        <f ca="1">COUNTIFS(发射纪录!$C:$C,"&lt;&gt;-",发射纪录!$G:$G,"&gt;="&amp;DATE(YEAR($A63),1,1),发射纪录!$G:$G,"&lt;="&amp;DATE(YEAR($A63),12,31),发射纪录!$N:$N,"&lt;&gt;",发射纪录!$D:$D,"="&amp;CLEAN(火箭年間統計!AX$6))</f>
        <v>1</v>
      </c>
      <c r="AY63" s="1116">
        <f ca="1">COUNTIFS(发射纪录!$C:$C,"&lt;&gt;-",发射纪录!$G:$G,"&gt;="&amp;DATE(YEAR($A63),1,1),发射纪录!$G:$G,"&lt;="&amp;DATE(YEAR($A63),12,31),发射纪录!$N:$N,"&lt;&gt;",发射纪录!$D:$D,"="&amp;CLEAN(火箭年間統計!AY$6))</f>
        <v>6</v>
      </c>
      <c r="AZ63" s="1116">
        <f ca="1">COUNTIFS(发射纪录!$C:$C,"&lt;&gt;-",发射纪录!$G:$G,"&gt;="&amp;DATE(YEAR($A63),1,1),发射纪录!$G:$G,"&lt;="&amp;DATE(YEAR($A63),12,31),发射纪录!$N:$N,"&lt;&gt;",发射纪录!$D:$D,"="&amp;CLEAN(火箭年間統計!AZ$6))</f>
        <v>1</v>
      </c>
      <c r="BA63" s="1116">
        <f ca="1">COUNTIFS(发射纪录!$C:$C,"&lt;&gt;-",发射纪录!$G:$G,"&gt;="&amp;DATE(YEAR($A63),1,1),发射纪录!$G:$G,"&lt;="&amp;DATE(YEAR($A63),12,31),发射纪录!$N:$N,"&lt;&gt;",发射纪录!$D:$D,"="&amp;CLEAN(火箭年間統計!BA$6))</f>
        <v>0</v>
      </c>
      <c r="BB63" s="1116">
        <f ca="1">COUNTIFS(发射纪录!$C:$C,"&lt;&gt;-",发射纪录!$G:$G,"&gt;="&amp;DATE(YEAR($A63),1,1),发射纪录!$G:$G,"&lt;="&amp;DATE(YEAR($A63),12,31),发射纪录!$N:$N,"&lt;&gt;",发射纪录!$D:$D,"="&amp;CLEAN(火箭年間統計!BB$6))</f>
        <v>0</v>
      </c>
      <c r="BC63" s="1125">
        <f ca="1">COUNTIFS(发射纪录!$C:$C,"&lt;&gt;-",发射纪录!$G:$G,"&gt;="&amp;DATE(YEAR($A63),1,1),发射纪录!$G:$G,"&lt;="&amp;DATE(YEAR($A63),12,31),发射纪录!$N:$N,"&lt;&gt;",发射纪录!$D:$D,"="&amp;CLEAN(火箭年間統計!BC$6))</f>
        <v>1</v>
      </c>
      <c r="BD63" s="1125">
        <f ca="1">COUNTIFS(发射纪录!$C:$C,"&lt;&gt;-",发射纪录!$G:$G,"&gt;="&amp;DATE(YEAR($A63),1,1),发射纪录!$G:$G,"&lt;="&amp;DATE(YEAR($A63),12,31),发射纪录!$N:$N,"&lt;&gt;",发射纪录!$D:$D,"="&amp;CLEAN(火箭年間統計!BD$6))</f>
        <v>0</v>
      </c>
      <c r="BE63" s="1124">
        <f ca="1">COUNTIFS(发射纪录!$C:$C,"&lt;&gt;-",发射纪录!$G:$G,"&gt;="&amp;DATE(YEAR($A63),1,1),发射纪录!$G:$G,"&lt;="&amp;DATE(YEAR($A63),12,31),发射纪录!$N:$N,"&lt;&gt;",发射纪录!$D:$D,"="&amp;CLEAN(火箭年間統計!BE$6))</f>
        <v>1</v>
      </c>
      <c r="BF63" s="1126">
        <f ca="1">COUNTIFS(发射纪录!$C:$C,"&lt;&gt;-",发射纪录!$G:$G,"&gt;="&amp;DATE(YEAR($A63),1,1),发射纪录!$G:$G,"&lt;="&amp;DATE(YEAR($A63),12,31),发射纪录!$N:$N,"&lt;&gt;",发射纪录!$D:$D,"="&amp;CLEAN(火箭年間統計!BF$6))</f>
        <v>0</v>
      </c>
      <c r="BG63" s="1127">
        <f ca="1">COUNTIFS(发射纪录!$C:$C,"&lt;&gt;-",发射纪录!$G:$G,"&gt;="&amp;DATE(YEAR($A63),1,1),发射纪录!$G:$G,"&lt;="&amp;DATE(YEAR($A63),12,31),发射纪录!$N:$N,"&lt;&gt;",发射纪录!$D:$D,"="&amp;CLEAN(火箭年間統計!BG$6))</f>
        <v>0</v>
      </c>
      <c r="BH63" s="1128">
        <f ca="1">COUNTIFS(发射纪录!$C:$C,"&lt;&gt;-",发射纪录!$G:$G,"&gt;="&amp;DATE(YEAR($A63),1,1),发射纪录!$G:$G,"&lt;="&amp;DATE(YEAR($A63),12,31),发射纪录!$N:$N,"&lt;&gt;",发射纪录!$D:$D,"="&amp;CLEAN(火箭年間統計!BH$6))</f>
        <v>0</v>
      </c>
    </row>
    <row r="64" spans="1:60" ht="19.5" customHeight="1" x14ac:dyDescent="0.45">
      <c r="A64" s="1100">
        <v>45292</v>
      </c>
      <c r="B64" s="1101">
        <f t="shared" ca="1" si="10"/>
        <v>68</v>
      </c>
      <c r="C64" s="1129">
        <f>SUM(D64:AF64)</f>
        <v>49</v>
      </c>
      <c r="D64" s="1102">
        <f>COUNTIFS(发射纪录!$B:$B,"&lt;&gt;-",发射纪录!$G:$G,"&gt;="&amp;DATE(YEAR($A64),1,1),发射纪录!$G:$G,"&lt;="&amp;DATE(YEAR($A64),12,31),发射纪录!$N:$N,"&lt;&gt;",发射纪录!$D:$D,"="&amp;CLEAN(火箭年間統計!D$6))</f>
        <v>0</v>
      </c>
      <c r="E64" s="1103">
        <f>COUNTIFS(发射纪录!$B:$B,"&lt;&gt;-",发射纪录!$G:$G,"&gt;="&amp;DATE(YEAR($A64),1,1),发射纪录!$G:$G,"&lt;="&amp;DATE(YEAR($A64),12,31),发射纪录!$N:$N,"&lt;&gt;",发射纪录!$D:$D,"="&amp;CLEAN(火箭年間統計!E$6))</f>
        <v>0</v>
      </c>
      <c r="F64" s="1103">
        <f>COUNTIFS(发射纪录!$B:$B,"&lt;&gt;-",发射纪录!$G:$G,"&gt;="&amp;DATE(YEAR($A64),1,1),发射纪录!$G:$G,"&lt;="&amp;DATE(YEAR($A64),12,31),发射纪录!$N:$N,"&lt;&gt;",发射纪录!$D:$D,"="&amp;CLEAN(火箭年間統計!F$6))</f>
        <v>0</v>
      </c>
      <c r="G64" s="1104">
        <f>COUNTIFS(发射纪录!$B:$B,"&lt;&gt;-",发射纪录!$G:$G,"&gt;="&amp;DATE(YEAR($A64),1,1),发射纪录!$G:$G,"&lt;="&amp;DATE(YEAR($A64),12,31),发射纪录!$N:$N,"&lt;&gt;",发射纪录!$D:$D,"="&amp;CLEAN(火箭年間統計!G$6))</f>
        <v>7</v>
      </c>
      <c r="H64" s="1104">
        <f>COUNTIFS(发射纪录!$B:$B,"&lt;&gt;-",发射纪录!$G:$G,"&gt;="&amp;DATE(YEAR($A64),1,1),发射纪录!$G:$G,"&lt;="&amp;DATE(YEAR($A64),12,31),发射纪录!$N:$N,"&lt;&gt;",发射纪录!$D:$D,"="&amp;CLEAN(火箭年間統計!H$6))</f>
        <v>9</v>
      </c>
      <c r="I64" s="1130">
        <f>COUNTIFS(发射纪录!$B:$B,"&lt;&gt;-",发射纪录!$G:$G,"&gt;="&amp;DATE(YEAR($A64),1,1),发射纪录!$G:$G,"&lt;="&amp;DATE(YEAR($A64),12,31),发射纪录!$N:$N,"&lt;&gt;",发射纪录!$D:$D,"="&amp;CLEAN(火箭年間統計!I$6))</f>
        <v>0</v>
      </c>
      <c r="J64" s="1131">
        <f>COUNTIFS(发射纪录!$B:$B,"&lt;&gt;-",发射纪录!$G:$G,"&gt;="&amp;DATE(YEAR($A64),1,1),发射纪录!$G:$G,"&lt;="&amp;DATE(YEAR($A64),12,31),发射纪录!$N:$N,"&lt;&gt;",发射纪录!$D:$D,"="&amp;CLEAN(火箭年間統計!J$6))</f>
        <v>2</v>
      </c>
      <c r="K64" s="1130">
        <f>COUNTIFS(发射纪录!$B:$B,"&lt;&gt;-",发射纪录!$G:$G,"&gt;="&amp;DATE(YEAR($A64),1,1),发射纪录!$G:$G,"&lt;="&amp;DATE(YEAR($A64),12,31),发射纪录!$N:$N,"&lt;&gt;",发射纪录!$D:$D,"="&amp;CLEAN(火箭年間統計!K$6))</f>
        <v>0</v>
      </c>
      <c r="L64" s="1130">
        <f>COUNTIFS(发射纪录!$B:$B,"&lt;&gt;-",发射纪录!$G:$G,"&gt;="&amp;DATE(YEAR($A64),1,1),发射纪录!$G:$G,"&lt;="&amp;DATE(YEAR($A64),12,31),发射纪录!$N:$N,"&lt;&gt;",发射纪录!$D:$D,"="&amp;CLEAN(火箭年間統計!L$6))</f>
        <v>0</v>
      </c>
      <c r="M64" s="1131">
        <f>COUNTIFS(发射纪录!$B:$B,"&lt;&gt;-",发射纪录!$G:$G,"&gt;="&amp;DATE(YEAR($A64),1,1),发射纪录!$G:$G,"&lt;="&amp;DATE(YEAR($A64),12,31),发射纪录!$N:$N,"&lt;&gt;",发射纪录!$D:$D,"="&amp;CLEAN(火箭年間統計!M$6))</f>
        <v>8</v>
      </c>
      <c r="N64" s="1132">
        <f>COUNTIFS(发射纪录!$B:$B,"&lt;&gt;-",发射纪录!$G:$G,"&gt;="&amp;DATE(YEAR($A64),1,1),发射纪录!$G:$G,"&lt;="&amp;DATE(YEAR($A64),12,31),发射纪录!$N:$N,"&lt;&gt;",发射纪录!$D:$D,"="&amp;CLEAN(火箭年間統計!N$6))</f>
        <v>0</v>
      </c>
      <c r="O64" s="1130">
        <f>COUNTIFS(发射纪录!$B:$B,"&lt;&gt;-",发射纪录!$G:$G,"&gt;="&amp;DATE(YEAR($A64),1,1),发射纪录!$G:$G,"&lt;="&amp;DATE(YEAR($A64),12,31),发射纪录!$N:$N,"&lt;&gt;",发射纪录!$D:$D,"="&amp;CLEAN(火箭年間統計!O$6))</f>
        <v>0</v>
      </c>
      <c r="P64" s="1131">
        <f>COUNTIFS(发射纪录!$B:$B,"&lt;&gt;-",发射纪录!$G:$G,"&gt;="&amp;DATE(YEAR($A64),1,1),发射纪录!$G:$G,"&lt;="&amp;DATE(YEAR($A64),12,31),发射纪录!$N:$N,"&lt;&gt;",发射纪录!$D:$D,"="&amp;CLEAN(火箭年間統計!P$6))</f>
        <v>4</v>
      </c>
      <c r="Q64" s="1131">
        <f>COUNTIFS(发射纪录!$B:$B,"&lt;&gt;-",发射纪录!$G:$G,"&gt;="&amp;DATE(YEAR($A64),1,1),发射纪录!$G:$G,"&lt;="&amp;DATE(YEAR($A64),12,31),发射纪录!$N:$N,"&lt;&gt;",发射纪录!$D:$D,"="&amp;CLEAN(火箭年間統計!Q$6))</f>
        <v>2</v>
      </c>
      <c r="R64" s="1131">
        <f>COUNTIFS(发射纪录!$B:$B,"&lt;&gt;-",发射纪录!$G:$G,"&gt;="&amp;DATE(YEAR($A64),1,1),发射纪录!$G:$G,"&lt;="&amp;DATE(YEAR($A64),12,31),发射纪录!$N:$N,"&lt;&gt;",发射纪录!$D:$D,"="&amp;CLEAN(火箭年間統計!R$6))</f>
        <v>2</v>
      </c>
      <c r="S64" s="1131">
        <f>COUNTIFS(发射纪录!$B:$B,"&lt;&gt;-",发射纪录!$G:$G,"&gt;="&amp;DATE(YEAR($A64),1,1),发射纪录!$G:$G,"&lt;="&amp;DATE(YEAR($A64),12,31),发射纪录!$N:$N,"&lt;&gt;",发射纪录!$D:$D,"="&amp;CLEAN(火箭年間統計!S$6))</f>
        <v>1</v>
      </c>
      <c r="T64" s="1130">
        <f>COUNTIFS(发射纪录!$B:$B,"&lt;&gt;-",发射纪录!$G:$G,"&gt;="&amp;DATE(YEAR($A64),1,1),发射纪录!$G:$G,"&lt;="&amp;DATE(YEAR($A64),12,31),发射纪录!$N:$N,"&lt;&gt;",发射纪录!$D:$D,"="&amp;CLEAN(火箭年間統計!T$6))</f>
        <v>2</v>
      </c>
      <c r="U64" s="1131">
        <f>COUNTIFS(发射纪录!$B:$B,"&lt;&gt;-",发射纪录!$G:$G,"&gt;="&amp;DATE(YEAR($A64),1,1),发射纪录!$G:$G,"&lt;="&amp;DATE(YEAR($A64),12,31),发射纪录!$N:$N,"&lt;&gt;",发射纪录!$D:$D,"="&amp;CLEAN(火箭年間統計!U$6))</f>
        <v>5</v>
      </c>
      <c r="V64" s="1131">
        <f>COUNTIFS(发射纪录!$B:$B,"&lt;&gt;-",发射纪录!$G:$G,"&gt;="&amp;DATE(YEAR($A64),1,1),发射纪录!$G:$G,"&lt;="&amp;DATE(YEAR($A64),12,31),发射纪录!$N:$N,"&lt;&gt;",发射纪录!$D:$D,"="&amp;CLEAN(火箭年間統計!V$6))</f>
        <v>1</v>
      </c>
      <c r="W64" s="1133">
        <f>COUNTIFS(发射纪录!$B:$B,"&lt;&gt;-",发射纪录!$G:$G,"&gt;="&amp;DATE(YEAR($A64),1,1),发射纪录!$G:$G,"&lt;="&amp;DATE(YEAR($A64),12,31),发射纪录!$N:$N,"&lt;&gt;",发射纪录!$D:$D,"="&amp;CLEAN(火箭年間統計!W$6))</f>
        <v>2</v>
      </c>
      <c r="X64" s="1131">
        <f>COUNTIFS(发射纪录!$B:$B,"&lt;&gt;-",发射纪录!$G:$G,"&gt;="&amp;DATE(YEAR($A64),1,1),发射纪录!$G:$G,"&lt;="&amp;DATE(YEAR($A64),12,31),发射纪录!$N:$N,"&lt;&gt;",发射纪录!$D:$D,"="&amp;CLEAN(火箭年間統計!X$6))</f>
        <v>2</v>
      </c>
      <c r="Y64" s="1133">
        <f>COUNTIFS(发射纪录!$B:$B,"&lt;&gt;-",发射纪录!$G:$G,"&gt;="&amp;DATE(YEAR($A64),1,1),发射纪录!$G:$G,"&lt;="&amp;DATE(YEAR($A64),12,31),发射纪录!$N:$N,"&lt;&gt;",发射纪录!$D:$D,"="&amp;CLEAN(火箭年間統計!Y$6))</f>
        <v>1</v>
      </c>
      <c r="Z64" s="1133">
        <f>COUNTIFS(发射纪录!$B:$B,"&lt;&gt;-",发射纪录!$G:$G,"&gt;="&amp;DATE(YEAR($A64),1,1),发射纪录!$G:$G,"&lt;="&amp;DATE(YEAR($A64),12,31),发射纪录!$N:$N,"&lt;&gt;",发射纪录!$D:$D,"="&amp;CLEAN(火箭年間統計!Z$6))</f>
        <v>0</v>
      </c>
      <c r="AA64" s="1131">
        <f>COUNTIFS(发射纪录!$B:$B,"&lt;&gt;-",发射纪录!$G:$G,"&gt;="&amp;DATE(YEAR($A64),1,1),发射纪录!$G:$G,"&lt;="&amp;DATE(YEAR($A64),12,31),发射纪录!$N:$N,"&lt;&gt;",发射纪录!$D:$D,"="&amp;CLEAN(火箭年間統計!AA$6))</f>
        <v>0</v>
      </c>
      <c r="AB64" s="1131">
        <f>COUNTIFS(发射纪录!$B:$B,"&lt;&gt;-",发射纪录!$G:$G,"&gt;="&amp;DATE(YEAR($A64),1,1),发射纪录!$G:$G,"&lt;="&amp;DATE(YEAR($A64),12,31),发射纪录!$N:$N,"&lt;&gt;",发射纪录!$D:$D,"="&amp;CLEAN(火箭年間統計!AB$6))</f>
        <v>0</v>
      </c>
      <c r="AC64" s="1131">
        <f>COUNTIFS(发射纪录!$B:$B,"&lt;&gt;-",发射纪录!$G:$G,"&gt;="&amp;DATE(YEAR($A64),1,1),发射纪录!$G:$G,"&lt;="&amp;DATE(YEAR($A64),12,31),发射纪录!$N:$N,"&lt;&gt;",发射纪录!$D:$D,"="&amp;CLEAN(火箭年間統計!AC$6))</f>
        <v>0</v>
      </c>
      <c r="AD64" s="1131">
        <f>COUNTIFS(发射纪录!$B:$B,"&lt;&gt;-",发射纪录!$G:$G,"&gt;="&amp;DATE(YEAR($A64),1,1),发射纪录!$G:$G,"&lt;="&amp;DATE(YEAR($A64),12,31),发射纪录!$N:$N,"&lt;&gt;",发射纪录!$D:$D,"="&amp;CLEAN(火箭年間統計!AD$6))</f>
        <v>0</v>
      </c>
      <c r="AE64" s="1104">
        <f>COUNTIFS(发射纪录!$B:$B,"&lt;&gt;-",发射纪录!$G:$G,"&gt;="&amp;DATE(YEAR($A64),1,1),发射纪录!$G:$G,"&lt;="&amp;DATE(YEAR($A64),12,31),发射纪录!$N:$N,"&lt;&gt;",发射纪录!$D:$D,"="&amp;CLEAN(火箭年間統計!AE$6))</f>
        <v>0</v>
      </c>
      <c r="AF64" s="1134">
        <f>COUNTIFS(发射纪录!$B:$B,"&lt;&gt;-",发射纪录!$G:$G,"&gt;="&amp;DATE(YEAR($A64),1,1),发射纪录!$G:$G,"&lt;="&amp;DATE(YEAR($A64),12,31),发射纪录!$N:$N,"&lt;&gt;",发射纪录!$D:$D,"="&amp;CLEAN(火箭年間統計!AF$6))</f>
        <v>1</v>
      </c>
      <c r="AG64" s="1134">
        <f>COUNTIFS(发射纪录!$B:$B,"&lt;&gt;-",发射纪录!$G:$G,"&gt;="&amp;DATE(YEAR($A64),1,1),发射纪录!$G:$G,"&lt;="&amp;DATE(YEAR($A64),12,31),发射纪录!$N:$N,"&lt;&gt;",发射纪录!$D:$D,"="&amp;CLEAN(火箭年間統計!AG$6))</f>
        <v>0</v>
      </c>
      <c r="AH64" s="1134">
        <f>COUNTIFS(发射纪录!$B:$B,"&lt;&gt;-",发射纪录!$G:$G,"&gt;="&amp;DATE(YEAR($A64),1,1),发射纪录!$G:$G,"&lt;="&amp;DATE(YEAR($A64),12,31),发射纪录!$N:$N,"&lt;&gt;",发射纪录!$D:$D,"="&amp;CLEAN(火箭年間統計!AH$6))</f>
        <v>0</v>
      </c>
      <c r="AI64" s="1104">
        <f>COUNTIFS(发射纪录!$B:$B,"&lt;&gt;-",发射纪录!$G:$G,"&gt;="&amp;DATE(YEAR($A64),1,1),发射纪录!$G:$G,"&lt;="&amp;DATE(YEAR($A64),12,31),发射纪录!$N:$N,"&lt;&gt;",发射纪录!$D:$D,"="&amp;CLEAN(火箭年間統計!AI$6))</f>
        <v>0</v>
      </c>
      <c r="AJ64" s="1105">
        <f t="shared" ca="1" si="11"/>
        <v>19</v>
      </c>
      <c r="AK64" s="1102">
        <f ca="1">COUNTIFS(发射纪录!$C:$C,"&lt;&gt;-",发射纪录!$G:$G,"&gt;="&amp;DATE(YEAR($A64),1,1),发射纪录!$G:$G,"&lt;="&amp;DATE(YEAR($A64),12,31),发射纪录!$N:$N,"&lt;&gt;",发射纪录!$D:$D,"="&amp;CLEAN(火箭年間統計!AK$6))</f>
        <v>0</v>
      </c>
      <c r="AL64" s="1103">
        <f ca="1">COUNTIFS(发射纪录!$C:$C,"&lt;&gt;-",发射纪录!$G:$G,"&gt;="&amp;DATE(YEAR($A64),1,1),发射纪录!$G:$G,"&lt;="&amp;DATE(YEAR($A64),12,31),发射纪录!$N:$N,"&lt;&gt;",发射纪录!$D:$D,"="&amp;CLEAN(火箭年間統計!AL$6))</f>
        <v>0</v>
      </c>
      <c r="AM64" s="1103">
        <f ca="1">COUNTIFS(发射纪录!$C:$C,"&lt;&gt;-",发射纪录!$G:$G,"&gt;="&amp;DATE(YEAR($A64),1,1),发射纪录!$G:$G,"&lt;="&amp;DATE(YEAR($A64),12,31),发射纪录!$N:$N,"&lt;&gt;",发射纪录!$D:$D,"="&amp;CLEAN(火箭年間統計!AM$6))</f>
        <v>0</v>
      </c>
      <c r="AN64" s="1103">
        <f ca="1">COUNTIFS(发射纪录!$C:$C,"&lt;&gt;-",发射纪录!$G:$G,"&gt;="&amp;DATE(YEAR($A64),1,1),发射纪录!$G:$G,"&lt;="&amp;DATE(YEAR($A64),12,31),发射纪录!$N:$N,"&lt;&gt;",发射纪录!$D:$D,"="&amp;CLEAN(火箭年間統計!AN$6))</f>
        <v>0</v>
      </c>
      <c r="AO64" s="1104">
        <f ca="1">COUNTIFS(发射纪录!$C:$C,"&lt;&gt;-",发射纪录!$G:$G,"&gt;="&amp;DATE(YEAR($A64),1,1),发射纪录!$G:$G,"&lt;="&amp;DATE(YEAR($A64),12,31),发射纪录!$N:$N,"&lt;&gt;",发射纪录!$D:$D,"="&amp;CLEAN(火箭年間統計!AO$6))</f>
        <v>4</v>
      </c>
      <c r="AP64" s="1107">
        <f ca="1">COUNTIFS(发射纪录!$C:$C,"&lt;&gt;-",发射纪录!$G:$G,"&gt;="&amp;DATE(YEAR($A64),1,1),发射纪录!$G:$G,"&lt;="&amp;DATE(YEAR($A64),12,31),发射纪录!$N:$N,"&lt;&gt;",发射纪录!$D:$D,"="&amp;CLEAN(火箭年間統計!AP$6))</f>
        <v>1</v>
      </c>
      <c r="AQ64" s="1103">
        <f ca="1">COUNTIFS(发射纪录!$C:$C,"&lt;&gt;-",发射纪录!$G:$G,"&gt;="&amp;DATE(YEAR($A64),1,1),发射纪录!$G:$G,"&lt;="&amp;DATE(YEAR($A64),12,31),发射纪录!$N:$N,"&lt;&gt;",发射纪录!$D:$D,"="&amp;CLEAN(火箭年間統計!AQ$6))</f>
        <v>0</v>
      </c>
      <c r="AR64" s="1103">
        <f ca="1">COUNTIFS(发射纪录!$C:$C,"&lt;&gt;-",发射纪录!$G:$G,"&gt;="&amp;DATE(YEAR($A64),1,1),发射纪录!$G:$G,"&lt;="&amp;DATE(YEAR($A64),12,31),发射纪录!$N:$N,"&lt;&gt;",发射纪录!$D:$D,"="&amp;CLEAN(火箭年間統計!AR$6))</f>
        <v>0</v>
      </c>
      <c r="AS64" s="1107">
        <f ca="1">COUNTIFS(发射纪录!$C:$C,"&lt;&gt;-",发射纪录!$G:$G,"&gt;="&amp;DATE(YEAR($A64),1,1),发射纪录!$G:$G,"&lt;="&amp;DATE(YEAR($A64),12,31),发射纪录!$N:$N,"&lt;&gt;",发射纪录!$D:$D,"="&amp;CLEAN(火箭年間統計!AS$6))</f>
        <v>1</v>
      </c>
      <c r="AT64" s="1107">
        <f ca="1">COUNTIFS(发射纪录!$C:$C,"&lt;&gt;-",发射纪录!$G:$G,"&gt;="&amp;DATE(YEAR($A64),1,1),发射纪录!$G:$G,"&lt;="&amp;DATE(YEAR($A64),12,31),发射纪录!$N:$N,"&lt;&gt;",发射纪录!$D:$D,"="&amp;CLEAN(火箭年間統計!AT$6))</f>
        <v>0</v>
      </c>
      <c r="AU64" s="1103">
        <f ca="1">COUNTIFS(发射纪录!$C:$C,"&lt;&gt;-",发射纪录!$G:$G,"&gt;="&amp;DATE(YEAR($A64),1,1),发射纪录!$G:$G,"&lt;="&amp;DATE(YEAR($A64),12,31),发射纪录!$N:$N,"&lt;&gt;",发射纪录!$D:$D,"="&amp;CLEAN(火箭年間統計!AU$6))</f>
        <v>0</v>
      </c>
      <c r="AV64" s="1104">
        <f ca="1">COUNTIFS(发射纪录!$C:$C,"&lt;&gt;-",发射纪录!$G:$G,"&gt;="&amp;DATE(YEAR($A64),1,1),发射纪录!$G:$G,"&lt;="&amp;DATE(YEAR($A64),12,31),发射纪录!$N:$N,"&lt;&gt;",发射纪录!$D:$D,"="&amp;CLEAN(火箭年間統計!AV$6))</f>
        <v>1</v>
      </c>
      <c r="AW64" s="1103">
        <f ca="1">COUNTIFS(发射纪录!$C:$C,"&lt;&gt;-",发射纪录!$G:$G,"&gt;="&amp;DATE(YEAR($A64),1,1),发射纪录!$G:$G,"&lt;="&amp;DATE(YEAR($A64),12,31),发射纪录!$N:$N,"&lt;&gt;",发射纪录!$D:$D,"="&amp;CLEAN(火箭年間統計!AW$6))</f>
        <v>0</v>
      </c>
      <c r="AX64" s="1107">
        <f ca="1">COUNTIFS(发射纪录!$C:$C,"&lt;&gt;-",发射纪录!$G:$G,"&gt;="&amp;DATE(YEAR($A64),1,1),发射纪录!$G:$G,"&lt;="&amp;DATE(YEAR($A64),12,31),发射纪录!$N:$N,"&lt;&gt;",发射纪录!$D:$D,"="&amp;CLEAN(火箭年間統計!AX$6))</f>
        <v>2</v>
      </c>
      <c r="AY64" s="1104">
        <f ca="1">COUNTIFS(发射纪录!$C:$C,"&lt;&gt;-",发射纪录!$G:$G,"&gt;="&amp;DATE(YEAR($A64),1,1),发射纪录!$G:$G,"&lt;="&amp;DATE(YEAR($A64),12,31),发射纪录!$N:$N,"&lt;&gt;",发射纪录!$D:$D,"="&amp;CLEAN(火箭年間統計!AY$6))</f>
        <v>2</v>
      </c>
      <c r="AZ64" s="1104">
        <f ca="1">COUNTIFS(发射纪录!$C:$C,"&lt;&gt;-",发射纪录!$G:$G,"&gt;="&amp;DATE(YEAR($A64),1,1),发射纪录!$G:$G,"&lt;="&amp;DATE(YEAR($A64),12,31),发射纪录!$N:$N,"&lt;&gt;",发射纪录!$D:$D,"="&amp;CLEAN(火箭年間統計!AZ$6))</f>
        <v>3</v>
      </c>
      <c r="BA64" s="1104">
        <f ca="1">COUNTIFS(发射纪录!$C:$C,"&lt;&gt;-",发射纪录!$G:$G,"&gt;="&amp;DATE(YEAR($A64),1,1),发射纪录!$G:$G,"&lt;="&amp;DATE(YEAR($A64),12,31),发射纪录!$N:$N,"&lt;&gt;",发射纪录!$D:$D,"="&amp;CLEAN(火箭年間統計!BA$6))</f>
        <v>0</v>
      </c>
      <c r="BB64" s="1104">
        <f ca="1">COUNTIFS(发射纪录!$C:$C,"&lt;&gt;-",发射纪录!$G:$G,"&gt;="&amp;DATE(YEAR($A64),1,1),发射纪录!$G:$G,"&lt;="&amp;DATE(YEAR($A64),12,31),发射纪录!$N:$N,"&lt;&gt;",发射纪录!$D:$D,"="&amp;CLEAN(火箭年間統計!BB$6))</f>
        <v>0</v>
      </c>
      <c r="BC64" s="1107">
        <f ca="1">COUNTIFS(发射纪录!$C:$C,"&lt;&gt;-",发射纪录!$G:$G,"&gt;="&amp;DATE(YEAR($A64),1,1),发射纪录!$G:$G,"&lt;="&amp;DATE(YEAR($A64),12,31),发射纪录!$N:$N,"&lt;&gt;",发射纪录!$D:$D,"="&amp;CLEAN(火箭年間統計!BC$6))</f>
        <v>4</v>
      </c>
      <c r="BD64" s="1107">
        <f ca="1">COUNTIFS(发射纪录!$C:$C,"&lt;&gt;-",发射纪录!$G:$G,"&gt;="&amp;DATE(YEAR($A64),1,1),发射纪录!$G:$G,"&lt;="&amp;DATE(YEAR($A64),12,31),发射纪录!$N:$N,"&lt;&gt;",发射纪录!$D:$D,"="&amp;CLEAN(火箭年間統計!BD$6))</f>
        <v>0</v>
      </c>
      <c r="BE64" s="1106">
        <f ca="1">COUNTIFS(发射纪录!$C:$C,"&lt;&gt;-",发射纪录!$G:$G,"&gt;="&amp;DATE(YEAR($A64),1,1),发射纪录!$G:$G,"&lt;="&amp;DATE(YEAR($A64),12,31),发射纪录!$N:$N,"&lt;&gt;",发射纪录!$D:$D,"="&amp;CLEAN(火箭年間統計!BE$6))</f>
        <v>0</v>
      </c>
      <c r="BF64" s="1108">
        <f ca="1">COUNTIFS(发射纪录!$C:$C,"&lt;&gt;-",发射纪录!$G:$G,"&gt;="&amp;DATE(YEAR($A64),1,1),发射纪录!$G:$G,"&lt;="&amp;DATE(YEAR($A64),12,31),发射纪录!$N:$N,"&lt;&gt;",发射纪录!$D:$D,"="&amp;CLEAN(火箭年間統計!BF$6))</f>
        <v>0</v>
      </c>
      <c r="BG64" s="1109">
        <f ca="1">COUNTIFS(发射纪录!$C:$C,"&lt;&gt;-",发射纪录!$G:$G,"&gt;="&amp;DATE(YEAR($A64),1,1),发射纪录!$G:$G,"&lt;="&amp;DATE(YEAR($A64),12,31),发射纪录!$N:$N,"&lt;&gt;",发射纪录!$D:$D,"="&amp;CLEAN(火箭年間統計!BG$6))</f>
        <v>1</v>
      </c>
      <c r="BH64" s="1110">
        <f ca="1">COUNTIFS(发射纪录!$C:$C,"&lt;&gt;-",发射纪录!$G:$G,"&gt;="&amp;DATE(YEAR($A64),1,1),发射纪录!$G:$G,"&lt;="&amp;DATE(YEAR($A64),12,31),发射纪录!$N:$N,"&lt;&gt;",发射纪录!$D:$D,"="&amp;CLEAN(火箭年間統計!BH$6))</f>
        <v>0</v>
      </c>
    </row>
    <row r="65" spans="1:60" ht="19.5" customHeight="1" x14ac:dyDescent="0.45">
      <c r="A65" s="1100">
        <v>45658</v>
      </c>
      <c r="B65" s="1101">
        <f ca="1">C65+AJ65</f>
        <v>92</v>
      </c>
      <c r="C65" s="1129">
        <f>SUM(D65:AH65)</f>
        <v>69</v>
      </c>
      <c r="D65" s="1102">
        <f>COUNTIFS(发射纪录!$B:$B,"&lt;&gt;-",发射纪录!$G:$G,"&gt;="&amp;DATE(YEAR($A65),1,1),发射纪录!$G:$G,"&lt;="&amp;DATE(YEAR($A65),12,31),发射纪录!$N:$N,"&lt;&gt;",发射纪录!$D:$D,"="&amp;CLEAN(火箭年間統計!D$6))</f>
        <v>0</v>
      </c>
      <c r="E65" s="1103">
        <f>COUNTIFS(发射纪录!$B:$B,"&lt;&gt;-",发射纪录!$G:$G,"&gt;="&amp;DATE(YEAR($A65),1,1),发射纪录!$G:$G,"&lt;="&amp;DATE(YEAR($A65),12,31),发射纪录!$N:$N,"&lt;&gt;",发射纪录!$D:$D,"="&amp;CLEAN(火箭年間統計!E$6))</f>
        <v>0</v>
      </c>
      <c r="F65" s="1103">
        <f>COUNTIFS(发射纪录!$B:$B,"&lt;&gt;-",发射纪录!$G:$G,"&gt;="&amp;DATE(YEAR($A65),1,1),发射纪录!$G:$G,"&lt;="&amp;DATE(YEAR($A65),12,31),发射纪录!$N:$N,"&lt;&gt;",发射纪录!$D:$D,"="&amp;CLEAN(火箭年間統計!F$6))</f>
        <v>0</v>
      </c>
      <c r="G65" s="1104">
        <f>COUNTIFS(发射纪录!$B:$B,"&lt;&gt;-",发射纪录!$G:$G,"&gt;="&amp;DATE(YEAR($A65),1,1),发射纪录!$G:$G,"&lt;="&amp;DATE(YEAR($A65),12,31),发射纪录!$N:$N,"&lt;&gt;",发射纪录!$D:$D,"="&amp;CLEAN(火箭年間統計!G$6))</f>
        <v>3</v>
      </c>
      <c r="H65" s="1104">
        <f>COUNTIFS(发射纪录!$B:$B,"&lt;&gt;-",发射纪录!$G:$G,"&gt;="&amp;DATE(YEAR($A65),1,1),发射纪录!$G:$G,"&lt;="&amp;DATE(YEAR($A65),12,31),发射纪录!$N:$N,"&lt;&gt;",发射纪录!$D:$D,"="&amp;CLEAN(火箭年間統計!H$6))</f>
        <v>7</v>
      </c>
      <c r="I65" s="1130">
        <f>COUNTIFS(发射纪录!$B:$B,"&lt;&gt;-",发射纪录!$G:$G,"&gt;="&amp;DATE(YEAR($A65),1,1),发射纪录!$G:$G,"&lt;="&amp;DATE(YEAR($A65),12,31),发射纪录!$N:$N,"&lt;&gt;",发射纪录!$D:$D,"="&amp;CLEAN(火箭年間統計!I$6))</f>
        <v>0</v>
      </c>
      <c r="J65" s="1131">
        <f>COUNTIFS(发射纪录!$B:$B,"&lt;&gt;-",发射纪录!$G:$G,"&gt;="&amp;DATE(YEAR($A65),1,1),发射纪录!$G:$G,"&lt;="&amp;DATE(YEAR($A65),12,31),发射纪录!$N:$N,"&lt;&gt;",发射纪录!$D:$D,"="&amp;CLEAN(火箭年間統計!J$6))</f>
        <v>3</v>
      </c>
      <c r="K65" s="1130">
        <f>COUNTIFS(发射纪录!$B:$B,"&lt;&gt;-",发射纪录!$G:$G,"&gt;="&amp;DATE(YEAR($A65),1,1),发射纪录!$G:$G,"&lt;="&amp;DATE(YEAR($A65),12,31),发射纪录!$N:$N,"&lt;&gt;",发射纪录!$D:$D,"="&amp;CLEAN(火箭年間統計!K$6))</f>
        <v>0</v>
      </c>
      <c r="L65" s="1130">
        <f>COUNTIFS(发射纪录!$B:$B,"&lt;&gt;-",发射纪录!$G:$G,"&gt;="&amp;DATE(YEAR($A65),1,1),发射纪录!$G:$G,"&lt;="&amp;DATE(YEAR($A65),12,31),发射纪录!$N:$N,"&lt;&gt;",发射纪录!$D:$D,"="&amp;CLEAN(火箭年間統計!L$6))</f>
        <v>0</v>
      </c>
      <c r="M65" s="1131">
        <f>COUNTIFS(发射纪录!$B:$B,"&lt;&gt;-",发射纪录!$G:$G,"&gt;="&amp;DATE(YEAR($A65),1,1),发射纪录!$G:$G,"&lt;="&amp;DATE(YEAR($A65),12,31),发射纪录!$N:$N,"&lt;&gt;",发射纪录!$D:$D,"="&amp;CLEAN(火箭年間統計!M$6))</f>
        <v>13</v>
      </c>
      <c r="N65" s="1132">
        <f>COUNTIFS(发射纪录!$B:$B,"&lt;&gt;-",发射纪录!$G:$G,"&gt;="&amp;DATE(YEAR($A65),1,1),发射纪录!$G:$G,"&lt;="&amp;DATE(YEAR($A65),12,31),发射纪录!$N:$N,"&lt;&gt;",发射纪录!$D:$D,"="&amp;CLEAN(火箭年間統計!N$6))</f>
        <v>2</v>
      </c>
      <c r="O65" s="1130">
        <f>COUNTIFS(发射纪录!$B:$B,"&lt;&gt;-",发射纪录!$G:$G,"&gt;="&amp;DATE(YEAR($A65),1,1),发射纪录!$G:$G,"&lt;="&amp;DATE(YEAR($A65),12,31),发射纪录!$N:$N,"&lt;&gt;",发射纪录!$D:$D,"="&amp;CLEAN(火箭年間統計!O$6))</f>
        <v>0</v>
      </c>
      <c r="P65" s="1131">
        <f>COUNTIFS(发射纪录!$B:$B,"&lt;&gt;-",发射纪录!$G:$G,"&gt;="&amp;DATE(YEAR($A65),1,1),发射纪录!$G:$G,"&lt;="&amp;DATE(YEAR($A65),12,31),发射纪录!$N:$N,"&lt;&gt;",发射纪录!$D:$D,"="&amp;CLEAN(火箭年間統計!P$6))</f>
        <v>4</v>
      </c>
      <c r="Q65" s="1131">
        <f>COUNTIFS(发射纪录!$B:$B,"&lt;&gt;-",发射纪录!$G:$G,"&gt;="&amp;DATE(YEAR($A65),1,1),发射纪录!$G:$G,"&lt;="&amp;DATE(YEAR($A65),12,31),发射纪录!$N:$N,"&lt;&gt;",发射纪录!$D:$D,"="&amp;CLEAN(火箭年間統計!Q$6))</f>
        <v>3</v>
      </c>
      <c r="R65" s="1131">
        <f>COUNTIFS(发射纪录!$B:$B,"&lt;&gt;-",发射纪录!$G:$G,"&gt;="&amp;DATE(YEAR($A65),1,1),发射纪录!$G:$G,"&lt;="&amp;DATE(YEAR($A65),12,31),发射纪录!$N:$N,"&lt;&gt;",发射纪录!$D:$D,"="&amp;CLEAN(火箭年間統計!R$6))</f>
        <v>2</v>
      </c>
      <c r="S65" s="1131">
        <f>COUNTIFS(发射纪录!$B:$B,"&lt;&gt;-",发射纪录!$G:$G,"&gt;="&amp;DATE(YEAR($A65),1,1),发射纪录!$G:$G,"&lt;="&amp;DATE(YEAR($A65),12,31),发射纪录!$N:$N,"&lt;&gt;",发射纪录!$D:$D,"="&amp;CLEAN(火箭年間統計!S$6))</f>
        <v>2</v>
      </c>
      <c r="T65" s="1130">
        <f>COUNTIFS(发射纪录!$B:$B,"&lt;&gt;-",发射纪录!$G:$G,"&gt;="&amp;DATE(YEAR($A65),1,1),发射纪录!$G:$G,"&lt;="&amp;DATE(YEAR($A65),12,31),发射纪录!$N:$N,"&lt;&gt;",发射纪录!$D:$D,"="&amp;CLEAN(火箭年間統計!T$6))</f>
        <v>1</v>
      </c>
      <c r="U65" s="1131">
        <f>COUNTIFS(发射纪录!$B:$B,"&lt;&gt;-",发射纪录!$G:$G,"&gt;="&amp;DATE(YEAR($A65),1,1),发射纪录!$G:$G,"&lt;="&amp;DATE(YEAR($A65),12,31),发射纪录!$N:$N,"&lt;&gt;",发射纪录!$D:$D,"="&amp;CLEAN(火箭年間統計!U$6))</f>
        <v>10</v>
      </c>
      <c r="V65" s="1131">
        <f>COUNTIFS(发射纪录!$B:$B,"&lt;&gt;-",发射纪录!$G:$G,"&gt;="&amp;DATE(YEAR($A65),1,1),发射纪录!$G:$G,"&lt;="&amp;DATE(YEAR($A65),12,31),发射纪录!$N:$N,"&lt;&gt;",发射纪录!$D:$D,"="&amp;CLEAN(火箭年間統計!V$6))</f>
        <v>0</v>
      </c>
      <c r="W65" s="1133">
        <f>COUNTIFS(发射纪录!$B:$B,"&lt;&gt;-",发射纪录!$G:$G,"&gt;="&amp;DATE(YEAR($A65),1,1),发射纪录!$G:$G,"&lt;="&amp;DATE(YEAR($A65),12,31),发射纪录!$N:$N,"&lt;&gt;",发射纪录!$D:$D,"="&amp;CLEAN(火箭年間統計!W$6))</f>
        <v>1</v>
      </c>
      <c r="X65" s="1131">
        <f>COUNTIFS(发射纪录!$B:$B,"&lt;&gt;-",发射纪录!$G:$G,"&gt;="&amp;DATE(YEAR($A65),1,1),发射纪录!$G:$G,"&lt;="&amp;DATE(YEAR($A65),12,31),发射纪录!$N:$N,"&lt;&gt;",发射纪录!$D:$D,"="&amp;CLEAN(火箭年間統計!X$6))</f>
        <v>6</v>
      </c>
      <c r="Y65" s="1133">
        <f>COUNTIFS(发射纪录!$B:$B,"&lt;&gt;-",发射纪录!$G:$G,"&gt;="&amp;DATE(YEAR($A65),1,1),发射纪录!$G:$G,"&lt;="&amp;DATE(YEAR($A65),12,31),发射纪录!$N:$N,"&lt;&gt;",发射纪录!$D:$D,"="&amp;CLEAN(火箭年間統計!Y$6))</f>
        <v>1</v>
      </c>
      <c r="Z65" s="1133">
        <f>COUNTIFS(发射纪录!$B:$B,"&lt;&gt;-",发射纪录!$G:$G,"&gt;="&amp;DATE(YEAR($A65),1,1),发射纪录!$G:$G,"&lt;="&amp;DATE(YEAR($A65),12,31),发射纪录!$N:$N,"&lt;&gt;",发射纪录!$D:$D,"="&amp;CLEAN(火箭年間統計!Z$6))</f>
        <v>6</v>
      </c>
      <c r="AA65" s="1131">
        <f>COUNTIFS(发射纪录!$B:$B,"&lt;&gt;-",发射纪录!$G:$G,"&gt;="&amp;DATE(YEAR($A65),1,1),发射纪录!$G:$G,"&lt;="&amp;DATE(YEAR($A65),12,31),发射纪录!$N:$N,"&lt;&gt;",发射纪录!$D:$D,"="&amp;CLEAN(火箭年間統計!AA$6))</f>
        <v>0</v>
      </c>
      <c r="AB65" s="1131">
        <f>COUNTIFS(发射纪录!$B:$B,"&lt;&gt;-",发射纪录!$G:$G,"&gt;="&amp;DATE(YEAR($A65),1,1),发射纪录!$G:$G,"&lt;="&amp;DATE(YEAR($A65),12,31),发射纪录!$N:$N,"&lt;&gt;",发射纪录!$D:$D,"="&amp;CLEAN(火箭年間統計!AB$6))</f>
        <v>0</v>
      </c>
      <c r="AC65" s="1131">
        <f>COUNTIFS(发射纪录!$B:$B,"&lt;&gt;-",发射纪录!$G:$G,"&gt;="&amp;DATE(YEAR($A65),1,1),发射纪录!$G:$G,"&lt;="&amp;DATE(YEAR($A65),12,31),发射纪录!$N:$N,"&lt;&gt;",发射纪录!$D:$D,"="&amp;CLEAN(火箭年間統計!AC$6))</f>
        <v>0</v>
      </c>
      <c r="AD65" s="1131">
        <f>COUNTIFS(发射纪录!$B:$B,"&lt;&gt;-",发射纪录!$G:$G,"&gt;="&amp;DATE(YEAR($A65),1,1),发射纪录!$G:$G,"&lt;="&amp;DATE(YEAR($A65),12,31),发射纪录!$N:$N,"&lt;&gt;",发射纪录!$D:$D,"="&amp;CLEAN(火箭年間統計!AD$6))</f>
        <v>0</v>
      </c>
      <c r="AE65" s="1104">
        <f>COUNTIFS(发射纪录!$B:$B,"&lt;&gt;-",发射纪录!$G:$G,"&gt;="&amp;DATE(YEAR($A65),1,1),发射纪录!$G:$G,"&lt;="&amp;DATE(YEAR($A65),12,31),发射纪录!$N:$N,"&lt;&gt;",发射纪录!$D:$D,"="&amp;CLEAN(火箭年間統計!AE$6))</f>
        <v>1</v>
      </c>
      <c r="AF65" s="1134">
        <f>COUNTIFS(发射纪录!$B:$B,"&lt;&gt;-",发射纪录!$G:$G,"&gt;="&amp;DATE(YEAR($A65),1,1),发射纪录!$G:$G,"&lt;="&amp;DATE(YEAR($A65),12,31),发射纪录!$N:$N,"&lt;&gt;",发射纪录!$D:$D,"="&amp;CLEAN(火箭年間統計!AF$6))</f>
        <v>3</v>
      </c>
      <c r="AG65" s="1134">
        <f>COUNTIFS(发射纪录!$B:$B,"&lt;&gt;-",发射纪录!$G:$G,"&gt;="&amp;DATE(YEAR($A65),1,1),发射纪录!$G:$G,"&lt;="&amp;DATE(YEAR($A65),12,31),发射纪录!$N:$N,"&lt;&gt;",发射纪录!$D:$D,"="&amp;CLEAN(火箭年間統計!AG$6))</f>
        <v>1</v>
      </c>
      <c r="AH65" s="1134">
        <f>COUNTIFS(发射纪录!$B:$B,"&lt;&gt;-",发射纪录!$G:$G,"&gt;="&amp;DATE(YEAR($A65),1,1),发射纪录!$G:$G,"&lt;="&amp;DATE(YEAR($A65),12,31),发射纪录!$N:$N,"&lt;&gt;",发射纪录!$D:$D,"="&amp;CLEAN(火箭年間統計!AH$6))</f>
        <v>0</v>
      </c>
      <c r="AI65" s="1104">
        <f>COUNTIFS(发射纪录!$B:$B,"&lt;&gt;-",发射纪录!$G:$G,"&gt;="&amp;DATE(YEAR($A65),1,1),发射纪录!$G:$G,"&lt;="&amp;DATE(YEAR($A65),12,31),发射纪录!$N:$N,"&lt;&gt;",发射纪录!$D:$D,"="&amp;CLEAN(火箭年間統計!AI$6))</f>
        <v>0</v>
      </c>
      <c r="AJ65" s="1105">
        <f t="shared" ca="1" si="11"/>
        <v>23</v>
      </c>
      <c r="AK65" s="1102">
        <f ca="1">COUNTIFS(发射纪录!$C:$C,"&lt;&gt;-",发射纪录!$G:$G,"&gt;="&amp;DATE(YEAR($A65),1,1),发射纪录!$G:$G,"&lt;="&amp;DATE(YEAR($A65),12,31),发射纪录!$N:$N,"&lt;&gt;",发射纪录!$D:$D,"="&amp;CLEAN(火箭年間統計!AK$6))</f>
        <v>0</v>
      </c>
      <c r="AL65" s="1103">
        <f ca="1">COUNTIFS(发射纪录!$C:$C,"&lt;&gt;-",发射纪录!$G:$G,"&gt;="&amp;DATE(YEAR($A65),1,1),发射纪录!$G:$G,"&lt;="&amp;DATE(YEAR($A65),12,31),发射纪录!$N:$N,"&lt;&gt;",发射纪录!$D:$D,"="&amp;CLEAN(火箭年間統計!AL$6))</f>
        <v>0</v>
      </c>
      <c r="AM65" s="1103">
        <f ca="1">COUNTIFS(发射纪录!$C:$C,"&lt;&gt;-",发射纪录!$G:$G,"&gt;="&amp;DATE(YEAR($A65),1,1),发射纪录!$G:$G,"&lt;="&amp;DATE(YEAR($A65),12,31),发射纪录!$N:$N,"&lt;&gt;",发射纪录!$D:$D,"="&amp;CLEAN(火箭年間統計!AM$6))</f>
        <v>0</v>
      </c>
      <c r="AN65" s="1103">
        <f ca="1">COUNTIFS(发射纪录!$C:$C,"&lt;&gt;-",发射纪录!$G:$G,"&gt;="&amp;DATE(YEAR($A65),1,1),发射纪录!$G:$G,"&lt;="&amp;DATE(YEAR($A65),12,31),发射纪录!$N:$N,"&lt;&gt;",发射纪录!$D:$D,"="&amp;CLEAN(火箭年間統計!AN$6))</f>
        <v>0</v>
      </c>
      <c r="AO65" s="1104">
        <f ca="1">COUNTIFS(发射纪录!$C:$C,"&lt;&gt;-",发射纪录!$G:$G,"&gt;="&amp;DATE(YEAR($A65),1,1),发射纪录!$G:$G,"&lt;="&amp;DATE(YEAR($A65),12,31),发射纪录!$N:$N,"&lt;&gt;",发射纪录!$D:$D,"="&amp;CLEAN(火箭年間統計!AO$6))</f>
        <v>2</v>
      </c>
      <c r="AP65" s="1107">
        <f ca="1">COUNTIFS(发射纪录!$C:$C,"&lt;&gt;-",发射纪录!$G:$G,"&gt;="&amp;DATE(YEAR($A65),1,1),发射纪录!$G:$G,"&lt;="&amp;DATE(YEAR($A65),12,31),发射纪录!$N:$N,"&lt;&gt;",发射纪录!$D:$D,"="&amp;CLEAN(火箭年間統計!AP$6))</f>
        <v>1</v>
      </c>
      <c r="AQ65" s="1103">
        <f ca="1">COUNTIFS(发射纪录!$C:$C,"&lt;&gt;-",发射纪录!$G:$G,"&gt;="&amp;DATE(YEAR($A65),1,1),发射纪录!$G:$G,"&lt;="&amp;DATE(YEAR($A65),12,31),发射纪录!$N:$N,"&lt;&gt;",发射纪录!$D:$D,"="&amp;CLEAN(火箭年間統計!AQ$6))</f>
        <v>0</v>
      </c>
      <c r="AR65" s="1103">
        <f ca="1">COUNTIFS(发射纪录!$C:$C,"&lt;&gt;-",发射纪录!$G:$G,"&gt;="&amp;DATE(YEAR($A65),1,1),发射纪录!$G:$G,"&lt;="&amp;DATE(YEAR($A65),12,31),发射纪录!$N:$N,"&lt;&gt;",发射纪录!$D:$D,"="&amp;CLEAN(火箭年間統計!AR$6))</f>
        <v>0</v>
      </c>
      <c r="AS65" s="1107">
        <f ca="1">COUNTIFS(发射纪录!$C:$C,"&lt;&gt;-",发射纪录!$G:$G,"&gt;="&amp;DATE(YEAR($A65),1,1),发射纪录!$G:$G,"&lt;="&amp;DATE(YEAR($A65),12,31),发射纪录!$N:$N,"&lt;&gt;",发射纪录!$D:$D,"="&amp;CLEAN(火箭年間統計!AS$6))</f>
        <v>2</v>
      </c>
      <c r="AT65" s="1107">
        <f ca="1">COUNTIFS(发射纪录!$C:$C,"&lt;&gt;-",发射纪录!$G:$G,"&gt;="&amp;DATE(YEAR($A65),1,1),发射纪录!$G:$G,"&lt;="&amp;DATE(YEAR($A65),12,31),发射纪录!$N:$N,"&lt;&gt;",发射纪录!$D:$D,"="&amp;CLEAN(火箭年間統計!AT$6))</f>
        <v>1</v>
      </c>
      <c r="AU65" s="1103">
        <f ca="1">COUNTIFS(发射纪录!$C:$C,"&lt;&gt;-",发射纪录!$G:$G,"&gt;="&amp;DATE(YEAR($A65),1,1),发射纪录!$G:$G,"&lt;="&amp;DATE(YEAR($A65),12,31),发射纪录!$N:$N,"&lt;&gt;",发射纪录!$D:$D,"="&amp;CLEAN(火箭年間統計!AU$6))</f>
        <v>0</v>
      </c>
      <c r="AV65" s="1104">
        <f ca="1">COUNTIFS(发射纪录!$C:$C,"&lt;&gt;-",发射纪录!$G:$G,"&gt;="&amp;DATE(YEAR($A65),1,1),发射纪录!$G:$G,"&lt;="&amp;DATE(YEAR($A65),12,31),发射纪录!$N:$N,"&lt;&gt;",发射纪录!$D:$D,"="&amp;CLEAN(火箭年間統計!AV$6))</f>
        <v>1</v>
      </c>
      <c r="AW65" s="1103">
        <f ca="1">COUNTIFS(发射纪录!$C:$C,"&lt;&gt;-",发射纪录!$G:$G,"&gt;="&amp;DATE(YEAR($A65),1,1),发射纪录!$G:$G,"&lt;="&amp;DATE(YEAR($A65),12,31),发射纪录!$N:$N,"&lt;&gt;",发射纪录!$D:$D,"="&amp;CLEAN(火箭年間統計!AW$6))</f>
        <v>0</v>
      </c>
      <c r="AX65" s="1107">
        <f ca="1">COUNTIFS(发射纪录!$C:$C,"&lt;&gt;-",发射纪录!$G:$G,"&gt;="&amp;DATE(YEAR($A65),1,1),发射纪录!$G:$G,"&lt;="&amp;DATE(YEAR($A65),12,31),发射纪录!$N:$N,"&lt;&gt;",发射纪录!$D:$D,"="&amp;CLEAN(火箭年間統計!AX$6))</f>
        <v>4</v>
      </c>
      <c r="AY65" s="1104">
        <f ca="1">COUNTIFS(发射纪录!$C:$C,"&lt;&gt;-",发射纪录!$G:$G,"&gt;="&amp;DATE(YEAR($A65),1,1),发射纪录!$G:$G,"&lt;="&amp;DATE(YEAR($A65),12,31),发射纪录!$N:$N,"&lt;&gt;",发射纪录!$D:$D,"="&amp;CLEAN(火箭年間統計!AY$6))</f>
        <v>5</v>
      </c>
      <c r="AZ65" s="1104">
        <f ca="1">COUNTIFS(发射纪录!$C:$C,"&lt;&gt;-",发射纪录!$G:$G,"&gt;="&amp;DATE(YEAR($A65),1,1),发射纪录!$G:$G,"&lt;="&amp;DATE(YEAR($A65),12,31),发射纪录!$N:$N,"&lt;&gt;",发射纪录!$D:$D,"="&amp;CLEAN(火箭年間統計!AZ$6))</f>
        <v>1</v>
      </c>
      <c r="BA65" s="1104">
        <f ca="1">COUNTIFS(发射纪录!$C:$C,"&lt;&gt;-",发射纪录!$G:$G,"&gt;="&amp;DATE(YEAR($A65),1,1),发射纪录!$G:$G,"&lt;="&amp;DATE(YEAR($A65),12,31),发射纪录!$N:$N,"&lt;&gt;",发射纪录!$D:$D,"="&amp;CLEAN(火箭年間統計!BA$6))</f>
        <v>0</v>
      </c>
      <c r="BB65" s="1104">
        <f ca="1">COUNTIFS(发射纪录!$C:$C,"&lt;&gt;-",发射纪录!$G:$G,"&gt;="&amp;DATE(YEAR($A65),1,1),发射纪录!$G:$G,"&lt;="&amp;DATE(YEAR($A65),12,31),发射纪录!$N:$N,"&lt;&gt;",发射纪录!$D:$D,"="&amp;CLEAN(火箭年間統計!BB$6))</f>
        <v>0</v>
      </c>
      <c r="BC65" s="1107">
        <f ca="1">COUNTIFS(发射纪录!$C:$C,"&lt;&gt;-",发射纪录!$G:$G,"&gt;="&amp;DATE(YEAR($A65),1,1),发射纪录!$G:$G,"&lt;="&amp;DATE(YEAR($A65),12,31),发射纪录!$N:$N,"&lt;&gt;",发射纪录!$D:$D,"="&amp;CLEAN(火箭年間統計!BC$6))</f>
        <v>5</v>
      </c>
      <c r="BD65" s="1107">
        <f ca="1">COUNTIFS(发射纪录!$C:$C,"&lt;&gt;-",发射纪录!$G:$G,"&gt;="&amp;DATE(YEAR($A65),1,1),发射纪录!$G:$G,"&lt;="&amp;DATE(YEAR($A65),12,31),发射纪录!$N:$N,"&lt;&gt;",发射纪录!$D:$D,"="&amp;CLEAN(火箭年間統計!BD$6))</f>
        <v>0</v>
      </c>
      <c r="BE65" s="1106">
        <f ca="1">COUNTIFS(发射纪录!$C:$C,"&lt;&gt;-",发射纪录!$G:$G,"&gt;="&amp;DATE(YEAR($A65),1,1),发射纪录!$G:$G,"&lt;="&amp;DATE(YEAR($A65),12,31),发射纪录!$N:$N,"&lt;&gt;",发射纪录!$D:$D,"="&amp;CLEAN(火箭年間統計!BE$6))</f>
        <v>0</v>
      </c>
      <c r="BF65" s="1108">
        <f ca="1">COUNTIFS(发射纪录!$C:$C,"&lt;&gt;-",发射纪录!$G:$G,"&gt;="&amp;DATE(YEAR($A65),1,1),发射纪录!$G:$G,"&lt;="&amp;DATE(YEAR($A65),12,31),发射纪录!$N:$N,"&lt;&gt;",发射纪录!$D:$D,"="&amp;CLEAN(火箭年間統計!BF$6))</f>
        <v>0</v>
      </c>
      <c r="BG65" s="1109">
        <f ca="1">COUNTIFS(发射纪录!$C:$C,"&lt;&gt;-",发射纪录!$G:$G,"&gt;="&amp;DATE(YEAR($A65),1,1),发射纪录!$G:$G,"&lt;="&amp;DATE(YEAR($A65),12,31),发射纪录!$N:$N,"&lt;&gt;",发射纪录!$D:$D,"="&amp;CLEAN(火箭年間統計!BG$6))</f>
        <v>1</v>
      </c>
      <c r="BH65" s="1110">
        <f ca="1">COUNTIFS(发射纪录!$C:$C,"&lt;&gt;-",发射纪录!$G:$G,"&gt;="&amp;DATE(YEAR($A65),1,1),发射纪录!$G:$G,"&lt;="&amp;DATE(YEAR($A65),12,31),发射纪录!$N:$N,"&lt;&gt;",发射纪录!$D:$D,"="&amp;CLEAN(火箭年間統計!BH$6))</f>
        <v>0</v>
      </c>
    </row>
    <row r="66" spans="1:60" ht="19.5" customHeight="1" thickBot="1" x14ac:dyDescent="0.5">
      <c r="A66" s="1135">
        <v>46023</v>
      </c>
      <c r="B66" s="1136">
        <f t="shared" ca="1" si="10"/>
        <v>47</v>
      </c>
      <c r="C66" s="1137">
        <f>SUM(D66:AH66)</f>
        <v>33</v>
      </c>
      <c r="D66" s="1138">
        <f>COUNTIFS(发射纪录!$B:$B,"&lt;&gt;-",发射纪录!$G:$G,"&gt;="&amp;DATE(YEAR($A66),1,1),发射纪录!$G:$G,"&lt;="&amp;DATE(YEAR($A66),12,31),发射纪录!$N:$N,"&lt;&gt;",发射纪录!$D:$D,"="&amp;CLEAN(火箭年間統計!D$6))</f>
        <v>0</v>
      </c>
      <c r="E66" s="1139">
        <f>COUNTIFS(发射纪录!$B:$B,"&lt;&gt;-",发射纪录!$G:$G,"&gt;="&amp;DATE(YEAR($A66),1,1),发射纪录!$G:$G,"&lt;="&amp;DATE(YEAR($A66),12,31),发射纪录!$N:$N,"&lt;&gt;",发射纪录!$D:$D,"="&amp;CLEAN(火箭年間統計!E$6))</f>
        <v>0</v>
      </c>
      <c r="F66" s="1139">
        <f>COUNTIFS(发射纪录!$B:$B,"&lt;&gt;-",发射纪录!$G:$G,"&gt;="&amp;DATE(YEAR($A66),1,1),发射纪录!$G:$G,"&lt;="&amp;DATE(YEAR($A66),12,31),发射纪录!$N:$N,"&lt;&gt;",发射纪录!$D:$D,"="&amp;CLEAN(火箭年間統計!F$6))</f>
        <v>0</v>
      </c>
      <c r="G66" s="1140">
        <f>COUNTIFS(发射纪录!$B:$B,"&lt;&gt;-",发射纪录!$G:$G,"&gt;="&amp;DATE(YEAR($A66),1,1),发射纪录!$G:$G,"&lt;="&amp;DATE(YEAR($A66),12,31),发射纪录!$N:$N,"&lt;&gt;",发射纪录!$D:$D,"="&amp;CLEAN(火箭年間統計!G$6))</f>
        <v>3</v>
      </c>
      <c r="H66" s="1140">
        <f>COUNTIFS(发射纪录!$B:$B,"&lt;&gt;-",发射纪录!$G:$G,"&gt;="&amp;DATE(YEAR($A66),1,1),发射纪录!$G:$G,"&lt;="&amp;DATE(YEAR($A66),12,31),发射纪录!$N:$N,"&lt;&gt;",发射纪录!$D:$D,"="&amp;CLEAN(火箭年間統計!H$6))</f>
        <v>4</v>
      </c>
      <c r="I66" s="1141">
        <f>COUNTIFS(发射纪录!$B:$B,"&lt;&gt;-",发射纪录!$G:$G,"&gt;="&amp;DATE(YEAR($A66),1,1),发射纪录!$G:$G,"&lt;="&amp;DATE(YEAR($A66),12,31),发射纪录!$N:$N,"&lt;&gt;",发射纪录!$D:$D,"="&amp;CLEAN(火箭年間統計!I$6))</f>
        <v>0</v>
      </c>
      <c r="J66" s="1142">
        <f>COUNTIFS(发射纪录!$B:$B,"&lt;&gt;-",发射纪录!$G:$G,"&gt;="&amp;DATE(YEAR($A66),1,1),发射纪录!$G:$G,"&lt;="&amp;DATE(YEAR($A66),12,31),发射纪录!$N:$N,"&lt;&gt;",发射纪录!$D:$D,"="&amp;CLEAN(火箭年間統計!J$6))</f>
        <v>2</v>
      </c>
      <c r="K66" s="1141">
        <f>COUNTIFS(发射纪录!$B:$B,"&lt;&gt;-",发射纪录!$G:$G,"&gt;="&amp;DATE(YEAR($A66),1,1),发射纪录!$G:$G,"&lt;="&amp;DATE(YEAR($A66),12,31),发射纪录!$N:$N,"&lt;&gt;",发射纪录!$D:$D,"="&amp;CLEAN(火箭年間統計!K$6))</f>
        <v>0</v>
      </c>
      <c r="L66" s="1141">
        <f>COUNTIFS(发射纪录!$B:$B,"&lt;&gt;-",发射纪录!$G:$G,"&gt;="&amp;DATE(YEAR($A66),1,1),发射纪录!$G:$G,"&lt;="&amp;DATE(YEAR($A66),12,31),发射纪录!$N:$N,"&lt;&gt;",发射纪录!$D:$D,"="&amp;CLEAN(火箭年間統計!L$6))</f>
        <v>0</v>
      </c>
      <c r="M66" s="1142">
        <f>COUNTIFS(发射纪录!$B:$B,"&lt;&gt;-",发射纪录!$G:$G,"&gt;="&amp;DATE(YEAR($A66),1,1),发射纪录!$G:$G,"&lt;="&amp;DATE(YEAR($A66),12,31),发射纪录!$N:$N,"&lt;&gt;",发射纪录!$D:$D,"="&amp;CLEAN(火箭年間統計!M$6))</f>
        <v>2</v>
      </c>
      <c r="N66" s="1141">
        <f>COUNTIFS(发射纪录!$B:$B,"&lt;&gt;-",发射纪录!$G:$G,"&gt;="&amp;DATE(YEAR($A66),1,1),发射纪录!$G:$G,"&lt;="&amp;DATE(YEAR($A66),12,31),发射纪录!$N:$N,"&lt;&gt;",发射纪录!$D:$D,"="&amp;CLEAN(火箭年間統計!N$6))</f>
        <v>0</v>
      </c>
      <c r="O66" s="1141">
        <f>COUNTIFS(发射纪录!$B:$B,"&lt;&gt;-",发射纪录!$G:$G,"&gt;="&amp;DATE(YEAR($A66),1,1),发射纪录!$G:$G,"&lt;="&amp;DATE(YEAR($A66),12,31),发射纪录!$N:$N,"&lt;&gt;",发射纪录!$D:$D,"="&amp;CLEAN(火箭年間統計!O$6))</f>
        <v>0</v>
      </c>
      <c r="P66" s="1142">
        <f>COUNTIFS(发射纪录!$B:$B,"&lt;&gt;-",发射纪录!$G:$G,"&gt;="&amp;DATE(YEAR($A66),1,1),发射纪录!$G:$G,"&lt;="&amp;DATE(YEAR($A66),12,31),发射纪录!$N:$N,"&lt;&gt;",发射纪录!$D:$D,"="&amp;CLEAN(火箭年間統計!P$6))</f>
        <v>1</v>
      </c>
      <c r="Q66" s="1142">
        <f>COUNTIFS(发射纪录!$B:$B,"&lt;&gt;-",发射纪录!$G:$G,"&gt;="&amp;DATE(YEAR($A66),1,1),发射纪录!$G:$G,"&lt;="&amp;DATE(YEAR($A66),12,31),发射纪录!$N:$N,"&lt;&gt;",发射纪录!$D:$D,"="&amp;CLEAN(火箭年間統計!Q$6))</f>
        <v>1</v>
      </c>
      <c r="R66" s="1142">
        <f>COUNTIFS(发射纪录!$B:$B,"&lt;&gt;-",发射纪录!$G:$G,"&gt;="&amp;DATE(YEAR($A66),1,1),发射纪录!$G:$G,"&lt;="&amp;DATE(YEAR($A66),12,31),发射纪录!$N:$N,"&lt;&gt;",发射纪录!$D:$D,"="&amp;CLEAN(火箭年間統計!R$6))</f>
        <v>1</v>
      </c>
      <c r="S66" s="1142">
        <f>COUNTIFS(发射纪录!$B:$B,"&lt;&gt;-",发射纪录!$G:$G,"&gt;="&amp;DATE(YEAR($A66),1,1),发射纪录!$G:$G,"&lt;="&amp;DATE(YEAR($A66),12,31),发射纪录!$N:$N,"&lt;&gt;",发射纪录!$D:$D,"="&amp;CLEAN(火箭年間統計!S$6))</f>
        <v>0</v>
      </c>
      <c r="T66" s="1141">
        <f>COUNTIFS(发射纪录!$B:$B,"&lt;&gt;-",发射纪录!$G:$G,"&gt;="&amp;DATE(YEAR($A66),1,1),发射纪录!$G:$G,"&lt;="&amp;DATE(YEAR($A66),12,31),发射纪录!$N:$N,"&lt;&gt;",发射纪录!$D:$D,"="&amp;CLEAN(火箭年間統計!T$6))</f>
        <v>1</v>
      </c>
      <c r="U66" s="1142">
        <f>COUNTIFS(发射纪录!$B:$B,"&lt;&gt;-",发射纪录!$G:$G,"&gt;="&amp;DATE(YEAR($A66),1,1),发射纪录!$G:$G,"&lt;="&amp;DATE(YEAR($A66),12,31),发射纪录!$N:$N,"&lt;&gt;",发射纪录!$D:$D,"="&amp;CLEAN(火箭年間統計!U$6))</f>
        <v>6</v>
      </c>
      <c r="V66" s="1142">
        <f>COUNTIFS(发射纪录!$B:$B,"&lt;&gt;-",发射纪录!$G:$G,"&gt;="&amp;DATE(YEAR($A66),1,1),发射纪录!$G:$G,"&lt;="&amp;DATE(YEAR($A66),12,31),发射纪录!$N:$N,"&lt;&gt;",发射纪录!$D:$D,"="&amp;CLEAN(火箭年間統計!V$6))</f>
        <v>0</v>
      </c>
      <c r="W66" s="1143">
        <f>COUNTIFS(发射纪录!$B:$B,"&lt;&gt;-",发射纪录!$G:$G,"&gt;="&amp;DATE(YEAR($A66),1,1),发射纪录!$G:$G,"&lt;="&amp;DATE(YEAR($A66),12,31),发射纪录!$N:$N,"&lt;&gt;",发射纪录!$D:$D,"="&amp;CLEAN(火箭年間統計!W$6))</f>
        <v>1</v>
      </c>
      <c r="X66" s="1142">
        <f>COUNTIFS(发射纪录!$B:$B,"&lt;&gt;-",发射纪录!$G:$G,"&gt;="&amp;DATE(YEAR($A66),1,1),发射纪录!$G:$G,"&lt;="&amp;DATE(YEAR($A66),12,31),发射纪录!$N:$N,"&lt;&gt;",发射纪录!$D:$D,"="&amp;CLEAN(火箭年間統計!X$6))</f>
        <v>2</v>
      </c>
      <c r="Y66" s="1143">
        <f>COUNTIFS(发射纪录!$B:$B,"&lt;&gt;-",发射纪录!$G:$G,"&gt;="&amp;DATE(YEAR($A66),1,1),发射纪录!$G:$G,"&lt;="&amp;DATE(YEAR($A66),12,31),发射纪录!$N:$N,"&lt;&gt;",发射纪录!$D:$D,"="&amp;CLEAN(火箭年間統計!Y$6))</f>
        <v>3</v>
      </c>
      <c r="Z66" s="1143">
        <f>COUNTIFS(发射纪录!$B:$B,"&lt;&gt;-",发射纪录!$G:$G,"&gt;="&amp;DATE(YEAR($A66),1,1),发射纪录!$G:$G,"&lt;="&amp;DATE(YEAR($A66),12,31),发射纪录!$N:$N,"&lt;&gt;",发射纪录!$D:$D,"="&amp;CLEAN(火箭年間統計!Z$6))</f>
        <v>3</v>
      </c>
      <c r="AA66" s="1142">
        <f>COUNTIFS(发射纪录!$B:$B,"&lt;&gt;-",发射纪录!$G:$G,"&gt;="&amp;DATE(YEAR($A66),1,1),发射纪录!$G:$G,"&lt;="&amp;DATE(YEAR($A66),12,31),发射纪录!$N:$N,"&lt;&gt;",发射纪录!$D:$D,"="&amp;CLEAN(火箭年間統計!AA$6))</f>
        <v>0</v>
      </c>
      <c r="AB66" s="1142">
        <f>COUNTIFS(发射纪录!$B:$B,"&lt;&gt;-",发射纪录!$G:$G,"&gt;="&amp;DATE(YEAR($A66),1,1),发射纪录!$G:$G,"&lt;="&amp;DATE(YEAR($A66),12,31),发射纪录!$N:$N,"&lt;&gt;",发射纪录!$D:$D,"="&amp;CLEAN(火箭年間統計!AB$6))</f>
        <v>0</v>
      </c>
      <c r="AC66" s="1142">
        <f>COUNTIFS(发射纪录!$B:$B,"&lt;&gt;-",发射纪录!$G:$G,"&gt;="&amp;DATE(YEAR($A66),1,1),发射纪录!$G:$G,"&lt;="&amp;DATE(YEAR($A66),12,31),发射纪录!$N:$N,"&lt;&gt;",发射纪录!$D:$D,"="&amp;CLEAN(火箭年間統計!AC$6))</f>
        <v>0</v>
      </c>
      <c r="AD66" s="1142">
        <f>COUNTIFS(发射纪录!$B:$B,"&lt;&gt;-",发射纪录!$G:$G,"&gt;="&amp;DATE(YEAR($A66),1,1),发射纪录!$G:$G,"&lt;="&amp;DATE(YEAR($A66),12,31),发射纪录!$N:$N,"&lt;&gt;",发射纪录!$D:$D,"="&amp;CLEAN(火箭年間統計!AD$6))</f>
        <v>0</v>
      </c>
      <c r="AE66" s="1140">
        <f>COUNTIFS(发射纪录!$B:$B,"&lt;&gt;-",发射纪录!$G:$G,"&gt;="&amp;DATE(YEAR($A66),1,1),发射纪录!$G:$G,"&lt;="&amp;DATE(YEAR($A66),12,31),发射纪录!$N:$N,"&lt;&gt;",发射纪录!$D:$D,"="&amp;CLEAN(火箭年間統計!AE$6))</f>
        <v>0</v>
      </c>
      <c r="AF66" s="1144">
        <f>COUNTIFS(发射纪录!$B:$B,"&lt;&gt;-",发射纪录!$G:$G,"&gt;="&amp;DATE(YEAR($A66),1,1),发射纪录!$G:$G,"&lt;="&amp;DATE(YEAR($A66),12,31),发射纪录!$N:$N,"&lt;&gt;",发射纪录!$D:$D,"="&amp;CLEAN(火箭年間統計!AF$6))</f>
        <v>2</v>
      </c>
      <c r="AG66" s="1144">
        <f>COUNTIFS(发射纪录!$B:$B,"&lt;&gt;-",发射纪录!$G:$G,"&gt;="&amp;DATE(YEAR($A66),1,1),发射纪录!$G:$G,"&lt;="&amp;DATE(YEAR($A66),12,31),发射纪录!$N:$N,"&lt;&gt;",发射纪录!$D:$D,"="&amp;CLEAN(火箭年間統計!AG$6))</f>
        <v>0</v>
      </c>
      <c r="AH66" s="1144">
        <f>COUNTIFS(发射纪录!$B:$B,"&lt;&gt;-",发射纪录!$G:$G,"&gt;="&amp;DATE(YEAR($A66),1,1),发射纪录!$G:$G,"&lt;="&amp;DATE(YEAR($A66),12,31),发射纪录!$N:$N,"&lt;&gt;",发射纪录!$D:$D,"="&amp;CLEAN(火箭年間統計!AH$6))</f>
        <v>1</v>
      </c>
      <c r="AI66" s="1140">
        <f>COUNTIFS(发射纪录!$B:$B,"&lt;&gt;-",发射纪录!$G:$G,"&gt;="&amp;DATE(YEAR($A66),1,1),发射纪录!$G:$G,"&lt;="&amp;DATE(YEAR($A66),12,31),发射纪录!$N:$N,"&lt;&gt;",发射纪录!$D:$D,"="&amp;CLEAN(火箭年間統計!AI$6))</f>
        <v>0</v>
      </c>
      <c r="AJ66" s="1145">
        <f t="shared" ca="1" si="11"/>
        <v>14</v>
      </c>
      <c r="AK66" s="1138">
        <f ca="1">COUNTIFS(发射纪录!$C:$C,"&lt;&gt;-",发射纪录!$G:$G,"&gt;="&amp;DATE(YEAR($A66),1,1),发射纪录!$G:$G,"&lt;="&amp;DATE(YEAR($A66),12,31),发射纪录!$N:$N,"&lt;&gt;",发射纪录!$D:$D,"="&amp;CLEAN(火箭年間統計!AK$6))</f>
        <v>0</v>
      </c>
      <c r="AL66" s="1139">
        <f ca="1">COUNTIFS(发射纪录!$C:$C,"&lt;&gt;-",发射纪录!$G:$G,"&gt;="&amp;DATE(YEAR($A66),1,1),发射纪录!$G:$G,"&lt;="&amp;DATE(YEAR($A66),12,31),发射纪录!$N:$N,"&lt;&gt;",发射纪录!$D:$D,"="&amp;CLEAN(火箭年間統計!AL$6))</f>
        <v>0</v>
      </c>
      <c r="AM66" s="1139">
        <f ca="1">COUNTIFS(发射纪录!$C:$C,"&lt;&gt;-",发射纪录!$G:$G,"&gt;="&amp;DATE(YEAR($A66),1,1),发射纪录!$G:$G,"&lt;="&amp;DATE(YEAR($A66),12,31),发射纪录!$N:$N,"&lt;&gt;",发射纪录!$D:$D,"="&amp;CLEAN(火箭年間統計!AM$6))</f>
        <v>0</v>
      </c>
      <c r="AN66" s="1139">
        <f ca="1">COUNTIFS(发射纪录!$C:$C,"&lt;&gt;-",发射纪录!$G:$G,"&gt;="&amp;DATE(YEAR($A66),1,1),发射纪录!$G:$G,"&lt;="&amp;DATE(YEAR($A66),12,31),发射纪录!$N:$N,"&lt;&gt;",发射纪录!$D:$D,"="&amp;CLEAN(火箭年間統計!AN$6))</f>
        <v>0</v>
      </c>
      <c r="AO66" s="1140">
        <f ca="1">COUNTIFS(发射纪录!$C:$C,"&lt;&gt;-",发射纪录!$G:$G,"&gt;="&amp;DATE(YEAR($A66),1,1),发射纪录!$G:$G,"&lt;="&amp;DATE(YEAR($A66),12,31),发射纪录!$N:$N,"&lt;&gt;",发射纪录!$D:$D,"="&amp;CLEAN(火箭年間統計!AO$6))</f>
        <v>0</v>
      </c>
      <c r="AP66" s="1146">
        <f ca="1">COUNTIFS(发射纪录!$C:$C,"&lt;&gt;-",发射纪录!$G:$G,"&gt;="&amp;DATE(YEAR($A66),1,1),发射纪录!$G:$G,"&lt;="&amp;DATE(YEAR($A66),12,31),发射纪录!$N:$N,"&lt;&gt;",发射纪录!$D:$D,"="&amp;CLEAN(火箭年間統計!AP$6))</f>
        <v>2</v>
      </c>
      <c r="AQ66" s="1139">
        <f ca="1">COUNTIFS(发射纪录!$C:$C,"&lt;&gt;-",发射纪录!$G:$G,"&gt;="&amp;DATE(YEAR($A66),1,1),发射纪录!$G:$G,"&lt;="&amp;DATE(YEAR($A66),12,31),发射纪录!$N:$N,"&lt;&gt;",发射纪录!$D:$D,"="&amp;CLEAN(火箭年間統計!AQ$6))</f>
        <v>0</v>
      </c>
      <c r="AR66" s="1139">
        <f ca="1">COUNTIFS(发射纪录!$C:$C,"&lt;&gt;-",发射纪录!$G:$G,"&gt;="&amp;DATE(YEAR($A66),1,1),发射纪录!$G:$G,"&lt;="&amp;DATE(YEAR($A66),12,31),发射纪录!$N:$N,"&lt;&gt;",发射纪录!$D:$D,"="&amp;CLEAN(火箭年間統計!AR$6))</f>
        <v>0</v>
      </c>
      <c r="AS66" s="1146">
        <f ca="1">COUNTIFS(发射纪录!$C:$C,"&lt;&gt;-",发射纪录!$G:$G,"&gt;="&amp;DATE(YEAR($A66),1,1),发射纪录!$G:$G,"&lt;="&amp;DATE(YEAR($A66),12,31),发射纪录!$N:$N,"&lt;&gt;",发射纪录!$D:$D,"="&amp;CLEAN(火箭年間統計!AS$6))</f>
        <v>2</v>
      </c>
      <c r="AT66" s="1146">
        <f ca="1">COUNTIFS(发射纪录!$C:$C,"&lt;&gt;-",发射纪录!$G:$G,"&gt;="&amp;DATE(YEAR($A66),1,1),发射纪录!$G:$G,"&lt;="&amp;DATE(YEAR($A66),12,31),发射纪录!$N:$N,"&lt;&gt;",发射纪录!$D:$D,"="&amp;CLEAN(火箭年間統計!AT$6))</f>
        <v>0</v>
      </c>
      <c r="AU66" s="1139">
        <f ca="1">COUNTIFS(发射纪录!$C:$C,"&lt;&gt;-",发射纪录!$G:$G,"&gt;="&amp;DATE(YEAR($A66),1,1),发射纪录!$G:$G,"&lt;="&amp;DATE(YEAR($A66),12,31),发射纪录!$N:$N,"&lt;&gt;",发射纪录!$D:$D,"="&amp;CLEAN(火箭年間統計!AU$6))</f>
        <v>0</v>
      </c>
      <c r="AV66" s="1140">
        <f ca="1">COUNTIFS(发射纪录!$C:$C,"&lt;&gt;-",发射纪录!$G:$G,"&gt;="&amp;DATE(YEAR($A66),1,1),发射纪录!$G:$G,"&lt;="&amp;DATE(YEAR($A66),12,31),发射纪录!$N:$N,"&lt;&gt;",发射纪录!$D:$D,"="&amp;CLEAN(火箭年間統計!AV$6))</f>
        <v>0</v>
      </c>
      <c r="AW66" s="1146">
        <f ca="1">COUNTIFS(发射纪录!$C:$C,"&lt;&gt;-",发射纪录!$G:$G,"&gt;="&amp;DATE(YEAR($A66),1,1),发射纪录!$G:$G,"&lt;="&amp;DATE(YEAR($A66),12,31),发射纪录!$N:$N,"&lt;&gt;",发射纪录!$D:$D,"="&amp;CLEAN(火箭年間統計!AW$6))</f>
        <v>0</v>
      </c>
      <c r="AX66" s="1146">
        <f ca="1">COUNTIFS(发射纪录!$C:$C,"&lt;&gt;-",发射纪录!$G:$G,"&gt;="&amp;DATE(YEAR($A66),1,1),发射纪录!$G:$G,"&lt;="&amp;DATE(YEAR($A66),12,31),发射纪录!$N:$N,"&lt;&gt;",发射纪录!$D:$D,"="&amp;CLEAN(火箭年間統計!AX$6))</f>
        <v>3</v>
      </c>
      <c r="AY66" s="1140">
        <f ca="1">COUNTIFS(发射纪录!$C:$C,"&lt;&gt;-",发射纪录!$G:$G,"&gt;="&amp;DATE(YEAR($A66),1,1),发射纪录!$G:$G,"&lt;="&amp;DATE(YEAR($A66),12,31),发射纪录!$N:$N,"&lt;&gt;",发射纪录!$D:$D,"="&amp;CLEAN(火箭年間統計!AY$6))</f>
        <v>0</v>
      </c>
      <c r="AZ66" s="1140">
        <f ca="1">COUNTIFS(发射纪录!$C:$C,"&lt;&gt;-",发射纪录!$G:$G,"&gt;="&amp;DATE(YEAR($A66),1,1),发射纪录!$G:$G,"&lt;="&amp;DATE(YEAR($A66),12,31),发射纪录!$N:$N,"&lt;&gt;",发射纪录!$D:$D,"="&amp;CLEAN(火箭年間統計!AZ$6))</f>
        <v>1</v>
      </c>
      <c r="BA66" s="1140">
        <f ca="1">COUNTIFS(发射纪录!$C:$C,"&lt;&gt;-",发射纪录!$G:$G,"&gt;="&amp;DATE(YEAR($A66),1,1),发射纪录!$G:$G,"&lt;="&amp;DATE(YEAR($A66),12,31),发射纪录!$N:$N,"&lt;&gt;",发射纪录!$D:$D,"="&amp;CLEAN(火箭年間統計!BA$6))</f>
        <v>1</v>
      </c>
      <c r="BB66" s="1140">
        <f ca="1">COUNTIFS(发射纪录!$C:$C,"&lt;&gt;-",发射纪录!$G:$G,"&gt;="&amp;DATE(YEAR($A66),1,1),发射纪录!$G:$G,"&lt;="&amp;DATE(YEAR($A66),12,31),发射纪录!$N:$N,"&lt;&gt;",发射纪录!$D:$D,"="&amp;CLEAN(火箭年間統計!BB$6))</f>
        <v>0</v>
      </c>
      <c r="BC66" s="1146">
        <f ca="1">COUNTIFS(发射纪录!$C:$C,"&lt;&gt;-",发射纪录!$G:$G,"&gt;="&amp;DATE(YEAR($A66),1,1),发射纪录!$G:$G,"&lt;="&amp;DATE(YEAR($A66),12,31),发射纪录!$N:$N,"&lt;&gt;",发射纪录!$D:$D,"="&amp;CLEAN(火箭年間統計!BC$6))</f>
        <v>3</v>
      </c>
      <c r="BD66" s="1146">
        <f ca="1">COUNTIFS(发射纪录!$C:$C,"&lt;&gt;-",发射纪录!$G:$G,"&gt;="&amp;DATE(YEAR($A66),1,1),发射纪录!$G:$G,"&lt;="&amp;DATE(YEAR($A66),12,31),发射纪录!$N:$N,"&lt;&gt;",发射纪录!$D:$D,"="&amp;CLEAN(火箭年間統計!BD$6))</f>
        <v>1</v>
      </c>
      <c r="BE66" s="1147">
        <f ca="1">COUNTIFS(发射纪录!$C:$C,"&lt;&gt;-",发射纪录!$G:$G,"&gt;="&amp;DATE(YEAR($A66),1,1),发射纪录!$G:$G,"&lt;="&amp;DATE(YEAR($A66),12,31),发射纪录!$N:$N,"&lt;&gt;",发射纪录!$D:$D,"="&amp;CLEAN(火箭年間統計!BE$6))</f>
        <v>0</v>
      </c>
      <c r="BF66" s="1147">
        <f ca="1">COUNTIFS(发射纪录!$C:$C,"&lt;&gt;-",发射纪录!$G:$G,"&gt;="&amp;DATE(YEAR($A66),1,1),发射纪录!$G:$G,"&lt;="&amp;DATE(YEAR($A66),12,31),发射纪录!$N:$N,"&lt;&gt;",发射纪录!$D:$D,"="&amp;CLEAN(火箭年間統計!BF$6))</f>
        <v>1</v>
      </c>
      <c r="BG66" s="1148">
        <f ca="1">COUNTIFS(发射纪录!$C:$C,"&lt;&gt;-",发射纪录!$G:$G,"&gt;="&amp;DATE(YEAR($A66),1,1),发射纪录!$G:$G,"&lt;="&amp;DATE(YEAR($A66),12,31),发射纪录!$N:$N,"&lt;&gt;",发射纪录!$D:$D,"="&amp;CLEAN(火箭年間統計!BG$6))</f>
        <v>0</v>
      </c>
      <c r="BH66" s="1149">
        <f ca="1">COUNTIFS(发射纪录!$C:$C,"&lt;&gt;-",发射纪录!$G:$G,"&gt;="&amp;DATE(YEAR($A66),1,1),发射纪录!$G:$G,"&lt;="&amp;DATE(YEAR($A66),12,31),发射纪录!$N:$N,"&lt;&gt;",发射纪录!$D:$D,"="&amp;CLEAN(火箭年間統計!BH$6))</f>
        <v>0</v>
      </c>
    </row>
    <row r="104" spans="7:8" x14ac:dyDescent="0.35">
      <c r="G104" s="164"/>
      <c r="H104" s="164"/>
    </row>
  </sheetData>
  <mergeCells count="25">
    <mergeCell ref="C5:C6"/>
    <mergeCell ref="AA5:AC5"/>
    <mergeCell ref="AF5:AI5"/>
    <mergeCell ref="AY5:BB5"/>
    <mergeCell ref="BE5:BF5"/>
    <mergeCell ref="BC5:BD5"/>
    <mergeCell ref="E5:F5"/>
    <mergeCell ref="AR5:AT5"/>
    <mergeCell ref="M5:N5"/>
    <mergeCell ref="A1:BH1"/>
    <mergeCell ref="A5:A6"/>
    <mergeCell ref="B5:B6"/>
    <mergeCell ref="K5:L5"/>
    <mergeCell ref="P5:Q5"/>
    <mergeCell ref="R5:S5"/>
    <mergeCell ref="W5:X5"/>
    <mergeCell ref="AD5:AE5"/>
    <mergeCell ref="AN5:AP5"/>
    <mergeCell ref="AW5:AX5"/>
    <mergeCell ref="T5:V5"/>
    <mergeCell ref="AL5:AM5"/>
    <mergeCell ref="AJ5:AJ6"/>
    <mergeCell ref="AJ2:AJ4"/>
    <mergeCell ref="Y5:Z5"/>
    <mergeCell ref="A2:C4"/>
  </mergeCells>
  <phoneticPr fontId="2"/>
  <conditionalFormatting sqref="A66:Z66 BE66:BG66 AD66:AF66 BC66 AH66 AJ66:BA66">
    <cfRule type="expression" dxfId="94" priority="18">
      <formula>YEAR($A66)=YEAR(TODAY())</formula>
    </cfRule>
  </conditionalFormatting>
  <conditionalFormatting sqref="BH66">
    <cfRule type="expression" dxfId="93" priority="8">
      <formula>YEAR($A66)=YEAR(TODAY())</formula>
    </cfRule>
  </conditionalFormatting>
  <conditionalFormatting sqref="BD66">
    <cfRule type="expression" dxfId="92" priority="7">
      <formula>YEAR($A66)=YEAR(TODAY())</formula>
    </cfRule>
  </conditionalFormatting>
  <conditionalFormatting sqref="AC66">
    <cfRule type="expression" dxfId="91" priority="6">
      <formula>YEAR($A66)=YEAR(TODAY())</formula>
    </cfRule>
  </conditionalFormatting>
  <conditionalFormatting sqref="BB66">
    <cfRule type="expression" dxfId="90" priority="5">
      <formula>YEAR($A66)=YEAR(TODAY())</formula>
    </cfRule>
  </conditionalFormatting>
  <conditionalFormatting sqref="AB66">
    <cfRule type="expression" dxfId="89" priority="4">
      <formula>YEAR($A66)=YEAR(TODAY())</formula>
    </cfRule>
  </conditionalFormatting>
  <conditionalFormatting sqref="AA66">
    <cfRule type="expression" dxfId="88" priority="3">
      <formula>YEAR($A66)=YEAR(TODAY())</formula>
    </cfRule>
  </conditionalFormatting>
  <conditionalFormatting sqref="AG66">
    <cfRule type="expression" dxfId="87" priority="2">
      <formula>YEAR($A66)=YEAR(TODAY())</formula>
    </cfRule>
  </conditionalFormatting>
  <conditionalFormatting sqref="AI66">
    <cfRule type="expression" dxfId="86" priority="1">
      <formula>YEAR($A66)=YEAR(TODAY())</formula>
    </cfRule>
  </conditionalFormatting>
  <hyperlinks>
    <hyperlink ref="J6" r:id="rId1" display="..\htmls\长征二号己运载火箭发射历史.html" xr:uid="{4AFDDB0C-EC98-447A-9DA5-88668599AD08}"/>
    <hyperlink ref="M6" r:id="rId2" display="..\htmls\长征三号乙运载火箭发射历史.html" xr:uid="{96C68CF2-C3D1-4194-A5E2-6D199DB89EBF}"/>
    <hyperlink ref="P6" r:id="rId3" display="../htmls/长征四号乙运载火箭发射历史.html" xr:uid="{EECC48E7-946F-4CC5-A2EB-1306600B7800}"/>
    <hyperlink ref="Q6" r:id="rId4" display="../htmls/长征四号丙运载火箭发射历史.html" xr:uid="{1CE449CD-EACE-46EC-B271-CC3232A5D6A7}"/>
    <hyperlink ref="R6" r:id="rId5" display="../htmls/长征五号运载火箭发射历史.html" xr:uid="{71D14469-DE1E-4FDC-9618-646302877722}"/>
    <hyperlink ref="S6" r:id="rId6" display="../htmls/长征五号乙运载火箭发射历史.html" xr:uid="{4CE117F2-17D9-478C-A227-B188DA9DBAA1}"/>
    <hyperlink ref="BC6" r:id="rId7" display="../htmls/力箭一号运载火箭发射历史.html" xr:uid="{30DCB14D-5FCC-4F4B-94FA-EB88813A404E}"/>
    <hyperlink ref="T6" r:id="rId8" display="..\htmls\长征六号运载火箭发射历史.html" xr:uid="{E44B554B-1566-4AB8-967B-FC7D6E50C2E5}"/>
    <hyperlink ref="U6" r:id="rId9" display="../htmls/长征六号甲运载火箭发射历史.html" xr:uid="{67FE8CC1-D6F6-4046-9A03-AA153FD02A7F}"/>
    <hyperlink ref="V6" r:id="rId10" display="../htmls/长征六号丙运载火箭发射历史.html" xr:uid="{292056E9-C285-4FF7-A3B3-627BAFF6AECB}"/>
    <hyperlink ref="W6" r:id="rId11" display="../htmls/长征七号运载火箭发射历史.html" xr:uid="{918CBBF5-D839-4C11-AD36-621DFF51A858}"/>
    <hyperlink ref="X6" r:id="rId12" display="../htmls/长征七号甲运载火箭发射历史.html" xr:uid="{A15713C5-9B5C-4CE0-9931-061A36EC77E3}"/>
    <hyperlink ref="Y6" r:id="rId13" display="../htmls/长征八号运载火箭发射历史.html" xr:uid="{5C2E568E-3D51-43BB-9AF4-77C9684185D2}"/>
    <hyperlink ref="AD6" r:id="rId14" display="..\htmls\长征十一号运载火箭发射历史.html" xr:uid="{AA8D7525-64D3-4CC4-8591-9AB3C8CAB483}"/>
    <hyperlink ref="AE6" r:id="rId15" display="../htmls/长征十一号海运载火箭发射历史.html" xr:uid="{7FFD8494-AC7B-48CD-B804-1D58E08C183F}"/>
    <hyperlink ref="M5" r:id="rId16" display="../htmls/长征三号甲系列运载火箭发射历史.html" xr:uid="{B34E48A0-BD2B-4898-91D5-9CC99A6F2FB2}"/>
    <hyperlink ref="P5:Q5" r:id="rId17" display="../htmls/长征四号系列运载火箭发射历史.html" xr:uid="{6AAB94B1-CD0C-463B-A833-68C520AFDE9A}"/>
    <hyperlink ref="R5:S5" r:id="rId18" display="../htmls/长征五号系列运载火箭发射历史.html" xr:uid="{ED7B783D-FE9F-4818-92F0-30322C6A354C}"/>
    <hyperlink ref="T5:V5" r:id="rId19" display="..\htmls\长征六号系列运载火箭发射历史.html" xr:uid="{44925751-BBE1-4344-A37C-A22B8C1328E2}"/>
    <hyperlink ref="W5:X5" r:id="rId20" display="..\htmls\长征七号系列运载火箭发射历史.html" xr:uid="{5961D4FB-A9FC-4469-81D6-867B00868A6E}"/>
    <hyperlink ref="AD5:AE5" r:id="rId21" display="..\htmls\长征十一号系列运载火箭发射历史.html" xr:uid="{69FE0107-05DF-47BB-9E58-CECC25B4DAFF}"/>
    <hyperlink ref="AN5:AP5" r:id="rId22" display="..\htmls\快舟系列运载火箭发射历史.html" xr:uid="{B0A0049B-7EED-410C-8C43-9F1E829AB19A}"/>
    <hyperlink ref="AW5:AX5" r:id="rId23" display="../htmls/捷龙系列运载火箭发射历史.html" xr:uid="{CD64064C-B81D-4E3F-A2FD-32EEF5EA8898}"/>
    <hyperlink ref="AF6" r:id="rId24" display="../htmls/长征十二号运载火箭发射历史.html" xr:uid="{31D32428-BCFE-4037-92F5-36BEC00DE1BF}"/>
    <hyperlink ref="AR5" r:id="rId25" display="..\htmls\朱雀系列运载火箭发射历史.html" xr:uid="{BC08C85A-0A28-4A91-885D-F4C50C4A3BEA}"/>
    <hyperlink ref="Z6" r:id="rId26" display="../htmls/长征八号运载火箭发射历史.html" xr:uid="{844BDF43-EA76-421F-ABF9-E0042AB3D617}"/>
    <hyperlink ref="AY6" r:id="rId27" display="../htmls/谷神星一号运载火箭发射历史.html" xr:uid="{64565026-A467-4917-B1F6-588F67EF0AEF}"/>
    <hyperlink ref="AZ6" r:id="rId28" display="../htmls/谷神星一号海运载火箭发射历史.html" xr:uid="{275CA0E3-EF61-4E78-BBB0-978E3A0E65D3}"/>
    <hyperlink ref="AO6" r:id="rId29" display="../htmls/快舟一号甲运载火箭发射历史.html" xr:uid="{DBA4B60D-91A8-45EE-A02C-453DF3EE68B2}"/>
    <hyperlink ref="AP6" r:id="rId30" display="../htmls/快舟十一号运载火箭发射历史.html" xr:uid="{E27AC61A-11AE-49E5-9B74-C8086924487C}"/>
    <hyperlink ref="AR6" r:id="rId31" display="../htmls/朱雀二号运载火箭发射历史.html" xr:uid="{5C6C4F87-2608-40F6-A01D-FE42C9F8CF20}"/>
    <hyperlink ref="AT6" r:id="rId32" display="../htmls/朱雀二号Ｅ运载火箭发射历史.html" xr:uid="{FDF8088F-59D4-4C22-9FD8-724F8120D397}"/>
    <hyperlink ref="AV6" r:id="rId33" display="../htmls/双曲线一号运载火箭发射历史.html" xr:uid="{B9A150CE-4F04-4C0C-A212-D3EA9F430818}"/>
    <hyperlink ref="AX6" r:id="rId34" display="../htmls/捷龙三号运载火箭发射历史.html" xr:uid="{817B0405-8ECD-4BF2-BC6D-2191FED55300}"/>
    <hyperlink ref="BE6" r:id="rId35" display="../htmls/天龙二号运载火箭发射历史.html" xr:uid="{A301430E-AB43-4EEE-8A2B-E75CA8D5D4C4}"/>
    <hyperlink ref="BG6" r:id="rId36" display="../htmls/引力一号运载火箭发射历史.html" xr:uid="{040A2055-6651-4A47-ACB6-73B3F753F1DE}"/>
    <hyperlink ref="Y5:Z5" r:id="rId37" display="..\htmls\长征八号系列运载火箭发射历史.html" xr:uid="{3587C8A1-6284-498B-83FC-7F5460D9FCA4}"/>
    <hyperlink ref="AR5:AT5" r:id="rId38" display="../htmls/朱雀系列运载火箭发射历史.html" xr:uid="{8330EE51-346E-4A48-AE53-945478C511D7}"/>
    <hyperlink ref="N6" r:id="rId39" display="..\htmls\长征三号丙运载火箭发射历史.html" xr:uid="{7F1DB959-4241-40F2-8AFB-13D0FF52AB65}"/>
    <hyperlink ref="AS6" r:id="rId40" display="../htmls/朱雀二号Ｅ运载火箭发射历史.html" xr:uid="{65792A71-938D-41CA-99A6-250A0157C8E0}"/>
    <hyperlink ref="AS5" r:id="rId41" display="../htmls/朱雀系列运载火箭发射历史.html" xr:uid="{FB1143C2-8615-4DB1-9A39-44B08CCF538C}"/>
    <hyperlink ref="AH6" r:id="rId42" display="..\htmls\长征十二号甲运载火箭发射历史.html" xr:uid="{E35853AA-3EB3-47E4-9C47-AB0705AB13F4}"/>
    <hyperlink ref="BF6" r:id="rId43" display="../htmls/天龙三号运载火箭发射历史.html" xr:uid="{E49B79C8-8B41-486C-BB63-1D4070A31213}"/>
    <hyperlink ref="BA6" r:id="rId44" display="../htmls/谷神星二号运载火箭发射历史.html" xr:uid="{9A1A1113-5BD4-435F-87C4-A99A8D5E8B4B}"/>
    <hyperlink ref="BH6" r:id="rId45" display="..\htmls\致航一号运载火箭发射历史.html" xr:uid="{3DF3D106-1399-47CA-AD29-0A80BA838F41}"/>
    <hyperlink ref="BD6" r:id="rId46" display="../htmls/力箭二号运载火箭发射历史.html" xr:uid="{B219B7CD-1AE8-431D-A16D-BA1662E6F0B9}"/>
    <hyperlink ref="AC6" r:id="rId47" display="..\htmls\长征十一号运载火箭发射历史.html" xr:uid="{AA70E40C-C650-4478-B18C-A32B521A131E}"/>
    <hyperlink ref="BB6" r:id="rId48" display="../htmls/谷神星二号运载火箭发射历史.html" xr:uid="{A421D0E1-8F4B-475E-A119-29750D883D59}"/>
    <hyperlink ref="AB6" r:id="rId49" display="..\htmls\长征十一号运载火箭发射历史.html" xr:uid="{0AC9C128-DD05-4CAA-B7B2-4F37EFA25A90}"/>
    <hyperlink ref="AA6" r:id="rId50" display="..\htmls\长征十一号运载火箭发射历史.html" xr:uid="{3E59BFB0-70EC-45AD-B26F-B882E33C3284}"/>
    <hyperlink ref="AG6" r:id="rId51" display="..\htmls\长征十二号甲运载火箭发射历史.html" xr:uid="{B3841B55-317D-4241-989A-04122E55505D}"/>
    <hyperlink ref="AI6" r:id="rId52" display="../htmls/长征十一号海运载火箭发射历史.html" xr:uid="{79EF4E72-1713-49DF-99ED-AD7DDED20140}"/>
    <hyperlink ref="AY5:AZ5" r:id="rId53" display="../htmls/谷神星系列运载火箭发射历史.html" xr:uid="{15785B65-42AB-400D-8141-CBAD23D550F5}"/>
    <hyperlink ref="AY5:BB5" r:id="rId54" display="../htmls/星河动力系列运载火箭发射历史.html" xr:uid="{B4F3384A-7333-4F18-8950-960BB5C3D0F7}"/>
  </hyperlinks>
  <pageMargins left="0.7" right="0.7" top="0.75" bottom="0.75" header="0.3" footer="0.3"/>
  <pageSetup paperSize="9" orientation="portrait" horizontalDpi="0" verticalDpi="0"/>
  <ignoredErrors>
    <ignoredError sqref="F9 Y5 AY2:AZ2 BG2:BG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B824-B661-434D-9621-825B112FD93E}">
  <dimension ref="A1:X65"/>
  <sheetViews>
    <sheetView zoomScale="85" zoomScaleNormal="85" workbookViewId="0">
      <pane xSplit="10" ySplit="1" topLeftCell="K2" activePane="bottomRight" state="frozen"/>
      <selection pane="topRight" activeCell="J1" sqref="J1"/>
      <selection pane="bottomLeft" activeCell="A2" sqref="A2"/>
      <selection pane="bottomRight" activeCell="K59" sqref="K59"/>
    </sheetView>
  </sheetViews>
  <sheetFormatPr defaultColWidth="2.3984375" defaultRowHeight="19.2" x14ac:dyDescent="0.45"/>
  <cols>
    <col min="1" max="1" width="6.296875" style="77" customWidth="1"/>
    <col min="2" max="2" width="6.296875" style="77" bestFit="1" customWidth="1"/>
    <col min="3" max="3" width="6.5" style="1188" bestFit="1" customWidth="1"/>
    <col min="4" max="4" width="2.69921875" style="1188" bestFit="1" customWidth="1"/>
    <col min="5" max="5" width="6.296875" style="1188" customWidth="1"/>
    <col min="6" max="6" width="2.69921875" style="1188" bestFit="1" customWidth="1"/>
    <col min="7" max="7" width="6.296875" style="1188" customWidth="1"/>
    <col min="8" max="8" width="16" style="1188" bestFit="1" customWidth="1"/>
    <col min="9" max="9" width="25.3984375" style="1188" bestFit="1" customWidth="1"/>
    <col min="10" max="10" width="36.69921875" style="1188" bestFit="1" customWidth="1"/>
    <col min="11" max="11" width="10" style="77" bestFit="1" customWidth="1"/>
    <col min="12" max="12" width="11.5" style="1188" bestFit="1" customWidth="1"/>
    <col min="13" max="14" width="6.296875" style="1188" customWidth="1"/>
    <col min="15" max="15" width="8.8984375" style="77" bestFit="1" customWidth="1"/>
    <col min="16" max="16" width="9.19921875" style="77" bestFit="1" customWidth="1"/>
    <col min="17" max="17" width="5" style="77" customWidth="1"/>
    <col min="18" max="19" width="4.3984375" style="1188" customWidth="1"/>
    <col min="20" max="20" width="4.19921875" style="1188" bestFit="1" customWidth="1"/>
    <col min="21" max="23" width="2.3984375" style="1188"/>
    <col min="24" max="26" width="2.8984375" style="1188" bestFit="1" customWidth="1"/>
    <col min="27" max="28" width="2.3984375" style="1188"/>
    <col min="29" max="29" width="4.19921875" style="1188" bestFit="1" customWidth="1"/>
    <col min="30" max="30" width="2.3984375" style="1188"/>
    <col min="31" max="31" width="4.19921875" style="1188" bestFit="1" customWidth="1"/>
    <col min="32" max="33" width="2.3984375" style="1188"/>
    <col min="34" max="34" width="4.19921875" style="1188" bestFit="1" customWidth="1"/>
    <col min="35" max="35" width="2.3984375" style="1188"/>
    <col min="36" max="36" width="4.19921875" style="1188" bestFit="1" customWidth="1"/>
    <col min="37" max="39" width="2.3984375" style="1188"/>
    <col min="40" max="42" width="2.8984375" style="1188" bestFit="1" customWidth="1"/>
    <col min="43" max="44" width="2.3984375" style="1188"/>
    <col min="45" max="45" width="4.19921875" style="1188" bestFit="1" customWidth="1"/>
    <col min="46" max="46" width="2.3984375" style="1188"/>
    <col min="47" max="47" width="4.19921875" style="1188" bestFit="1" customWidth="1"/>
    <col min="48" max="49" width="2.3984375" style="1188"/>
    <col min="50" max="50" width="4.19921875" style="1188" bestFit="1" customWidth="1"/>
    <col min="51" max="51" width="2.3984375" style="1188"/>
    <col min="52" max="52" width="4.19921875" style="1188" bestFit="1" customWidth="1"/>
    <col min="53" max="55" width="2.3984375" style="1188"/>
    <col min="56" max="58" width="2.8984375" style="1188" bestFit="1" customWidth="1"/>
    <col min="59" max="60" width="2.3984375" style="1188"/>
    <col min="61" max="61" width="4.19921875" style="1188" bestFit="1" customWidth="1"/>
    <col min="62" max="62" width="2.3984375" style="1188"/>
    <col min="63" max="63" width="4.19921875" style="1188" bestFit="1" customWidth="1"/>
    <col min="64" max="65" width="2.3984375" style="1188"/>
    <col min="66" max="66" width="4.19921875" style="1188" bestFit="1" customWidth="1"/>
    <col min="67" max="67" width="2.3984375" style="1188"/>
    <col min="68" max="68" width="4.19921875" style="1188" bestFit="1" customWidth="1"/>
    <col min="69" max="71" width="2.3984375" style="1188"/>
    <col min="72" max="74" width="2.8984375" style="1188" bestFit="1" customWidth="1"/>
    <col min="75" max="76" width="2.3984375" style="1188"/>
    <col min="77" max="77" width="4.19921875" style="1188" bestFit="1" customWidth="1"/>
    <col min="78" max="78" width="2.3984375" style="1188"/>
    <col min="79" max="79" width="4.19921875" style="1188" bestFit="1" customWidth="1"/>
    <col min="80" max="81" width="2.3984375" style="1188"/>
    <col min="82" max="82" width="4.19921875" style="1188" bestFit="1" customWidth="1"/>
    <col min="83" max="83" width="2.3984375" style="1188"/>
    <col min="84" max="84" width="4.19921875" style="1188" bestFit="1" customWidth="1"/>
    <col min="85" max="87" width="2.3984375" style="1188"/>
    <col min="88" max="90" width="2.8984375" style="1188" bestFit="1" customWidth="1"/>
    <col min="91" max="92" width="2.3984375" style="1188"/>
    <col min="93" max="93" width="4.19921875" style="1188" bestFit="1" customWidth="1"/>
    <col min="94" max="94" width="2.3984375" style="1188"/>
    <col min="95" max="95" width="4.19921875" style="1188" bestFit="1" customWidth="1"/>
    <col min="96" max="97" width="2.3984375" style="1188"/>
    <col min="98" max="98" width="4.19921875" style="1188" bestFit="1" customWidth="1"/>
    <col min="99" max="99" width="2.3984375" style="1188"/>
    <col min="100" max="100" width="4.19921875" style="1188" bestFit="1" customWidth="1"/>
    <col min="101" max="103" width="2.3984375" style="1188"/>
    <col min="104" max="106" width="2.8984375" style="1188" bestFit="1" customWidth="1"/>
    <col min="107" max="108" width="2.3984375" style="1188"/>
    <col min="109" max="109" width="4.19921875" style="1188" bestFit="1" customWidth="1"/>
    <col min="110" max="110" width="2.3984375" style="1188"/>
    <col min="111" max="111" width="4.19921875" style="1188" bestFit="1" customWidth="1"/>
    <col min="112" max="113" width="2.3984375" style="1188"/>
    <col min="114" max="114" width="4.19921875" style="1188" bestFit="1" customWidth="1"/>
    <col min="115" max="115" width="2.3984375" style="1188"/>
    <col min="116" max="116" width="4.19921875" style="1188" bestFit="1" customWidth="1"/>
    <col min="117" max="119" width="2.3984375" style="1188"/>
    <col min="120" max="122" width="2.8984375" style="1188" bestFit="1" customWidth="1"/>
    <col min="123" max="124" width="2.3984375" style="1188"/>
    <col min="125" max="125" width="4.19921875" style="1188" bestFit="1" customWidth="1"/>
    <col min="126" max="126" width="2.3984375" style="1188"/>
    <col min="127" max="127" width="4.19921875" style="1188" bestFit="1" customWidth="1"/>
    <col min="128" max="129" width="2.3984375" style="1188"/>
    <col min="130" max="130" width="4.19921875" style="1188" bestFit="1" customWidth="1"/>
    <col min="131" max="131" width="2.3984375" style="1188"/>
    <col min="132" max="132" width="4.19921875" style="1188" bestFit="1" customWidth="1"/>
    <col min="133" max="135" width="2.3984375" style="1188"/>
    <col min="136" max="138" width="2.8984375" style="1188" bestFit="1" customWidth="1"/>
    <col min="139" max="140" width="2.3984375" style="1188"/>
    <col min="141" max="141" width="4.19921875" style="1188" bestFit="1" customWidth="1"/>
    <col min="142" max="142" width="2.3984375" style="1188"/>
    <col min="143" max="143" width="4.19921875" style="1188" bestFit="1" customWidth="1"/>
    <col min="144" max="145" width="2.3984375" style="1188"/>
    <col min="146" max="146" width="4.19921875" style="1188" bestFit="1" customWidth="1"/>
    <col min="147" max="147" width="2.3984375" style="1188"/>
    <col min="148" max="148" width="4.19921875" style="1188" bestFit="1" customWidth="1"/>
    <col min="149" max="151" width="2.3984375" style="1188"/>
    <col min="152" max="154" width="2.8984375" style="1188" bestFit="1" customWidth="1"/>
    <col min="155" max="156" width="2.3984375" style="1188"/>
    <col min="157" max="157" width="4.19921875" style="1188" bestFit="1" customWidth="1"/>
    <col min="158" max="158" width="2.3984375" style="1188"/>
    <col min="159" max="159" width="4.19921875" style="1188" bestFit="1" customWidth="1"/>
    <col min="160" max="161" width="2.3984375" style="1188"/>
    <col min="162" max="162" width="4.19921875" style="1188" bestFit="1" customWidth="1"/>
    <col min="163" max="163" width="2.3984375" style="1188"/>
    <col min="164" max="164" width="4.19921875" style="1188" bestFit="1" customWidth="1"/>
    <col min="165" max="167" width="2.3984375" style="1188"/>
    <col min="168" max="170" width="2.8984375" style="1188" bestFit="1" customWidth="1"/>
    <col min="171" max="172" width="2.3984375" style="1188"/>
    <col min="173" max="173" width="4.19921875" style="1188" bestFit="1" customWidth="1"/>
    <col min="174" max="174" width="2.3984375" style="1188"/>
    <col min="175" max="175" width="4.19921875" style="1188" bestFit="1" customWidth="1"/>
    <col min="176" max="177" width="2.3984375" style="1188"/>
    <col min="178" max="178" width="4.19921875" style="1188" bestFit="1" customWidth="1"/>
    <col min="179" max="179" width="2.3984375" style="1188"/>
    <col min="180" max="180" width="4.19921875" style="1188" bestFit="1" customWidth="1"/>
    <col min="181" max="183" width="2.3984375" style="1188"/>
    <col min="184" max="186" width="2.8984375" style="1188" bestFit="1" customWidth="1"/>
    <col min="187" max="188" width="2.3984375" style="1188"/>
    <col min="189" max="189" width="4.19921875" style="1188" bestFit="1" customWidth="1"/>
    <col min="190" max="190" width="2.3984375" style="1188"/>
    <col min="191" max="191" width="4.19921875" style="1188" bestFit="1" customWidth="1"/>
    <col min="192" max="193" width="2.3984375" style="1188"/>
    <col min="194" max="194" width="4.19921875" style="1188" bestFit="1" customWidth="1"/>
    <col min="195" max="195" width="2.3984375" style="1188"/>
    <col min="196" max="196" width="4.19921875" style="1188" bestFit="1" customWidth="1"/>
    <col min="197" max="199" width="2.3984375" style="1188"/>
    <col min="200" max="202" width="2.8984375" style="1188" bestFit="1" customWidth="1"/>
    <col min="203" max="204" width="2.3984375" style="1188"/>
    <col min="205" max="205" width="4.19921875" style="1188" bestFit="1" customWidth="1"/>
    <col min="206" max="206" width="2.3984375" style="1188"/>
    <col min="207" max="207" width="4.19921875" style="1188" bestFit="1" customWidth="1"/>
    <col min="208" max="209" width="2.3984375" style="1188"/>
    <col min="210" max="210" width="4.19921875" style="1188" bestFit="1" customWidth="1"/>
    <col min="211" max="211" width="2.3984375" style="1188"/>
    <col min="212" max="212" width="4.19921875" style="1188" bestFit="1" customWidth="1"/>
    <col min="213" max="215" width="2.3984375" style="1188"/>
    <col min="216" max="218" width="2.8984375" style="1188" bestFit="1" customWidth="1"/>
    <col min="219" max="220" width="2.3984375" style="1188"/>
    <col min="221" max="221" width="4.19921875" style="1188" bestFit="1" customWidth="1"/>
    <col min="222" max="222" width="2.3984375" style="1188"/>
    <col min="223" max="223" width="4.19921875" style="1188" bestFit="1" customWidth="1"/>
    <col min="224" max="225" width="2.3984375" style="1188"/>
    <col min="226" max="226" width="4.19921875" style="1188" bestFit="1" customWidth="1"/>
    <col min="227" max="227" width="2.3984375" style="1188"/>
    <col min="228" max="228" width="4.19921875" style="1188" bestFit="1" customWidth="1"/>
    <col min="229" max="231" width="2.3984375" style="1188"/>
    <col min="232" max="234" width="2.8984375" style="1188" bestFit="1" customWidth="1"/>
    <col min="235" max="236" width="2.3984375" style="1188"/>
    <col min="237" max="237" width="4.19921875" style="1188" bestFit="1" customWidth="1"/>
    <col min="238" max="238" width="2.3984375" style="1188"/>
    <col min="239" max="239" width="4.19921875" style="1188" bestFit="1" customWidth="1"/>
    <col min="240" max="241" width="2.3984375" style="1188"/>
    <col min="242" max="242" width="4.19921875" style="1188" bestFit="1" customWidth="1"/>
    <col min="243" max="243" width="2.3984375" style="1188"/>
    <col min="244" max="244" width="4.19921875" style="1188" bestFit="1" customWidth="1"/>
    <col min="245" max="247" width="2.3984375" style="1188"/>
    <col min="248" max="250" width="2.8984375" style="1188" bestFit="1" customWidth="1"/>
    <col min="251" max="252" width="2.3984375" style="1188"/>
    <col min="253" max="253" width="4.19921875" style="1188" bestFit="1" customWidth="1"/>
    <col min="254" max="254" width="2.3984375" style="1188"/>
    <col min="255" max="255" width="4.19921875" style="1188" bestFit="1" customWidth="1"/>
    <col min="256" max="257" width="2.3984375" style="1188"/>
    <col min="258" max="258" width="4.19921875" style="1188" bestFit="1" customWidth="1"/>
    <col min="259" max="259" width="2.3984375" style="1188"/>
    <col min="260" max="260" width="4.19921875" style="1188" bestFit="1" customWidth="1"/>
    <col min="261" max="263" width="2.3984375" style="1188"/>
    <col min="264" max="266" width="2.8984375" style="1188" bestFit="1" customWidth="1"/>
    <col min="267" max="268" width="2.3984375" style="1188"/>
    <col min="269" max="269" width="4.19921875" style="1188" bestFit="1" customWidth="1"/>
    <col min="270" max="270" width="2.3984375" style="1188"/>
    <col min="271" max="271" width="4.19921875" style="1188" bestFit="1" customWidth="1"/>
    <col min="272" max="273" width="2.3984375" style="1188"/>
    <col min="274" max="274" width="4.19921875" style="1188" bestFit="1" customWidth="1"/>
    <col min="275" max="275" width="2.3984375" style="1188"/>
    <col min="276" max="276" width="4.19921875" style="1188" bestFit="1" customWidth="1"/>
    <col min="277" max="279" width="2.3984375" style="1188"/>
    <col min="280" max="282" width="2.8984375" style="1188" bestFit="1" customWidth="1"/>
    <col min="283" max="284" width="2.3984375" style="1188"/>
    <col min="285" max="285" width="4.19921875" style="1188" bestFit="1" customWidth="1"/>
    <col min="286" max="286" width="2.3984375" style="1188"/>
    <col min="287" max="287" width="4.19921875" style="1188" bestFit="1" customWidth="1"/>
    <col min="288" max="289" width="2.3984375" style="1188"/>
    <col min="290" max="290" width="4.19921875" style="1188" bestFit="1" customWidth="1"/>
    <col min="291" max="291" width="2.3984375" style="1188"/>
    <col min="292" max="292" width="4.19921875" style="1188" bestFit="1" customWidth="1"/>
    <col min="293" max="295" width="2.3984375" style="1188"/>
    <col min="296" max="298" width="2.8984375" style="1188" bestFit="1" customWidth="1"/>
    <col min="299" max="300" width="2.3984375" style="1188"/>
    <col min="301" max="301" width="4.19921875" style="1188" bestFit="1" customWidth="1"/>
    <col min="302" max="302" width="2.3984375" style="1188"/>
    <col min="303" max="303" width="4.19921875" style="1188" bestFit="1" customWidth="1"/>
    <col min="304" max="305" width="2.3984375" style="1188"/>
    <col min="306" max="306" width="4.19921875" style="1188" bestFit="1" customWidth="1"/>
    <col min="307" max="307" width="2.3984375" style="1188"/>
    <col min="308" max="308" width="4.19921875" style="1188" bestFit="1" customWidth="1"/>
    <col min="309" max="311" width="2.3984375" style="1188"/>
    <col min="312" max="314" width="2.8984375" style="1188" bestFit="1" customWidth="1"/>
    <col min="315" max="316" width="2.3984375" style="1188"/>
    <col min="317" max="317" width="4.19921875" style="1188" bestFit="1" customWidth="1"/>
    <col min="318" max="318" width="2.3984375" style="1188"/>
    <col min="319" max="319" width="4.19921875" style="1188" bestFit="1" customWidth="1"/>
    <col min="320" max="321" width="2.3984375" style="1188"/>
    <col min="322" max="322" width="4.19921875" style="1188" bestFit="1" customWidth="1"/>
    <col min="323" max="323" width="2.3984375" style="1188"/>
    <col min="324" max="324" width="4.19921875" style="1188" bestFit="1" customWidth="1"/>
    <col min="325" max="327" width="2.3984375" style="1188"/>
    <col min="328" max="330" width="2.8984375" style="1188" bestFit="1" customWidth="1"/>
    <col min="331" max="332" width="2.3984375" style="1188"/>
    <col min="333" max="333" width="4.19921875" style="1188" bestFit="1" customWidth="1"/>
    <col min="334" max="334" width="2.3984375" style="1188"/>
    <col min="335" max="335" width="4.19921875" style="1188" bestFit="1" customWidth="1"/>
    <col min="336" max="337" width="2.3984375" style="1188"/>
    <col min="338" max="338" width="4.19921875" style="1188" bestFit="1" customWidth="1"/>
    <col min="339" max="339" width="2.3984375" style="1188"/>
    <col min="340" max="340" width="4.19921875" style="1188" bestFit="1" customWidth="1"/>
    <col min="341" max="343" width="2.3984375" style="1188"/>
    <col min="344" max="346" width="2.8984375" style="1188" bestFit="1" customWidth="1"/>
    <col min="347" max="348" width="2.3984375" style="1188"/>
    <col min="349" max="349" width="4.19921875" style="1188" bestFit="1" customWidth="1"/>
    <col min="350" max="350" width="2.3984375" style="1188"/>
    <col min="351" max="351" width="4.19921875" style="1188" bestFit="1" customWidth="1"/>
    <col min="352" max="353" width="2.3984375" style="1188"/>
    <col min="354" max="354" width="4.19921875" style="1188" bestFit="1" customWidth="1"/>
    <col min="355" max="355" width="2.3984375" style="1188"/>
    <col min="356" max="356" width="4.19921875" style="1188" bestFit="1" customWidth="1"/>
    <col min="357" max="359" width="2.3984375" style="1188"/>
    <col min="360" max="362" width="2.8984375" style="1188" bestFit="1" customWidth="1"/>
    <col min="363" max="364" width="2.3984375" style="1188"/>
    <col min="365" max="365" width="4.19921875" style="1188" bestFit="1" customWidth="1"/>
    <col min="366" max="366" width="2.3984375" style="1188"/>
    <col min="367" max="367" width="4.19921875" style="1188" bestFit="1" customWidth="1"/>
    <col min="368" max="369" width="2.3984375" style="1188"/>
    <col min="370" max="370" width="4.19921875" style="1188" bestFit="1" customWidth="1"/>
    <col min="371" max="371" width="2.3984375" style="1188"/>
    <col min="372" max="372" width="4.19921875" style="1188" bestFit="1" customWidth="1"/>
    <col min="373" max="375" width="2.3984375" style="1188"/>
    <col min="376" max="378" width="2.8984375" style="1188" bestFit="1" customWidth="1"/>
    <col min="379" max="380" width="2.3984375" style="1188"/>
    <col min="381" max="381" width="4.19921875" style="1188" bestFit="1" customWidth="1"/>
    <col min="382" max="382" width="2.3984375" style="1188"/>
    <col min="383" max="383" width="4.19921875" style="1188" bestFit="1" customWidth="1"/>
    <col min="384" max="385" width="2.3984375" style="1188"/>
    <col min="386" max="386" width="4.19921875" style="1188" bestFit="1" customWidth="1"/>
    <col min="387" max="387" width="2.3984375" style="1188"/>
    <col min="388" max="388" width="4.19921875" style="1188" bestFit="1" customWidth="1"/>
    <col min="389" max="391" width="2.3984375" style="1188"/>
    <col min="392" max="394" width="2.8984375" style="1188" bestFit="1" customWidth="1"/>
    <col min="395" max="396" width="2.3984375" style="1188"/>
    <col min="397" max="397" width="4.19921875" style="1188" bestFit="1" customWidth="1"/>
    <col min="398" max="398" width="2.3984375" style="1188"/>
    <col min="399" max="399" width="4.19921875" style="1188" bestFit="1" customWidth="1"/>
    <col min="400" max="401" width="2.3984375" style="1188"/>
    <col min="402" max="402" width="4.19921875" style="1188" bestFit="1" customWidth="1"/>
    <col min="403" max="403" width="2.3984375" style="1188"/>
    <col min="404" max="404" width="4.19921875" style="1188" bestFit="1" customWidth="1"/>
    <col min="405" max="407" width="2.3984375" style="1188"/>
    <col min="408" max="410" width="2.8984375" style="1188" bestFit="1" customWidth="1"/>
    <col min="411" max="412" width="2.3984375" style="1188"/>
    <col min="413" max="413" width="4.19921875" style="1188" bestFit="1" customWidth="1"/>
    <col min="414" max="414" width="2.3984375" style="1188"/>
    <col min="415" max="415" width="4.19921875" style="1188" bestFit="1" customWidth="1"/>
    <col min="416" max="417" width="2.3984375" style="1188"/>
    <col min="418" max="418" width="4.19921875" style="1188" bestFit="1" customWidth="1"/>
    <col min="419" max="419" width="2.3984375" style="1188"/>
    <col min="420" max="420" width="4.19921875" style="1188" bestFit="1" customWidth="1"/>
    <col min="421" max="423" width="2.3984375" style="1188"/>
    <col min="424" max="426" width="2.8984375" style="1188" bestFit="1" customWidth="1"/>
    <col min="427" max="428" width="2.3984375" style="1188"/>
    <col min="429" max="429" width="4.19921875" style="1188" bestFit="1" customWidth="1"/>
    <col min="430" max="430" width="2.3984375" style="1188"/>
    <col min="431" max="431" width="4.19921875" style="1188" bestFit="1" customWidth="1"/>
    <col min="432" max="433" width="2.3984375" style="1188"/>
    <col min="434" max="434" width="4.19921875" style="1188" bestFit="1" customWidth="1"/>
    <col min="435" max="435" width="2.3984375" style="1188"/>
    <col min="436" max="436" width="4.19921875" style="1188" bestFit="1" customWidth="1"/>
    <col min="437" max="439" width="2.3984375" style="1188"/>
    <col min="440" max="442" width="2.8984375" style="1188" bestFit="1" customWidth="1"/>
    <col min="443" max="444" width="2.3984375" style="1188"/>
    <col min="445" max="445" width="4.19921875" style="1188" bestFit="1" customWidth="1"/>
    <col min="446" max="446" width="2.3984375" style="1188"/>
    <col min="447" max="447" width="4.19921875" style="1188" bestFit="1" customWidth="1"/>
    <col min="448" max="449" width="2.3984375" style="1188"/>
    <col min="450" max="450" width="4.19921875" style="1188" bestFit="1" customWidth="1"/>
    <col min="451" max="451" width="2.3984375" style="1188"/>
    <col min="452" max="452" width="4.19921875" style="1188" bestFit="1" customWidth="1"/>
    <col min="453" max="455" width="2.3984375" style="1188"/>
    <col min="456" max="458" width="2.8984375" style="1188" bestFit="1" customWidth="1"/>
    <col min="459" max="460" width="2.3984375" style="1188"/>
    <col min="461" max="461" width="4.19921875" style="1188" bestFit="1" customWidth="1"/>
    <col min="462" max="462" width="2.3984375" style="1188"/>
    <col min="463" max="463" width="4.19921875" style="1188" bestFit="1" customWidth="1"/>
    <col min="464" max="465" width="2.3984375" style="1188"/>
    <col min="466" max="466" width="4.19921875" style="1188" bestFit="1" customWidth="1"/>
    <col min="467" max="467" width="2.3984375" style="1188"/>
    <col min="468" max="468" width="4.19921875" style="1188" bestFit="1" customWidth="1"/>
    <col min="469" max="471" width="2.3984375" style="1188"/>
    <col min="472" max="474" width="2.8984375" style="1188" bestFit="1" customWidth="1"/>
    <col min="475" max="476" width="2.3984375" style="1188"/>
    <col min="477" max="477" width="4.19921875" style="1188" bestFit="1" customWidth="1"/>
    <col min="478" max="478" width="2.3984375" style="1188"/>
    <col min="479" max="479" width="4.19921875" style="1188" bestFit="1" customWidth="1"/>
    <col min="480" max="481" width="2.3984375" style="1188"/>
    <col min="482" max="482" width="4.19921875" style="1188" bestFit="1" customWidth="1"/>
    <col min="483" max="483" width="2.3984375" style="1188"/>
    <col min="484" max="484" width="4.19921875" style="1188" bestFit="1" customWidth="1"/>
    <col min="485" max="487" width="2.3984375" style="1188"/>
    <col min="488" max="490" width="2.8984375" style="1188" bestFit="1" customWidth="1"/>
    <col min="491" max="492" width="2.3984375" style="1188"/>
    <col min="493" max="493" width="4.19921875" style="1188" bestFit="1" customWidth="1"/>
    <col min="494" max="494" width="2.3984375" style="1188"/>
    <col min="495" max="495" width="4.19921875" style="1188" bestFit="1" customWidth="1"/>
    <col min="496" max="497" width="2.3984375" style="1188"/>
    <col min="498" max="498" width="4.19921875" style="1188" bestFit="1" customWidth="1"/>
    <col min="499" max="499" width="2.3984375" style="1188"/>
    <col min="500" max="500" width="4.19921875" style="1188" bestFit="1" customWidth="1"/>
    <col min="501" max="503" width="2.3984375" style="1188"/>
    <col min="504" max="506" width="2.8984375" style="1188" bestFit="1" customWidth="1"/>
    <col min="507" max="508" width="2.3984375" style="1188"/>
    <col min="509" max="509" width="4.19921875" style="1188" bestFit="1" customWidth="1"/>
    <col min="510" max="510" width="2.3984375" style="1188"/>
    <col min="511" max="511" width="4.19921875" style="1188" bestFit="1" customWidth="1"/>
    <col min="512" max="513" width="2.3984375" style="1188"/>
    <col min="514" max="514" width="4.19921875" style="1188" bestFit="1" customWidth="1"/>
    <col min="515" max="515" width="2.3984375" style="1188"/>
    <col min="516" max="516" width="4.19921875" style="1188" bestFit="1" customWidth="1"/>
    <col min="517" max="519" width="2.3984375" style="1188"/>
    <col min="520" max="522" width="2.8984375" style="1188" bestFit="1" customWidth="1"/>
    <col min="523" max="524" width="2.3984375" style="1188"/>
    <col min="525" max="525" width="4.19921875" style="1188" bestFit="1" customWidth="1"/>
    <col min="526" max="526" width="2.3984375" style="1188"/>
    <col min="527" max="527" width="4.19921875" style="1188" bestFit="1" customWidth="1"/>
    <col min="528" max="529" width="2.3984375" style="1188"/>
    <col min="530" max="530" width="4.19921875" style="1188" bestFit="1" customWidth="1"/>
    <col min="531" max="531" width="2.3984375" style="1188"/>
    <col min="532" max="532" width="4.19921875" style="1188" bestFit="1" customWidth="1"/>
    <col min="533" max="535" width="2.3984375" style="1188"/>
    <col min="536" max="538" width="2.8984375" style="1188" bestFit="1" customWidth="1"/>
    <col min="539" max="540" width="2.3984375" style="1188"/>
    <col min="541" max="541" width="4.19921875" style="1188" bestFit="1" customWidth="1"/>
    <col min="542" max="542" width="2.3984375" style="1188"/>
    <col min="543" max="543" width="4.19921875" style="1188" bestFit="1" customWidth="1"/>
    <col min="544" max="545" width="2.3984375" style="1188"/>
    <col min="546" max="546" width="4.19921875" style="1188" bestFit="1" customWidth="1"/>
    <col min="547" max="547" width="2.3984375" style="1188"/>
    <col min="548" max="548" width="4.19921875" style="1188" bestFit="1" customWidth="1"/>
    <col min="549" max="551" width="2.3984375" style="1188"/>
    <col min="552" max="554" width="2.8984375" style="1188" bestFit="1" customWidth="1"/>
    <col min="555" max="556" width="2.3984375" style="1188"/>
    <col min="557" max="557" width="4.19921875" style="1188" bestFit="1" customWidth="1"/>
    <col min="558" max="558" width="2.3984375" style="1188"/>
    <col min="559" max="559" width="4.19921875" style="1188" bestFit="1" customWidth="1"/>
    <col min="560" max="561" width="2.3984375" style="1188"/>
    <col min="562" max="562" width="4.19921875" style="1188" bestFit="1" customWidth="1"/>
    <col min="563" max="563" width="2.3984375" style="1188"/>
    <col min="564" max="564" width="4.19921875" style="1188" bestFit="1" customWidth="1"/>
    <col min="565" max="567" width="2.3984375" style="1188"/>
    <col min="568" max="570" width="2.8984375" style="1188" bestFit="1" customWidth="1"/>
    <col min="571" max="572" width="2.3984375" style="1188"/>
    <col min="573" max="573" width="4.19921875" style="1188" bestFit="1" customWidth="1"/>
    <col min="574" max="574" width="2.3984375" style="1188"/>
    <col min="575" max="575" width="4.19921875" style="1188" bestFit="1" customWidth="1"/>
    <col min="576" max="577" width="2.3984375" style="1188"/>
    <col min="578" max="578" width="4.19921875" style="1188" bestFit="1" customWidth="1"/>
    <col min="579" max="579" width="2.3984375" style="1188"/>
    <col min="580" max="580" width="4.19921875" style="1188" bestFit="1" customWidth="1"/>
    <col min="581" max="583" width="2.3984375" style="1188"/>
    <col min="584" max="586" width="2.8984375" style="1188" bestFit="1" customWidth="1"/>
    <col min="587" max="588" width="2.3984375" style="1188"/>
    <col min="589" max="589" width="4.19921875" style="1188" bestFit="1" customWidth="1"/>
    <col min="590" max="590" width="2.3984375" style="1188"/>
    <col min="591" max="591" width="4.19921875" style="1188" bestFit="1" customWidth="1"/>
    <col min="592" max="593" width="2.3984375" style="1188"/>
    <col min="594" max="594" width="4.19921875" style="1188" bestFit="1" customWidth="1"/>
    <col min="595" max="595" width="2.3984375" style="1188"/>
    <col min="596" max="596" width="4.19921875" style="1188" bestFit="1" customWidth="1"/>
    <col min="597" max="599" width="2.3984375" style="1188"/>
    <col min="600" max="602" width="2.8984375" style="1188" bestFit="1" customWidth="1"/>
    <col min="603" max="604" width="2.3984375" style="1188"/>
    <col min="605" max="605" width="4.19921875" style="1188" bestFit="1" customWidth="1"/>
    <col min="606" max="606" width="2.3984375" style="1188"/>
    <col min="607" max="607" width="4.19921875" style="1188" bestFit="1" customWidth="1"/>
    <col min="608" max="609" width="2.3984375" style="1188"/>
    <col min="610" max="610" width="4.19921875" style="1188" bestFit="1" customWidth="1"/>
    <col min="611" max="611" width="2.3984375" style="1188"/>
    <col min="612" max="612" width="4.19921875" style="1188" bestFit="1" customWidth="1"/>
    <col min="613" max="615" width="2.3984375" style="1188"/>
    <col min="616" max="618" width="2.8984375" style="1188" bestFit="1" customWidth="1"/>
    <col min="619" max="620" width="2.3984375" style="1188"/>
    <col min="621" max="621" width="4.19921875" style="1188" bestFit="1" customWidth="1"/>
    <col min="622" max="622" width="2.3984375" style="1188"/>
    <col min="623" max="623" width="4.19921875" style="1188" bestFit="1" customWidth="1"/>
    <col min="624" max="625" width="2.3984375" style="1188"/>
    <col min="626" max="626" width="4.19921875" style="1188" bestFit="1" customWidth="1"/>
    <col min="627" max="627" width="2.3984375" style="1188"/>
    <col min="628" max="628" width="4.19921875" style="1188" bestFit="1" customWidth="1"/>
    <col min="629" max="631" width="2.3984375" style="1188"/>
    <col min="632" max="634" width="2.8984375" style="1188" bestFit="1" customWidth="1"/>
    <col min="635" max="636" width="2.3984375" style="1188"/>
    <col min="637" max="637" width="4.19921875" style="1188" bestFit="1" customWidth="1"/>
    <col min="638" max="638" width="2.3984375" style="1188"/>
    <col min="639" max="639" width="4.19921875" style="1188" bestFit="1" customWidth="1"/>
    <col min="640" max="641" width="2.3984375" style="1188"/>
    <col min="642" max="642" width="4.19921875" style="1188" bestFit="1" customWidth="1"/>
    <col min="643" max="643" width="2.3984375" style="1188"/>
    <col min="644" max="644" width="4.19921875" style="1188" bestFit="1" customWidth="1"/>
    <col min="645" max="647" width="2.3984375" style="1188"/>
    <col min="648" max="650" width="2.8984375" style="1188" bestFit="1" customWidth="1"/>
    <col min="651" max="652" width="2.3984375" style="1188"/>
    <col min="653" max="653" width="4.19921875" style="1188" bestFit="1" customWidth="1"/>
    <col min="654" max="654" width="2.3984375" style="1188"/>
    <col min="655" max="655" width="4.19921875" style="1188" bestFit="1" customWidth="1"/>
    <col min="656" max="657" width="2.3984375" style="1188"/>
    <col min="658" max="658" width="4.19921875" style="1188" bestFit="1" customWidth="1"/>
    <col min="659" max="659" width="2.3984375" style="1188"/>
    <col min="660" max="660" width="4.19921875" style="1188" bestFit="1" customWidth="1"/>
    <col min="661" max="663" width="2.3984375" style="1188"/>
    <col min="664" max="666" width="2.8984375" style="1188" bestFit="1" customWidth="1"/>
    <col min="667" max="668" width="2.3984375" style="1188"/>
    <col min="669" max="669" width="4.19921875" style="1188" bestFit="1" customWidth="1"/>
    <col min="670" max="670" width="2.3984375" style="1188"/>
    <col min="671" max="671" width="4.19921875" style="1188" bestFit="1" customWidth="1"/>
    <col min="672" max="673" width="2.3984375" style="1188"/>
    <col min="674" max="674" width="4.19921875" style="1188" bestFit="1" customWidth="1"/>
    <col min="675" max="675" width="2.3984375" style="1188"/>
    <col min="676" max="676" width="4.19921875" style="1188" bestFit="1" customWidth="1"/>
    <col min="677" max="679" width="2.3984375" style="1188"/>
    <col min="680" max="682" width="2.8984375" style="1188" bestFit="1" customWidth="1"/>
    <col min="683" max="684" width="2.3984375" style="1188"/>
    <col min="685" max="685" width="4.19921875" style="1188" bestFit="1" customWidth="1"/>
    <col min="686" max="686" width="2.3984375" style="1188"/>
    <col min="687" max="687" width="4.19921875" style="1188" bestFit="1" customWidth="1"/>
    <col min="688" max="689" width="2.3984375" style="1188"/>
    <col min="690" max="690" width="4.19921875" style="1188" bestFit="1" customWidth="1"/>
    <col min="691" max="691" width="2.3984375" style="1188"/>
    <col min="692" max="692" width="4.19921875" style="1188" bestFit="1" customWidth="1"/>
    <col min="693" max="695" width="2.3984375" style="1188"/>
    <col min="696" max="698" width="2.8984375" style="1188" bestFit="1" customWidth="1"/>
    <col min="699" max="700" width="2.3984375" style="1188"/>
    <col min="701" max="701" width="4.19921875" style="1188" bestFit="1" customWidth="1"/>
    <col min="702" max="702" width="2.3984375" style="1188"/>
    <col min="703" max="703" width="4.19921875" style="1188" bestFit="1" customWidth="1"/>
    <col min="704" max="705" width="2.3984375" style="1188"/>
    <col min="706" max="706" width="4.19921875" style="1188" bestFit="1" customWidth="1"/>
    <col min="707" max="707" width="2.3984375" style="1188"/>
    <col min="708" max="708" width="4.19921875" style="1188" bestFit="1" customWidth="1"/>
    <col min="709" max="711" width="2.3984375" style="1188"/>
    <col min="712" max="714" width="2.8984375" style="1188" bestFit="1" customWidth="1"/>
    <col min="715" max="716" width="2.3984375" style="1188"/>
    <col min="717" max="717" width="4.19921875" style="1188" bestFit="1" customWidth="1"/>
    <col min="718" max="718" width="2.3984375" style="1188"/>
    <col min="719" max="719" width="4.19921875" style="1188" bestFit="1" customWidth="1"/>
    <col min="720" max="721" width="2.3984375" style="1188"/>
    <col min="722" max="722" width="4.19921875" style="1188" bestFit="1" customWidth="1"/>
    <col min="723" max="723" width="2.3984375" style="1188"/>
    <col min="724" max="724" width="4.19921875" style="1188" bestFit="1" customWidth="1"/>
    <col min="725" max="727" width="2.3984375" style="1188"/>
    <col min="728" max="730" width="2.8984375" style="1188" bestFit="1" customWidth="1"/>
    <col min="731" max="732" width="2.3984375" style="1188"/>
    <col min="733" max="733" width="4.19921875" style="1188" bestFit="1" customWidth="1"/>
    <col min="734" max="734" width="2.3984375" style="1188"/>
    <col min="735" max="735" width="4.19921875" style="1188" bestFit="1" customWidth="1"/>
    <col min="736" max="737" width="2.3984375" style="1188"/>
    <col min="738" max="738" width="4.19921875" style="1188" bestFit="1" customWidth="1"/>
    <col min="739" max="739" width="2.3984375" style="1188"/>
    <col min="740" max="740" width="4.19921875" style="1188" bestFit="1" customWidth="1"/>
    <col min="741" max="743" width="2.3984375" style="1188"/>
    <col min="744" max="746" width="2.8984375" style="1188" bestFit="1" customWidth="1"/>
    <col min="747" max="748" width="2.3984375" style="1188"/>
    <col min="749" max="749" width="4.19921875" style="1188" bestFit="1" customWidth="1"/>
    <col min="750" max="750" width="2.3984375" style="1188"/>
    <col min="751" max="751" width="4.19921875" style="1188" bestFit="1" customWidth="1"/>
    <col min="752" max="753" width="2.3984375" style="1188"/>
    <col min="754" max="754" width="4.19921875" style="1188" bestFit="1" customWidth="1"/>
    <col min="755" max="755" width="2.3984375" style="1188"/>
    <col min="756" max="756" width="4.19921875" style="1188" bestFit="1" customWidth="1"/>
    <col min="757" max="759" width="2.3984375" style="1188"/>
    <col min="760" max="762" width="2.8984375" style="1188" bestFit="1" customWidth="1"/>
    <col min="763" max="764" width="2.3984375" style="1188"/>
    <col min="765" max="765" width="4.19921875" style="1188" bestFit="1" customWidth="1"/>
    <col min="766" max="766" width="2.3984375" style="1188"/>
    <col min="767" max="767" width="4.19921875" style="1188" bestFit="1" customWidth="1"/>
    <col min="768" max="769" width="2.3984375" style="1188"/>
    <col min="770" max="770" width="4.19921875" style="1188" bestFit="1" customWidth="1"/>
    <col min="771" max="771" width="2.3984375" style="1188"/>
    <col min="772" max="772" width="4.19921875" style="1188" bestFit="1" customWidth="1"/>
    <col min="773" max="775" width="2.3984375" style="1188"/>
    <col min="776" max="778" width="2.8984375" style="1188" bestFit="1" customWidth="1"/>
    <col min="779" max="780" width="2.3984375" style="1188"/>
    <col min="781" max="781" width="4.19921875" style="1188" bestFit="1" customWidth="1"/>
    <col min="782" max="782" width="2.3984375" style="1188"/>
    <col min="783" max="783" width="4.19921875" style="1188" bestFit="1" customWidth="1"/>
    <col min="784" max="785" width="2.3984375" style="1188"/>
    <col min="786" max="786" width="4.19921875" style="1188" bestFit="1" customWidth="1"/>
    <col min="787" max="787" width="2.3984375" style="1188"/>
    <col min="788" max="788" width="4.19921875" style="1188" bestFit="1" customWidth="1"/>
    <col min="789" max="791" width="2.3984375" style="1188"/>
    <col min="792" max="794" width="2.8984375" style="1188" bestFit="1" customWidth="1"/>
    <col min="795" max="796" width="2.3984375" style="1188"/>
    <col min="797" max="797" width="4.19921875" style="1188" bestFit="1" customWidth="1"/>
    <col min="798" max="798" width="2.3984375" style="1188"/>
    <col min="799" max="799" width="4.19921875" style="1188" bestFit="1" customWidth="1"/>
    <col min="800" max="801" width="2.3984375" style="1188"/>
    <col min="802" max="802" width="4.19921875" style="1188" bestFit="1" customWidth="1"/>
    <col min="803" max="803" width="2.3984375" style="1188"/>
    <col min="804" max="804" width="4.19921875" style="1188" bestFit="1" customWidth="1"/>
    <col min="805" max="807" width="2.3984375" style="1188"/>
    <col min="808" max="810" width="2.8984375" style="1188" bestFit="1" customWidth="1"/>
    <col min="811" max="812" width="2.3984375" style="1188"/>
    <col min="813" max="813" width="4.19921875" style="1188" bestFit="1" customWidth="1"/>
    <col min="814" max="814" width="2.3984375" style="1188"/>
    <col min="815" max="815" width="4.19921875" style="1188" bestFit="1" customWidth="1"/>
    <col min="816" max="817" width="2.3984375" style="1188"/>
    <col min="818" max="818" width="4.19921875" style="1188" bestFit="1" customWidth="1"/>
    <col min="819" max="819" width="2.3984375" style="1188"/>
    <col min="820" max="820" width="4.19921875" style="1188" bestFit="1" customWidth="1"/>
    <col min="821" max="823" width="2.3984375" style="1188"/>
    <col min="824" max="826" width="2.8984375" style="1188" bestFit="1" customWidth="1"/>
    <col min="827" max="828" width="2.3984375" style="1188"/>
    <col min="829" max="829" width="4.19921875" style="1188" bestFit="1" customWidth="1"/>
    <col min="830" max="830" width="2.3984375" style="1188"/>
    <col min="831" max="831" width="4.19921875" style="1188" bestFit="1" customWidth="1"/>
    <col min="832" max="833" width="2.3984375" style="1188"/>
    <col min="834" max="834" width="4.19921875" style="1188" bestFit="1" customWidth="1"/>
    <col min="835" max="835" width="2.3984375" style="1188"/>
    <col min="836" max="836" width="4.19921875" style="1188" bestFit="1" customWidth="1"/>
    <col min="837" max="839" width="2.3984375" style="1188"/>
    <col min="840" max="842" width="2.8984375" style="1188" bestFit="1" customWidth="1"/>
    <col min="843" max="844" width="2.3984375" style="1188"/>
    <col min="845" max="845" width="4.19921875" style="1188" bestFit="1" customWidth="1"/>
    <col min="846" max="846" width="2.3984375" style="1188"/>
    <col min="847" max="847" width="4.19921875" style="1188" bestFit="1" customWidth="1"/>
    <col min="848" max="849" width="2.3984375" style="1188"/>
    <col min="850" max="850" width="4.19921875" style="1188" bestFit="1" customWidth="1"/>
    <col min="851" max="851" width="2.3984375" style="1188"/>
    <col min="852" max="852" width="4.19921875" style="1188" bestFit="1" customWidth="1"/>
    <col min="853" max="855" width="2.3984375" style="1188"/>
    <col min="856" max="858" width="2.8984375" style="1188" bestFit="1" customWidth="1"/>
    <col min="859" max="860" width="2.3984375" style="1188"/>
    <col min="861" max="861" width="4.19921875" style="1188" bestFit="1" customWidth="1"/>
    <col min="862" max="862" width="2.3984375" style="1188"/>
    <col min="863" max="863" width="4.19921875" style="1188" bestFit="1" customWidth="1"/>
    <col min="864" max="865" width="2.3984375" style="1188"/>
    <col min="866" max="866" width="4.19921875" style="1188" bestFit="1" customWidth="1"/>
    <col min="867" max="867" width="2.3984375" style="1188"/>
    <col min="868" max="868" width="4.19921875" style="1188" bestFit="1" customWidth="1"/>
    <col min="869" max="871" width="2.3984375" style="1188"/>
    <col min="872" max="874" width="2.8984375" style="1188" bestFit="1" customWidth="1"/>
    <col min="875" max="876" width="2.3984375" style="1188"/>
    <col min="877" max="877" width="4.19921875" style="1188" bestFit="1" customWidth="1"/>
    <col min="878" max="878" width="2.3984375" style="1188"/>
    <col min="879" max="879" width="4.19921875" style="1188" bestFit="1" customWidth="1"/>
    <col min="880" max="881" width="2.3984375" style="1188"/>
    <col min="882" max="882" width="4.19921875" style="1188" bestFit="1" customWidth="1"/>
    <col min="883" max="883" width="2.3984375" style="1188"/>
    <col min="884" max="884" width="4.19921875" style="1188" bestFit="1" customWidth="1"/>
    <col min="885" max="887" width="2.3984375" style="1188"/>
    <col min="888" max="890" width="2.8984375" style="1188" bestFit="1" customWidth="1"/>
    <col min="891" max="892" width="2.3984375" style="1188"/>
    <col min="893" max="893" width="4.19921875" style="1188" bestFit="1" customWidth="1"/>
    <col min="894" max="894" width="2.3984375" style="1188"/>
    <col min="895" max="895" width="4.19921875" style="1188" bestFit="1" customWidth="1"/>
    <col min="896" max="897" width="2.3984375" style="1188"/>
    <col min="898" max="898" width="4.19921875" style="1188" bestFit="1" customWidth="1"/>
    <col min="899" max="899" width="2.3984375" style="1188"/>
    <col min="900" max="900" width="4.19921875" style="1188" bestFit="1" customWidth="1"/>
    <col min="901" max="903" width="2.3984375" style="1188"/>
    <col min="904" max="906" width="2.8984375" style="1188" bestFit="1" customWidth="1"/>
    <col min="907" max="908" width="2.3984375" style="1188"/>
    <col min="909" max="909" width="4.19921875" style="1188" bestFit="1" customWidth="1"/>
    <col min="910" max="910" width="2.3984375" style="1188"/>
    <col min="911" max="911" width="4.19921875" style="1188" bestFit="1" customWidth="1"/>
    <col min="912" max="913" width="2.3984375" style="1188"/>
    <col min="914" max="914" width="4.19921875" style="1188" bestFit="1" customWidth="1"/>
    <col min="915" max="915" width="2.3984375" style="1188"/>
    <col min="916" max="916" width="4.19921875" style="1188" bestFit="1" customWidth="1"/>
    <col min="917" max="919" width="2.3984375" style="1188"/>
    <col min="920" max="922" width="2.8984375" style="1188" bestFit="1" customWidth="1"/>
    <col min="923" max="924" width="2.3984375" style="1188"/>
    <col min="925" max="925" width="4.19921875" style="1188" bestFit="1" customWidth="1"/>
    <col min="926" max="926" width="2.3984375" style="1188"/>
    <col min="927" max="927" width="4.19921875" style="1188" bestFit="1" customWidth="1"/>
    <col min="928" max="929" width="2.3984375" style="1188"/>
    <col min="930" max="930" width="4.19921875" style="1188" bestFit="1" customWidth="1"/>
    <col min="931" max="931" width="2.3984375" style="1188"/>
    <col min="932" max="932" width="4.19921875" style="1188" bestFit="1" customWidth="1"/>
    <col min="933" max="935" width="2.3984375" style="1188"/>
    <col min="936" max="938" width="2.8984375" style="1188" bestFit="1" customWidth="1"/>
    <col min="939" max="940" width="2.3984375" style="1188"/>
    <col min="941" max="941" width="4.19921875" style="1188" bestFit="1" customWidth="1"/>
    <col min="942" max="942" width="2.3984375" style="1188"/>
    <col min="943" max="943" width="4.19921875" style="1188" bestFit="1" customWidth="1"/>
    <col min="944" max="945" width="2.3984375" style="1188"/>
    <col min="946" max="946" width="4.19921875" style="1188" bestFit="1" customWidth="1"/>
    <col min="947" max="947" width="2.3984375" style="1188"/>
    <col min="948" max="948" width="4.19921875" style="1188" bestFit="1" customWidth="1"/>
    <col min="949" max="951" width="2.3984375" style="1188"/>
    <col min="952" max="954" width="2.8984375" style="1188" bestFit="1" customWidth="1"/>
    <col min="955" max="956" width="2.3984375" style="1188"/>
    <col min="957" max="957" width="4.19921875" style="1188" bestFit="1" customWidth="1"/>
    <col min="958" max="958" width="2.3984375" style="1188"/>
    <col min="959" max="959" width="4.19921875" style="1188" bestFit="1" customWidth="1"/>
    <col min="960" max="961" width="2.3984375" style="1188"/>
    <col min="962" max="962" width="4.19921875" style="1188" bestFit="1" customWidth="1"/>
    <col min="963" max="963" width="2.3984375" style="1188"/>
    <col min="964" max="964" width="4.19921875" style="1188" bestFit="1" customWidth="1"/>
    <col min="965" max="967" width="2.3984375" style="1188"/>
    <col min="968" max="970" width="2.8984375" style="1188" bestFit="1" customWidth="1"/>
    <col min="971" max="972" width="2.3984375" style="1188"/>
    <col min="973" max="973" width="4.19921875" style="1188" bestFit="1" customWidth="1"/>
    <col min="974" max="974" width="2.3984375" style="1188"/>
    <col min="975" max="975" width="4.19921875" style="1188" bestFit="1" customWidth="1"/>
    <col min="976" max="977" width="2.3984375" style="1188"/>
    <col min="978" max="978" width="4.19921875" style="1188" bestFit="1" customWidth="1"/>
    <col min="979" max="979" width="2.3984375" style="1188"/>
    <col min="980" max="980" width="4.19921875" style="1188" bestFit="1" customWidth="1"/>
    <col min="981" max="983" width="2.3984375" style="1188"/>
    <col min="984" max="986" width="2.8984375" style="1188" bestFit="1" customWidth="1"/>
    <col min="987" max="988" width="2.3984375" style="1188"/>
    <col min="989" max="989" width="4.19921875" style="1188" bestFit="1" customWidth="1"/>
    <col min="990" max="990" width="2.3984375" style="1188"/>
    <col min="991" max="991" width="4.19921875" style="1188" bestFit="1" customWidth="1"/>
    <col min="992" max="993" width="2.3984375" style="1188"/>
    <col min="994" max="994" width="4.19921875" style="1188" bestFit="1" customWidth="1"/>
    <col min="995" max="995" width="2.3984375" style="1188"/>
    <col min="996" max="996" width="4.19921875" style="1188" bestFit="1" customWidth="1"/>
    <col min="997" max="999" width="2.3984375" style="1188"/>
    <col min="1000" max="1002" width="2.8984375" style="1188" bestFit="1" customWidth="1"/>
    <col min="1003" max="1004" width="2.3984375" style="1188"/>
    <col min="1005" max="1005" width="4.19921875" style="1188" bestFit="1" customWidth="1"/>
    <col min="1006" max="1006" width="2.3984375" style="1188"/>
    <col min="1007" max="1007" width="4.19921875" style="1188" bestFit="1" customWidth="1"/>
    <col min="1008" max="1009" width="2.3984375" style="1188"/>
    <col min="1010" max="1010" width="4.19921875" style="1188" bestFit="1" customWidth="1"/>
    <col min="1011" max="1011" width="2.3984375" style="1188"/>
    <col min="1012" max="1012" width="4.19921875" style="1188" bestFit="1" customWidth="1"/>
    <col min="1013" max="1015" width="2.3984375" style="1188"/>
    <col min="1016" max="1018" width="2.8984375" style="1188" bestFit="1" customWidth="1"/>
    <col min="1019" max="1020" width="2.3984375" style="1188"/>
    <col min="1021" max="1021" width="4.19921875" style="1188" bestFit="1" customWidth="1"/>
    <col min="1022" max="1022" width="2.3984375" style="1188"/>
    <col min="1023" max="1023" width="4.19921875" style="1188" bestFit="1" customWidth="1"/>
    <col min="1024" max="1025" width="2.3984375" style="1188"/>
    <col min="1026" max="1026" width="4.19921875" style="1188" bestFit="1" customWidth="1"/>
    <col min="1027" max="1027" width="2.3984375" style="1188"/>
    <col min="1028" max="1028" width="4.19921875" style="1188" bestFit="1" customWidth="1"/>
    <col min="1029" max="1031" width="2.3984375" style="1188"/>
    <col min="1032" max="1034" width="2.8984375" style="1188" bestFit="1" customWidth="1"/>
    <col min="1035" max="1036" width="2.3984375" style="1188"/>
    <col min="1037" max="1037" width="4.19921875" style="1188" bestFit="1" customWidth="1"/>
    <col min="1038" max="1038" width="2.3984375" style="1188"/>
    <col min="1039" max="1039" width="4.19921875" style="1188" bestFit="1" customWidth="1"/>
    <col min="1040" max="1041" width="2.3984375" style="1188"/>
    <col min="1042" max="1042" width="4.19921875" style="1188" bestFit="1" customWidth="1"/>
    <col min="1043" max="1043" width="2.3984375" style="1188"/>
    <col min="1044" max="1044" width="4.19921875" style="1188" bestFit="1" customWidth="1"/>
    <col min="1045" max="1047" width="2.3984375" style="1188"/>
    <col min="1048" max="1050" width="2.8984375" style="1188" bestFit="1" customWidth="1"/>
    <col min="1051" max="1052" width="2.3984375" style="1188"/>
    <col min="1053" max="1053" width="4.19921875" style="1188" bestFit="1" customWidth="1"/>
    <col min="1054" max="1054" width="2.3984375" style="1188"/>
    <col min="1055" max="1055" width="4.19921875" style="1188" bestFit="1" customWidth="1"/>
    <col min="1056" max="1057" width="2.3984375" style="1188"/>
    <col min="1058" max="1058" width="4.19921875" style="1188" bestFit="1" customWidth="1"/>
    <col min="1059" max="1059" width="2.3984375" style="1188"/>
    <col min="1060" max="1060" width="4.19921875" style="1188" bestFit="1" customWidth="1"/>
    <col min="1061" max="1063" width="2.3984375" style="1188"/>
    <col min="1064" max="1066" width="2.8984375" style="1188" bestFit="1" customWidth="1"/>
    <col min="1067" max="1068" width="2.3984375" style="1188"/>
    <col min="1069" max="1069" width="4.19921875" style="1188" bestFit="1" customWidth="1"/>
    <col min="1070" max="1070" width="2.3984375" style="1188"/>
    <col min="1071" max="1071" width="4.19921875" style="1188" bestFit="1" customWidth="1"/>
    <col min="1072" max="1073" width="2.3984375" style="1188"/>
    <col min="1074" max="1074" width="4.19921875" style="1188" bestFit="1" customWidth="1"/>
    <col min="1075" max="1075" width="2.3984375" style="1188"/>
    <col min="1076" max="1076" width="4.19921875" style="1188" bestFit="1" customWidth="1"/>
    <col min="1077" max="1079" width="2.3984375" style="1188"/>
    <col min="1080" max="1082" width="2.8984375" style="1188" bestFit="1" customWidth="1"/>
    <col min="1083" max="1084" width="2.3984375" style="1188"/>
    <col min="1085" max="1085" width="4.19921875" style="1188" bestFit="1" customWidth="1"/>
    <col min="1086" max="1086" width="2.3984375" style="1188"/>
    <col min="1087" max="1087" width="4.19921875" style="1188" bestFit="1" customWidth="1"/>
    <col min="1088" max="1089" width="2.3984375" style="1188"/>
    <col min="1090" max="1090" width="4.19921875" style="1188" bestFit="1" customWidth="1"/>
    <col min="1091" max="1091" width="2.3984375" style="1188"/>
    <col min="1092" max="1092" width="4.19921875" style="1188" bestFit="1" customWidth="1"/>
    <col min="1093" max="1095" width="2.3984375" style="1188"/>
    <col min="1096" max="1098" width="2.8984375" style="1188" bestFit="1" customWidth="1"/>
    <col min="1099" max="1100" width="2.3984375" style="1188"/>
    <col min="1101" max="1101" width="4.19921875" style="1188" bestFit="1" customWidth="1"/>
    <col min="1102" max="1102" width="2.3984375" style="1188"/>
    <col min="1103" max="1103" width="4.19921875" style="1188" bestFit="1" customWidth="1"/>
    <col min="1104" max="1105" width="2.3984375" style="1188"/>
    <col min="1106" max="1106" width="4.19921875" style="1188" bestFit="1" customWidth="1"/>
    <col min="1107" max="1107" width="2.3984375" style="1188"/>
    <col min="1108" max="1108" width="4.19921875" style="1188" bestFit="1" customWidth="1"/>
    <col min="1109" max="1111" width="2.3984375" style="1188"/>
    <col min="1112" max="1114" width="2.8984375" style="1188" bestFit="1" customWidth="1"/>
    <col min="1115" max="1116" width="2.3984375" style="1188"/>
    <col min="1117" max="1117" width="4.19921875" style="1188" bestFit="1" customWidth="1"/>
    <col min="1118" max="1118" width="2.3984375" style="1188"/>
    <col min="1119" max="1119" width="4.19921875" style="1188" bestFit="1" customWidth="1"/>
    <col min="1120" max="1121" width="2.3984375" style="1188"/>
    <col min="1122" max="1122" width="4.19921875" style="1188" bestFit="1" customWidth="1"/>
    <col min="1123" max="1123" width="2.3984375" style="1188"/>
    <col min="1124" max="1124" width="4.19921875" style="1188" bestFit="1" customWidth="1"/>
    <col min="1125" max="1127" width="2.3984375" style="1188"/>
    <col min="1128" max="1130" width="2.8984375" style="1188" bestFit="1" customWidth="1"/>
    <col min="1131" max="1132" width="2.3984375" style="1188"/>
    <col min="1133" max="1133" width="4.19921875" style="1188" bestFit="1" customWidth="1"/>
    <col min="1134" max="1134" width="2.3984375" style="1188"/>
    <col min="1135" max="1135" width="4.19921875" style="1188" bestFit="1" customWidth="1"/>
    <col min="1136" max="1137" width="2.3984375" style="1188"/>
    <col min="1138" max="1138" width="4.19921875" style="1188" bestFit="1" customWidth="1"/>
    <col min="1139" max="1139" width="2.3984375" style="1188"/>
    <col min="1140" max="1140" width="4.19921875" style="1188" bestFit="1" customWidth="1"/>
    <col min="1141" max="1143" width="2.3984375" style="1188"/>
    <col min="1144" max="1146" width="2.8984375" style="1188" bestFit="1" customWidth="1"/>
    <col min="1147" max="1148" width="2.3984375" style="1188"/>
    <col min="1149" max="1149" width="4.19921875" style="1188" bestFit="1" customWidth="1"/>
    <col min="1150" max="1150" width="2.3984375" style="1188"/>
    <col min="1151" max="1151" width="4.19921875" style="1188" bestFit="1" customWidth="1"/>
    <col min="1152" max="1153" width="2.3984375" style="1188"/>
    <col min="1154" max="1154" width="4.19921875" style="1188" bestFit="1" customWidth="1"/>
    <col min="1155" max="1155" width="2.3984375" style="1188"/>
    <col min="1156" max="1156" width="4.19921875" style="1188" bestFit="1" customWidth="1"/>
    <col min="1157" max="1159" width="2.3984375" style="1188"/>
    <col min="1160" max="1162" width="2.8984375" style="1188" bestFit="1" customWidth="1"/>
    <col min="1163" max="1164" width="2.3984375" style="1188"/>
    <col min="1165" max="1165" width="4.19921875" style="1188" bestFit="1" customWidth="1"/>
    <col min="1166" max="1166" width="2.3984375" style="1188"/>
    <col min="1167" max="1167" width="4.19921875" style="1188" bestFit="1" customWidth="1"/>
    <col min="1168" max="1169" width="2.3984375" style="1188"/>
    <col min="1170" max="1170" width="4.19921875" style="1188" bestFit="1" customWidth="1"/>
    <col min="1171" max="1171" width="2.3984375" style="1188"/>
    <col min="1172" max="1172" width="4.19921875" style="1188" bestFit="1" customWidth="1"/>
    <col min="1173" max="1175" width="2.3984375" style="1188"/>
    <col min="1176" max="1178" width="2.8984375" style="1188" bestFit="1" customWidth="1"/>
    <col min="1179" max="1180" width="2.3984375" style="1188"/>
    <col min="1181" max="1181" width="4.19921875" style="1188" bestFit="1" customWidth="1"/>
    <col min="1182" max="1182" width="2.3984375" style="1188"/>
    <col min="1183" max="1183" width="4.19921875" style="1188" bestFit="1" customWidth="1"/>
    <col min="1184" max="1185" width="2.3984375" style="1188"/>
    <col min="1186" max="1186" width="4.19921875" style="1188" bestFit="1" customWidth="1"/>
    <col min="1187" max="1187" width="2.3984375" style="1188"/>
    <col min="1188" max="1188" width="4.19921875" style="1188" bestFit="1" customWidth="1"/>
    <col min="1189" max="1191" width="2.3984375" style="1188"/>
    <col min="1192" max="1194" width="2.8984375" style="1188" bestFit="1" customWidth="1"/>
    <col min="1195" max="1196" width="2.3984375" style="1188"/>
    <col min="1197" max="1197" width="4.19921875" style="1188" bestFit="1" customWidth="1"/>
    <col min="1198" max="1198" width="2.3984375" style="1188"/>
    <col min="1199" max="1199" width="4.19921875" style="1188" bestFit="1" customWidth="1"/>
    <col min="1200" max="1201" width="2.3984375" style="1188"/>
    <col min="1202" max="1202" width="4.19921875" style="1188" bestFit="1" customWidth="1"/>
    <col min="1203" max="1203" width="2.3984375" style="1188"/>
    <col min="1204" max="1204" width="4.19921875" style="1188" bestFit="1" customWidth="1"/>
    <col min="1205" max="1207" width="2.3984375" style="1188"/>
    <col min="1208" max="1210" width="2.8984375" style="1188" bestFit="1" customWidth="1"/>
    <col min="1211" max="1212" width="2.3984375" style="1188"/>
    <col min="1213" max="1213" width="4.19921875" style="1188" bestFit="1" customWidth="1"/>
    <col min="1214" max="1214" width="2.3984375" style="1188"/>
    <col min="1215" max="1215" width="4.19921875" style="1188" bestFit="1" customWidth="1"/>
    <col min="1216" max="1217" width="2.3984375" style="1188"/>
    <col min="1218" max="1218" width="4.19921875" style="1188" bestFit="1" customWidth="1"/>
    <col min="1219" max="1219" width="2.3984375" style="1188"/>
    <col min="1220" max="1220" width="4.19921875" style="1188" bestFit="1" customWidth="1"/>
    <col min="1221" max="1223" width="2.3984375" style="1188"/>
    <col min="1224" max="1226" width="2.8984375" style="1188" bestFit="1" customWidth="1"/>
    <col min="1227" max="1228" width="2.3984375" style="1188"/>
    <col min="1229" max="1229" width="4.19921875" style="1188" bestFit="1" customWidth="1"/>
    <col min="1230" max="1230" width="2.3984375" style="1188"/>
    <col min="1231" max="1231" width="4.19921875" style="1188" bestFit="1" customWidth="1"/>
    <col min="1232" max="1233" width="2.3984375" style="1188"/>
    <col min="1234" max="1234" width="4.19921875" style="1188" bestFit="1" customWidth="1"/>
    <col min="1235" max="1235" width="2.3984375" style="1188"/>
    <col min="1236" max="1236" width="4.19921875" style="1188" bestFit="1" customWidth="1"/>
    <col min="1237" max="1239" width="2.3984375" style="1188"/>
    <col min="1240" max="1242" width="2.8984375" style="1188" bestFit="1" customWidth="1"/>
    <col min="1243" max="1244" width="2.3984375" style="1188"/>
    <col min="1245" max="1245" width="4.19921875" style="1188" bestFit="1" customWidth="1"/>
    <col min="1246" max="1246" width="2.3984375" style="1188"/>
    <col min="1247" max="1247" width="4.19921875" style="1188" bestFit="1" customWidth="1"/>
    <col min="1248" max="1249" width="2.3984375" style="1188"/>
    <col min="1250" max="1250" width="4.19921875" style="1188" bestFit="1" customWidth="1"/>
    <col min="1251" max="1251" width="2.3984375" style="1188"/>
    <col min="1252" max="1252" width="4.19921875" style="1188" bestFit="1" customWidth="1"/>
    <col min="1253" max="1255" width="2.3984375" style="1188"/>
    <col min="1256" max="1258" width="2.8984375" style="1188" bestFit="1" customWidth="1"/>
    <col min="1259" max="1260" width="2.3984375" style="1188"/>
    <col min="1261" max="1261" width="4.19921875" style="1188" bestFit="1" customWidth="1"/>
    <col min="1262" max="1262" width="2.3984375" style="1188"/>
    <col min="1263" max="1263" width="4.19921875" style="1188" bestFit="1" customWidth="1"/>
    <col min="1264" max="1265" width="2.3984375" style="1188"/>
    <col min="1266" max="1266" width="4.19921875" style="1188" bestFit="1" customWidth="1"/>
    <col min="1267" max="1267" width="2.3984375" style="1188"/>
    <col min="1268" max="1268" width="4.19921875" style="1188" bestFit="1" customWidth="1"/>
    <col min="1269" max="1271" width="2.3984375" style="1188"/>
    <col min="1272" max="1274" width="2.8984375" style="1188" bestFit="1" customWidth="1"/>
    <col min="1275" max="1276" width="2.3984375" style="1188"/>
    <col min="1277" max="1277" width="4.19921875" style="1188" bestFit="1" customWidth="1"/>
    <col min="1278" max="1278" width="2.3984375" style="1188"/>
    <col min="1279" max="1279" width="4.19921875" style="1188" bestFit="1" customWidth="1"/>
    <col min="1280" max="1281" width="2.3984375" style="1188"/>
    <col min="1282" max="1282" width="4.19921875" style="1188" bestFit="1" customWidth="1"/>
    <col min="1283" max="1283" width="2.3984375" style="1188"/>
    <col min="1284" max="1284" width="4.19921875" style="1188" bestFit="1" customWidth="1"/>
    <col min="1285" max="1287" width="2.3984375" style="1188"/>
    <col min="1288" max="1290" width="2.8984375" style="1188" bestFit="1" customWidth="1"/>
    <col min="1291" max="1292" width="2.3984375" style="1188"/>
    <col min="1293" max="1293" width="4.19921875" style="1188" bestFit="1" customWidth="1"/>
    <col min="1294" max="1294" width="2.3984375" style="1188"/>
    <col min="1295" max="1295" width="4.19921875" style="1188" bestFit="1" customWidth="1"/>
    <col min="1296" max="1297" width="2.3984375" style="1188"/>
    <col min="1298" max="1298" width="4.19921875" style="1188" bestFit="1" customWidth="1"/>
    <col min="1299" max="1299" width="2.3984375" style="1188"/>
    <col min="1300" max="1300" width="4.19921875" style="1188" bestFit="1" customWidth="1"/>
    <col min="1301" max="1303" width="2.3984375" style="1188"/>
    <col min="1304" max="1306" width="2.8984375" style="1188" bestFit="1" customWidth="1"/>
    <col min="1307" max="1308" width="2.3984375" style="1188"/>
    <col min="1309" max="1309" width="4.19921875" style="1188" bestFit="1" customWidth="1"/>
    <col min="1310" max="1310" width="2.3984375" style="1188"/>
    <col min="1311" max="1311" width="4.19921875" style="1188" bestFit="1" customWidth="1"/>
    <col min="1312" max="1313" width="2.3984375" style="1188"/>
    <col min="1314" max="1314" width="4.19921875" style="1188" bestFit="1" customWidth="1"/>
    <col min="1315" max="1315" width="2.3984375" style="1188"/>
    <col min="1316" max="1316" width="4.19921875" style="1188" bestFit="1" customWidth="1"/>
    <col min="1317" max="1319" width="2.3984375" style="1188"/>
    <col min="1320" max="1322" width="2.8984375" style="1188" bestFit="1" customWidth="1"/>
    <col min="1323" max="1324" width="2.3984375" style="1188"/>
    <col min="1325" max="1325" width="4.19921875" style="1188" bestFit="1" customWidth="1"/>
    <col min="1326" max="1326" width="2.3984375" style="1188"/>
    <col min="1327" max="1327" width="4.19921875" style="1188" bestFit="1" customWidth="1"/>
    <col min="1328" max="1329" width="2.3984375" style="1188"/>
    <col min="1330" max="1330" width="4.19921875" style="1188" bestFit="1" customWidth="1"/>
    <col min="1331" max="1331" width="2.3984375" style="1188"/>
    <col min="1332" max="1332" width="4.19921875" style="1188" bestFit="1" customWidth="1"/>
    <col min="1333" max="1335" width="2.3984375" style="1188"/>
    <col min="1336" max="1338" width="2.8984375" style="1188" bestFit="1" customWidth="1"/>
    <col min="1339" max="1340" width="2.3984375" style="1188"/>
    <col min="1341" max="1341" width="4.19921875" style="1188" bestFit="1" customWidth="1"/>
    <col min="1342" max="1342" width="2.3984375" style="1188"/>
    <col min="1343" max="1343" width="4.19921875" style="1188" bestFit="1" customWidth="1"/>
    <col min="1344" max="1345" width="2.3984375" style="1188"/>
    <col min="1346" max="1346" width="4.19921875" style="1188" bestFit="1" customWidth="1"/>
    <col min="1347" max="1347" width="2.3984375" style="1188"/>
    <col min="1348" max="1348" width="4.19921875" style="1188" bestFit="1" customWidth="1"/>
    <col min="1349" max="1351" width="2.3984375" style="1188"/>
    <col min="1352" max="1354" width="2.8984375" style="1188" bestFit="1" customWidth="1"/>
    <col min="1355" max="1356" width="2.3984375" style="1188"/>
    <col min="1357" max="1357" width="4.19921875" style="1188" bestFit="1" customWidth="1"/>
    <col min="1358" max="1358" width="2.3984375" style="1188"/>
    <col min="1359" max="1359" width="4.19921875" style="1188" bestFit="1" customWidth="1"/>
    <col min="1360" max="1361" width="2.3984375" style="1188"/>
    <col min="1362" max="1362" width="4.19921875" style="1188" bestFit="1" customWidth="1"/>
    <col min="1363" max="1363" width="2.3984375" style="1188"/>
    <col min="1364" max="1364" width="4.19921875" style="1188" bestFit="1" customWidth="1"/>
    <col min="1365" max="1367" width="2.3984375" style="1188"/>
    <col min="1368" max="1370" width="2.8984375" style="1188" bestFit="1" customWidth="1"/>
    <col min="1371" max="1372" width="2.3984375" style="1188"/>
    <col min="1373" max="1373" width="4.19921875" style="1188" bestFit="1" customWidth="1"/>
    <col min="1374" max="1374" width="2.3984375" style="1188"/>
    <col min="1375" max="1375" width="4.19921875" style="1188" bestFit="1" customWidth="1"/>
    <col min="1376" max="1377" width="2.3984375" style="1188"/>
    <col min="1378" max="1378" width="4.19921875" style="1188" bestFit="1" customWidth="1"/>
    <col min="1379" max="1379" width="2.3984375" style="1188"/>
    <col min="1380" max="1380" width="4.19921875" style="1188" bestFit="1" customWidth="1"/>
    <col min="1381" max="1383" width="2.3984375" style="1188"/>
    <col min="1384" max="1386" width="2.8984375" style="1188" bestFit="1" customWidth="1"/>
    <col min="1387" max="1388" width="2.3984375" style="1188"/>
    <col min="1389" max="1389" width="4.19921875" style="1188" bestFit="1" customWidth="1"/>
    <col min="1390" max="1390" width="2.3984375" style="1188"/>
    <col min="1391" max="1391" width="4.19921875" style="1188" bestFit="1" customWidth="1"/>
    <col min="1392" max="1393" width="2.3984375" style="1188"/>
    <col min="1394" max="1394" width="4.19921875" style="1188" bestFit="1" customWidth="1"/>
    <col min="1395" max="1395" width="2.3984375" style="1188"/>
    <col min="1396" max="1396" width="4.19921875" style="1188" bestFit="1" customWidth="1"/>
    <col min="1397" max="1399" width="2.3984375" style="1188"/>
    <col min="1400" max="1402" width="2.8984375" style="1188" bestFit="1" customWidth="1"/>
    <col min="1403" max="1404" width="2.3984375" style="1188"/>
    <col min="1405" max="1405" width="4.19921875" style="1188" bestFit="1" customWidth="1"/>
    <col min="1406" max="1406" width="2.3984375" style="1188"/>
    <col min="1407" max="1407" width="4.19921875" style="1188" bestFit="1" customWidth="1"/>
    <col min="1408" max="1409" width="2.3984375" style="1188"/>
    <col min="1410" max="1410" width="4.19921875" style="1188" bestFit="1" customWidth="1"/>
    <col min="1411" max="1411" width="2.3984375" style="1188"/>
    <col min="1412" max="1412" width="4.19921875" style="1188" bestFit="1" customWidth="1"/>
    <col min="1413" max="1415" width="2.3984375" style="1188"/>
    <col min="1416" max="1418" width="2.8984375" style="1188" bestFit="1" customWidth="1"/>
    <col min="1419" max="1420" width="2.3984375" style="1188"/>
    <col min="1421" max="1421" width="4.19921875" style="1188" bestFit="1" customWidth="1"/>
    <col min="1422" max="1422" width="2.3984375" style="1188"/>
    <col min="1423" max="1423" width="4.19921875" style="1188" bestFit="1" customWidth="1"/>
    <col min="1424" max="1425" width="2.3984375" style="1188"/>
    <col min="1426" max="1426" width="4.19921875" style="1188" bestFit="1" customWidth="1"/>
    <col min="1427" max="1427" width="2.3984375" style="1188"/>
    <col min="1428" max="1428" width="4.19921875" style="1188" bestFit="1" customWidth="1"/>
    <col min="1429" max="1431" width="2.3984375" style="1188"/>
    <col min="1432" max="1434" width="2.8984375" style="1188" bestFit="1" customWidth="1"/>
    <col min="1435" max="1436" width="2.3984375" style="1188"/>
    <col min="1437" max="1437" width="4.19921875" style="1188" bestFit="1" customWidth="1"/>
    <col min="1438" max="1438" width="2.3984375" style="1188"/>
    <col min="1439" max="1439" width="4.19921875" style="1188" bestFit="1" customWidth="1"/>
    <col min="1440" max="1441" width="2.3984375" style="1188"/>
    <col min="1442" max="1442" width="4.19921875" style="1188" bestFit="1" customWidth="1"/>
    <col min="1443" max="1443" width="2.3984375" style="1188"/>
    <col min="1444" max="1444" width="4.19921875" style="1188" bestFit="1" customWidth="1"/>
    <col min="1445" max="1447" width="2.3984375" style="1188"/>
    <col min="1448" max="1450" width="2.8984375" style="1188" bestFit="1" customWidth="1"/>
    <col min="1451" max="1452" width="2.3984375" style="1188"/>
    <col min="1453" max="1453" width="4.19921875" style="1188" bestFit="1" customWidth="1"/>
    <col min="1454" max="1454" width="2.3984375" style="1188"/>
    <col min="1455" max="1455" width="4.19921875" style="1188" bestFit="1" customWidth="1"/>
    <col min="1456" max="1457" width="2.3984375" style="1188"/>
    <col min="1458" max="1458" width="4.19921875" style="1188" bestFit="1" customWidth="1"/>
    <col min="1459" max="1459" width="2.3984375" style="1188"/>
    <col min="1460" max="1460" width="4.19921875" style="1188" bestFit="1" customWidth="1"/>
    <col min="1461" max="1463" width="2.3984375" style="1188"/>
    <col min="1464" max="1466" width="2.8984375" style="1188" bestFit="1" customWidth="1"/>
    <col min="1467" max="1468" width="2.3984375" style="1188"/>
    <col min="1469" max="1469" width="4.19921875" style="1188" bestFit="1" customWidth="1"/>
    <col min="1470" max="1470" width="2.3984375" style="1188"/>
    <col min="1471" max="1471" width="4.19921875" style="1188" bestFit="1" customWidth="1"/>
    <col min="1472" max="1473" width="2.3984375" style="1188"/>
    <col min="1474" max="1474" width="4.19921875" style="1188" bestFit="1" customWidth="1"/>
    <col min="1475" max="1475" width="2.3984375" style="1188"/>
    <col min="1476" max="1476" width="4.19921875" style="1188" bestFit="1" customWidth="1"/>
    <col min="1477" max="1479" width="2.3984375" style="1188"/>
    <col min="1480" max="1482" width="2.8984375" style="1188" bestFit="1" customWidth="1"/>
    <col min="1483" max="1484" width="2.3984375" style="1188"/>
    <col min="1485" max="1485" width="4.19921875" style="1188" bestFit="1" customWidth="1"/>
    <col min="1486" max="1486" width="2.3984375" style="1188"/>
    <col min="1487" max="1487" width="4.19921875" style="1188" bestFit="1" customWidth="1"/>
    <col min="1488" max="1489" width="2.3984375" style="1188"/>
    <col min="1490" max="1490" width="4.19921875" style="1188" bestFit="1" customWidth="1"/>
    <col min="1491" max="1491" width="2.3984375" style="1188"/>
    <col min="1492" max="1492" width="4.19921875" style="1188" bestFit="1" customWidth="1"/>
    <col min="1493" max="1495" width="2.3984375" style="1188"/>
    <col min="1496" max="1498" width="2.8984375" style="1188" bestFit="1" customWidth="1"/>
    <col min="1499" max="1500" width="2.3984375" style="1188"/>
    <col min="1501" max="1501" width="4.19921875" style="1188" bestFit="1" customWidth="1"/>
    <col min="1502" max="1502" width="2.3984375" style="1188"/>
    <col min="1503" max="1503" width="4.19921875" style="1188" bestFit="1" customWidth="1"/>
    <col min="1504" max="1505" width="2.3984375" style="1188"/>
    <col min="1506" max="1506" width="4.19921875" style="1188" bestFit="1" customWidth="1"/>
    <col min="1507" max="1507" width="2.3984375" style="1188"/>
    <col min="1508" max="1508" width="4.19921875" style="1188" bestFit="1" customWidth="1"/>
    <col min="1509" max="1511" width="2.3984375" style="1188"/>
    <col min="1512" max="1514" width="2.8984375" style="1188" bestFit="1" customWidth="1"/>
    <col min="1515" max="1516" width="2.3984375" style="1188"/>
    <col min="1517" max="1517" width="4.19921875" style="1188" bestFit="1" customWidth="1"/>
    <col min="1518" max="1518" width="2.3984375" style="1188"/>
    <col min="1519" max="1519" width="4.19921875" style="1188" bestFit="1" customWidth="1"/>
    <col min="1520" max="1521" width="2.3984375" style="1188"/>
    <col min="1522" max="1522" width="4.19921875" style="1188" bestFit="1" customWidth="1"/>
    <col min="1523" max="1523" width="2.3984375" style="1188"/>
    <col min="1524" max="1524" width="4.19921875" style="1188" bestFit="1" customWidth="1"/>
    <col min="1525" max="1527" width="2.3984375" style="1188"/>
    <col min="1528" max="1530" width="2.8984375" style="1188" bestFit="1" customWidth="1"/>
    <col min="1531" max="1532" width="2.3984375" style="1188"/>
    <col min="1533" max="1533" width="4.19921875" style="1188" bestFit="1" customWidth="1"/>
    <col min="1534" max="1534" width="2.3984375" style="1188"/>
    <col min="1535" max="1535" width="4.19921875" style="1188" bestFit="1" customWidth="1"/>
    <col min="1536" max="1537" width="2.3984375" style="1188"/>
    <col min="1538" max="1538" width="4.19921875" style="1188" bestFit="1" customWidth="1"/>
    <col min="1539" max="1539" width="2.3984375" style="1188"/>
    <col min="1540" max="1540" width="4.19921875" style="1188" bestFit="1" customWidth="1"/>
    <col min="1541" max="1543" width="2.3984375" style="1188"/>
    <col min="1544" max="1546" width="2.8984375" style="1188" bestFit="1" customWidth="1"/>
    <col min="1547" max="1548" width="2.3984375" style="1188"/>
    <col min="1549" max="1549" width="4.19921875" style="1188" bestFit="1" customWidth="1"/>
    <col min="1550" max="1550" width="2.3984375" style="1188"/>
    <col min="1551" max="1551" width="4.19921875" style="1188" bestFit="1" customWidth="1"/>
    <col min="1552" max="1553" width="2.3984375" style="1188"/>
    <col min="1554" max="1554" width="4.19921875" style="1188" bestFit="1" customWidth="1"/>
    <col min="1555" max="1555" width="2.3984375" style="1188"/>
    <col min="1556" max="1556" width="4.19921875" style="1188" bestFit="1" customWidth="1"/>
    <col min="1557" max="1559" width="2.3984375" style="1188"/>
    <col min="1560" max="1562" width="2.8984375" style="1188" bestFit="1" customWidth="1"/>
    <col min="1563" max="1564" width="2.3984375" style="1188"/>
    <col min="1565" max="1565" width="4.19921875" style="1188" bestFit="1" customWidth="1"/>
    <col min="1566" max="1566" width="2.3984375" style="1188"/>
    <col min="1567" max="1567" width="4.19921875" style="1188" bestFit="1" customWidth="1"/>
    <col min="1568" max="1569" width="2.3984375" style="1188"/>
    <col min="1570" max="1570" width="4.19921875" style="1188" bestFit="1" customWidth="1"/>
    <col min="1571" max="1571" width="2.3984375" style="1188"/>
    <col min="1572" max="1572" width="4.19921875" style="1188" bestFit="1" customWidth="1"/>
    <col min="1573" max="1575" width="2.3984375" style="1188"/>
    <col min="1576" max="1578" width="2.8984375" style="1188" bestFit="1" customWidth="1"/>
    <col min="1579" max="1580" width="2.3984375" style="1188"/>
    <col min="1581" max="1581" width="4.19921875" style="1188" bestFit="1" customWidth="1"/>
    <col min="1582" max="1582" width="2.3984375" style="1188"/>
    <col min="1583" max="1583" width="4.19921875" style="1188" bestFit="1" customWidth="1"/>
    <col min="1584" max="1585" width="2.3984375" style="1188"/>
    <col min="1586" max="1586" width="4.19921875" style="1188" bestFit="1" customWidth="1"/>
    <col min="1587" max="1587" width="2.3984375" style="1188"/>
    <col min="1588" max="1588" width="4.19921875" style="1188" bestFit="1" customWidth="1"/>
    <col min="1589" max="1591" width="2.3984375" style="1188"/>
    <col min="1592" max="1594" width="2.8984375" style="1188" bestFit="1" customWidth="1"/>
    <col min="1595" max="1596" width="2.3984375" style="1188"/>
    <col min="1597" max="1597" width="4.19921875" style="1188" bestFit="1" customWidth="1"/>
    <col min="1598" max="1598" width="2.3984375" style="1188"/>
    <col min="1599" max="1599" width="4.19921875" style="1188" bestFit="1" customWidth="1"/>
    <col min="1600" max="1601" width="2.3984375" style="1188"/>
    <col min="1602" max="1602" width="4.19921875" style="1188" bestFit="1" customWidth="1"/>
    <col min="1603" max="1603" width="2.3984375" style="1188"/>
    <col min="1604" max="1604" width="4.19921875" style="1188" bestFit="1" customWidth="1"/>
    <col min="1605" max="1607" width="2.3984375" style="1188"/>
    <col min="1608" max="1610" width="2.8984375" style="1188" bestFit="1" customWidth="1"/>
    <col min="1611" max="1612" width="2.3984375" style="1188"/>
    <col min="1613" max="1613" width="4.19921875" style="1188" bestFit="1" customWidth="1"/>
    <col min="1614" max="1614" width="2.3984375" style="1188"/>
    <col min="1615" max="1615" width="4.19921875" style="1188" bestFit="1" customWidth="1"/>
    <col min="1616" max="1617" width="2.3984375" style="1188"/>
    <col min="1618" max="1618" width="4.19921875" style="1188" bestFit="1" customWidth="1"/>
    <col min="1619" max="1619" width="2.3984375" style="1188"/>
    <col min="1620" max="1620" width="4.19921875" style="1188" bestFit="1" customWidth="1"/>
    <col min="1621" max="1623" width="2.3984375" style="1188"/>
    <col min="1624" max="1626" width="2.8984375" style="1188" bestFit="1" customWidth="1"/>
    <col min="1627" max="1628" width="2.3984375" style="1188"/>
    <col min="1629" max="1629" width="4.19921875" style="1188" bestFit="1" customWidth="1"/>
    <col min="1630" max="1630" width="2.3984375" style="1188"/>
    <col min="1631" max="1631" width="4.19921875" style="1188" bestFit="1" customWidth="1"/>
    <col min="1632" max="1633" width="2.3984375" style="1188"/>
    <col min="1634" max="1634" width="4.19921875" style="1188" bestFit="1" customWidth="1"/>
    <col min="1635" max="1635" width="2.3984375" style="1188"/>
    <col min="1636" max="1636" width="4.19921875" style="1188" bestFit="1" customWidth="1"/>
    <col min="1637" max="1639" width="2.3984375" style="1188"/>
    <col min="1640" max="1642" width="2.8984375" style="1188" bestFit="1" customWidth="1"/>
    <col min="1643" max="1644" width="2.3984375" style="1188"/>
    <col min="1645" max="1645" width="4.19921875" style="1188" bestFit="1" customWidth="1"/>
    <col min="1646" max="1646" width="2.3984375" style="1188"/>
    <col min="1647" max="1647" width="4.19921875" style="1188" bestFit="1" customWidth="1"/>
    <col min="1648" max="1649" width="2.3984375" style="1188"/>
    <col min="1650" max="1650" width="4.19921875" style="1188" bestFit="1" customWidth="1"/>
    <col min="1651" max="1651" width="2.3984375" style="1188"/>
    <col min="1652" max="1652" width="4.19921875" style="1188" bestFit="1" customWidth="1"/>
    <col min="1653" max="1655" width="2.3984375" style="1188"/>
    <col min="1656" max="1658" width="2.8984375" style="1188" bestFit="1" customWidth="1"/>
    <col min="1659" max="1660" width="2.3984375" style="1188"/>
    <col min="1661" max="1661" width="4.19921875" style="1188" bestFit="1" customWidth="1"/>
    <col min="1662" max="1662" width="2.3984375" style="1188"/>
    <col min="1663" max="1663" width="4.19921875" style="1188" bestFit="1" customWidth="1"/>
    <col min="1664" max="1665" width="2.3984375" style="1188"/>
    <col min="1666" max="1666" width="4.19921875" style="1188" bestFit="1" customWidth="1"/>
    <col min="1667" max="1667" width="2.3984375" style="1188"/>
    <col min="1668" max="1668" width="4.19921875" style="1188" bestFit="1" customWidth="1"/>
    <col min="1669" max="1671" width="2.3984375" style="1188"/>
    <col min="1672" max="1674" width="2.8984375" style="1188" bestFit="1" customWidth="1"/>
    <col min="1675" max="1676" width="2.3984375" style="1188"/>
    <col min="1677" max="1677" width="4.19921875" style="1188" bestFit="1" customWidth="1"/>
    <col min="1678" max="1678" width="2.3984375" style="1188"/>
    <col min="1679" max="1679" width="4.19921875" style="1188" bestFit="1" customWidth="1"/>
    <col min="1680" max="1681" width="2.3984375" style="1188"/>
    <col min="1682" max="1682" width="4.19921875" style="1188" bestFit="1" customWidth="1"/>
    <col min="1683" max="1683" width="2.3984375" style="1188"/>
    <col min="1684" max="1684" width="4.19921875" style="1188" bestFit="1" customWidth="1"/>
    <col min="1685" max="1687" width="2.3984375" style="1188"/>
    <col min="1688" max="1690" width="2.8984375" style="1188" bestFit="1" customWidth="1"/>
    <col min="1691" max="1692" width="2.3984375" style="1188"/>
    <col min="1693" max="1693" width="4.19921875" style="1188" bestFit="1" customWidth="1"/>
    <col min="1694" max="1694" width="2.3984375" style="1188"/>
    <col min="1695" max="1695" width="4.19921875" style="1188" bestFit="1" customWidth="1"/>
    <col min="1696" max="1697" width="2.3984375" style="1188"/>
    <col min="1698" max="1698" width="4.19921875" style="1188" bestFit="1" customWidth="1"/>
    <col min="1699" max="1699" width="2.3984375" style="1188"/>
    <col min="1700" max="1700" width="4.19921875" style="1188" bestFit="1" customWidth="1"/>
    <col min="1701" max="1703" width="2.3984375" style="1188"/>
    <col min="1704" max="1706" width="2.8984375" style="1188" bestFit="1" customWidth="1"/>
    <col min="1707" max="1708" width="2.3984375" style="1188"/>
    <col min="1709" max="1709" width="4.19921875" style="1188" bestFit="1" customWidth="1"/>
    <col min="1710" max="1710" width="2.3984375" style="1188"/>
    <col min="1711" max="1711" width="4.19921875" style="1188" bestFit="1" customWidth="1"/>
    <col min="1712" max="1713" width="2.3984375" style="1188"/>
    <col min="1714" max="1714" width="4.19921875" style="1188" bestFit="1" customWidth="1"/>
    <col min="1715" max="1715" width="2.3984375" style="1188"/>
    <col min="1716" max="1716" width="4.19921875" style="1188" bestFit="1" customWidth="1"/>
    <col min="1717" max="1719" width="2.3984375" style="1188"/>
    <col min="1720" max="1722" width="2.8984375" style="1188" bestFit="1" customWidth="1"/>
    <col min="1723" max="1724" width="2.3984375" style="1188"/>
    <col min="1725" max="1725" width="4.19921875" style="1188" bestFit="1" customWidth="1"/>
    <col min="1726" max="1726" width="2.3984375" style="1188"/>
    <col min="1727" max="1727" width="4.19921875" style="1188" bestFit="1" customWidth="1"/>
    <col min="1728" max="1729" width="2.3984375" style="1188"/>
    <col min="1730" max="1730" width="4.19921875" style="1188" bestFit="1" customWidth="1"/>
    <col min="1731" max="1731" width="2.3984375" style="1188"/>
    <col min="1732" max="1732" width="4.19921875" style="1188" bestFit="1" customWidth="1"/>
    <col min="1733" max="1735" width="2.3984375" style="1188"/>
    <col min="1736" max="1738" width="2.8984375" style="1188" bestFit="1" customWidth="1"/>
    <col min="1739" max="1740" width="2.3984375" style="1188"/>
    <col min="1741" max="1741" width="4.19921875" style="1188" bestFit="1" customWidth="1"/>
    <col min="1742" max="1742" width="2.3984375" style="1188"/>
    <col min="1743" max="1743" width="4.19921875" style="1188" bestFit="1" customWidth="1"/>
    <col min="1744" max="1745" width="2.3984375" style="1188"/>
    <col min="1746" max="1746" width="4.19921875" style="1188" bestFit="1" customWidth="1"/>
    <col min="1747" max="1747" width="2.3984375" style="1188"/>
    <col min="1748" max="1748" width="4.19921875" style="1188" bestFit="1" customWidth="1"/>
    <col min="1749" max="1751" width="2.3984375" style="1188"/>
    <col min="1752" max="1754" width="2.8984375" style="1188" bestFit="1" customWidth="1"/>
    <col min="1755" max="1756" width="2.3984375" style="1188"/>
    <col min="1757" max="1757" width="4.19921875" style="1188" bestFit="1" customWidth="1"/>
    <col min="1758" max="1758" width="2.3984375" style="1188"/>
    <col min="1759" max="1759" width="4.19921875" style="1188" bestFit="1" customWidth="1"/>
    <col min="1760" max="1761" width="2.3984375" style="1188"/>
    <col min="1762" max="1762" width="4.19921875" style="1188" bestFit="1" customWidth="1"/>
    <col min="1763" max="1763" width="2.3984375" style="1188"/>
    <col min="1764" max="1764" width="4.19921875" style="1188" bestFit="1" customWidth="1"/>
    <col min="1765" max="1767" width="2.3984375" style="1188"/>
    <col min="1768" max="1770" width="2.8984375" style="1188" bestFit="1" customWidth="1"/>
    <col min="1771" max="1772" width="2.3984375" style="1188"/>
    <col min="1773" max="1773" width="4.19921875" style="1188" bestFit="1" customWidth="1"/>
    <col min="1774" max="1774" width="2.3984375" style="1188"/>
    <col min="1775" max="1775" width="4.19921875" style="1188" bestFit="1" customWidth="1"/>
    <col min="1776" max="1777" width="2.3984375" style="1188"/>
    <col min="1778" max="1778" width="4.19921875" style="1188" bestFit="1" customWidth="1"/>
    <col min="1779" max="1779" width="2.3984375" style="1188"/>
    <col min="1780" max="1780" width="4.19921875" style="1188" bestFit="1" customWidth="1"/>
    <col min="1781" max="1783" width="2.3984375" style="1188"/>
    <col min="1784" max="1786" width="2.8984375" style="1188" bestFit="1" customWidth="1"/>
    <col min="1787" max="1788" width="2.3984375" style="1188"/>
    <col min="1789" max="1789" width="4.19921875" style="1188" bestFit="1" customWidth="1"/>
    <col min="1790" max="1790" width="2.3984375" style="1188"/>
    <col min="1791" max="1791" width="4.19921875" style="1188" bestFit="1" customWidth="1"/>
    <col min="1792" max="1793" width="2.3984375" style="1188"/>
    <col min="1794" max="1794" width="4.19921875" style="1188" bestFit="1" customWidth="1"/>
    <col min="1795" max="1795" width="2.3984375" style="1188"/>
    <col min="1796" max="1796" width="4.19921875" style="1188" bestFit="1" customWidth="1"/>
    <col min="1797" max="1799" width="2.3984375" style="1188"/>
    <col min="1800" max="1802" width="2.8984375" style="1188" bestFit="1" customWidth="1"/>
    <col min="1803" max="1804" width="2.3984375" style="1188"/>
    <col min="1805" max="1805" width="4.19921875" style="1188" bestFit="1" customWidth="1"/>
    <col min="1806" max="1806" width="2.3984375" style="1188"/>
    <col min="1807" max="1807" width="4.19921875" style="1188" bestFit="1" customWidth="1"/>
    <col min="1808" max="1809" width="2.3984375" style="1188"/>
    <col min="1810" max="1810" width="4.19921875" style="1188" bestFit="1" customWidth="1"/>
    <col min="1811" max="1811" width="2.3984375" style="1188"/>
    <col min="1812" max="1812" width="4.19921875" style="1188" bestFit="1" customWidth="1"/>
    <col min="1813" max="1815" width="2.3984375" style="1188"/>
    <col min="1816" max="1818" width="2.8984375" style="1188" bestFit="1" customWidth="1"/>
    <col min="1819" max="1820" width="2.3984375" style="1188"/>
    <col min="1821" max="1821" width="4.19921875" style="1188" bestFit="1" customWidth="1"/>
    <col min="1822" max="1822" width="2.3984375" style="1188"/>
    <col min="1823" max="1823" width="4.19921875" style="1188" bestFit="1" customWidth="1"/>
    <col min="1824" max="1825" width="2.3984375" style="1188"/>
    <col min="1826" max="1826" width="4.19921875" style="1188" bestFit="1" customWidth="1"/>
    <col min="1827" max="1827" width="2.3984375" style="1188"/>
    <col min="1828" max="1828" width="4.19921875" style="1188" bestFit="1" customWidth="1"/>
    <col min="1829" max="1831" width="2.3984375" style="1188"/>
    <col min="1832" max="1834" width="2.8984375" style="1188" bestFit="1" customWidth="1"/>
    <col min="1835" max="1836" width="2.3984375" style="1188"/>
    <col min="1837" max="1837" width="4.19921875" style="1188" bestFit="1" customWidth="1"/>
    <col min="1838" max="1838" width="2.3984375" style="1188"/>
    <col min="1839" max="1839" width="4.19921875" style="1188" bestFit="1" customWidth="1"/>
    <col min="1840" max="1841" width="2.3984375" style="1188"/>
    <col min="1842" max="1842" width="4.19921875" style="1188" bestFit="1" customWidth="1"/>
    <col min="1843" max="1843" width="2.3984375" style="1188"/>
    <col min="1844" max="1844" width="4.19921875" style="1188" bestFit="1" customWidth="1"/>
    <col min="1845" max="1847" width="2.3984375" style="1188"/>
    <col min="1848" max="1850" width="2.8984375" style="1188" bestFit="1" customWidth="1"/>
    <col min="1851" max="1852" width="2.3984375" style="1188"/>
    <col min="1853" max="1853" width="4.19921875" style="1188" bestFit="1" customWidth="1"/>
    <col min="1854" max="1854" width="2.3984375" style="1188"/>
    <col min="1855" max="1855" width="4.19921875" style="1188" bestFit="1" customWidth="1"/>
    <col min="1856" max="1857" width="2.3984375" style="1188"/>
    <col min="1858" max="1858" width="4.19921875" style="1188" bestFit="1" customWidth="1"/>
    <col min="1859" max="1859" width="2.3984375" style="1188"/>
    <col min="1860" max="1860" width="4.19921875" style="1188" bestFit="1" customWidth="1"/>
    <col min="1861" max="1863" width="2.3984375" style="1188"/>
    <col min="1864" max="1866" width="2.8984375" style="1188" bestFit="1" customWidth="1"/>
    <col min="1867" max="1868" width="2.3984375" style="1188"/>
    <col min="1869" max="1869" width="4.19921875" style="1188" bestFit="1" customWidth="1"/>
    <col min="1870" max="1870" width="2.3984375" style="1188"/>
    <col min="1871" max="1871" width="4.19921875" style="1188" bestFit="1" customWidth="1"/>
    <col min="1872" max="1873" width="2.3984375" style="1188"/>
    <col min="1874" max="1874" width="4.19921875" style="1188" bestFit="1" customWidth="1"/>
    <col min="1875" max="1875" width="2.3984375" style="1188"/>
    <col min="1876" max="1876" width="4.19921875" style="1188" bestFit="1" customWidth="1"/>
    <col min="1877" max="1879" width="2.3984375" style="1188"/>
    <col min="1880" max="1882" width="2.8984375" style="1188" bestFit="1" customWidth="1"/>
    <col min="1883" max="1884" width="2.3984375" style="1188"/>
    <col min="1885" max="1885" width="4.19921875" style="1188" bestFit="1" customWidth="1"/>
    <col min="1886" max="1886" width="2.3984375" style="1188"/>
    <col min="1887" max="1887" width="4.19921875" style="1188" bestFit="1" customWidth="1"/>
    <col min="1888" max="1889" width="2.3984375" style="1188"/>
    <col min="1890" max="1890" width="4.19921875" style="1188" bestFit="1" customWidth="1"/>
    <col min="1891" max="1891" width="2.3984375" style="1188"/>
    <col min="1892" max="1892" width="4.19921875" style="1188" bestFit="1" customWidth="1"/>
    <col min="1893" max="1895" width="2.3984375" style="1188"/>
    <col min="1896" max="1898" width="2.8984375" style="1188" bestFit="1" customWidth="1"/>
    <col min="1899" max="1900" width="2.3984375" style="1188"/>
    <col min="1901" max="1901" width="4.19921875" style="1188" bestFit="1" customWidth="1"/>
    <col min="1902" max="1902" width="2.3984375" style="1188"/>
    <col min="1903" max="1903" width="4.19921875" style="1188" bestFit="1" customWidth="1"/>
    <col min="1904" max="1905" width="2.3984375" style="1188"/>
    <col min="1906" max="1906" width="4.19921875" style="1188" bestFit="1" customWidth="1"/>
    <col min="1907" max="1907" width="2.3984375" style="1188"/>
    <col min="1908" max="1908" width="4.19921875" style="1188" bestFit="1" customWidth="1"/>
    <col min="1909" max="1911" width="2.3984375" style="1188"/>
    <col min="1912" max="1914" width="2.8984375" style="1188" bestFit="1" customWidth="1"/>
    <col min="1915" max="1916" width="2.3984375" style="1188"/>
    <col min="1917" max="1917" width="4.19921875" style="1188" bestFit="1" customWidth="1"/>
    <col min="1918" max="1918" width="2.3984375" style="1188"/>
    <col min="1919" max="1919" width="4.19921875" style="1188" bestFit="1" customWidth="1"/>
    <col min="1920" max="1921" width="2.3984375" style="1188"/>
    <col min="1922" max="1922" width="4.19921875" style="1188" bestFit="1" customWidth="1"/>
    <col min="1923" max="1923" width="2.3984375" style="1188"/>
    <col min="1924" max="1924" width="4.19921875" style="1188" bestFit="1" customWidth="1"/>
    <col min="1925" max="1927" width="2.3984375" style="1188"/>
    <col min="1928" max="1930" width="2.8984375" style="1188" bestFit="1" customWidth="1"/>
    <col min="1931" max="1932" width="2.3984375" style="1188"/>
    <col min="1933" max="1933" width="4.19921875" style="1188" bestFit="1" customWidth="1"/>
    <col min="1934" max="1934" width="2.3984375" style="1188"/>
    <col min="1935" max="1935" width="4.19921875" style="1188" bestFit="1" customWidth="1"/>
    <col min="1936" max="1937" width="2.3984375" style="1188"/>
    <col min="1938" max="1938" width="4.19921875" style="1188" bestFit="1" customWidth="1"/>
    <col min="1939" max="1939" width="2.3984375" style="1188"/>
    <col min="1940" max="1940" width="4.19921875" style="1188" bestFit="1" customWidth="1"/>
    <col min="1941" max="1943" width="2.3984375" style="1188"/>
    <col min="1944" max="1946" width="2.8984375" style="1188" bestFit="1" customWidth="1"/>
    <col min="1947" max="1948" width="2.3984375" style="1188"/>
    <col min="1949" max="1949" width="4.19921875" style="1188" bestFit="1" customWidth="1"/>
    <col min="1950" max="1950" width="2.3984375" style="1188"/>
    <col min="1951" max="1951" width="4.19921875" style="1188" bestFit="1" customWidth="1"/>
    <col min="1952" max="1953" width="2.3984375" style="1188"/>
    <col min="1954" max="1954" width="4.19921875" style="1188" bestFit="1" customWidth="1"/>
    <col min="1955" max="1955" width="2.3984375" style="1188"/>
    <col min="1956" max="1956" width="4.19921875" style="1188" bestFit="1" customWidth="1"/>
    <col min="1957" max="1959" width="2.3984375" style="1188"/>
    <col min="1960" max="1962" width="2.8984375" style="1188" bestFit="1" customWidth="1"/>
    <col min="1963" max="1964" width="2.3984375" style="1188"/>
    <col min="1965" max="1965" width="4.19921875" style="1188" bestFit="1" customWidth="1"/>
    <col min="1966" max="1966" width="2.3984375" style="1188"/>
    <col min="1967" max="1967" width="4.19921875" style="1188" bestFit="1" customWidth="1"/>
    <col min="1968" max="1969" width="2.3984375" style="1188"/>
    <col min="1970" max="1970" width="4.19921875" style="1188" bestFit="1" customWidth="1"/>
    <col min="1971" max="1971" width="2.3984375" style="1188"/>
    <col min="1972" max="1972" width="4.19921875" style="1188" bestFit="1" customWidth="1"/>
    <col min="1973" max="1975" width="2.3984375" style="1188"/>
    <col min="1976" max="1978" width="2.8984375" style="1188" bestFit="1" customWidth="1"/>
    <col min="1979" max="1980" width="2.3984375" style="1188"/>
    <col min="1981" max="1981" width="4.19921875" style="1188" bestFit="1" customWidth="1"/>
    <col min="1982" max="1982" width="2.3984375" style="1188"/>
    <col min="1983" max="1983" width="4.19921875" style="1188" bestFit="1" customWidth="1"/>
    <col min="1984" max="1985" width="2.3984375" style="1188"/>
    <col min="1986" max="1986" width="4.19921875" style="1188" bestFit="1" customWidth="1"/>
    <col min="1987" max="1987" width="2.3984375" style="1188"/>
    <col min="1988" max="1988" width="4.19921875" style="1188" bestFit="1" customWidth="1"/>
    <col min="1989" max="1991" width="2.3984375" style="1188"/>
    <col min="1992" max="1994" width="2.8984375" style="1188" bestFit="1" customWidth="1"/>
    <col min="1995" max="1996" width="2.3984375" style="1188"/>
    <col min="1997" max="1997" width="4.19921875" style="1188" bestFit="1" customWidth="1"/>
    <col min="1998" max="1998" width="2.3984375" style="1188"/>
    <col min="1999" max="1999" width="4.19921875" style="1188" bestFit="1" customWidth="1"/>
    <col min="2000" max="2001" width="2.3984375" style="1188"/>
    <col min="2002" max="2002" width="4.19921875" style="1188" bestFit="1" customWidth="1"/>
    <col min="2003" max="2003" width="2.3984375" style="1188"/>
    <col min="2004" max="2004" width="4.19921875" style="1188" bestFit="1" customWidth="1"/>
    <col min="2005" max="2007" width="2.3984375" style="1188"/>
    <col min="2008" max="2010" width="2.8984375" style="1188" bestFit="1" customWidth="1"/>
    <col min="2011" max="2012" width="2.3984375" style="1188"/>
    <col min="2013" max="2013" width="4.19921875" style="1188" bestFit="1" customWidth="1"/>
    <col min="2014" max="2014" width="2.3984375" style="1188"/>
    <col min="2015" max="2015" width="4.19921875" style="1188" bestFit="1" customWidth="1"/>
    <col min="2016" max="2017" width="2.3984375" style="1188"/>
    <col min="2018" max="2018" width="4.19921875" style="1188" bestFit="1" customWidth="1"/>
    <col min="2019" max="2019" width="2.3984375" style="1188"/>
    <col min="2020" max="2020" width="4.19921875" style="1188" bestFit="1" customWidth="1"/>
    <col min="2021" max="2023" width="2.3984375" style="1188"/>
    <col min="2024" max="2026" width="2.8984375" style="1188" bestFit="1" customWidth="1"/>
    <col min="2027" max="2028" width="2.3984375" style="1188"/>
    <col min="2029" max="2029" width="4.19921875" style="1188" bestFit="1" customWidth="1"/>
    <col min="2030" max="2030" width="2.3984375" style="1188"/>
    <col min="2031" max="2031" width="4.19921875" style="1188" bestFit="1" customWidth="1"/>
    <col min="2032" max="2033" width="2.3984375" style="1188"/>
    <col min="2034" max="2034" width="4.19921875" style="1188" bestFit="1" customWidth="1"/>
    <col min="2035" max="2035" width="2.3984375" style="1188"/>
    <col min="2036" max="2036" width="4.19921875" style="1188" bestFit="1" customWidth="1"/>
    <col min="2037" max="2039" width="2.3984375" style="1188"/>
    <col min="2040" max="2042" width="2.8984375" style="1188" bestFit="1" customWidth="1"/>
    <col min="2043" max="2044" width="2.3984375" style="1188"/>
    <col min="2045" max="2045" width="4.19921875" style="1188" bestFit="1" customWidth="1"/>
    <col min="2046" max="2046" width="2.3984375" style="1188"/>
    <col min="2047" max="2047" width="4.19921875" style="1188" bestFit="1" customWidth="1"/>
    <col min="2048" max="2049" width="2.3984375" style="1188"/>
    <col min="2050" max="2050" width="4.19921875" style="1188" bestFit="1" customWidth="1"/>
    <col min="2051" max="2051" width="2.3984375" style="1188"/>
    <col min="2052" max="2052" width="4.19921875" style="1188" bestFit="1" customWidth="1"/>
    <col min="2053" max="2055" width="2.3984375" style="1188"/>
    <col min="2056" max="2058" width="2.8984375" style="1188" bestFit="1" customWidth="1"/>
    <col min="2059" max="2060" width="2.3984375" style="1188"/>
    <col min="2061" max="2061" width="4.19921875" style="1188" bestFit="1" customWidth="1"/>
    <col min="2062" max="2062" width="2.3984375" style="1188"/>
    <col min="2063" max="2063" width="4.19921875" style="1188" bestFit="1" customWidth="1"/>
    <col min="2064" max="2065" width="2.3984375" style="1188"/>
    <col min="2066" max="2066" width="4.19921875" style="1188" bestFit="1" customWidth="1"/>
    <col min="2067" max="2067" width="2.3984375" style="1188"/>
    <col min="2068" max="2068" width="4.19921875" style="1188" bestFit="1" customWidth="1"/>
    <col min="2069" max="2071" width="2.3984375" style="1188"/>
    <col min="2072" max="2074" width="2.8984375" style="1188" bestFit="1" customWidth="1"/>
    <col min="2075" max="2076" width="2.3984375" style="1188"/>
    <col min="2077" max="2077" width="4.19921875" style="1188" bestFit="1" customWidth="1"/>
    <col min="2078" max="2078" width="2.3984375" style="1188"/>
    <col min="2079" max="2079" width="4.19921875" style="1188" bestFit="1" customWidth="1"/>
    <col min="2080" max="2081" width="2.3984375" style="1188"/>
    <col min="2082" max="2082" width="4.19921875" style="1188" bestFit="1" customWidth="1"/>
    <col min="2083" max="2083" width="2.3984375" style="1188"/>
    <col min="2084" max="2084" width="4.19921875" style="1188" bestFit="1" customWidth="1"/>
    <col min="2085" max="2087" width="2.3984375" style="1188"/>
    <col min="2088" max="2090" width="2.8984375" style="1188" bestFit="1" customWidth="1"/>
    <col min="2091" max="2092" width="2.3984375" style="1188"/>
    <col min="2093" max="2093" width="4.19921875" style="1188" bestFit="1" customWidth="1"/>
    <col min="2094" max="2094" width="2.3984375" style="1188"/>
    <col min="2095" max="2095" width="4.19921875" style="1188" bestFit="1" customWidth="1"/>
    <col min="2096" max="2097" width="2.3984375" style="1188"/>
    <col min="2098" max="2098" width="4.19921875" style="1188" bestFit="1" customWidth="1"/>
    <col min="2099" max="2099" width="2.3984375" style="1188"/>
    <col min="2100" max="2100" width="4.19921875" style="1188" bestFit="1" customWidth="1"/>
    <col min="2101" max="2103" width="2.3984375" style="1188"/>
    <col min="2104" max="2106" width="2.8984375" style="1188" bestFit="1" customWidth="1"/>
    <col min="2107" max="2108" width="2.3984375" style="1188"/>
    <col min="2109" max="2109" width="4.19921875" style="1188" bestFit="1" customWidth="1"/>
    <col min="2110" max="2110" width="2.3984375" style="1188"/>
    <col min="2111" max="2111" width="4.19921875" style="1188" bestFit="1" customWidth="1"/>
    <col min="2112" max="2113" width="2.3984375" style="1188"/>
    <col min="2114" max="2114" width="4.19921875" style="1188" bestFit="1" customWidth="1"/>
    <col min="2115" max="2115" width="2.3984375" style="1188"/>
    <col min="2116" max="2116" width="4.19921875" style="1188" bestFit="1" customWidth="1"/>
    <col min="2117" max="2119" width="2.3984375" style="1188"/>
    <col min="2120" max="2122" width="2.8984375" style="1188" bestFit="1" customWidth="1"/>
    <col min="2123" max="2124" width="2.3984375" style="1188"/>
    <col min="2125" max="2125" width="4.19921875" style="1188" bestFit="1" customWidth="1"/>
    <col min="2126" max="2126" width="2.3984375" style="1188"/>
    <col min="2127" max="2127" width="4.19921875" style="1188" bestFit="1" customWidth="1"/>
    <col min="2128" max="2129" width="2.3984375" style="1188"/>
    <col min="2130" max="2130" width="4.19921875" style="1188" bestFit="1" customWidth="1"/>
    <col min="2131" max="2131" width="2.3984375" style="1188"/>
    <col min="2132" max="2132" width="4.19921875" style="1188" bestFit="1" customWidth="1"/>
    <col min="2133" max="2135" width="2.3984375" style="1188"/>
    <col min="2136" max="2138" width="2.8984375" style="1188" bestFit="1" customWidth="1"/>
    <col min="2139" max="2140" width="2.3984375" style="1188"/>
    <col min="2141" max="2141" width="4.19921875" style="1188" bestFit="1" customWidth="1"/>
    <col min="2142" max="2142" width="2.3984375" style="1188"/>
    <col min="2143" max="2143" width="4.19921875" style="1188" bestFit="1" customWidth="1"/>
    <col min="2144" max="2145" width="2.3984375" style="1188"/>
    <col min="2146" max="2146" width="4.19921875" style="1188" bestFit="1" customWidth="1"/>
    <col min="2147" max="2147" width="2.3984375" style="1188"/>
    <col min="2148" max="2148" width="4.19921875" style="1188" bestFit="1" customWidth="1"/>
    <col min="2149" max="2151" width="2.3984375" style="1188"/>
    <col min="2152" max="2154" width="2.8984375" style="1188" bestFit="1" customWidth="1"/>
    <col min="2155" max="2156" width="2.3984375" style="1188"/>
    <col min="2157" max="2157" width="4.19921875" style="1188" bestFit="1" customWidth="1"/>
    <col min="2158" max="2158" width="2.3984375" style="1188"/>
    <col min="2159" max="2159" width="4.19921875" style="1188" bestFit="1" customWidth="1"/>
    <col min="2160" max="2161" width="2.3984375" style="1188"/>
    <col min="2162" max="2162" width="4.19921875" style="1188" bestFit="1" customWidth="1"/>
    <col min="2163" max="2163" width="2.3984375" style="1188"/>
    <col min="2164" max="2164" width="4.19921875" style="1188" bestFit="1" customWidth="1"/>
    <col min="2165" max="2167" width="2.3984375" style="1188"/>
    <col min="2168" max="2170" width="2.8984375" style="1188" bestFit="1" customWidth="1"/>
    <col min="2171" max="2172" width="2.3984375" style="1188"/>
    <col min="2173" max="2173" width="4.19921875" style="1188" bestFit="1" customWidth="1"/>
    <col min="2174" max="2174" width="2.3984375" style="1188"/>
    <col min="2175" max="2175" width="4.19921875" style="1188" bestFit="1" customWidth="1"/>
    <col min="2176" max="2177" width="2.3984375" style="1188"/>
    <col min="2178" max="2178" width="4.19921875" style="1188" bestFit="1" customWidth="1"/>
    <col min="2179" max="2179" width="2.3984375" style="1188"/>
    <col min="2180" max="2180" width="4.19921875" style="1188" bestFit="1" customWidth="1"/>
    <col min="2181" max="2183" width="2.3984375" style="1188"/>
    <col min="2184" max="2186" width="2.8984375" style="1188" bestFit="1" customWidth="1"/>
    <col min="2187" max="2188" width="2.3984375" style="1188"/>
    <col min="2189" max="2189" width="4.19921875" style="1188" bestFit="1" customWidth="1"/>
    <col min="2190" max="2190" width="2.3984375" style="1188"/>
    <col min="2191" max="2191" width="4.19921875" style="1188" bestFit="1" customWidth="1"/>
    <col min="2192" max="2193" width="2.3984375" style="1188"/>
    <col min="2194" max="2194" width="4.19921875" style="1188" bestFit="1" customWidth="1"/>
    <col min="2195" max="2195" width="2.3984375" style="1188"/>
    <col min="2196" max="2196" width="4.19921875" style="1188" bestFit="1" customWidth="1"/>
    <col min="2197" max="2199" width="2.3984375" style="1188"/>
    <col min="2200" max="2202" width="2.8984375" style="1188" bestFit="1" customWidth="1"/>
    <col min="2203" max="2204" width="2.3984375" style="1188"/>
    <col min="2205" max="2205" width="4.19921875" style="1188" bestFit="1" customWidth="1"/>
    <col min="2206" max="2206" width="2.3984375" style="1188"/>
    <col min="2207" max="2207" width="4.19921875" style="1188" bestFit="1" customWidth="1"/>
    <col min="2208" max="2209" width="2.3984375" style="1188"/>
    <col min="2210" max="2210" width="4.19921875" style="1188" bestFit="1" customWidth="1"/>
    <col min="2211" max="2211" width="2.3984375" style="1188"/>
    <col min="2212" max="2212" width="4.19921875" style="1188" bestFit="1" customWidth="1"/>
    <col min="2213" max="2215" width="2.3984375" style="1188"/>
    <col min="2216" max="2218" width="2.8984375" style="1188" bestFit="1" customWidth="1"/>
    <col min="2219" max="2220" width="2.3984375" style="1188"/>
    <col min="2221" max="2221" width="4.19921875" style="1188" bestFit="1" customWidth="1"/>
    <col min="2222" max="2222" width="2.3984375" style="1188"/>
    <col min="2223" max="2223" width="4.19921875" style="1188" bestFit="1" customWidth="1"/>
    <col min="2224" max="2225" width="2.3984375" style="1188"/>
    <col min="2226" max="2226" width="4.19921875" style="1188" bestFit="1" customWidth="1"/>
    <col min="2227" max="2227" width="2.3984375" style="1188"/>
    <col min="2228" max="2228" width="4.19921875" style="1188" bestFit="1" customWidth="1"/>
    <col min="2229" max="2231" width="2.3984375" style="1188"/>
    <col min="2232" max="2234" width="2.8984375" style="1188" bestFit="1" customWidth="1"/>
    <col min="2235" max="2236" width="2.3984375" style="1188"/>
    <col min="2237" max="2237" width="4.19921875" style="1188" bestFit="1" customWidth="1"/>
    <col min="2238" max="2238" width="2.3984375" style="1188"/>
    <col min="2239" max="2239" width="4.19921875" style="1188" bestFit="1" customWidth="1"/>
    <col min="2240" max="2241" width="2.3984375" style="1188"/>
    <col min="2242" max="2242" width="4.19921875" style="1188" bestFit="1" customWidth="1"/>
    <col min="2243" max="2243" width="2.3984375" style="1188"/>
    <col min="2244" max="2244" width="4.19921875" style="1188" bestFit="1" customWidth="1"/>
    <col min="2245" max="2247" width="2.3984375" style="1188"/>
    <col min="2248" max="2250" width="2.8984375" style="1188" bestFit="1" customWidth="1"/>
    <col min="2251" max="2252" width="2.3984375" style="1188"/>
    <col min="2253" max="2253" width="4.19921875" style="1188" bestFit="1" customWidth="1"/>
    <col min="2254" max="2254" width="2.3984375" style="1188"/>
    <col min="2255" max="2255" width="4.19921875" style="1188" bestFit="1" customWidth="1"/>
    <col min="2256" max="2257" width="2.3984375" style="1188"/>
    <col min="2258" max="2258" width="4.19921875" style="1188" bestFit="1" customWidth="1"/>
    <col min="2259" max="2259" width="2.3984375" style="1188"/>
    <col min="2260" max="2260" width="4.19921875" style="1188" bestFit="1" customWidth="1"/>
    <col min="2261" max="2263" width="2.3984375" style="1188"/>
    <col min="2264" max="2266" width="2.8984375" style="1188" bestFit="1" customWidth="1"/>
    <col min="2267" max="2268" width="2.3984375" style="1188"/>
    <col min="2269" max="2269" width="4.19921875" style="1188" bestFit="1" customWidth="1"/>
    <col min="2270" max="2270" width="2.3984375" style="1188"/>
    <col min="2271" max="2271" width="4.19921875" style="1188" bestFit="1" customWidth="1"/>
    <col min="2272" max="2273" width="2.3984375" style="1188"/>
    <col min="2274" max="2274" width="4.19921875" style="1188" bestFit="1" customWidth="1"/>
    <col min="2275" max="2275" width="2.3984375" style="1188"/>
    <col min="2276" max="2276" width="4.19921875" style="1188" bestFit="1" customWidth="1"/>
    <col min="2277" max="2279" width="2.3984375" style="1188"/>
    <col min="2280" max="2282" width="2.8984375" style="1188" bestFit="1" customWidth="1"/>
    <col min="2283" max="2284" width="2.3984375" style="1188"/>
    <col min="2285" max="2285" width="4.19921875" style="1188" bestFit="1" customWidth="1"/>
    <col min="2286" max="2286" width="2.3984375" style="1188"/>
    <col min="2287" max="2287" width="4.19921875" style="1188" bestFit="1" customWidth="1"/>
    <col min="2288" max="2289" width="2.3984375" style="1188"/>
    <col min="2290" max="2290" width="4.19921875" style="1188" bestFit="1" customWidth="1"/>
    <col min="2291" max="2291" width="2.3984375" style="1188"/>
    <col min="2292" max="2292" width="4.19921875" style="1188" bestFit="1" customWidth="1"/>
    <col min="2293" max="2295" width="2.3984375" style="1188"/>
    <col min="2296" max="2298" width="2.8984375" style="1188" bestFit="1" customWidth="1"/>
    <col min="2299" max="2300" width="2.3984375" style="1188"/>
    <col min="2301" max="2301" width="4.19921875" style="1188" bestFit="1" customWidth="1"/>
    <col min="2302" max="2302" width="2.3984375" style="1188"/>
    <col min="2303" max="2303" width="4.19921875" style="1188" bestFit="1" customWidth="1"/>
    <col min="2304" max="2305" width="2.3984375" style="1188"/>
    <col min="2306" max="2306" width="4.19921875" style="1188" bestFit="1" customWidth="1"/>
    <col min="2307" max="2307" width="2.3984375" style="1188"/>
    <col min="2308" max="2308" width="4.19921875" style="1188" bestFit="1" customWidth="1"/>
    <col min="2309" max="2311" width="2.3984375" style="1188"/>
    <col min="2312" max="2314" width="2.8984375" style="1188" bestFit="1" customWidth="1"/>
    <col min="2315" max="2316" width="2.3984375" style="1188"/>
    <col min="2317" max="2317" width="4.19921875" style="1188" bestFit="1" customWidth="1"/>
    <col min="2318" max="2318" width="2.3984375" style="1188"/>
    <col min="2319" max="2319" width="4.19921875" style="1188" bestFit="1" customWidth="1"/>
    <col min="2320" max="2321" width="2.3984375" style="1188"/>
    <col min="2322" max="2322" width="4.19921875" style="1188" bestFit="1" customWidth="1"/>
    <col min="2323" max="2323" width="2.3984375" style="1188"/>
    <col min="2324" max="2324" width="4.19921875" style="1188" bestFit="1" customWidth="1"/>
    <col min="2325" max="2327" width="2.3984375" style="1188"/>
    <col min="2328" max="2330" width="2.8984375" style="1188" bestFit="1" customWidth="1"/>
    <col min="2331" max="2332" width="2.3984375" style="1188"/>
    <col min="2333" max="2333" width="4.19921875" style="1188" bestFit="1" customWidth="1"/>
    <col min="2334" max="2334" width="2.3984375" style="1188"/>
    <col min="2335" max="2335" width="4.19921875" style="1188" bestFit="1" customWidth="1"/>
    <col min="2336" max="2337" width="2.3984375" style="1188"/>
    <col min="2338" max="2338" width="4.19921875" style="1188" bestFit="1" customWidth="1"/>
    <col min="2339" max="2339" width="2.3984375" style="1188"/>
    <col min="2340" max="2340" width="4.19921875" style="1188" bestFit="1" customWidth="1"/>
    <col min="2341" max="2343" width="2.3984375" style="1188"/>
    <col min="2344" max="2346" width="2.8984375" style="1188" bestFit="1" customWidth="1"/>
    <col min="2347" max="2348" width="2.3984375" style="1188"/>
    <col min="2349" max="2349" width="4.19921875" style="1188" bestFit="1" customWidth="1"/>
    <col min="2350" max="2350" width="2.3984375" style="1188"/>
    <col min="2351" max="2351" width="4.19921875" style="1188" bestFit="1" customWidth="1"/>
    <col min="2352" max="2353" width="2.3984375" style="1188"/>
    <col min="2354" max="2354" width="4.19921875" style="1188" bestFit="1" customWidth="1"/>
    <col min="2355" max="2355" width="2.3984375" style="1188"/>
    <col min="2356" max="2356" width="4.19921875" style="1188" bestFit="1" customWidth="1"/>
    <col min="2357" max="2359" width="2.3984375" style="1188"/>
    <col min="2360" max="2362" width="2.8984375" style="1188" bestFit="1" customWidth="1"/>
    <col min="2363" max="2364" width="2.3984375" style="1188"/>
    <col min="2365" max="2365" width="4.19921875" style="1188" bestFit="1" customWidth="1"/>
    <col min="2366" max="2366" width="2.3984375" style="1188"/>
    <col min="2367" max="2367" width="4.19921875" style="1188" bestFit="1" customWidth="1"/>
    <col min="2368" max="2369" width="2.3984375" style="1188"/>
    <col min="2370" max="2370" width="4.19921875" style="1188" bestFit="1" customWidth="1"/>
    <col min="2371" max="2371" width="2.3984375" style="1188"/>
    <col min="2372" max="2372" width="4.19921875" style="1188" bestFit="1" customWidth="1"/>
    <col min="2373" max="2375" width="2.3984375" style="1188"/>
    <col min="2376" max="2378" width="2.8984375" style="1188" bestFit="1" customWidth="1"/>
    <col min="2379" max="2380" width="2.3984375" style="1188"/>
    <col min="2381" max="2381" width="4.19921875" style="1188" bestFit="1" customWidth="1"/>
    <col min="2382" max="2382" width="2.3984375" style="1188"/>
    <col min="2383" max="2383" width="4.19921875" style="1188" bestFit="1" customWidth="1"/>
    <col min="2384" max="2385" width="2.3984375" style="1188"/>
    <col min="2386" max="2386" width="4.19921875" style="1188" bestFit="1" customWidth="1"/>
    <col min="2387" max="2387" width="2.3984375" style="1188"/>
    <col min="2388" max="2388" width="4.19921875" style="1188" bestFit="1" customWidth="1"/>
    <col min="2389" max="2391" width="2.3984375" style="1188"/>
    <col min="2392" max="2394" width="2.8984375" style="1188" bestFit="1" customWidth="1"/>
    <col min="2395" max="2396" width="2.3984375" style="1188"/>
    <col min="2397" max="2397" width="4.19921875" style="1188" bestFit="1" customWidth="1"/>
    <col min="2398" max="2398" width="2.3984375" style="1188"/>
    <col min="2399" max="2399" width="4.19921875" style="1188" bestFit="1" customWidth="1"/>
    <col min="2400" max="2401" width="2.3984375" style="1188"/>
    <col min="2402" max="2402" width="4.19921875" style="1188" bestFit="1" customWidth="1"/>
    <col min="2403" max="2403" width="2.3984375" style="1188"/>
    <col min="2404" max="2404" width="4.19921875" style="1188" bestFit="1" customWidth="1"/>
    <col min="2405" max="2407" width="2.3984375" style="1188"/>
    <col min="2408" max="2410" width="2.8984375" style="1188" bestFit="1" customWidth="1"/>
    <col min="2411" max="2412" width="2.3984375" style="1188"/>
    <col min="2413" max="2413" width="4.19921875" style="1188" bestFit="1" customWidth="1"/>
    <col min="2414" max="2414" width="2.3984375" style="1188"/>
    <col min="2415" max="2415" width="4.19921875" style="1188" bestFit="1" customWidth="1"/>
    <col min="2416" max="2417" width="2.3984375" style="1188"/>
    <col min="2418" max="2418" width="4.19921875" style="1188" bestFit="1" customWidth="1"/>
    <col min="2419" max="2419" width="2.3984375" style="1188"/>
    <col min="2420" max="2420" width="4.19921875" style="1188" bestFit="1" customWidth="1"/>
    <col min="2421" max="2423" width="2.3984375" style="1188"/>
    <col min="2424" max="2426" width="2.8984375" style="1188" bestFit="1" customWidth="1"/>
    <col min="2427" max="2428" width="2.3984375" style="1188"/>
    <col min="2429" max="2429" width="4.19921875" style="1188" bestFit="1" customWidth="1"/>
    <col min="2430" max="2430" width="2.3984375" style="1188"/>
    <col min="2431" max="2431" width="4.19921875" style="1188" bestFit="1" customWidth="1"/>
    <col min="2432" max="2433" width="2.3984375" style="1188"/>
    <col min="2434" max="2434" width="4.19921875" style="1188" bestFit="1" customWidth="1"/>
    <col min="2435" max="2435" width="2.3984375" style="1188"/>
    <col min="2436" max="2436" width="4.19921875" style="1188" bestFit="1" customWidth="1"/>
    <col min="2437" max="2439" width="2.3984375" style="1188"/>
    <col min="2440" max="2442" width="2.8984375" style="1188" bestFit="1" customWidth="1"/>
    <col min="2443" max="2444" width="2.3984375" style="1188"/>
    <col min="2445" max="2445" width="4.19921875" style="1188" bestFit="1" customWidth="1"/>
    <col min="2446" max="2446" width="2.3984375" style="1188"/>
    <col min="2447" max="2447" width="4.19921875" style="1188" bestFit="1" customWidth="1"/>
    <col min="2448" max="2449" width="2.3984375" style="1188"/>
    <col min="2450" max="2450" width="4.19921875" style="1188" bestFit="1" customWidth="1"/>
    <col min="2451" max="2451" width="2.3984375" style="1188"/>
    <col min="2452" max="2452" width="4.19921875" style="1188" bestFit="1" customWidth="1"/>
    <col min="2453" max="2455" width="2.3984375" style="1188"/>
    <col min="2456" max="2458" width="2.8984375" style="1188" bestFit="1" customWidth="1"/>
    <col min="2459" max="2460" width="2.3984375" style="1188"/>
    <col min="2461" max="2461" width="4.19921875" style="1188" bestFit="1" customWidth="1"/>
    <col min="2462" max="2462" width="2.3984375" style="1188"/>
    <col min="2463" max="2463" width="4.19921875" style="1188" bestFit="1" customWidth="1"/>
    <col min="2464" max="2465" width="2.3984375" style="1188"/>
    <col min="2466" max="2466" width="4.19921875" style="1188" bestFit="1" customWidth="1"/>
    <col min="2467" max="2467" width="2.3984375" style="1188"/>
    <col min="2468" max="2468" width="4.19921875" style="1188" bestFit="1" customWidth="1"/>
    <col min="2469" max="2471" width="2.3984375" style="1188"/>
    <col min="2472" max="2474" width="2.8984375" style="1188" bestFit="1" customWidth="1"/>
    <col min="2475" max="2476" width="2.3984375" style="1188"/>
    <col min="2477" max="2477" width="4.19921875" style="1188" bestFit="1" customWidth="1"/>
    <col min="2478" max="2478" width="2.3984375" style="1188"/>
    <col min="2479" max="2479" width="4.19921875" style="1188" bestFit="1" customWidth="1"/>
    <col min="2480" max="2481" width="2.3984375" style="1188"/>
    <col min="2482" max="2482" width="4.19921875" style="1188" bestFit="1" customWidth="1"/>
    <col min="2483" max="2483" width="2.3984375" style="1188"/>
    <col min="2484" max="2484" width="4.19921875" style="1188" bestFit="1" customWidth="1"/>
    <col min="2485" max="2487" width="2.3984375" style="1188"/>
    <col min="2488" max="2490" width="2.8984375" style="1188" bestFit="1" customWidth="1"/>
    <col min="2491" max="2492" width="2.3984375" style="1188"/>
    <col min="2493" max="2493" width="4.19921875" style="1188" bestFit="1" customWidth="1"/>
    <col min="2494" max="2494" width="2.3984375" style="1188"/>
    <col min="2495" max="2495" width="4.19921875" style="1188" bestFit="1" customWidth="1"/>
    <col min="2496" max="2497" width="2.3984375" style="1188"/>
    <col min="2498" max="2498" width="4.19921875" style="1188" bestFit="1" customWidth="1"/>
    <col min="2499" max="2499" width="2.3984375" style="1188"/>
    <col min="2500" max="2500" width="4.19921875" style="1188" bestFit="1" customWidth="1"/>
    <col min="2501" max="2503" width="2.3984375" style="1188"/>
    <col min="2504" max="2506" width="2.8984375" style="1188" bestFit="1" customWidth="1"/>
    <col min="2507" max="2508" width="2.3984375" style="1188"/>
    <col min="2509" max="2509" width="4.19921875" style="1188" bestFit="1" customWidth="1"/>
    <col min="2510" max="2510" width="2.3984375" style="1188"/>
    <col min="2511" max="2511" width="4.19921875" style="1188" bestFit="1" customWidth="1"/>
    <col min="2512" max="2513" width="2.3984375" style="1188"/>
    <col min="2514" max="2514" width="4.19921875" style="1188" bestFit="1" customWidth="1"/>
    <col min="2515" max="2515" width="2.3984375" style="1188"/>
    <col min="2516" max="2516" width="4.19921875" style="1188" bestFit="1" customWidth="1"/>
    <col min="2517" max="2519" width="2.3984375" style="1188"/>
    <col min="2520" max="2522" width="2.8984375" style="1188" bestFit="1" customWidth="1"/>
    <col min="2523" max="2524" width="2.3984375" style="1188"/>
    <col min="2525" max="2525" width="4.19921875" style="1188" bestFit="1" customWidth="1"/>
    <col min="2526" max="2526" width="2.3984375" style="1188"/>
    <col min="2527" max="2527" width="4.19921875" style="1188" bestFit="1" customWidth="1"/>
    <col min="2528" max="2529" width="2.3984375" style="1188"/>
    <col min="2530" max="2530" width="4.19921875" style="1188" bestFit="1" customWidth="1"/>
    <col min="2531" max="2531" width="2.3984375" style="1188"/>
    <col min="2532" max="2532" width="4.19921875" style="1188" bestFit="1" customWidth="1"/>
    <col min="2533" max="2535" width="2.3984375" style="1188"/>
    <col min="2536" max="2538" width="2.8984375" style="1188" bestFit="1" customWidth="1"/>
    <col min="2539" max="2540" width="2.3984375" style="1188"/>
    <col min="2541" max="2541" width="4.19921875" style="1188" bestFit="1" customWidth="1"/>
    <col min="2542" max="2542" width="2.3984375" style="1188"/>
    <col min="2543" max="2543" width="4.19921875" style="1188" bestFit="1" customWidth="1"/>
    <col min="2544" max="2545" width="2.3984375" style="1188"/>
    <col min="2546" max="2546" width="4.19921875" style="1188" bestFit="1" customWidth="1"/>
    <col min="2547" max="2547" width="2.3984375" style="1188"/>
    <col min="2548" max="2548" width="4.19921875" style="1188" bestFit="1" customWidth="1"/>
    <col min="2549" max="2551" width="2.3984375" style="1188"/>
    <col min="2552" max="2554" width="2.8984375" style="1188" bestFit="1" customWidth="1"/>
    <col min="2555" max="2556" width="2.3984375" style="1188"/>
    <col min="2557" max="2557" width="4.19921875" style="1188" bestFit="1" customWidth="1"/>
    <col min="2558" max="2558" width="2.3984375" style="1188"/>
    <col min="2559" max="2559" width="4.19921875" style="1188" bestFit="1" customWidth="1"/>
    <col min="2560" max="2561" width="2.3984375" style="1188"/>
    <col min="2562" max="2562" width="4.19921875" style="1188" bestFit="1" customWidth="1"/>
    <col min="2563" max="2563" width="2.3984375" style="1188"/>
    <col min="2564" max="2564" width="4.19921875" style="1188" bestFit="1" customWidth="1"/>
    <col min="2565" max="2567" width="2.3984375" style="1188"/>
    <col min="2568" max="2570" width="2.8984375" style="1188" bestFit="1" customWidth="1"/>
    <col min="2571" max="2572" width="2.3984375" style="1188"/>
    <col min="2573" max="2573" width="4.19921875" style="1188" bestFit="1" customWidth="1"/>
    <col min="2574" max="2574" width="2.3984375" style="1188"/>
    <col min="2575" max="2575" width="4.19921875" style="1188" bestFit="1" customWidth="1"/>
    <col min="2576" max="2577" width="2.3984375" style="1188"/>
    <col min="2578" max="2578" width="4.19921875" style="1188" bestFit="1" customWidth="1"/>
    <col min="2579" max="2579" width="2.3984375" style="1188"/>
    <col min="2580" max="2580" width="4.19921875" style="1188" bestFit="1" customWidth="1"/>
    <col min="2581" max="2583" width="2.3984375" style="1188"/>
    <col min="2584" max="2586" width="2.8984375" style="1188" bestFit="1" customWidth="1"/>
    <col min="2587" max="2588" width="2.3984375" style="1188"/>
    <col min="2589" max="2589" width="4.19921875" style="1188" bestFit="1" customWidth="1"/>
    <col min="2590" max="2590" width="2.3984375" style="1188"/>
    <col min="2591" max="2591" width="4.19921875" style="1188" bestFit="1" customWidth="1"/>
    <col min="2592" max="2593" width="2.3984375" style="1188"/>
    <col min="2594" max="2594" width="4.19921875" style="1188" bestFit="1" customWidth="1"/>
    <col min="2595" max="2595" width="2.3984375" style="1188"/>
    <col min="2596" max="2596" width="4.19921875" style="1188" bestFit="1" customWidth="1"/>
    <col min="2597" max="2599" width="2.3984375" style="1188"/>
    <col min="2600" max="2602" width="2.8984375" style="1188" bestFit="1" customWidth="1"/>
    <col min="2603" max="2604" width="2.3984375" style="1188"/>
    <col min="2605" max="2605" width="4.19921875" style="1188" bestFit="1" customWidth="1"/>
    <col min="2606" max="2606" width="2.3984375" style="1188"/>
    <col min="2607" max="2607" width="4.19921875" style="1188" bestFit="1" customWidth="1"/>
    <col min="2608" max="2609" width="2.3984375" style="1188"/>
    <col min="2610" max="2610" width="4.19921875" style="1188" bestFit="1" customWidth="1"/>
    <col min="2611" max="2611" width="2.3984375" style="1188"/>
    <col min="2612" max="2612" width="4.19921875" style="1188" bestFit="1" customWidth="1"/>
    <col min="2613" max="2615" width="2.3984375" style="1188"/>
    <col min="2616" max="2618" width="2.8984375" style="1188" bestFit="1" customWidth="1"/>
    <col min="2619" max="2620" width="2.3984375" style="1188"/>
    <col min="2621" max="2621" width="4.19921875" style="1188" bestFit="1" customWidth="1"/>
    <col min="2622" max="2622" width="2.3984375" style="1188"/>
    <col min="2623" max="2623" width="4.19921875" style="1188" bestFit="1" customWidth="1"/>
    <col min="2624" max="2625" width="2.3984375" style="1188"/>
    <col min="2626" max="2626" width="4.19921875" style="1188" bestFit="1" customWidth="1"/>
    <col min="2627" max="2627" width="2.3984375" style="1188"/>
    <col min="2628" max="2628" width="4.19921875" style="1188" bestFit="1" customWidth="1"/>
    <col min="2629" max="2631" width="2.3984375" style="1188"/>
    <col min="2632" max="2634" width="2.8984375" style="1188" bestFit="1" customWidth="1"/>
    <col min="2635" max="2636" width="2.3984375" style="1188"/>
    <col min="2637" max="2637" width="4.19921875" style="1188" bestFit="1" customWidth="1"/>
    <col min="2638" max="2638" width="2.3984375" style="1188"/>
    <col min="2639" max="2639" width="4.19921875" style="1188" bestFit="1" customWidth="1"/>
    <col min="2640" max="2641" width="2.3984375" style="1188"/>
    <col min="2642" max="2642" width="4.19921875" style="1188" bestFit="1" customWidth="1"/>
    <col min="2643" max="2643" width="2.3984375" style="1188"/>
    <col min="2644" max="2644" width="4.19921875" style="1188" bestFit="1" customWidth="1"/>
    <col min="2645" max="2647" width="2.3984375" style="1188"/>
    <col min="2648" max="2650" width="2.8984375" style="1188" bestFit="1" customWidth="1"/>
    <col min="2651" max="2652" width="2.3984375" style="1188"/>
    <col min="2653" max="2653" width="4.19921875" style="1188" bestFit="1" customWidth="1"/>
    <col min="2654" max="2654" width="2.3984375" style="1188"/>
    <col min="2655" max="2655" width="4.19921875" style="1188" bestFit="1" customWidth="1"/>
    <col min="2656" max="2657" width="2.3984375" style="1188"/>
    <col min="2658" max="2658" width="4.19921875" style="1188" bestFit="1" customWidth="1"/>
    <col min="2659" max="2659" width="2.3984375" style="1188"/>
    <col min="2660" max="2660" width="4.19921875" style="1188" bestFit="1" customWidth="1"/>
    <col min="2661" max="2663" width="2.3984375" style="1188"/>
    <col min="2664" max="2666" width="2.8984375" style="1188" bestFit="1" customWidth="1"/>
    <col min="2667" max="2668" width="2.3984375" style="1188"/>
    <col min="2669" max="2669" width="4.19921875" style="1188" bestFit="1" customWidth="1"/>
    <col min="2670" max="2670" width="2.3984375" style="1188"/>
    <col min="2671" max="2671" width="4.19921875" style="1188" bestFit="1" customWidth="1"/>
    <col min="2672" max="2673" width="2.3984375" style="1188"/>
    <col min="2674" max="2674" width="4.19921875" style="1188" bestFit="1" customWidth="1"/>
    <col min="2675" max="2675" width="2.3984375" style="1188"/>
    <col min="2676" max="2676" width="4.19921875" style="1188" bestFit="1" customWidth="1"/>
    <col min="2677" max="2679" width="2.3984375" style="1188"/>
    <col min="2680" max="2682" width="2.8984375" style="1188" bestFit="1" customWidth="1"/>
    <col min="2683" max="2684" width="2.3984375" style="1188"/>
    <col min="2685" max="2685" width="4.19921875" style="1188" bestFit="1" customWidth="1"/>
    <col min="2686" max="2686" width="2.3984375" style="1188"/>
    <col min="2687" max="2687" width="4.19921875" style="1188" bestFit="1" customWidth="1"/>
    <col min="2688" max="2689" width="2.3984375" style="1188"/>
    <col min="2690" max="2690" width="4.19921875" style="1188" bestFit="1" customWidth="1"/>
    <col min="2691" max="2691" width="2.3984375" style="1188"/>
    <col min="2692" max="2692" width="4.19921875" style="1188" bestFit="1" customWidth="1"/>
    <col min="2693" max="2695" width="2.3984375" style="1188"/>
    <col min="2696" max="2698" width="2.8984375" style="1188" bestFit="1" customWidth="1"/>
    <col min="2699" max="2700" width="2.3984375" style="1188"/>
    <col min="2701" max="2701" width="4.19921875" style="1188" bestFit="1" customWidth="1"/>
    <col min="2702" max="2702" width="2.3984375" style="1188"/>
    <col min="2703" max="2703" width="4.19921875" style="1188" bestFit="1" customWidth="1"/>
    <col min="2704" max="2705" width="2.3984375" style="1188"/>
    <col min="2706" max="2706" width="4.19921875" style="1188" bestFit="1" customWidth="1"/>
    <col min="2707" max="2707" width="2.3984375" style="1188"/>
    <col min="2708" max="2708" width="4.19921875" style="1188" bestFit="1" customWidth="1"/>
    <col min="2709" max="2711" width="2.3984375" style="1188"/>
    <col min="2712" max="2714" width="2.8984375" style="1188" bestFit="1" customWidth="1"/>
    <col min="2715" max="2716" width="2.3984375" style="1188"/>
    <col min="2717" max="2717" width="4.19921875" style="1188" bestFit="1" customWidth="1"/>
    <col min="2718" max="2718" width="2.3984375" style="1188"/>
    <col min="2719" max="2719" width="4.19921875" style="1188" bestFit="1" customWidth="1"/>
    <col min="2720" max="2721" width="2.3984375" style="1188"/>
    <col min="2722" max="2722" width="4.19921875" style="1188" bestFit="1" customWidth="1"/>
    <col min="2723" max="2723" width="2.3984375" style="1188"/>
    <col min="2724" max="2724" width="4.19921875" style="1188" bestFit="1" customWidth="1"/>
    <col min="2725" max="2727" width="2.3984375" style="1188"/>
    <col min="2728" max="2730" width="2.8984375" style="1188" bestFit="1" customWidth="1"/>
    <col min="2731" max="2732" width="2.3984375" style="1188"/>
    <col min="2733" max="2733" width="4.19921875" style="1188" bestFit="1" customWidth="1"/>
    <col min="2734" max="2734" width="2.3984375" style="1188"/>
    <col min="2735" max="2735" width="4.19921875" style="1188" bestFit="1" customWidth="1"/>
    <col min="2736" max="2737" width="2.3984375" style="1188"/>
    <col min="2738" max="2738" width="4.19921875" style="1188" bestFit="1" customWidth="1"/>
    <col min="2739" max="2739" width="2.3984375" style="1188"/>
    <col min="2740" max="2740" width="4.19921875" style="1188" bestFit="1" customWidth="1"/>
    <col min="2741" max="2743" width="2.3984375" style="1188"/>
    <col min="2744" max="2746" width="2.8984375" style="1188" bestFit="1" customWidth="1"/>
    <col min="2747" max="2748" width="2.3984375" style="1188"/>
    <col min="2749" max="2749" width="4.19921875" style="1188" bestFit="1" customWidth="1"/>
    <col min="2750" max="2750" width="2.3984375" style="1188"/>
    <col min="2751" max="2751" width="4.19921875" style="1188" bestFit="1" customWidth="1"/>
    <col min="2752" max="2753" width="2.3984375" style="1188"/>
    <col min="2754" max="2754" width="4.19921875" style="1188" bestFit="1" customWidth="1"/>
    <col min="2755" max="2755" width="2.3984375" style="1188"/>
    <col min="2756" max="2756" width="4.19921875" style="1188" bestFit="1" customWidth="1"/>
    <col min="2757" max="2759" width="2.3984375" style="1188"/>
    <col min="2760" max="2762" width="2.8984375" style="1188" bestFit="1" customWidth="1"/>
    <col min="2763" max="2764" width="2.3984375" style="1188"/>
    <col min="2765" max="2765" width="4.19921875" style="1188" bestFit="1" customWidth="1"/>
    <col min="2766" max="2766" width="2.3984375" style="1188"/>
    <col min="2767" max="2767" width="4.19921875" style="1188" bestFit="1" customWidth="1"/>
    <col min="2768" max="2769" width="2.3984375" style="1188"/>
    <col min="2770" max="2770" width="4.19921875" style="1188" bestFit="1" customWidth="1"/>
    <col min="2771" max="2771" width="2.3984375" style="1188"/>
    <col min="2772" max="2772" width="4.19921875" style="1188" bestFit="1" customWidth="1"/>
    <col min="2773" max="2775" width="2.3984375" style="1188"/>
    <col min="2776" max="2778" width="2.8984375" style="1188" bestFit="1" customWidth="1"/>
    <col min="2779" max="2780" width="2.3984375" style="1188"/>
    <col min="2781" max="2781" width="4.19921875" style="1188" bestFit="1" customWidth="1"/>
    <col min="2782" max="2782" width="2.3984375" style="1188"/>
    <col min="2783" max="2783" width="4.19921875" style="1188" bestFit="1" customWidth="1"/>
    <col min="2784" max="2785" width="2.3984375" style="1188"/>
    <col min="2786" max="2786" width="4.19921875" style="1188" bestFit="1" customWidth="1"/>
    <col min="2787" max="2787" width="2.3984375" style="1188"/>
    <col min="2788" max="2788" width="4.19921875" style="1188" bestFit="1" customWidth="1"/>
    <col min="2789" max="2791" width="2.3984375" style="1188"/>
    <col min="2792" max="2794" width="2.8984375" style="1188" bestFit="1" customWidth="1"/>
    <col min="2795" max="2796" width="2.3984375" style="1188"/>
    <col min="2797" max="2797" width="4.19921875" style="1188" bestFit="1" customWidth="1"/>
    <col min="2798" max="2798" width="2.3984375" style="1188"/>
    <col min="2799" max="2799" width="4.19921875" style="1188" bestFit="1" customWidth="1"/>
    <col min="2800" max="2801" width="2.3984375" style="1188"/>
    <col min="2802" max="2802" width="4.19921875" style="1188" bestFit="1" customWidth="1"/>
    <col min="2803" max="2803" width="2.3984375" style="1188"/>
    <col min="2804" max="2804" width="4.19921875" style="1188" bestFit="1" customWidth="1"/>
    <col min="2805" max="2807" width="2.3984375" style="1188"/>
    <col min="2808" max="2810" width="2.8984375" style="1188" bestFit="1" customWidth="1"/>
    <col min="2811" max="2812" width="2.3984375" style="1188"/>
    <col min="2813" max="2813" width="4.19921875" style="1188" bestFit="1" customWidth="1"/>
    <col min="2814" max="2814" width="2.3984375" style="1188"/>
    <col min="2815" max="2815" width="4.19921875" style="1188" bestFit="1" customWidth="1"/>
    <col min="2816" max="2817" width="2.3984375" style="1188"/>
    <col min="2818" max="2818" width="4.19921875" style="1188" bestFit="1" customWidth="1"/>
    <col min="2819" max="2819" width="2.3984375" style="1188"/>
    <col min="2820" max="2820" width="4.19921875" style="1188" bestFit="1" customWidth="1"/>
    <col min="2821" max="2823" width="2.3984375" style="1188"/>
    <col min="2824" max="2826" width="2.8984375" style="1188" bestFit="1" customWidth="1"/>
    <col min="2827" max="2828" width="2.3984375" style="1188"/>
    <col min="2829" max="2829" width="4.19921875" style="1188" bestFit="1" customWidth="1"/>
    <col min="2830" max="2830" width="2.3984375" style="1188"/>
    <col min="2831" max="2831" width="4.19921875" style="1188" bestFit="1" customWidth="1"/>
    <col min="2832" max="2833" width="2.3984375" style="1188"/>
    <col min="2834" max="2834" width="4.19921875" style="1188" bestFit="1" customWidth="1"/>
    <col min="2835" max="2835" width="2.3984375" style="1188"/>
    <col min="2836" max="2836" width="4.19921875" style="1188" bestFit="1" customWidth="1"/>
    <col min="2837" max="2839" width="2.3984375" style="1188"/>
    <col min="2840" max="2842" width="2.8984375" style="1188" bestFit="1" customWidth="1"/>
    <col min="2843" max="2844" width="2.3984375" style="1188"/>
    <col min="2845" max="2845" width="4.19921875" style="1188" bestFit="1" customWidth="1"/>
    <col min="2846" max="2846" width="2.3984375" style="1188"/>
    <col min="2847" max="2847" width="4.19921875" style="1188" bestFit="1" customWidth="1"/>
    <col min="2848" max="2849" width="2.3984375" style="1188"/>
    <col min="2850" max="2850" width="4.19921875" style="1188" bestFit="1" customWidth="1"/>
    <col min="2851" max="2851" width="2.3984375" style="1188"/>
    <col min="2852" max="2852" width="4.19921875" style="1188" bestFit="1" customWidth="1"/>
    <col min="2853" max="2855" width="2.3984375" style="1188"/>
    <col min="2856" max="2858" width="2.8984375" style="1188" bestFit="1" customWidth="1"/>
    <col min="2859" max="2860" width="2.3984375" style="1188"/>
    <col min="2861" max="2861" width="4.19921875" style="1188" bestFit="1" customWidth="1"/>
    <col min="2862" max="2862" width="2.3984375" style="1188"/>
    <col min="2863" max="2863" width="4.19921875" style="1188" bestFit="1" customWidth="1"/>
    <col min="2864" max="2865" width="2.3984375" style="1188"/>
    <col min="2866" max="2866" width="4.19921875" style="1188" bestFit="1" customWidth="1"/>
    <col min="2867" max="2867" width="2.3984375" style="1188"/>
    <col min="2868" max="2868" width="4.19921875" style="1188" bestFit="1" customWidth="1"/>
    <col min="2869" max="2871" width="2.3984375" style="1188"/>
    <col min="2872" max="2874" width="2.8984375" style="1188" bestFit="1" customWidth="1"/>
    <col min="2875" max="2876" width="2.3984375" style="1188"/>
    <col min="2877" max="2877" width="4.19921875" style="1188" bestFit="1" customWidth="1"/>
    <col min="2878" max="2878" width="2.3984375" style="1188"/>
    <col min="2879" max="2879" width="4.19921875" style="1188" bestFit="1" customWidth="1"/>
    <col min="2880" max="2881" width="2.3984375" style="1188"/>
    <col min="2882" max="2882" width="4.19921875" style="1188" bestFit="1" customWidth="1"/>
    <col min="2883" max="2883" width="2.3984375" style="1188"/>
    <col min="2884" max="2884" width="4.19921875" style="1188" bestFit="1" customWidth="1"/>
    <col min="2885" max="2887" width="2.3984375" style="1188"/>
    <col min="2888" max="2890" width="2.8984375" style="1188" bestFit="1" customWidth="1"/>
    <col min="2891" max="2892" width="2.3984375" style="1188"/>
    <col min="2893" max="2893" width="4.19921875" style="1188" bestFit="1" customWidth="1"/>
    <col min="2894" max="2894" width="2.3984375" style="1188"/>
    <col min="2895" max="2895" width="4.19921875" style="1188" bestFit="1" customWidth="1"/>
    <col min="2896" max="2897" width="2.3984375" style="1188"/>
    <col min="2898" max="2898" width="4.19921875" style="1188" bestFit="1" customWidth="1"/>
    <col min="2899" max="2899" width="2.3984375" style="1188"/>
    <col min="2900" max="2900" width="4.19921875" style="1188" bestFit="1" customWidth="1"/>
    <col min="2901" max="2903" width="2.3984375" style="1188"/>
    <col min="2904" max="2906" width="2.8984375" style="1188" bestFit="1" customWidth="1"/>
    <col min="2907" max="2908" width="2.3984375" style="1188"/>
    <col min="2909" max="2909" width="4.19921875" style="1188" bestFit="1" customWidth="1"/>
    <col min="2910" max="2910" width="2.3984375" style="1188"/>
    <col min="2911" max="2911" width="4.19921875" style="1188" bestFit="1" customWidth="1"/>
    <col min="2912" max="2913" width="2.3984375" style="1188"/>
    <col min="2914" max="2914" width="4.19921875" style="1188" bestFit="1" customWidth="1"/>
    <col min="2915" max="2915" width="2.3984375" style="1188"/>
    <col min="2916" max="2916" width="4.19921875" style="1188" bestFit="1" customWidth="1"/>
    <col min="2917" max="2919" width="2.3984375" style="1188"/>
    <col min="2920" max="2922" width="2.8984375" style="1188" bestFit="1" customWidth="1"/>
    <col min="2923" max="2924" width="2.3984375" style="1188"/>
    <col min="2925" max="2925" width="4.19921875" style="1188" bestFit="1" customWidth="1"/>
    <col min="2926" max="2926" width="2.3984375" style="1188"/>
    <col min="2927" max="2927" width="4.19921875" style="1188" bestFit="1" customWidth="1"/>
    <col min="2928" max="2929" width="2.3984375" style="1188"/>
    <col min="2930" max="2930" width="4.19921875" style="1188" bestFit="1" customWidth="1"/>
    <col min="2931" max="2931" width="2.3984375" style="1188"/>
    <col min="2932" max="2932" width="4.19921875" style="1188" bestFit="1" customWidth="1"/>
    <col min="2933" max="2935" width="2.3984375" style="1188"/>
    <col min="2936" max="2938" width="2.8984375" style="1188" bestFit="1" customWidth="1"/>
    <col min="2939" max="2940" width="2.3984375" style="1188"/>
    <col min="2941" max="2941" width="4.19921875" style="1188" bestFit="1" customWidth="1"/>
    <col min="2942" max="2942" width="2.3984375" style="1188"/>
    <col min="2943" max="2943" width="4.19921875" style="1188" bestFit="1" customWidth="1"/>
    <col min="2944" max="2945" width="2.3984375" style="1188"/>
    <col min="2946" max="2946" width="4.19921875" style="1188" bestFit="1" customWidth="1"/>
    <col min="2947" max="2947" width="2.3984375" style="1188"/>
    <col min="2948" max="2948" width="4.19921875" style="1188" bestFit="1" customWidth="1"/>
    <col min="2949" max="2951" width="2.3984375" style="1188"/>
    <col min="2952" max="2954" width="2.8984375" style="1188" bestFit="1" customWidth="1"/>
    <col min="2955" max="2956" width="2.3984375" style="1188"/>
    <col min="2957" max="2957" width="4.19921875" style="1188" bestFit="1" customWidth="1"/>
    <col min="2958" max="2958" width="2.3984375" style="1188"/>
    <col min="2959" max="2959" width="4.19921875" style="1188" bestFit="1" customWidth="1"/>
    <col min="2960" max="2961" width="2.3984375" style="1188"/>
    <col min="2962" max="2962" width="4.19921875" style="1188" bestFit="1" customWidth="1"/>
    <col min="2963" max="2963" width="2.3984375" style="1188"/>
    <col min="2964" max="2964" width="4.19921875" style="1188" bestFit="1" customWidth="1"/>
    <col min="2965" max="2967" width="2.3984375" style="1188"/>
    <col min="2968" max="2970" width="2.8984375" style="1188" bestFit="1" customWidth="1"/>
    <col min="2971" max="2972" width="2.3984375" style="1188"/>
    <col min="2973" max="2973" width="4.19921875" style="1188" bestFit="1" customWidth="1"/>
    <col min="2974" max="2974" width="2.3984375" style="1188"/>
    <col min="2975" max="2975" width="4.19921875" style="1188" bestFit="1" customWidth="1"/>
    <col min="2976" max="2977" width="2.3984375" style="1188"/>
    <col min="2978" max="2978" width="4.19921875" style="1188" bestFit="1" customWidth="1"/>
    <col min="2979" max="2979" width="2.3984375" style="1188"/>
    <col min="2980" max="2980" width="4.19921875" style="1188" bestFit="1" customWidth="1"/>
    <col min="2981" max="2983" width="2.3984375" style="1188"/>
    <col min="2984" max="2986" width="2.8984375" style="1188" bestFit="1" customWidth="1"/>
    <col min="2987" max="2988" width="2.3984375" style="1188"/>
    <col min="2989" max="2989" width="4.19921875" style="1188" bestFit="1" customWidth="1"/>
    <col min="2990" max="2990" width="2.3984375" style="1188"/>
    <col min="2991" max="2991" width="4.19921875" style="1188" bestFit="1" customWidth="1"/>
    <col min="2992" max="2993" width="2.3984375" style="1188"/>
    <col min="2994" max="2994" width="4.19921875" style="1188" bestFit="1" customWidth="1"/>
    <col min="2995" max="2995" width="2.3984375" style="1188"/>
    <col min="2996" max="2996" width="4.19921875" style="1188" bestFit="1" customWidth="1"/>
    <col min="2997" max="2999" width="2.3984375" style="1188"/>
    <col min="3000" max="3002" width="2.8984375" style="1188" bestFit="1" customWidth="1"/>
    <col min="3003" max="3004" width="2.3984375" style="1188"/>
    <col min="3005" max="3005" width="4.19921875" style="1188" bestFit="1" customWidth="1"/>
    <col min="3006" max="3006" width="2.3984375" style="1188"/>
    <col min="3007" max="3007" width="4.19921875" style="1188" bestFit="1" customWidth="1"/>
    <col min="3008" max="3009" width="2.3984375" style="1188"/>
    <col min="3010" max="3010" width="4.19921875" style="1188" bestFit="1" customWidth="1"/>
    <col min="3011" max="3011" width="2.3984375" style="1188"/>
    <col min="3012" max="3012" width="4.19921875" style="1188" bestFit="1" customWidth="1"/>
    <col min="3013" max="3015" width="2.3984375" style="1188"/>
    <col min="3016" max="3018" width="2.8984375" style="1188" bestFit="1" customWidth="1"/>
    <col min="3019" max="3020" width="2.3984375" style="1188"/>
    <col min="3021" max="3021" width="4.19921875" style="1188" bestFit="1" customWidth="1"/>
    <col min="3022" max="3022" width="2.3984375" style="1188"/>
    <col min="3023" max="3023" width="4.19921875" style="1188" bestFit="1" customWidth="1"/>
    <col min="3024" max="3025" width="2.3984375" style="1188"/>
    <col min="3026" max="3026" width="4.19921875" style="1188" bestFit="1" customWidth="1"/>
    <col min="3027" max="3027" width="2.3984375" style="1188"/>
    <col min="3028" max="3028" width="4.19921875" style="1188" bestFit="1" customWidth="1"/>
    <col min="3029" max="3031" width="2.3984375" style="1188"/>
    <col min="3032" max="3034" width="2.8984375" style="1188" bestFit="1" customWidth="1"/>
    <col min="3035" max="3036" width="2.3984375" style="1188"/>
    <col min="3037" max="3037" width="4.19921875" style="1188" bestFit="1" customWidth="1"/>
    <col min="3038" max="3038" width="2.3984375" style="1188"/>
    <col min="3039" max="3039" width="4.19921875" style="1188" bestFit="1" customWidth="1"/>
    <col min="3040" max="3041" width="2.3984375" style="1188"/>
    <col min="3042" max="3042" width="4.19921875" style="1188" bestFit="1" customWidth="1"/>
    <col min="3043" max="3043" width="2.3984375" style="1188"/>
    <col min="3044" max="3044" width="4.19921875" style="1188" bestFit="1" customWidth="1"/>
    <col min="3045" max="3047" width="2.3984375" style="1188"/>
    <col min="3048" max="3050" width="2.8984375" style="1188" bestFit="1" customWidth="1"/>
    <col min="3051" max="3052" width="2.3984375" style="1188"/>
    <col min="3053" max="3053" width="4.19921875" style="1188" bestFit="1" customWidth="1"/>
    <col min="3054" max="3054" width="2.3984375" style="1188"/>
    <col min="3055" max="3055" width="4.19921875" style="1188" bestFit="1" customWidth="1"/>
    <col min="3056" max="3057" width="2.3984375" style="1188"/>
    <col min="3058" max="3058" width="4.19921875" style="1188" bestFit="1" customWidth="1"/>
    <col min="3059" max="3059" width="2.3984375" style="1188"/>
    <col min="3060" max="3060" width="4.19921875" style="1188" bestFit="1" customWidth="1"/>
    <col min="3061" max="3063" width="2.3984375" style="1188"/>
    <col min="3064" max="3066" width="2.8984375" style="1188" bestFit="1" customWidth="1"/>
    <col min="3067" max="3068" width="2.3984375" style="1188"/>
    <col min="3069" max="3069" width="4.19921875" style="1188" bestFit="1" customWidth="1"/>
    <col min="3070" max="3070" width="2.3984375" style="1188"/>
    <col min="3071" max="3071" width="4.19921875" style="1188" bestFit="1" customWidth="1"/>
    <col min="3072" max="3073" width="2.3984375" style="1188"/>
    <col min="3074" max="3074" width="4.19921875" style="1188" bestFit="1" customWidth="1"/>
    <col min="3075" max="3075" width="2.3984375" style="1188"/>
    <col min="3076" max="3076" width="4.19921875" style="1188" bestFit="1" customWidth="1"/>
    <col min="3077" max="3079" width="2.3984375" style="1188"/>
    <col min="3080" max="3082" width="2.8984375" style="1188" bestFit="1" customWidth="1"/>
    <col min="3083" max="3084" width="2.3984375" style="1188"/>
    <col min="3085" max="3085" width="4.19921875" style="1188" bestFit="1" customWidth="1"/>
    <col min="3086" max="3086" width="2.3984375" style="1188"/>
    <col min="3087" max="3087" width="4.19921875" style="1188" bestFit="1" customWidth="1"/>
    <col min="3088" max="3089" width="2.3984375" style="1188"/>
    <col min="3090" max="3090" width="4.19921875" style="1188" bestFit="1" customWidth="1"/>
    <col min="3091" max="3091" width="2.3984375" style="1188"/>
    <col min="3092" max="3092" width="4.19921875" style="1188" bestFit="1" customWidth="1"/>
    <col min="3093" max="3095" width="2.3984375" style="1188"/>
    <col min="3096" max="3098" width="2.8984375" style="1188" bestFit="1" customWidth="1"/>
    <col min="3099" max="3100" width="2.3984375" style="1188"/>
    <col min="3101" max="3101" width="4.19921875" style="1188" bestFit="1" customWidth="1"/>
    <col min="3102" max="3102" width="2.3984375" style="1188"/>
    <col min="3103" max="3103" width="4.19921875" style="1188" bestFit="1" customWidth="1"/>
    <col min="3104" max="3105" width="2.3984375" style="1188"/>
    <col min="3106" max="3106" width="4.19921875" style="1188" bestFit="1" customWidth="1"/>
    <col min="3107" max="3107" width="2.3984375" style="1188"/>
    <col min="3108" max="3108" width="4.19921875" style="1188" bestFit="1" customWidth="1"/>
    <col min="3109" max="3111" width="2.3984375" style="1188"/>
    <col min="3112" max="3114" width="2.8984375" style="1188" bestFit="1" customWidth="1"/>
    <col min="3115" max="3116" width="2.3984375" style="1188"/>
    <col min="3117" max="3117" width="4.19921875" style="1188" bestFit="1" customWidth="1"/>
    <col min="3118" max="3118" width="2.3984375" style="1188"/>
    <col min="3119" max="3119" width="4.19921875" style="1188" bestFit="1" customWidth="1"/>
    <col min="3120" max="3121" width="2.3984375" style="1188"/>
    <col min="3122" max="3122" width="4.19921875" style="1188" bestFit="1" customWidth="1"/>
    <col min="3123" max="3123" width="2.3984375" style="1188"/>
    <col min="3124" max="3124" width="4.19921875" style="1188" bestFit="1" customWidth="1"/>
    <col min="3125" max="3127" width="2.3984375" style="1188"/>
    <col min="3128" max="3130" width="2.8984375" style="1188" bestFit="1" customWidth="1"/>
    <col min="3131" max="3132" width="2.3984375" style="1188"/>
    <col min="3133" max="3133" width="4.19921875" style="1188" bestFit="1" customWidth="1"/>
    <col min="3134" max="3134" width="2.3984375" style="1188"/>
    <col min="3135" max="3135" width="4.19921875" style="1188" bestFit="1" customWidth="1"/>
    <col min="3136" max="3137" width="2.3984375" style="1188"/>
    <col min="3138" max="3138" width="4.19921875" style="1188" bestFit="1" customWidth="1"/>
    <col min="3139" max="3139" width="2.3984375" style="1188"/>
    <col min="3140" max="3140" width="4.19921875" style="1188" bestFit="1" customWidth="1"/>
    <col min="3141" max="3143" width="2.3984375" style="1188"/>
    <col min="3144" max="3146" width="2.8984375" style="1188" bestFit="1" customWidth="1"/>
    <col min="3147" max="3148" width="2.3984375" style="1188"/>
    <col min="3149" max="3149" width="4.19921875" style="1188" bestFit="1" customWidth="1"/>
    <col min="3150" max="3150" width="2.3984375" style="1188"/>
    <col min="3151" max="3151" width="4.19921875" style="1188" bestFit="1" customWidth="1"/>
    <col min="3152" max="3153" width="2.3984375" style="1188"/>
    <col min="3154" max="3154" width="4.19921875" style="1188" bestFit="1" customWidth="1"/>
    <col min="3155" max="3155" width="2.3984375" style="1188"/>
    <col min="3156" max="3156" width="4.19921875" style="1188" bestFit="1" customWidth="1"/>
    <col min="3157" max="3159" width="2.3984375" style="1188"/>
    <col min="3160" max="3162" width="2.8984375" style="1188" bestFit="1" customWidth="1"/>
    <col min="3163" max="3164" width="2.3984375" style="1188"/>
    <col min="3165" max="3165" width="4.19921875" style="1188" bestFit="1" customWidth="1"/>
    <col min="3166" max="3166" width="2.3984375" style="1188"/>
    <col min="3167" max="3167" width="4.19921875" style="1188" bestFit="1" customWidth="1"/>
    <col min="3168" max="3169" width="2.3984375" style="1188"/>
    <col min="3170" max="3170" width="4.19921875" style="1188" bestFit="1" customWidth="1"/>
    <col min="3171" max="3171" width="2.3984375" style="1188"/>
    <col min="3172" max="3172" width="4.19921875" style="1188" bestFit="1" customWidth="1"/>
    <col min="3173" max="3175" width="2.3984375" style="1188"/>
    <col min="3176" max="3178" width="2.8984375" style="1188" bestFit="1" customWidth="1"/>
    <col min="3179" max="3180" width="2.3984375" style="1188"/>
    <col min="3181" max="3181" width="4.19921875" style="1188" bestFit="1" customWidth="1"/>
    <col min="3182" max="3182" width="2.3984375" style="1188"/>
    <col min="3183" max="3183" width="4.19921875" style="1188" bestFit="1" customWidth="1"/>
    <col min="3184" max="3185" width="2.3984375" style="1188"/>
    <col min="3186" max="3186" width="4.19921875" style="1188" bestFit="1" customWidth="1"/>
    <col min="3187" max="3187" width="2.3984375" style="1188"/>
    <col min="3188" max="3188" width="4.19921875" style="1188" bestFit="1" customWidth="1"/>
    <col min="3189" max="3191" width="2.3984375" style="1188"/>
    <col min="3192" max="3194" width="2.8984375" style="1188" bestFit="1" customWidth="1"/>
    <col min="3195" max="3196" width="2.3984375" style="1188"/>
    <col min="3197" max="3197" width="4.19921875" style="1188" bestFit="1" customWidth="1"/>
    <col min="3198" max="3198" width="2.3984375" style="1188"/>
    <col min="3199" max="3199" width="4.19921875" style="1188" bestFit="1" customWidth="1"/>
    <col min="3200" max="3201" width="2.3984375" style="1188"/>
    <col min="3202" max="3202" width="4.19921875" style="1188" bestFit="1" customWidth="1"/>
    <col min="3203" max="3203" width="2.3984375" style="1188"/>
    <col min="3204" max="3204" width="4.19921875" style="1188" bestFit="1" customWidth="1"/>
    <col min="3205" max="3207" width="2.3984375" style="1188"/>
    <col min="3208" max="3210" width="2.8984375" style="1188" bestFit="1" customWidth="1"/>
    <col min="3211" max="3212" width="2.3984375" style="1188"/>
    <col min="3213" max="3213" width="4.19921875" style="1188" bestFit="1" customWidth="1"/>
    <col min="3214" max="3214" width="2.3984375" style="1188"/>
    <col min="3215" max="3215" width="4.19921875" style="1188" bestFit="1" customWidth="1"/>
    <col min="3216" max="3217" width="2.3984375" style="1188"/>
    <col min="3218" max="3218" width="4.19921875" style="1188" bestFit="1" customWidth="1"/>
    <col min="3219" max="3219" width="2.3984375" style="1188"/>
    <col min="3220" max="3220" width="4.19921875" style="1188" bestFit="1" customWidth="1"/>
    <col min="3221" max="3223" width="2.3984375" style="1188"/>
    <col min="3224" max="3226" width="2.8984375" style="1188" bestFit="1" customWidth="1"/>
    <col min="3227" max="3228" width="2.3984375" style="1188"/>
    <col min="3229" max="3229" width="4.19921875" style="1188" bestFit="1" customWidth="1"/>
    <col min="3230" max="3230" width="2.3984375" style="1188"/>
    <col min="3231" max="3231" width="4.19921875" style="1188" bestFit="1" customWidth="1"/>
    <col min="3232" max="3233" width="2.3984375" style="1188"/>
    <col min="3234" max="3234" width="4.19921875" style="1188" bestFit="1" customWidth="1"/>
    <col min="3235" max="3235" width="2.3984375" style="1188"/>
    <col min="3236" max="3236" width="4.19921875" style="1188" bestFit="1" customWidth="1"/>
    <col min="3237" max="3239" width="2.3984375" style="1188"/>
    <col min="3240" max="3242" width="2.8984375" style="1188" bestFit="1" customWidth="1"/>
    <col min="3243" max="3244" width="2.3984375" style="1188"/>
    <col min="3245" max="3245" width="4.19921875" style="1188" bestFit="1" customWidth="1"/>
    <col min="3246" max="3246" width="2.3984375" style="1188"/>
    <col min="3247" max="3247" width="4.19921875" style="1188" bestFit="1" customWidth="1"/>
    <col min="3248" max="3249" width="2.3984375" style="1188"/>
    <col min="3250" max="3250" width="4.19921875" style="1188" bestFit="1" customWidth="1"/>
    <col min="3251" max="3251" width="2.3984375" style="1188"/>
    <col min="3252" max="3252" width="4.19921875" style="1188" bestFit="1" customWidth="1"/>
    <col min="3253" max="3255" width="2.3984375" style="1188"/>
    <col min="3256" max="3258" width="2.8984375" style="1188" bestFit="1" customWidth="1"/>
    <col min="3259" max="3260" width="2.3984375" style="1188"/>
    <col min="3261" max="3261" width="4.19921875" style="1188" bestFit="1" customWidth="1"/>
    <col min="3262" max="3262" width="2.3984375" style="1188"/>
    <col min="3263" max="3263" width="4.19921875" style="1188" bestFit="1" customWidth="1"/>
    <col min="3264" max="3265" width="2.3984375" style="1188"/>
    <col min="3266" max="3266" width="4.19921875" style="1188" bestFit="1" customWidth="1"/>
    <col min="3267" max="3267" width="2.3984375" style="1188"/>
    <col min="3268" max="3268" width="4.19921875" style="1188" bestFit="1" customWidth="1"/>
    <col min="3269" max="3271" width="2.3984375" style="1188"/>
    <col min="3272" max="3274" width="2.8984375" style="1188" bestFit="1" customWidth="1"/>
    <col min="3275" max="3276" width="2.3984375" style="1188"/>
    <col min="3277" max="3277" width="4.19921875" style="1188" bestFit="1" customWidth="1"/>
    <col min="3278" max="3278" width="2.3984375" style="1188"/>
    <col min="3279" max="3279" width="4.19921875" style="1188" bestFit="1" customWidth="1"/>
    <col min="3280" max="3281" width="2.3984375" style="1188"/>
    <col min="3282" max="3282" width="4.19921875" style="1188" bestFit="1" customWidth="1"/>
    <col min="3283" max="3283" width="2.3984375" style="1188"/>
    <col min="3284" max="3284" width="4.19921875" style="1188" bestFit="1" customWidth="1"/>
    <col min="3285" max="3287" width="2.3984375" style="1188"/>
    <col min="3288" max="3290" width="2.8984375" style="1188" bestFit="1" customWidth="1"/>
    <col min="3291" max="3292" width="2.3984375" style="1188"/>
    <col min="3293" max="3293" width="4.19921875" style="1188" bestFit="1" customWidth="1"/>
    <col min="3294" max="3294" width="2.3984375" style="1188"/>
    <col min="3295" max="3295" width="4.19921875" style="1188" bestFit="1" customWidth="1"/>
    <col min="3296" max="3297" width="2.3984375" style="1188"/>
    <col min="3298" max="3298" width="4.19921875" style="1188" bestFit="1" customWidth="1"/>
    <col min="3299" max="3299" width="2.3984375" style="1188"/>
    <col min="3300" max="3300" width="4.19921875" style="1188" bestFit="1" customWidth="1"/>
    <col min="3301" max="3303" width="2.3984375" style="1188"/>
    <col min="3304" max="3306" width="2.8984375" style="1188" bestFit="1" customWidth="1"/>
    <col min="3307" max="3308" width="2.3984375" style="1188"/>
    <col min="3309" max="3309" width="4.19921875" style="1188" bestFit="1" customWidth="1"/>
    <col min="3310" max="3310" width="2.3984375" style="1188"/>
    <col min="3311" max="3311" width="4.19921875" style="1188" bestFit="1" customWidth="1"/>
    <col min="3312" max="3313" width="2.3984375" style="1188"/>
    <col min="3314" max="3314" width="4.19921875" style="1188" bestFit="1" customWidth="1"/>
    <col min="3315" max="3315" width="2.3984375" style="1188"/>
    <col min="3316" max="3316" width="4.19921875" style="1188" bestFit="1" customWidth="1"/>
    <col min="3317" max="3319" width="2.3984375" style="1188"/>
    <col min="3320" max="3322" width="2.8984375" style="1188" bestFit="1" customWidth="1"/>
    <col min="3323" max="3324" width="2.3984375" style="1188"/>
    <col min="3325" max="3325" width="4.19921875" style="1188" bestFit="1" customWidth="1"/>
    <col min="3326" max="3326" width="2.3984375" style="1188"/>
    <col min="3327" max="3327" width="4.19921875" style="1188" bestFit="1" customWidth="1"/>
    <col min="3328" max="3329" width="2.3984375" style="1188"/>
    <col min="3330" max="3330" width="4.19921875" style="1188" bestFit="1" customWidth="1"/>
    <col min="3331" max="3331" width="2.3984375" style="1188"/>
    <col min="3332" max="3332" width="4.19921875" style="1188" bestFit="1" customWidth="1"/>
    <col min="3333" max="3335" width="2.3984375" style="1188"/>
    <col min="3336" max="3338" width="2.8984375" style="1188" bestFit="1" customWidth="1"/>
    <col min="3339" max="3340" width="2.3984375" style="1188"/>
    <col min="3341" max="3341" width="4.19921875" style="1188" bestFit="1" customWidth="1"/>
    <col min="3342" max="3342" width="2.3984375" style="1188"/>
    <col min="3343" max="3343" width="4.19921875" style="1188" bestFit="1" customWidth="1"/>
    <col min="3344" max="3345" width="2.3984375" style="1188"/>
    <col min="3346" max="3346" width="4.19921875" style="1188" bestFit="1" customWidth="1"/>
    <col min="3347" max="3347" width="2.3984375" style="1188"/>
    <col min="3348" max="3348" width="4.19921875" style="1188" bestFit="1" customWidth="1"/>
    <col min="3349" max="3351" width="2.3984375" style="1188"/>
    <col min="3352" max="3354" width="2.8984375" style="1188" bestFit="1" customWidth="1"/>
    <col min="3355" max="3356" width="2.3984375" style="1188"/>
    <col min="3357" max="3357" width="4.19921875" style="1188" bestFit="1" customWidth="1"/>
    <col min="3358" max="3358" width="2.3984375" style="1188"/>
    <col min="3359" max="3359" width="4.19921875" style="1188" bestFit="1" customWidth="1"/>
    <col min="3360" max="3361" width="2.3984375" style="1188"/>
    <col min="3362" max="3362" width="4.19921875" style="1188" bestFit="1" customWidth="1"/>
    <col min="3363" max="3363" width="2.3984375" style="1188"/>
    <col min="3364" max="3364" width="4.19921875" style="1188" bestFit="1" customWidth="1"/>
    <col min="3365" max="3367" width="2.3984375" style="1188"/>
    <col min="3368" max="3370" width="2.8984375" style="1188" bestFit="1" customWidth="1"/>
    <col min="3371" max="3372" width="2.3984375" style="1188"/>
    <col min="3373" max="3373" width="4.19921875" style="1188" bestFit="1" customWidth="1"/>
    <col min="3374" max="3374" width="2.3984375" style="1188"/>
    <col min="3375" max="3375" width="4.19921875" style="1188" bestFit="1" customWidth="1"/>
    <col min="3376" max="3377" width="2.3984375" style="1188"/>
    <col min="3378" max="3378" width="4.19921875" style="1188" bestFit="1" customWidth="1"/>
    <col min="3379" max="3379" width="2.3984375" style="1188"/>
    <col min="3380" max="3380" width="4.19921875" style="1188" bestFit="1" customWidth="1"/>
    <col min="3381" max="3383" width="2.3984375" style="1188"/>
    <col min="3384" max="3386" width="2.8984375" style="1188" bestFit="1" customWidth="1"/>
    <col min="3387" max="3388" width="2.3984375" style="1188"/>
    <col min="3389" max="3389" width="4.19921875" style="1188" bestFit="1" customWidth="1"/>
    <col min="3390" max="3390" width="2.3984375" style="1188"/>
    <col min="3391" max="3391" width="4.19921875" style="1188" bestFit="1" customWidth="1"/>
    <col min="3392" max="3393" width="2.3984375" style="1188"/>
    <col min="3394" max="3394" width="4.19921875" style="1188" bestFit="1" customWidth="1"/>
    <col min="3395" max="3395" width="2.3984375" style="1188"/>
    <col min="3396" max="3396" width="4.19921875" style="1188" bestFit="1" customWidth="1"/>
    <col min="3397" max="3399" width="2.3984375" style="1188"/>
    <col min="3400" max="3402" width="2.8984375" style="1188" bestFit="1" customWidth="1"/>
    <col min="3403" max="3404" width="2.3984375" style="1188"/>
    <col min="3405" max="3405" width="4.19921875" style="1188" bestFit="1" customWidth="1"/>
    <col min="3406" max="3406" width="2.3984375" style="1188"/>
    <col min="3407" max="3407" width="4.19921875" style="1188" bestFit="1" customWidth="1"/>
    <col min="3408" max="3409" width="2.3984375" style="1188"/>
    <col min="3410" max="3410" width="4.19921875" style="1188" bestFit="1" customWidth="1"/>
    <col min="3411" max="3411" width="2.3984375" style="1188"/>
    <col min="3412" max="3412" width="4.19921875" style="1188" bestFit="1" customWidth="1"/>
    <col min="3413" max="3415" width="2.3984375" style="1188"/>
    <col min="3416" max="3418" width="2.8984375" style="1188" bestFit="1" customWidth="1"/>
    <col min="3419" max="3420" width="2.3984375" style="1188"/>
    <col min="3421" max="3421" width="4.19921875" style="1188" bestFit="1" customWidth="1"/>
    <col min="3422" max="3422" width="2.3984375" style="1188"/>
    <col min="3423" max="3423" width="4.19921875" style="1188" bestFit="1" customWidth="1"/>
    <col min="3424" max="3425" width="2.3984375" style="1188"/>
    <col min="3426" max="3426" width="4.19921875" style="1188" bestFit="1" customWidth="1"/>
    <col min="3427" max="3427" width="2.3984375" style="1188"/>
    <col min="3428" max="3428" width="4.19921875" style="1188" bestFit="1" customWidth="1"/>
    <col min="3429" max="3431" width="2.3984375" style="1188"/>
    <col min="3432" max="3434" width="2.8984375" style="1188" bestFit="1" customWidth="1"/>
    <col min="3435" max="3436" width="2.3984375" style="1188"/>
    <col min="3437" max="3437" width="4.19921875" style="1188" bestFit="1" customWidth="1"/>
    <col min="3438" max="3438" width="2.3984375" style="1188"/>
    <col min="3439" max="3439" width="4.19921875" style="1188" bestFit="1" customWidth="1"/>
    <col min="3440" max="3441" width="2.3984375" style="1188"/>
    <col min="3442" max="3442" width="4.19921875" style="1188" bestFit="1" customWidth="1"/>
    <col min="3443" max="3443" width="2.3984375" style="1188"/>
    <col min="3444" max="3444" width="4.19921875" style="1188" bestFit="1" customWidth="1"/>
    <col min="3445" max="3447" width="2.3984375" style="1188"/>
    <col min="3448" max="3450" width="2.8984375" style="1188" bestFit="1" customWidth="1"/>
    <col min="3451" max="3452" width="2.3984375" style="1188"/>
    <col min="3453" max="3453" width="4.19921875" style="1188" bestFit="1" customWidth="1"/>
    <col min="3454" max="3454" width="2.3984375" style="1188"/>
    <col min="3455" max="3455" width="4.19921875" style="1188" bestFit="1" customWidth="1"/>
    <col min="3456" max="3457" width="2.3984375" style="1188"/>
    <col min="3458" max="3458" width="4.19921875" style="1188" bestFit="1" customWidth="1"/>
    <col min="3459" max="3459" width="2.3984375" style="1188"/>
    <col min="3460" max="3460" width="4.19921875" style="1188" bestFit="1" customWidth="1"/>
    <col min="3461" max="3463" width="2.3984375" style="1188"/>
    <col min="3464" max="3466" width="2.8984375" style="1188" bestFit="1" customWidth="1"/>
    <col min="3467" max="3468" width="2.3984375" style="1188"/>
    <col min="3469" max="3469" width="4.19921875" style="1188" bestFit="1" customWidth="1"/>
    <col min="3470" max="3470" width="2.3984375" style="1188"/>
    <col min="3471" max="3471" width="4.19921875" style="1188" bestFit="1" customWidth="1"/>
    <col min="3472" max="3473" width="2.3984375" style="1188"/>
    <col min="3474" max="3474" width="4.19921875" style="1188" bestFit="1" customWidth="1"/>
    <col min="3475" max="3475" width="2.3984375" style="1188"/>
    <col min="3476" max="3476" width="4.19921875" style="1188" bestFit="1" customWidth="1"/>
    <col min="3477" max="3479" width="2.3984375" style="1188"/>
    <col min="3480" max="3482" width="2.8984375" style="1188" bestFit="1" customWidth="1"/>
    <col min="3483" max="3484" width="2.3984375" style="1188"/>
    <col min="3485" max="3485" width="4.19921875" style="1188" bestFit="1" customWidth="1"/>
    <col min="3486" max="3486" width="2.3984375" style="1188"/>
    <col min="3487" max="3487" width="4.19921875" style="1188" bestFit="1" customWidth="1"/>
    <col min="3488" max="3489" width="2.3984375" style="1188"/>
    <col min="3490" max="3490" width="4.19921875" style="1188" bestFit="1" customWidth="1"/>
    <col min="3491" max="3491" width="2.3984375" style="1188"/>
    <col min="3492" max="3492" width="4.19921875" style="1188" bestFit="1" customWidth="1"/>
    <col min="3493" max="3495" width="2.3984375" style="1188"/>
    <col min="3496" max="3498" width="2.8984375" style="1188" bestFit="1" customWidth="1"/>
    <col min="3499" max="3500" width="2.3984375" style="1188"/>
    <col min="3501" max="3501" width="4.19921875" style="1188" bestFit="1" customWidth="1"/>
    <col min="3502" max="3502" width="2.3984375" style="1188"/>
    <col min="3503" max="3503" width="4.19921875" style="1188" bestFit="1" customWidth="1"/>
    <col min="3504" max="3505" width="2.3984375" style="1188"/>
    <col min="3506" max="3506" width="4.19921875" style="1188" bestFit="1" customWidth="1"/>
    <col min="3507" max="3507" width="2.3984375" style="1188"/>
    <col min="3508" max="3508" width="4.19921875" style="1188" bestFit="1" customWidth="1"/>
    <col min="3509" max="3511" width="2.3984375" style="1188"/>
    <col min="3512" max="3514" width="2.8984375" style="1188" bestFit="1" customWidth="1"/>
    <col min="3515" max="3516" width="2.3984375" style="1188"/>
    <col min="3517" max="3517" width="4.19921875" style="1188" bestFit="1" customWidth="1"/>
    <col min="3518" max="3518" width="2.3984375" style="1188"/>
    <col min="3519" max="3519" width="4.19921875" style="1188" bestFit="1" customWidth="1"/>
    <col min="3520" max="3521" width="2.3984375" style="1188"/>
    <col min="3522" max="3522" width="4.19921875" style="1188" bestFit="1" customWidth="1"/>
    <col min="3523" max="3523" width="2.3984375" style="1188"/>
    <col min="3524" max="3524" width="4.19921875" style="1188" bestFit="1" customWidth="1"/>
    <col min="3525" max="3527" width="2.3984375" style="1188"/>
    <col min="3528" max="3530" width="2.8984375" style="1188" bestFit="1" customWidth="1"/>
    <col min="3531" max="3532" width="2.3984375" style="1188"/>
    <col min="3533" max="3533" width="4.19921875" style="1188" bestFit="1" customWidth="1"/>
    <col min="3534" max="3534" width="2.3984375" style="1188"/>
    <col min="3535" max="3535" width="4.19921875" style="1188" bestFit="1" customWidth="1"/>
    <col min="3536" max="3537" width="2.3984375" style="1188"/>
    <col min="3538" max="3538" width="4.19921875" style="1188" bestFit="1" customWidth="1"/>
    <col min="3539" max="3539" width="2.3984375" style="1188"/>
    <col min="3540" max="3540" width="4.19921875" style="1188" bestFit="1" customWidth="1"/>
    <col min="3541" max="3543" width="2.3984375" style="1188"/>
    <col min="3544" max="3546" width="2.8984375" style="1188" bestFit="1" customWidth="1"/>
    <col min="3547" max="3548" width="2.3984375" style="1188"/>
    <col min="3549" max="3549" width="4.19921875" style="1188" bestFit="1" customWidth="1"/>
    <col min="3550" max="3550" width="2.3984375" style="1188"/>
    <col min="3551" max="3551" width="4.19921875" style="1188" bestFit="1" customWidth="1"/>
    <col min="3552" max="3553" width="2.3984375" style="1188"/>
    <col min="3554" max="3554" width="4.19921875" style="1188" bestFit="1" customWidth="1"/>
    <col min="3555" max="3555" width="2.3984375" style="1188"/>
    <col min="3556" max="3556" width="4.19921875" style="1188" bestFit="1" customWidth="1"/>
    <col min="3557" max="3559" width="2.3984375" style="1188"/>
    <col min="3560" max="3562" width="2.8984375" style="1188" bestFit="1" customWidth="1"/>
    <col min="3563" max="3564" width="2.3984375" style="1188"/>
    <col min="3565" max="3565" width="4.19921875" style="1188" bestFit="1" customWidth="1"/>
    <col min="3566" max="3566" width="2.3984375" style="1188"/>
    <col min="3567" max="3567" width="4.19921875" style="1188" bestFit="1" customWidth="1"/>
    <col min="3568" max="3569" width="2.3984375" style="1188"/>
    <col min="3570" max="3570" width="4.19921875" style="1188" bestFit="1" customWidth="1"/>
    <col min="3571" max="3571" width="2.3984375" style="1188"/>
    <col min="3572" max="3572" width="4.19921875" style="1188" bestFit="1" customWidth="1"/>
    <col min="3573" max="3575" width="2.3984375" style="1188"/>
    <col min="3576" max="3578" width="2.8984375" style="1188" bestFit="1" customWidth="1"/>
    <col min="3579" max="3580" width="2.3984375" style="1188"/>
    <col min="3581" max="3581" width="4.19921875" style="1188" bestFit="1" customWidth="1"/>
    <col min="3582" max="3582" width="2.3984375" style="1188"/>
    <col min="3583" max="3583" width="4.19921875" style="1188" bestFit="1" customWidth="1"/>
    <col min="3584" max="3585" width="2.3984375" style="1188"/>
    <col min="3586" max="3586" width="4.19921875" style="1188" bestFit="1" customWidth="1"/>
    <col min="3587" max="3587" width="2.3984375" style="1188"/>
    <col min="3588" max="3588" width="4.19921875" style="1188" bestFit="1" customWidth="1"/>
    <col min="3589" max="3591" width="2.3984375" style="1188"/>
    <col min="3592" max="3594" width="2.8984375" style="1188" bestFit="1" customWidth="1"/>
    <col min="3595" max="3596" width="2.3984375" style="1188"/>
    <col min="3597" max="3597" width="4.19921875" style="1188" bestFit="1" customWidth="1"/>
    <col min="3598" max="3598" width="2.3984375" style="1188"/>
    <col min="3599" max="3599" width="4.19921875" style="1188" bestFit="1" customWidth="1"/>
    <col min="3600" max="3601" width="2.3984375" style="1188"/>
    <col min="3602" max="3602" width="4.19921875" style="1188" bestFit="1" customWidth="1"/>
    <col min="3603" max="3603" width="2.3984375" style="1188"/>
    <col min="3604" max="3604" width="4.19921875" style="1188" bestFit="1" customWidth="1"/>
    <col min="3605" max="3607" width="2.3984375" style="1188"/>
    <col min="3608" max="3610" width="2.8984375" style="1188" bestFit="1" customWidth="1"/>
    <col min="3611" max="3612" width="2.3984375" style="1188"/>
    <col min="3613" max="3613" width="4.19921875" style="1188" bestFit="1" customWidth="1"/>
    <col min="3614" max="3614" width="2.3984375" style="1188"/>
    <col min="3615" max="3615" width="4.19921875" style="1188" bestFit="1" customWidth="1"/>
    <col min="3616" max="3617" width="2.3984375" style="1188"/>
    <col min="3618" max="3618" width="4.19921875" style="1188" bestFit="1" customWidth="1"/>
    <col min="3619" max="3619" width="2.3984375" style="1188"/>
    <col min="3620" max="3620" width="4.19921875" style="1188" bestFit="1" customWidth="1"/>
    <col min="3621" max="3623" width="2.3984375" style="1188"/>
    <col min="3624" max="3626" width="2.8984375" style="1188" bestFit="1" customWidth="1"/>
    <col min="3627" max="3628" width="2.3984375" style="1188"/>
    <col min="3629" max="3629" width="4.19921875" style="1188" bestFit="1" customWidth="1"/>
    <col min="3630" max="3630" width="2.3984375" style="1188"/>
    <col min="3631" max="3631" width="4.19921875" style="1188" bestFit="1" customWidth="1"/>
    <col min="3632" max="3633" width="2.3984375" style="1188"/>
    <col min="3634" max="3634" width="4.19921875" style="1188" bestFit="1" customWidth="1"/>
    <col min="3635" max="3635" width="2.3984375" style="1188"/>
    <col min="3636" max="3636" width="4.19921875" style="1188" bestFit="1" customWidth="1"/>
    <col min="3637" max="3639" width="2.3984375" style="1188"/>
    <col min="3640" max="3642" width="2.8984375" style="1188" bestFit="1" customWidth="1"/>
    <col min="3643" max="3644" width="2.3984375" style="1188"/>
    <col min="3645" max="3645" width="4.19921875" style="1188" bestFit="1" customWidth="1"/>
    <col min="3646" max="3646" width="2.3984375" style="1188"/>
    <col min="3647" max="3647" width="4.19921875" style="1188" bestFit="1" customWidth="1"/>
    <col min="3648" max="3649" width="2.3984375" style="1188"/>
    <col min="3650" max="3650" width="4.19921875" style="1188" bestFit="1" customWidth="1"/>
    <col min="3651" max="3651" width="2.3984375" style="1188"/>
    <col min="3652" max="3652" width="4.19921875" style="1188" bestFit="1" customWidth="1"/>
    <col min="3653" max="3655" width="2.3984375" style="1188"/>
    <col min="3656" max="3658" width="2.8984375" style="1188" bestFit="1" customWidth="1"/>
    <col min="3659" max="3660" width="2.3984375" style="1188"/>
    <col min="3661" max="3661" width="4.19921875" style="1188" bestFit="1" customWidth="1"/>
    <col min="3662" max="3662" width="2.3984375" style="1188"/>
    <col min="3663" max="3663" width="4.19921875" style="1188" bestFit="1" customWidth="1"/>
    <col min="3664" max="3665" width="2.3984375" style="1188"/>
    <col min="3666" max="3666" width="4.19921875" style="1188" bestFit="1" customWidth="1"/>
    <col min="3667" max="3667" width="2.3984375" style="1188"/>
    <col min="3668" max="3668" width="4.19921875" style="1188" bestFit="1" customWidth="1"/>
    <col min="3669" max="3671" width="2.3984375" style="1188"/>
    <col min="3672" max="3674" width="2.8984375" style="1188" bestFit="1" customWidth="1"/>
    <col min="3675" max="3676" width="2.3984375" style="1188"/>
    <col min="3677" max="3677" width="4.19921875" style="1188" bestFit="1" customWidth="1"/>
    <col min="3678" max="3678" width="2.3984375" style="1188"/>
    <col min="3679" max="3679" width="4.19921875" style="1188" bestFit="1" customWidth="1"/>
    <col min="3680" max="3681" width="2.3984375" style="1188"/>
    <col min="3682" max="3682" width="4.19921875" style="1188" bestFit="1" customWidth="1"/>
    <col min="3683" max="3683" width="2.3984375" style="1188"/>
    <col min="3684" max="3684" width="4.19921875" style="1188" bestFit="1" customWidth="1"/>
    <col min="3685" max="3687" width="2.3984375" style="1188"/>
    <col min="3688" max="3690" width="2.8984375" style="1188" bestFit="1" customWidth="1"/>
    <col min="3691" max="3692" width="2.3984375" style="1188"/>
    <col min="3693" max="3693" width="4.19921875" style="1188" bestFit="1" customWidth="1"/>
    <col min="3694" max="3694" width="2.3984375" style="1188"/>
    <col min="3695" max="3695" width="4.19921875" style="1188" bestFit="1" customWidth="1"/>
    <col min="3696" max="3697" width="2.3984375" style="1188"/>
    <col min="3698" max="3698" width="4.19921875" style="1188" bestFit="1" customWidth="1"/>
    <col min="3699" max="3699" width="2.3984375" style="1188"/>
    <col min="3700" max="3700" width="4.19921875" style="1188" bestFit="1" customWidth="1"/>
    <col min="3701" max="3703" width="2.3984375" style="1188"/>
    <col min="3704" max="3706" width="2.8984375" style="1188" bestFit="1" customWidth="1"/>
    <col min="3707" max="3708" width="2.3984375" style="1188"/>
    <col min="3709" max="3709" width="4.19921875" style="1188" bestFit="1" customWidth="1"/>
    <col min="3710" max="3710" width="2.3984375" style="1188"/>
    <col min="3711" max="3711" width="4.19921875" style="1188" bestFit="1" customWidth="1"/>
    <col min="3712" max="3713" width="2.3984375" style="1188"/>
    <col min="3714" max="3714" width="4.19921875" style="1188" bestFit="1" customWidth="1"/>
    <col min="3715" max="3715" width="2.3984375" style="1188"/>
    <col min="3716" max="3716" width="4.19921875" style="1188" bestFit="1" customWidth="1"/>
    <col min="3717" max="3719" width="2.3984375" style="1188"/>
    <col min="3720" max="3722" width="2.8984375" style="1188" bestFit="1" customWidth="1"/>
    <col min="3723" max="3724" width="2.3984375" style="1188"/>
    <col min="3725" max="3725" width="4.19921875" style="1188" bestFit="1" customWidth="1"/>
    <col min="3726" max="3726" width="2.3984375" style="1188"/>
    <col min="3727" max="3727" width="4.19921875" style="1188" bestFit="1" customWidth="1"/>
    <col min="3728" max="3729" width="2.3984375" style="1188"/>
    <col min="3730" max="3730" width="4.19921875" style="1188" bestFit="1" customWidth="1"/>
    <col min="3731" max="3731" width="2.3984375" style="1188"/>
    <col min="3732" max="3732" width="4.19921875" style="1188" bestFit="1" customWidth="1"/>
    <col min="3733" max="3735" width="2.3984375" style="1188"/>
    <col min="3736" max="3738" width="2.8984375" style="1188" bestFit="1" customWidth="1"/>
    <col min="3739" max="3740" width="2.3984375" style="1188"/>
    <col min="3741" max="3741" width="4.19921875" style="1188" bestFit="1" customWidth="1"/>
    <col min="3742" max="3742" width="2.3984375" style="1188"/>
    <col min="3743" max="3743" width="4.19921875" style="1188" bestFit="1" customWidth="1"/>
    <col min="3744" max="3745" width="2.3984375" style="1188"/>
    <col min="3746" max="3746" width="4.19921875" style="1188" bestFit="1" customWidth="1"/>
    <col min="3747" max="3747" width="2.3984375" style="1188"/>
    <col min="3748" max="3748" width="4.19921875" style="1188" bestFit="1" customWidth="1"/>
    <col min="3749" max="3751" width="2.3984375" style="1188"/>
    <col min="3752" max="3754" width="2.8984375" style="1188" bestFit="1" customWidth="1"/>
    <col min="3755" max="3756" width="2.3984375" style="1188"/>
    <col min="3757" max="3757" width="4.19921875" style="1188" bestFit="1" customWidth="1"/>
    <col min="3758" max="3758" width="2.3984375" style="1188"/>
    <col min="3759" max="3759" width="4.19921875" style="1188" bestFit="1" customWidth="1"/>
    <col min="3760" max="3761" width="2.3984375" style="1188"/>
    <col min="3762" max="3762" width="4.19921875" style="1188" bestFit="1" customWidth="1"/>
    <col min="3763" max="3763" width="2.3984375" style="1188"/>
    <col min="3764" max="3764" width="4.19921875" style="1188" bestFit="1" customWidth="1"/>
    <col min="3765" max="3767" width="2.3984375" style="1188"/>
    <col min="3768" max="3770" width="2.8984375" style="1188" bestFit="1" customWidth="1"/>
    <col min="3771" max="3772" width="2.3984375" style="1188"/>
    <col min="3773" max="3773" width="4.19921875" style="1188" bestFit="1" customWidth="1"/>
    <col min="3774" max="3774" width="2.3984375" style="1188"/>
    <col min="3775" max="3775" width="4.19921875" style="1188" bestFit="1" customWidth="1"/>
    <col min="3776" max="3777" width="2.3984375" style="1188"/>
    <col min="3778" max="3778" width="4.19921875" style="1188" bestFit="1" customWidth="1"/>
    <col min="3779" max="3779" width="2.3984375" style="1188"/>
    <col min="3780" max="3780" width="4.19921875" style="1188" bestFit="1" customWidth="1"/>
    <col min="3781" max="3783" width="2.3984375" style="1188"/>
    <col min="3784" max="3786" width="2.8984375" style="1188" bestFit="1" customWidth="1"/>
    <col min="3787" max="3788" width="2.3984375" style="1188"/>
    <col min="3789" max="3789" width="4.19921875" style="1188" bestFit="1" customWidth="1"/>
    <col min="3790" max="3790" width="2.3984375" style="1188"/>
    <col min="3791" max="3791" width="4.19921875" style="1188" bestFit="1" customWidth="1"/>
    <col min="3792" max="3793" width="2.3984375" style="1188"/>
    <col min="3794" max="3794" width="4.19921875" style="1188" bestFit="1" customWidth="1"/>
    <col min="3795" max="3795" width="2.3984375" style="1188"/>
    <col min="3796" max="3796" width="4.19921875" style="1188" bestFit="1" customWidth="1"/>
    <col min="3797" max="3799" width="2.3984375" style="1188"/>
    <col min="3800" max="3802" width="2.8984375" style="1188" bestFit="1" customWidth="1"/>
    <col min="3803" max="3804" width="2.3984375" style="1188"/>
    <col min="3805" max="3805" width="4.19921875" style="1188" bestFit="1" customWidth="1"/>
    <col min="3806" max="3806" width="2.3984375" style="1188"/>
    <col min="3807" max="3807" width="4.19921875" style="1188" bestFit="1" customWidth="1"/>
    <col min="3808" max="3809" width="2.3984375" style="1188"/>
    <col min="3810" max="3810" width="4.19921875" style="1188" bestFit="1" customWidth="1"/>
    <col min="3811" max="3811" width="2.3984375" style="1188"/>
    <col min="3812" max="3812" width="4.19921875" style="1188" bestFit="1" customWidth="1"/>
    <col min="3813" max="3815" width="2.3984375" style="1188"/>
    <col min="3816" max="3818" width="2.8984375" style="1188" bestFit="1" customWidth="1"/>
    <col min="3819" max="3820" width="2.3984375" style="1188"/>
    <col min="3821" max="3821" width="4.19921875" style="1188" bestFit="1" customWidth="1"/>
    <col min="3822" max="3822" width="2.3984375" style="1188"/>
    <col min="3823" max="3823" width="4.19921875" style="1188" bestFit="1" customWidth="1"/>
    <col min="3824" max="3825" width="2.3984375" style="1188"/>
    <col min="3826" max="3826" width="4.19921875" style="1188" bestFit="1" customWidth="1"/>
    <col min="3827" max="3827" width="2.3984375" style="1188"/>
    <col min="3828" max="3828" width="4.19921875" style="1188" bestFit="1" customWidth="1"/>
    <col min="3829" max="3831" width="2.3984375" style="1188"/>
    <col min="3832" max="3834" width="2.8984375" style="1188" bestFit="1" customWidth="1"/>
    <col min="3835" max="3836" width="2.3984375" style="1188"/>
    <col min="3837" max="3837" width="4.19921875" style="1188" bestFit="1" customWidth="1"/>
    <col min="3838" max="3838" width="2.3984375" style="1188"/>
    <col min="3839" max="3839" width="4.19921875" style="1188" bestFit="1" customWidth="1"/>
    <col min="3840" max="3841" width="2.3984375" style="1188"/>
    <col min="3842" max="3842" width="4.19921875" style="1188" bestFit="1" customWidth="1"/>
    <col min="3843" max="3843" width="2.3984375" style="1188"/>
    <col min="3844" max="3844" width="4.19921875" style="1188" bestFit="1" customWidth="1"/>
    <col min="3845" max="3847" width="2.3984375" style="1188"/>
    <col min="3848" max="3850" width="2.8984375" style="1188" bestFit="1" customWidth="1"/>
    <col min="3851" max="3852" width="2.3984375" style="1188"/>
    <col min="3853" max="3853" width="4.19921875" style="1188" bestFit="1" customWidth="1"/>
    <col min="3854" max="3854" width="2.3984375" style="1188"/>
    <col min="3855" max="3855" width="4.19921875" style="1188" bestFit="1" customWidth="1"/>
    <col min="3856" max="3857" width="2.3984375" style="1188"/>
    <col min="3858" max="3858" width="4.19921875" style="1188" bestFit="1" customWidth="1"/>
    <col min="3859" max="3859" width="2.3984375" style="1188"/>
    <col min="3860" max="3860" width="4.19921875" style="1188" bestFit="1" customWidth="1"/>
    <col min="3861" max="3863" width="2.3984375" style="1188"/>
    <col min="3864" max="3866" width="2.8984375" style="1188" bestFit="1" customWidth="1"/>
    <col min="3867" max="3868" width="2.3984375" style="1188"/>
    <col min="3869" max="3869" width="4.19921875" style="1188" bestFit="1" customWidth="1"/>
    <col min="3870" max="3870" width="2.3984375" style="1188"/>
    <col min="3871" max="3871" width="4.19921875" style="1188" bestFit="1" customWidth="1"/>
    <col min="3872" max="3873" width="2.3984375" style="1188"/>
    <col min="3874" max="3874" width="4.19921875" style="1188" bestFit="1" customWidth="1"/>
    <col min="3875" max="3875" width="2.3984375" style="1188"/>
    <col min="3876" max="3876" width="4.19921875" style="1188" bestFit="1" customWidth="1"/>
    <col min="3877" max="3879" width="2.3984375" style="1188"/>
    <col min="3880" max="3882" width="2.8984375" style="1188" bestFit="1" customWidth="1"/>
    <col min="3883" max="3884" width="2.3984375" style="1188"/>
    <col min="3885" max="3885" width="4.19921875" style="1188" bestFit="1" customWidth="1"/>
    <col min="3886" max="3886" width="2.3984375" style="1188"/>
    <col min="3887" max="3887" width="4.19921875" style="1188" bestFit="1" customWidth="1"/>
    <col min="3888" max="3889" width="2.3984375" style="1188"/>
    <col min="3890" max="3890" width="4.19921875" style="1188" bestFit="1" customWidth="1"/>
    <col min="3891" max="3891" width="2.3984375" style="1188"/>
    <col min="3892" max="3892" width="4.19921875" style="1188" bestFit="1" customWidth="1"/>
    <col min="3893" max="3895" width="2.3984375" style="1188"/>
    <col min="3896" max="3898" width="2.8984375" style="1188" bestFit="1" customWidth="1"/>
    <col min="3899" max="3900" width="2.3984375" style="1188"/>
    <col min="3901" max="3901" width="4.19921875" style="1188" bestFit="1" customWidth="1"/>
    <col min="3902" max="3902" width="2.3984375" style="1188"/>
    <col min="3903" max="3903" width="4.19921875" style="1188" bestFit="1" customWidth="1"/>
    <col min="3904" max="3905" width="2.3984375" style="1188"/>
    <col min="3906" max="3906" width="4.19921875" style="1188" bestFit="1" customWidth="1"/>
    <col min="3907" max="3907" width="2.3984375" style="1188"/>
    <col min="3908" max="3908" width="4.19921875" style="1188" bestFit="1" customWidth="1"/>
    <col min="3909" max="3911" width="2.3984375" style="1188"/>
    <col min="3912" max="3914" width="2.8984375" style="1188" bestFit="1" customWidth="1"/>
    <col min="3915" max="3916" width="2.3984375" style="1188"/>
    <col min="3917" max="3917" width="4.19921875" style="1188" bestFit="1" customWidth="1"/>
    <col min="3918" max="3918" width="2.3984375" style="1188"/>
    <col min="3919" max="3919" width="4.19921875" style="1188" bestFit="1" customWidth="1"/>
    <col min="3920" max="3921" width="2.3984375" style="1188"/>
    <col min="3922" max="3922" width="4.19921875" style="1188" bestFit="1" customWidth="1"/>
    <col min="3923" max="3923" width="2.3984375" style="1188"/>
    <col min="3924" max="3924" width="4.19921875" style="1188" bestFit="1" customWidth="1"/>
    <col min="3925" max="3927" width="2.3984375" style="1188"/>
    <col min="3928" max="3930" width="2.8984375" style="1188" bestFit="1" customWidth="1"/>
    <col min="3931" max="3932" width="2.3984375" style="1188"/>
    <col min="3933" max="3933" width="4.19921875" style="1188" bestFit="1" customWidth="1"/>
    <col min="3934" max="3934" width="2.3984375" style="1188"/>
    <col min="3935" max="3935" width="4.19921875" style="1188" bestFit="1" customWidth="1"/>
    <col min="3936" max="3937" width="2.3984375" style="1188"/>
    <col min="3938" max="3938" width="4.19921875" style="1188" bestFit="1" customWidth="1"/>
    <col min="3939" max="3939" width="2.3984375" style="1188"/>
    <col min="3940" max="3940" width="4.19921875" style="1188" bestFit="1" customWidth="1"/>
    <col min="3941" max="3943" width="2.3984375" style="1188"/>
    <col min="3944" max="3946" width="2.8984375" style="1188" bestFit="1" customWidth="1"/>
    <col min="3947" max="3948" width="2.3984375" style="1188"/>
    <col min="3949" max="3949" width="4.19921875" style="1188" bestFit="1" customWidth="1"/>
    <col min="3950" max="3950" width="2.3984375" style="1188"/>
    <col min="3951" max="3951" width="4.19921875" style="1188" bestFit="1" customWidth="1"/>
    <col min="3952" max="3953" width="2.3984375" style="1188"/>
    <col min="3954" max="3954" width="4.19921875" style="1188" bestFit="1" customWidth="1"/>
    <col min="3955" max="3955" width="2.3984375" style="1188"/>
    <col min="3956" max="3956" width="4.19921875" style="1188" bestFit="1" customWidth="1"/>
    <col min="3957" max="3959" width="2.3984375" style="1188"/>
    <col min="3960" max="3962" width="2.8984375" style="1188" bestFit="1" customWidth="1"/>
    <col min="3963" max="3964" width="2.3984375" style="1188"/>
    <col min="3965" max="3965" width="4.19921875" style="1188" bestFit="1" customWidth="1"/>
    <col min="3966" max="3966" width="2.3984375" style="1188"/>
    <col min="3967" max="3967" width="4.19921875" style="1188" bestFit="1" customWidth="1"/>
    <col min="3968" max="3969" width="2.3984375" style="1188"/>
    <col min="3970" max="3970" width="4.19921875" style="1188" bestFit="1" customWidth="1"/>
    <col min="3971" max="3971" width="2.3984375" style="1188"/>
    <col min="3972" max="3972" width="4.19921875" style="1188" bestFit="1" customWidth="1"/>
    <col min="3973" max="3975" width="2.3984375" style="1188"/>
    <col min="3976" max="3978" width="2.8984375" style="1188" bestFit="1" customWidth="1"/>
    <col min="3979" max="3980" width="2.3984375" style="1188"/>
    <col min="3981" max="3981" width="4.19921875" style="1188" bestFit="1" customWidth="1"/>
    <col min="3982" max="3982" width="2.3984375" style="1188"/>
    <col min="3983" max="3983" width="4.19921875" style="1188" bestFit="1" customWidth="1"/>
    <col min="3984" max="3985" width="2.3984375" style="1188"/>
    <col min="3986" max="3986" width="4.19921875" style="1188" bestFit="1" customWidth="1"/>
    <col min="3987" max="3987" width="2.3984375" style="1188"/>
    <col min="3988" max="3988" width="4.19921875" style="1188" bestFit="1" customWidth="1"/>
    <col min="3989" max="3991" width="2.3984375" style="1188"/>
    <col min="3992" max="3994" width="2.8984375" style="1188" bestFit="1" customWidth="1"/>
    <col min="3995" max="3996" width="2.3984375" style="1188"/>
    <col min="3997" max="3997" width="4.19921875" style="1188" bestFit="1" customWidth="1"/>
    <col min="3998" max="3998" width="2.3984375" style="1188"/>
    <col min="3999" max="3999" width="4.19921875" style="1188" bestFit="1" customWidth="1"/>
    <col min="4000" max="4001" width="2.3984375" style="1188"/>
    <col min="4002" max="4002" width="4.19921875" style="1188" bestFit="1" customWidth="1"/>
    <col min="4003" max="4003" width="2.3984375" style="1188"/>
    <col min="4004" max="4004" width="4.19921875" style="1188" bestFit="1" customWidth="1"/>
    <col min="4005" max="4007" width="2.3984375" style="1188"/>
    <col min="4008" max="4010" width="2.8984375" style="1188" bestFit="1" customWidth="1"/>
    <col min="4011" max="4012" width="2.3984375" style="1188"/>
    <col min="4013" max="4013" width="4.19921875" style="1188" bestFit="1" customWidth="1"/>
    <col min="4014" max="4014" width="2.3984375" style="1188"/>
    <col min="4015" max="4015" width="4.19921875" style="1188" bestFit="1" customWidth="1"/>
    <col min="4016" max="4017" width="2.3984375" style="1188"/>
    <col min="4018" max="4018" width="4.19921875" style="1188" bestFit="1" customWidth="1"/>
    <col min="4019" max="4019" width="2.3984375" style="1188"/>
    <col min="4020" max="4020" width="4.19921875" style="1188" bestFit="1" customWidth="1"/>
    <col min="4021" max="4023" width="2.3984375" style="1188"/>
    <col min="4024" max="4026" width="2.8984375" style="1188" bestFit="1" customWidth="1"/>
    <col min="4027" max="4028" width="2.3984375" style="1188"/>
    <col min="4029" max="4029" width="4.19921875" style="1188" bestFit="1" customWidth="1"/>
    <col min="4030" max="4030" width="2.3984375" style="1188"/>
    <col min="4031" max="4031" width="4.19921875" style="1188" bestFit="1" customWidth="1"/>
    <col min="4032" max="4033" width="2.3984375" style="1188"/>
    <col min="4034" max="4034" width="4.19921875" style="1188" bestFit="1" customWidth="1"/>
    <col min="4035" max="4035" width="2.3984375" style="1188"/>
    <col min="4036" max="4036" width="4.19921875" style="1188" bestFit="1" customWidth="1"/>
    <col min="4037" max="4039" width="2.3984375" style="1188"/>
    <col min="4040" max="4042" width="2.8984375" style="1188" bestFit="1" customWidth="1"/>
    <col min="4043" max="4044" width="2.3984375" style="1188"/>
    <col min="4045" max="4045" width="4.19921875" style="1188" bestFit="1" customWidth="1"/>
    <col min="4046" max="4046" width="2.3984375" style="1188"/>
    <col min="4047" max="4047" width="4.19921875" style="1188" bestFit="1" customWidth="1"/>
    <col min="4048" max="4049" width="2.3984375" style="1188"/>
    <col min="4050" max="4050" width="4.19921875" style="1188" bestFit="1" customWidth="1"/>
    <col min="4051" max="4051" width="2.3984375" style="1188"/>
    <col min="4052" max="4052" width="4.19921875" style="1188" bestFit="1" customWidth="1"/>
    <col min="4053" max="4055" width="2.3984375" style="1188"/>
    <col min="4056" max="4058" width="2.8984375" style="1188" bestFit="1" customWidth="1"/>
    <col min="4059" max="4060" width="2.3984375" style="1188"/>
    <col min="4061" max="4061" width="4.19921875" style="1188" bestFit="1" customWidth="1"/>
    <col min="4062" max="4062" width="2.3984375" style="1188"/>
    <col min="4063" max="4063" width="4.19921875" style="1188" bestFit="1" customWidth="1"/>
    <col min="4064" max="4065" width="2.3984375" style="1188"/>
    <col min="4066" max="4066" width="4.19921875" style="1188" bestFit="1" customWidth="1"/>
    <col min="4067" max="4067" width="2.3984375" style="1188"/>
    <col min="4068" max="4068" width="4.19921875" style="1188" bestFit="1" customWidth="1"/>
    <col min="4069" max="4071" width="2.3984375" style="1188"/>
    <col min="4072" max="4074" width="2.8984375" style="1188" bestFit="1" customWidth="1"/>
    <col min="4075" max="4076" width="2.3984375" style="1188"/>
    <col min="4077" max="4077" width="4.19921875" style="1188" bestFit="1" customWidth="1"/>
    <col min="4078" max="4078" width="2.3984375" style="1188"/>
    <col min="4079" max="4079" width="4.19921875" style="1188" bestFit="1" customWidth="1"/>
    <col min="4080" max="4081" width="2.3984375" style="1188"/>
    <col min="4082" max="4082" width="4.19921875" style="1188" bestFit="1" customWidth="1"/>
    <col min="4083" max="4083" width="2.3984375" style="1188"/>
    <col min="4084" max="4084" width="4.19921875" style="1188" bestFit="1" customWidth="1"/>
    <col min="4085" max="4087" width="2.3984375" style="1188"/>
    <col min="4088" max="4090" width="2.8984375" style="1188" bestFit="1" customWidth="1"/>
    <col min="4091" max="4092" width="2.3984375" style="1188"/>
    <col min="4093" max="4093" width="4.19921875" style="1188" bestFit="1" customWidth="1"/>
    <col min="4094" max="4094" width="2.3984375" style="1188"/>
    <col min="4095" max="4095" width="4.19921875" style="1188" bestFit="1" customWidth="1"/>
    <col min="4096" max="4097" width="2.3984375" style="1188"/>
    <col min="4098" max="4098" width="4.19921875" style="1188" bestFit="1" customWidth="1"/>
    <col min="4099" max="4099" width="2.3984375" style="1188"/>
    <col min="4100" max="4100" width="4.19921875" style="1188" bestFit="1" customWidth="1"/>
    <col min="4101" max="4103" width="2.3984375" style="1188"/>
    <col min="4104" max="4106" width="2.8984375" style="1188" bestFit="1" customWidth="1"/>
    <col min="4107" max="4108" width="2.3984375" style="1188"/>
    <col min="4109" max="4109" width="4.19921875" style="1188" bestFit="1" customWidth="1"/>
    <col min="4110" max="4110" width="2.3984375" style="1188"/>
    <col min="4111" max="4111" width="4.19921875" style="1188" bestFit="1" customWidth="1"/>
    <col min="4112" max="4113" width="2.3984375" style="1188"/>
    <col min="4114" max="4114" width="4.19921875" style="1188" bestFit="1" customWidth="1"/>
    <col min="4115" max="4115" width="2.3984375" style="1188"/>
    <col min="4116" max="4116" width="4.19921875" style="1188" bestFit="1" customWidth="1"/>
    <col min="4117" max="4119" width="2.3984375" style="1188"/>
    <col min="4120" max="4122" width="2.8984375" style="1188" bestFit="1" customWidth="1"/>
    <col min="4123" max="4124" width="2.3984375" style="1188"/>
    <col min="4125" max="4125" width="4.19921875" style="1188" bestFit="1" customWidth="1"/>
    <col min="4126" max="4126" width="2.3984375" style="1188"/>
    <col min="4127" max="4127" width="4.19921875" style="1188" bestFit="1" customWidth="1"/>
    <col min="4128" max="4129" width="2.3984375" style="1188"/>
    <col min="4130" max="4130" width="4.19921875" style="1188" bestFit="1" customWidth="1"/>
    <col min="4131" max="4131" width="2.3984375" style="1188"/>
    <col min="4132" max="4132" width="4.19921875" style="1188" bestFit="1" customWidth="1"/>
    <col min="4133" max="4135" width="2.3984375" style="1188"/>
    <col min="4136" max="4138" width="2.8984375" style="1188" bestFit="1" customWidth="1"/>
    <col min="4139" max="4140" width="2.3984375" style="1188"/>
    <col min="4141" max="4141" width="4.19921875" style="1188" bestFit="1" customWidth="1"/>
    <col min="4142" max="4142" width="2.3984375" style="1188"/>
    <col min="4143" max="4143" width="4.19921875" style="1188" bestFit="1" customWidth="1"/>
    <col min="4144" max="4145" width="2.3984375" style="1188"/>
    <col min="4146" max="4146" width="4.19921875" style="1188" bestFit="1" customWidth="1"/>
    <col min="4147" max="4147" width="2.3984375" style="1188"/>
    <col min="4148" max="4148" width="4.19921875" style="1188" bestFit="1" customWidth="1"/>
    <col min="4149" max="4151" width="2.3984375" style="1188"/>
    <col min="4152" max="4154" width="2.8984375" style="1188" bestFit="1" customWidth="1"/>
    <col min="4155" max="4156" width="2.3984375" style="1188"/>
    <col min="4157" max="4157" width="4.19921875" style="1188" bestFit="1" customWidth="1"/>
    <col min="4158" max="4158" width="2.3984375" style="1188"/>
    <col min="4159" max="4159" width="4.19921875" style="1188" bestFit="1" customWidth="1"/>
    <col min="4160" max="4161" width="2.3984375" style="1188"/>
    <col min="4162" max="4162" width="4.19921875" style="1188" bestFit="1" customWidth="1"/>
    <col min="4163" max="4163" width="2.3984375" style="1188"/>
    <col min="4164" max="4164" width="4.19921875" style="1188" bestFit="1" customWidth="1"/>
    <col min="4165" max="4167" width="2.3984375" style="1188"/>
    <col min="4168" max="4170" width="2.8984375" style="1188" bestFit="1" customWidth="1"/>
    <col min="4171" max="4172" width="2.3984375" style="1188"/>
    <col min="4173" max="4173" width="4.19921875" style="1188" bestFit="1" customWidth="1"/>
    <col min="4174" max="4174" width="2.3984375" style="1188"/>
    <col min="4175" max="4175" width="4.19921875" style="1188" bestFit="1" customWidth="1"/>
    <col min="4176" max="4177" width="2.3984375" style="1188"/>
    <col min="4178" max="4178" width="4.19921875" style="1188" bestFit="1" customWidth="1"/>
    <col min="4179" max="4179" width="2.3984375" style="1188"/>
    <col min="4180" max="4180" width="4.19921875" style="1188" bestFit="1" customWidth="1"/>
    <col min="4181" max="4183" width="2.3984375" style="1188"/>
    <col min="4184" max="4186" width="2.8984375" style="1188" bestFit="1" customWidth="1"/>
    <col min="4187" max="4188" width="2.3984375" style="1188"/>
    <col min="4189" max="4189" width="4.19921875" style="1188" bestFit="1" customWidth="1"/>
    <col min="4190" max="4190" width="2.3984375" style="1188"/>
    <col min="4191" max="4191" width="4.19921875" style="1188" bestFit="1" customWidth="1"/>
    <col min="4192" max="4193" width="2.3984375" style="1188"/>
    <col min="4194" max="4194" width="4.19921875" style="1188" bestFit="1" customWidth="1"/>
    <col min="4195" max="4195" width="2.3984375" style="1188"/>
    <col min="4196" max="4196" width="4.19921875" style="1188" bestFit="1" customWidth="1"/>
    <col min="4197" max="4199" width="2.3984375" style="1188"/>
    <col min="4200" max="4202" width="2.8984375" style="1188" bestFit="1" customWidth="1"/>
    <col min="4203" max="4204" width="2.3984375" style="1188"/>
    <col min="4205" max="4205" width="4.19921875" style="1188" bestFit="1" customWidth="1"/>
    <col min="4206" max="4206" width="2.3984375" style="1188"/>
    <col min="4207" max="4207" width="4.19921875" style="1188" bestFit="1" customWidth="1"/>
    <col min="4208" max="4209" width="2.3984375" style="1188"/>
    <col min="4210" max="4210" width="4.19921875" style="1188" bestFit="1" customWidth="1"/>
    <col min="4211" max="4211" width="2.3984375" style="1188"/>
    <col min="4212" max="4212" width="4.19921875" style="1188" bestFit="1" customWidth="1"/>
    <col min="4213" max="4215" width="2.3984375" style="1188"/>
    <col min="4216" max="4218" width="2.8984375" style="1188" bestFit="1" customWidth="1"/>
    <col min="4219" max="4220" width="2.3984375" style="1188"/>
    <col min="4221" max="4221" width="4.19921875" style="1188" bestFit="1" customWidth="1"/>
    <col min="4222" max="4222" width="2.3984375" style="1188"/>
    <col min="4223" max="4223" width="4.19921875" style="1188" bestFit="1" customWidth="1"/>
    <col min="4224" max="4225" width="2.3984375" style="1188"/>
    <col min="4226" max="4226" width="4.19921875" style="1188" bestFit="1" customWidth="1"/>
    <col min="4227" max="4227" width="2.3984375" style="1188"/>
    <col min="4228" max="4228" width="4.19921875" style="1188" bestFit="1" customWidth="1"/>
    <col min="4229" max="4231" width="2.3984375" style="1188"/>
    <col min="4232" max="4234" width="2.8984375" style="1188" bestFit="1" customWidth="1"/>
    <col min="4235" max="4236" width="2.3984375" style="1188"/>
    <col min="4237" max="4237" width="4.19921875" style="1188" bestFit="1" customWidth="1"/>
    <col min="4238" max="4238" width="2.3984375" style="1188"/>
    <col min="4239" max="4239" width="4.19921875" style="1188" bestFit="1" customWidth="1"/>
    <col min="4240" max="4241" width="2.3984375" style="1188"/>
    <col min="4242" max="4242" width="4.19921875" style="1188" bestFit="1" customWidth="1"/>
    <col min="4243" max="4243" width="2.3984375" style="1188"/>
    <col min="4244" max="4244" width="4.19921875" style="1188" bestFit="1" customWidth="1"/>
    <col min="4245" max="4247" width="2.3984375" style="1188"/>
    <col min="4248" max="4250" width="2.8984375" style="1188" bestFit="1" customWidth="1"/>
    <col min="4251" max="4252" width="2.3984375" style="1188"/>
    <col min="4253" max="4253" width="4.19921875" style="1188" bestFit="1" customWidth="1"/>
    <col min="4254" max="4254" width="2.3984375" style="1188"/>
    <col min="4255" max="4255" width="4.19921875" style="1188" bestFit="1" customWidth="1"/>
    <col min="4256" max="4257" width="2.3984375" style="1188"/>
    <col min="4258" max="4258" width="4.19921875" style="1188" bestFit="1" customWidth="1"/>
    <col min="4259" max="4259" width="2.3984375" style="1188"/>
    <col min="4260" max="4260" width="4.19921875" style="1188" bestFit="1" customWidth="1"/>
    <col min="4261" max="4263" width="2.3984375" style="1188"/>
    <col min="4264" max="4266" width="2.8984375" style="1188" bestFit="1" customWidth="1"/>
    <col min="4267" max="4268" width="2.3984375" style="1188"/>
    <col min="4269" max="4269" width="4.19921875" style="1188" bestFit="1" customWidth="1"/>
    <col min="4270" max="4270" width="2.3984375" style="1188"/>
    <col min="4271" max="4271" width="4.19921875" style="1188" bestFit="1" customWidth="1"/>
    <col min="4272" max="4273" width="2.3984375" style="1188"/>
    <col min="4274" max="4274" width="4.19921875" style="1188" bestFit="1" customWidth="1"/>
    <col min="4275" max="4275" width="2.3984375" style="1188"/>
    <col min="4276" max="4276" width="4.19921875" style="1188" bestFit="1" customWidth="1"/>
    <col min="4277" max="4279" width="2.3984375" style="1188"/>
    <col min="4280" max="4282" width="2.8984375" style="1188" bestFit="1" customWidth="1"/>
    <col min="4283" max="4284" width="2.3984375" style="1188"/>
    <col min="4285" max="4285" width="4.19921875" style="1188" bestFit="1" customWidth="1"/>
    <col min="4286" max="4286" width="2.3984375" style="1188"/>
    <col min="4287" max="4287" width="4.19921875" style="1188" bestFit="1" customWidth="1"/>
    <col min="4288" max="4289" width="2.3984375" style="1188"/>
    <col min="4290" max="4290" width="4.19921875" style="1188" bestFit="1" customWidth="1"/>
    <col min="4291" max="4291" width="2.3984375" style="1188"/>
    <col min="4292" max="4292" width="4.19921875" style="1188" bestFit="1" customWidth="1"/>
    <col min="4293" max="4295" width="2.3984375" style="1188"/>
    <col min="4296" max="4298" width="2.8984375" style="1188" bestFit="1" customWidth="1"/>
    <col min="4299" max="4300" width="2.3984375" style="1188"/>
    <col min="4301" max="4301" width="4.19921875" style="1188" bestFit="1" customWidth="1"/>
    <col min="4302" max="4302" width="2.3984375" style="1188"/>
    <col min="4303" max="4303" width="4.19921875" style="1188" bestFit="1" customWidth="1"/>
    <col min="4304" max="4305" width="2.3984375" style="1188"/>
    <col min="4306" max="4306" width="4.19921875" style="1188" bestFit="1" customWidth="1"/>
    <col min="4307" max="4307" width="2.3984375" style="1188"/>
    <col min="4308" max="4308" width="4.19921875" style="1188" bestFit="1" customWidth="1"/>
    <col min="4309" max="4311" width="2.3984375" style="1188"/>
    <col min="4312" max="4314" width="2.8984375" style="1188" bestFit="1" customWidth="1"/>
    <col min="4315" max="4316" width="2.3984375" style="1188"/>
    <col min="4317" max="4317" width="4.19921875" style="1188" bestFit="1" customWidth="1"/>
    <col min="4318" max="4318" width="2.3984375" style="1188"/>
    <col min="4319" max="4319" width="4.19921875" style="1188" bestFit="1" customWidth="1"/>
    <col min="4320" max="4321" width="2.3984375" style="1188"/>
    <col min="4322" max="4322" width="4.19921875" style="1188" bestFit="1" customWidth="1"/>
    <col min="4323" max="4323" width="2.3984375" style="1188"/>
    <col min="4324" max="4324" width="4.19921875" style="1188" bestFit="1" customWidth="1"/>
    <col min="4325" max="4327" width="2.3984375" style="1188"/>
    <col min="4328" max="4330" width="2.8984375" style="1188" bestFit="1" customWidth="1"/>
    <col min="4331" max="4332" width="2.3984375" style="1188"/>
    <col min="4333" max="4333" width="4.19921875" style="1188" bestFit="1" customWidth="1"/>
    <col min="4334" max="4334" width="2.3984375" style="1188"/>
    <col min="4335" max="4335" width="4.19921875" style="1188" bestFit="1" customWidth="1"/>
    <col min="4336" max="4337" width="2.3984375" style="1188"/>
    <col min="4338" max="4338" width="4.19921875" style="1188" bestFit="1" customWidth="1"/>
    <col min="4339" max="4339" width="2.3984375" style="1188"/>
    <col min="4340" max="4340" width="4.19921875" style="1188" bestFit="1" customWidth="1"/>
    <col min="4341" max="4343" width="2.3984375" style="1188"/>
    <col min="4344" max="4346" width="2.8984375" style="1188" bestFit="1" customWidth="1"/>
    <col min="4347" max="4348" width="2.3984375" style="1188"/>
    <col min="4349" max="4349" width="4.19921875" style="1188" bestFit="1" customWidth="1"/>
    <col min="4350" max="4350" width="2.3984375" style="1188"/>
    <col min="4351" max="4351" width="4.19921875" style="1188" bestFit="1" customWidth="1"/>
    <col min="4352" max="4353" width="2.3984375" style="1188"/>
    <col min="4354" max="4354" width="4.19921875" style="1188" bestFit="1" customWidth="1"/>
    <col min="4355" max="4355" width="2.3984375" style="1188"/>
    <col min="4356" max="4356" width="4.19921875" style="1188" bestFit="1" customWidth="1"/>
    <col min="4357" max="4359" width="2.3984375" style="1188"/>
    <col min="4360" max="4362" width="2.8984375" style="1188" bestFit="1" customWidth="1"/>
    <col min="4363" max="4364" width="2.3984375" style="1188"/>
    <col min="4365" max="4365" width="4.19921875" style="1188" bestFit="1" customWidth="1"/>
    <col min="4366" max="4366" width="2.3984375" style="1188"/>
    <col min="4367" max="4367" width="4.19921875" style="1188" bestFit="1" customWidth="1"/>
    <col min="4368" max="4369" width="2.3984375" style="1188"/>
    <col min="4370" max="4370" width="4.19921875" style="1188" bestFit="1" customWidth="1"/>
    <col min="4371" max="4371" width="2.3984375" style="1188"/>
    <col min="4372" max="4372" width="4.19921875" style="1188" bestFit="1" customWidth="1"/>
    <col min="4373" max="4375" width="2.3984375" style="1188"/>
    <col min="4376" max="4378" width="2.8984375" style="1188" bestFit="1" customWidth="1"/>
    <col min="4379" max="4380" width="2.3984375" style="1188"/>
    <col min="4381" max="4381" width="4.19921875" style="1188" bestFit="1" customWidth="1"/>
    <col min="4382" max="4382" width="2.3984375" style="1188"/>
    <col min="4383" max="4383" width="4.19921875" style="1188" bestFit="1" customWidth="1"/>
    <col min="4384" max="4385" width="2.3984375" style="1188"/>
    <col min="4386" max="4386" width="4.19921875" style="1188" bestFit="1" customWidth="1"/>
    <col min="4387" max="4387" width="2.3984375" style="1188"/>
    <col min="4388" max="4388" width="4.19921875" style="1188" bestFit="1" customWidth="1"/>
    <col min="4389" max="4391" width="2.3984375" style="1188"/>
    <col min="4392" max="4394" width="2.8984375" style="1188" bestFit="1" customWidth="1"/>
    <col min="4395" max="4396" width="2.3984375" style="1188"/>
    <col min="4397" max="4397" width="4.19921875" style="1188" bestFit="1" customWidth="1"/>
    <col min="4398" max="4398" width="2.3984375" style="1188"/>
    <col min="4399" max="4399" width="4.19921875" style="1188" bestFit="1" customWidth="1"/>
    <col min="4400" max="4401" width="2.3984375" style="1188"/>
    <col min="4402" max="4402" width="4.19921875" style="1188" bestFit="1" customWidth="1"/>
    <col min="4403" max="4403" width="2.3984375" style="1188"/>
    <col min="4404" max="4404" width="4.19921875" style="1188" bestFit="1" customWidth="1"/>
    <col min="4405" max="4407" width="2.3984375" style="1188"/>
    <col min="4408" max="4410" width="2.8984375" style="1188" bestFit="1" customWidth="1"/>
    <col min="4411" max="4412" width="2.3984375" style="1188"/>
    <col min="4413" max="4413" width="4.19921875" style="1188" bestFit="1" customWidth="1"/>
    <col min="4414" max="4414" width="2.3984375" style="1188"/>
    <col min="4415" max="4415" width="4.19921875" style="1188" bestFit="1" customWidth="1"/>
    <col min="4416" max="4417" width="2.3984375" style="1188"/>
    <col min="4418" max="4418" width="4.19921875" style="1188" bestFit="1" customWidth="1"/>
    <col min="4419" max="4419" width="2.3984375" style="1188"/>
    <col min="4420" max="4420" width="4.19921875" style="1188" bestFit="1" customWidth="1"/>
    <col min="4421" max="4423" width="2.3984375" style="1188"/>
    <col min="4424" max="4426" width="2.8984375" style="1188" bestFit="1" customWidth="1"/>
    <col min="4427" max="4428" width="2.3984375" style="1188"/>
    <col min="4429" max="4429" width="4.19921875" style="1188" bestFit="1" customWidth="1"/>
    <col min="4430" max="4430" width="2.3984375" style="1188"/>
    <col min="4431" max="4431" width="4.19921875" style="1188" bestFit="1" customWidth="1"/>
    <col min="4432" max="4433" width="2.3984375" style="1188"/>
    <col min="4434" max="4434" width="4.19921875" style="1188" bestFit="1" customWidth="1"/>
    <col min="4435" max="4435" width="2.3984375" style="1188"/>
    <col min="4436" max="4436" width="4.19921875" style="1188" bestFit="1" customWidth="1"/>
    <col min="4437" max="4439" width="2.3984375" style="1188"/>
    <col min="4440" max="4442" width="2.8984375" style="1188" bestFit="1" customWidth="1"/>
    <col min="4443" max="4444" width="2.3984375" style="1188"/>
    <col min="4445" max="4445" width="4.19921875" style="1188" bestFit="1" customWidth="1"/>
    <col min="4446" max="4446" width="2.3984375" style="1188"/>
    <col min="4447" max="4447" width="4.19921875" style="1188" bestFit="1" customWidth="1"/>
    <col min="4448" max="4449" width="2.3984375" style="1188"/>
    <col min="4450" max="4450" width="4.19921875" style="1188" bestFit="1" customWidth="1"/>
    <col min="4451" max="4451" width="2.3984375" style="1188"/>
    <col min="4452" max="4452" width="4.19921875" style="1188" bestFit="1" customWidth="1"/>
    <col min="4453" max="4455" width="2.3984375" style="1188"/>
    <col min="4456" max="4458" width="2.8984375" style="1188" bestFit="1" customWidth="1"/>
    <col min="4459" max="4460" width="2.3984375" style="1188"/>
    <col min="4461" max="4461" width="4.19921875" style="1188" bestFit="1" customWidth="1"/>
    <col min="4462" max="4462" width="2.3984375" style="1188"/>
    <col min="4463" max="4463" width="4.19921875" style="1188" bestFit="1" customWidth="1"/>
    <col min="4464" max="4465" width="2.3984375" style="1188"/>
    <col min="4466" max="4466" width="4.19921875" style="1188" bestFit="1" customWidth="1"/>
    <col min="4467" max="4467" width="2.3984375" style="1188"/>
    <col min="4468" max="4468" width="4.19921875" style="1188" bestFit="1" customWidth="1"/>
    <col min="4469" max="4471" width="2.3984375" style="1188"/>
    <col min="4472" max="4474" width="2.8984375" style="1188" bestFit="1" customWidth="1"/>
    <col min="4475" max="4476" width="2.3984375" style="1188"/>
    <col min="4477" max="4477" width="4.19921875" style="1188" bestFit="1" customWidth="1"/>
    <col min="4478" max="4478" width="2.3984375" style="1188"/>
    <col min="4479" max="4479" width="4.19921875" style="1188" bestFit="1" customWidth="1"/>
    <col min="4480" max="4481" width="2.3984375" style="1188"/>
    <col min="4482" max="4482" width="4.19921875" style="1188" bestFit="1" customWidth="1"/>
    <col min="4483" max="4483" width="2.3984375" style="1188"/>
    <col min="4484" max="4484" width="4.19921875" style="1188" bestFit="1" customWidth="1"/>
    <col min="4485" max="4487" width="2.3984375" style="1188"/>
    <col min="4488" max="4490" width="2.8984375" style="1188" bestFit="1" customWidth="1"/>
    <col min="4491" max="4492" width="2.3984375" style="1188"/>
    <col min="4493" max="4493" width="4.19921875" style="1188" bestFit="1" customWidth="1"/>
    <col min="4494" max="4494" width="2.3984375" style="1188"/>
    <col min="4495" max="4495" width="4.19921875" style="1188" bestFit="1" customWidth="1"/>
    <col min="4496" max="4497" width="2.3984375" style="1188"/>
    <col min="4498" max="4498" width="4.19921875" style="1188" bestFit="1" customWidth="1"/>
    <col min="4499" max="4499" width="2.3984375" style="1188"/>
    <col min="4500" max="4500" width="4.19921875" style="1188" bestFit="1" customWidth="1"/>
    <col min="4501" max="4503" width="2.3984375" style="1188"/>
    <col min="4504" max="4506" width="2.8984375" style="1188" bestFit="1" customWidth="1"/>
    <col min="4507" max="4508" width="2.3984375" style="1188"/>
    <col min="4509" max="4509" width="4.19921875" style="1188" bestFit="1" customWidth="1"/>
    <col min="4510" max="4510" width="2.3984375" style="1188"/>
    <col min="4511" max="4511" width="4.19921875" style="1188" bestFit="1" customWidth="1"/>
    <col min="4512" max="4513" width="2.3984375" style="1188"/>
    <col min="4514" max="4514" width="4.19921875" style="1188" bestFit="1" customWidth="1"/>
    <col min="4515" max="4515" width="2.3984375" style="1188"/>
    <col min="4516" max="4516" width="4.19921875" style="1188" bestFit="1" customWidth="1"/>
    <col min="4517" max="4519" width="2.3984375" style="1188"/>
    <col min="4520" max="4522" width="2.8984375" style="1188" bestFit="1" customWidth="1"/>
    <col min="4523" max="4524" width="2.3984375" style="1188"/>
    <col min="4525" max="4525" width="4.19921875" style="1188" bestFit="1" customWidth="1"/>
    <col min="4526" max="4526" width="2.3984375" style="1188"/>
    <col min="4527" max="4527" width="4.19921875" style="1188" bestFit="1" customWidth="1"/>
    <col min="4528" max="4529" width="2.3984375" style="1188"/>
    <col min="4530" max="4530" width="4.19921875" style="1188" bestFit="1" customWidth="1"/>
    <col min="4531" max="4531" width="2.3984375" style="1188"/>
    <col min="4532" max="4532" width="4.19921875" style="1188" bestFit="1" customWidth="1"/>
    <col min="4533" max="4535" width="2.3984375" style="1188"/>
    <col min="4536" max="4538" width="2.8984375" style="1188" bestFit="1" customWidth="1"/>
    <col min="4539" max="4540" width="2.3984375" style="1188"/>
    <col min="4541" max="4541" width="4.19921875" style="1188" bestFit="1" customWidth="1"/>
    <col min="4542" max="4542" width="2.3984375" style="1188"/>
    <col min="4543" max="4543" width="4.19921875" style="1188" bestFit="1" customWidth="1"/>
    <col min="4544" max="4545" width="2.3984375" style="1188"/>
    <col min="4546" max="4546" width="4.19921875" style="1188" bestFit="1" customWidth="1"/>
    <col min="4547" max="4547" width="2.3984375" style="1188"/>
    <col min="4548" max="4548" width="4.19921875" style="1188" bestFit="1" customWidth="1"/>
    <col min="4549" max="4551" width="2.3984375" style="1188"/>
    <col min="4552" max="4554" width="2.8984375" style="1188" bestFit="1" customWidth="1"/>
    <col min="4555" max="4556" width="2.3984375" style="1188"/>
    <col min="4557" max="4557" width="4.19921875" style="1188" bestFit="1" customWidth="1"/>
    <col min="4558" max="4558" width="2.3984375" style="1188"/>
    <col min="4559" max="4559" width="4.19921875" style="1188" bestFit="1" customWidth="1"/>
    <col min="4560" max="4561" width="2.3984375" style="1188"/>
    <col min="4562" max="4562" width="4.19921875" style="1188" bestFit="1" customWidth="1"/>
    <col min="4563" max="4563" width="2.3984375" style="1188"/>
    <col min="4564" max="4564" width="4.19921875" style="1188" bestFit="1" customWidth="1"/>
    <col min="4565" max="4567" width="2.3984375" style="1188"/>
    <col min="4568" max="4570" width="2.8984375" style="1188" bestFit="1" customWidth="1"/>
    <col min="4571" max="4572" width="2.3984375" style="1188"/>
    <col min="4573" max="4573" width="4.19921875" style="1188" bestFit="1" customWidth="1"/>
    <col min="4574" max="4574" width="2.3984375" style="1188"/>
    <col min="4575" max="4575" width="4.19921875" style="1188" bestFit="1" customWidth="1"/>
    <col min="4576" max="4577" width="2.3984375" style="1188"/>
    <col min="4578" max="4578" width="4.19921875" style="1188" bestFit="1" customWidth="1"/>
    <col min="4579" max="4579" width="2.3984375" style="1188"/>
    <col min="4580" max="4580" width="4.19921875" style="1188" bestFit="1" customWidth="1"/>
    <col min="4581" max="4583" width="2.3984375" style="1188"/>
    <col min="4584" max="4586" width="2.8984375" style="1188" bestFit="1" customWidth="1"/>
    <col min="4587" max="4588" width="2.3984375" style="1188"/>
    <col min="4589" max="4589" width="4.19921875" style="1188" bestFit="1" customWidth="1"/>
    <col min="4590" max="4590" width="2.3984375" style="1188"/>
    <col min="4591" max="4591" width="4.19921875" style="1188" bestFit="1" customWidth="1"/>
    <col min="4592" max="4593" width="2.3984375" style="1188"/>
    <col min="4594" max="4594" width="4.19921875" style="1188" bestFit="1" customWidth="1"/>
    <col min="4595" max="4595" width="2.3984375" style="1188"/>
    <col min="4596" max="4596" width="4.19921875" style="1188" bestFit="1" customWidth="1"/>
    <col min="4597" max="4599" width="2.3984375" style="1188"/>
    <col min="4600" max="4602" width="2.8984375" style="1188" bestFit="1" customWidth="1"/>
    <col min="4603" max="4604" width="2.3984375" style="1188"/>
    <col min="4605" max="4605" width="4.19921875" style="1188" bestFit="1" customWidth="1"/>
    <col min="4606" max="4606" width="2.3984375" style="1188"/>
    <col min="4607" max="4607" width="4.19921875" style="1188" bestFit="1" customWidth="1"/>
    <col min="4608" max="4609" width="2.3984375" style="1188"/>
    <col min="4610" max="4610" width="4.19921875" style="1188" bestFit="1" customWidth="1"/>
    <col min="4611" max="4611" width="2.3984375" style="1188"/>
    <col min="4612" max="4612" width="4.19921875" style="1188" bestFit="1" customWidth="1"/>
    <col min="4613" max="4615" width="2.3984375" style="1188"/>
    <col min="4616" max="4618" width="2.8984375" style="1188" bestFit="1" customWidth="1"/>
    <col min="4619" max="4620" width="2.3984375" style="1188"/>
    <col min="4621" max="4621" width="4.19921875" style="1188" bestFit="1" customWidth="1"/>
    <col min="4622" max="4622" width="2.3984375" style="1188"/>
    <col min="4623" max="4623" width="4.19921875" style="1188" bestFit="1" customWidth="1"/>
    <col min="4624" max="4625" width="2.3984375" style="1188"/>
    <col min="4626" max="4626" width="4.19921875" style="1188" bestFit="1" customWidth="1"/>
    <col min="4627" max="4627" width="2.3984375" style="1188"/>
    <col min="4628" max="4628" width="4.19921875" style="1188" bestFit="1" customWidth="1"/>
    <col min="4629" max="4631" width="2.3984375" style="1188"/>
    <col min="4632" max="4634" width="2.8984375" style="1188" bestFit="1" customWidth="1"/>
    <col min="4635" max="4636" width="2.3984375" style="1188"/>
    <col min="4637" max="4637" width="4.19921875" style="1188" bestFit="1" customWidth="1"/>
    <col min="4638" max="4638" width="2.3984375" style="1188"/>
    <col min="4639" max="4639" width="4.19921875" style="1188" bestFit="1" customWidth="1"/>
    <col min="4640" max="4641" width="2.3984375" style="1188"/>
    <col min="4642" max="4642" width="4.19921875" style="1188" bestFit="1" customWidth="1"/>
    <col min="4643" max="4643" width="2.3984375" style="1188"/>
    <col min="4644" max="4644" width="4.19921875" style="1188" bestFit="1" customWidth="1"/>
    <col min="4645" max="4647" width="2.3984375" style="1188"/>
    <col min="4648" max="4650" width="2.8984375" style="1188" bestFit="1" customWidth="1"/>
    <col min="4651" max="4652" width="2.3984375" style="1188"/>
    <col min="4653" max="4653" width="4.19921875" style="1188" bestFit="1" customWidth="1"/>
    <col min="4654" max="4654" width="2.3984375" style="1188"/>
    <col min="4655" max="4655" width="4.19921875" style="1188" bestFit="1" customWidth="1"/>
    <col min="4656" max="4657" width="2.3984375" style="1188"/>
    <col min="4658" max="4658" width="4.19921875" style="1188" bestFit="1" customWidth="1"/>
    <col min="4659" max="4659" width="2.3984375" style="1188"/>
    <col min="4660" max="4660" width="4.19921875" style="1188" bestFit="1" customWidth="1"/>
    <col min="4661" max="4663" width="2.3984375" style="1188"/>
    <col min="4664" max="4666" width="2.8984375" style="1188" bestFit="1" customWidth="1"/>
    <col min="4667" max="4668" width="2.3984375" style="1188"/>
    <col min="4669" max="4669" width="4.19921875" style="1188" bestFit="1" customWidth="1"/>
    <col min="4670" max="4670" width="2.3984375" style="1188"/>
    <col min="4671" max="4671" width="4.19921875" style="1188" bestFit="1" customWidth="1"/>
    <col min="4672" max="4673" width="2.3984375" style="1188"/>
    <col min="4674" max="4674" width="4.19921875" style="1188" bestFit="1" customWidth="1"/>
    <col min="4675" max="4675" width="2.3984375" style="1188"/>
    <col min="4676" max="4676" width="4.19921875" style="1188" bestFit="1" customWidth="1"/>
    <col min="4677" max="4679" width="2.3984375" style="1188"/>
    <col min="4680" max="4682" width="2.8984375" style="1188" bestFit="1" customWidth="1"/>
    <col min="4683" max="4684" width="2.3984375" style="1188"/>
    <col min="4685" max="4685" width="4.19921875" style="1188" bestFit="1" customWidth="1"/>
    <col min="4686" max="4686" width="2.3984375" style="1188"/>
    <col min="4687" max="4687" width="4.19921875" style="1188" bestFit="1" customWidth="1"/>
    <col min="4688" max="4689" width="2.3984375" style="1188"/>
    <col min="4690" max="4690" width="4.19921875" style="1188" bestFit="1" customWidth="1"/>
    <col min="4691" max="4691" width="2.3984375" style="1188"/>
    <col min="4692" max="4692" width="4.19921875" style="1188" bestFit="1" customWidth="1"/>
    <col min="4693" max="4695" width="2.3984375" style="1188"/>
    <col min="4696" max="4698" width="2.8984375" style="1188" bestFit="1" customWidth="1"/>
    <col min="4699" max="4700" width="2.3984375" style="1188"/>
    <col min="4701" max="4701" width="4.19921875" style="1188" bestFit="1" customWidth="1"/>
    <col min="4702" max="4702" width="2.3984375" style="1188"/>
    <col min="4703" max="4703" width="4.19921875" style="1188" bestFit="1" customWidth="1"/>
    <col min="4704" max="4705" width="2.3984375" style="1188"/>
    <col min="4706" max="4706" width="4.19921875" style="1188" bestFit="1" customWidth="1"/>
    <col min="4707" max="4707" width="2.3984375" style="1188"/>
    <col min="4708" max="4708" width="4.19921875" style="1188" bestFit="1" customWidth="1"/>
    <col min="4709" max="4711" width="2.3984375" style="1188"/>
    <col min="4712" max="4714" width="2.8984375" style="1188" bestFit="1" customWidth="1"/>
    <col min="4715" max="4716" width="2.3984375" style="1188"/>
    <col min="4717" max="4717" width="4.19921875" style="1188" bestFit="1" customWidth="1"/>
    <col min="4718" max="4718" width="2.3984375" style="1188"/>
    <col min="4719" max="4719" width="4.19921875" style="1188" bestFit="1" customWidth="1"/>
    <col min="4720" max="4721" width="2.3984375" style="1188"/>
    <col min="4722" max="4722" width="4.19921875" style="1188" bestFit="1" customWidth="1"/>
    <col min="4723" max="4723" width="2.3984375" style="1188"/>
    <col min="4724" max="4724" width="4.19921875" style="1188" bestFit="1" customWidth="1"/>
    <col min="4725" max="4727" width="2.3984375" style="1188"/>
    <col min="4728" max="4730" width="2.8984375" style="1188" bestFit="1" customWidth="1"/>
    <col min="4731" max="4732" width="2.3984375" style="1188"/>
    <col min="4733" max="4733" width="4.19921875" style="1188" bestFit="1" customWidth="1"/>
    <col min="4734" max="4734" width="2.3984375" style="1188"/>
    <col min="4735" max="4735" width="4.19921875" style="1188" bestFit="1" customWidth="1"/>
    <col min="4736" max="4737" width="2.3984375" style="1188"/>
    <col min="4738" max="4738" width="4.19921875" style="1188" bestFit="1" customWidth="1"/>
    <col min="4739" max="4739" width="2.3984375" style="1188"/>
    <col min="4740" max="4740" width="4.19921875" style="1188" bestFit="1" customWidth="1"/>
    <col min="4741" max="4743" width="2.3984375" style="1188"/>
    <col min="4744" max="4746" width="2.8984375" style="1188" bestFit="1" customWidth="1"/>
    <col min="4747" max="4748" width="2.3984375" style="1188"/>
    <col min="4749" max="4749" width="4.19921875" style="1188" bestFit="1" customWidth="1"/>
    <col min="4750" max="4750" width="2.3984375" style="1188"/>
    <col min="4751" max="4751" width="4.19921875" style="1188" bestFit="1" customWidth="1"/>
    <col min="4752" max="4753" width="2.3984375" style="1188"/>
    <col min="4754" max="4754" width="4.19921875" style="1188" bestFit="1" customWidth="1"/>
    <col min="4755" max="4755" width="2.3984375" style="1188"/>
    <col min="4756" max="4756" width="4.19921875" style="1188" bestFit="1" customWidth="1"/>
    <col min="4757" max="4759" width="2.3984375" style="1188"/>
    <col min="4760" max="4762" width="2.8984375" style="1188" bestFit="1" customWidth="1"/>
    <col min="4763" max="4764" width="2.3984375" style="1188"/>
    <col min="4765" max="4765" width="4.19921875" style="1188" bestFit="1" customWidth="1"/>
    <col min="4766" max="4766" width="2.3984375" style="1188"/>
    <col min="4767" max="4767" width="4.19921875" style="1188" bestFit="1" customWidth="1"/>
    <col min="4768" max="4769" width="2.3984375" style="1188"/>
    <col min="4770" max="4770" width="4.19921875" style="1188" bestFit="1" customWidth="1"/>
    <col min="4771" max="4771" width="2.3984375" style="1188"/>
    <col min="4772" max="4772" width="4.19921875" style="1188" bestFit="1" customWidth="1"/>
    <col min="4773" max="4775" width="2.3984375" style="1188"/>
    <col min="4776" max="4778" width="2.8984375" style="1188" bestFit="1" customWidth="1"/>
    <col min="4779" max="4780" width="2.3984375" style="1188"/>
    <col min="4781" max="4781" width="4.19921875" style="1188" bestFit="1" customWidth="1"/>
    <col min="4782" max="4782" width="2.3984375" style="1188"/>
    <col min="4783" max="4783" width="4.19921875" style="1188" bestFit="1" customWidth="1"/>
    <col min="4784" max="4785" width="2.3984375" style="1188"/>
    <col min="4786" max="4786" width="4.19921875" style="1188" bestFit="1" customWidth="1"/>
    <col min="4787" max="4787" width="2.3984375" style="1188"/>
    <col min="4788" max="4788" width="4.19921875" style="1188" bestFit="1" customWidth="1"/>
    <col min="4789" max="4791" width="2.3984375" style="1188"/>
    <col min="4792" max="4794" width="2.8984375" style="1188" bestFit="1" customWidth="1"/>
    <col min="4795" max="4796" width="2.3984375" style="1188"/>
    <col min="4797" max="4797" width="4.19921875" style="1188" bestFit="1" customWidth="1"/>
    <col min="4798" max="4798" width="2.3984375" style="1188"/>
    <col min="4799" max="4799" width="4.19921875" style="1188" bestFit="1" customWidth="1"/>
    <col min="4800" max="4801" width="2.3984375" style="1188"/>
    <col min="4802" max="4802" width="4.19921875" style="1188" bestFit="1" customWidth="1"/>
    <col min="4803" max="4803" width="2.3984375" style="1188"/>
    <col min="4804" max="4804" width="4.19921875" style="1188" bestFit="1" customWidth="1"/>
    <col min="4805" max="4807" width="2.3984375" style="1188"/>
    <col min="4808" max="4810" width="2.8984375" style="1188" bestFit="1" customWidth="1"/>
    <col min="4811" max="4812" width="2.3984375" style="1188"/>
    <col min="4813" max="4813" width="4.19921875" style="1188" bestFit="1" customWidth="1"/>
    <col min="4814" max="4814" width="2.3984375" style="1188"/>
    <col min="4815" max="4815" width="4.19921875" style="1188" bestFit="1" customWidth="1"/>
    <col min="4816" max="4817" width="2.3984375" style="1188"/>
    <col min="4818" max="4818" width="4.19921875" style="1188" bestFit="1" customWidth="1"/>
    <col min="4819" max="4819" width="2.3984375" style="1188"/>
    <col min="4820" max="4820" width="4.19921875" style="1188" bestFit="1" customWidth="1"/>
    <col min="4821" max="4823" width="2.3984375" style="1188"/>
    <col min="4824" max="4826" width="2.8984375" style="1188" bestFit="1" customWidth="1"/>
    <col min="4827" max="4828" width="2.3984375" style="1188"/>
    <col min="4829" max="4829" width="4.19921875" style="1188" bestFit="1" customWidth="1"/>
    <col min="4830" max="4830" width="2.3984375" style="1188"/>
    <col min="4831" max="4831" width="4.19921875" style="1188" bestFit="1" customWidth="1"/>
    <col min="4832" max="4833" width="2.3984375" style="1188"/>
    <col min="4834" max="4834" width="4.19921875" style="1188" bestFit="1" customWidth="1"/>
    <col min="4835" max="4835" width="2.3984375" style="1188"/>
    <col min="4836" max="4836" width="4.19921875" style="1188" bestFit="1" customWidth="1"/>
    <col min="4837" max="4839" width="2.3984375" style="1188"/>
    <col min="4840" max="4842" width="2.8984375" style="1188" bestFit="1" customWidth="1"/>
    <col min="4843" max="4844" width="2.3984375" style="1188"/>
    <col min="4845" max="4845" width="4.19921875" style="1188" bestFit="1" customWidth="1"/>
    <col min="4846" max="4846" width="2.3984375" style="1188"/>
    <col min="4847" max="4847" width="4.19921875" style="1188" bestFit="1" customWidth="1"/>
    <col min="4848" max="4849" width="2.3984375" style="1188"/>
    <col min="4850" max="4850" width="4.19921875" style="1188" bestFit="1" customWidth="1"/>
    <col min="4851" max="4851" width="2.3984375" style="1188"/>
    <col min="4852" max="4852" width="4.19921875" style="1188" bestFit="1" customWidth="1"/>
    <col min="4853" max="4855" width="2.3984375" style="1188"/>
    <col min="4856" max="4858" width="2.8984375" style="1188" bestFit="1" customWidth="1"/>
    <col min="4859" max="4860" width="2.3984375" style="1188"/>
    <col min="4861" max="4861" width="4.19921875" style="1188" bestFit="1" customWidth="1"/>
    <col min="4862" max="4862" width="2.3984375" style="1188"/>
    <col min="4863" max="4863" width="4.19921875" style="1188" bestFit="1" customWidth="1"/>
    <col min="4864" max="4865" width="2.3984375" style="1188"/>
    <col min="4866" max="4866" width="4.19921875" style="1188" bestFit="1" customWidth="1"/>
    <col min="4867" max="4867" width="2.3984375" style="1188"/>
    <col min="4868" max="4868" width="4.19921875" style="1188" bestFit="1" customWidth="1"/>
    <col min="4869" max="4871" width="2.3984375" style="1188"/>
    <col min="4872" max="4874" width="2.8984375" style="1188" bestFit="1" customWidth="1"/>
    <col min="4875" max="4876" width="2.3984375" style="1188"/>
    <col min="4877" max="4877" width="4.19921875" style="1188" bestFit="1" customWidth="1"/>
    <col min="4878" max="4878" width="2.3984375" style="1188"/>
    <col min="4879" max="4879" width="4.19921875" style="1188" bestFit="1" customWidth="1"/>
    <col min="4880" max="4881" width="2.3984375" style="1188"/>
    <col min="4882" max="4882" width="4.19921875" style="1188" bestFit="1" customWidth="1"/>
    <col min="4883" max="4883" width="2.3984375" style="1188"/>
    <col min="4884" max="4884" width="4.19921875" style="1188" bestFit="1" customWidth="1"/>
    <col min="4885" max="4887" width="2.3984375" style="1188"/>
    <col min="4888" max="4890" width="2.8984375" style="1188" bestFit="1" customWidth="1"/>
    <col min="4891" max="4892" width="2.3984375" style="1188"/>
    <col min="4893" max="4893" width="4.19921875" style="1188" bestFit="1" customWidth="1"/>
    <col min="4894" max="4894" width="2.3984375" style="1188"/>
    <col min="4895" max="4895" width="4.19921875" style="1188" bestFit="1" customWidth="1"/>
    <col min="4896" max="4897" width="2.3984375" style="1188"/>
    <col min="4898" max="4898" width="4.19921875" style="1188" bestFit="1" customWidth="1"/>
    <col min="4899" max="4899" width="2.3984375" style="1188"/>
    <col min="4900" max="4900" width="4.19921875" style="1188" bestFit="1" customWidth="1"/>
    <col min="4901" max="4903" width="2.3984375" style="1188"/>
    <col min="4904" max="4906" width="2.8984375" style="1188" bestFit="1" customWidth="1"/>
    <col min="4907" max="4908" width="2.3984375" style="1188"/>
    <col min="4909" max="4909" width="4.19921875" style="1188" bestFit="1" customWidth="1"/>
    <col min="4910" max="4910" width="2.3984375" style="1188"/>
    <col min="4911" max="4911" width="4.19921875" style="1188" bestFit="1" customWidth="1"/>
    <col min="4912" max="4913" width="2.3984375" style="1188"/>
    <col min="4914" max="4914" width="4.19921875" style="1188" bestFit="1" customWidth="1"/>
    <col min="4915" max="4915" width="2.3984375" style="1188"/>
    <col min="4916" max="4916" width="4.19921875" style="1188" bestFit="1" customWidth="1"/>
    <col min="4917" max="4919" width="2.3984375" style="1188"/>
    <col min="4920" max="4922" width="2.8984375" style="1188" bestFit="1" customWidth="1"/>
    <col min="4923" max="4924" width="2.3984375" style="1188"/>
    <col min="4925" max="4925" width="4.19921875" style="1188" bestFit="1" customWidth="1"/>
    <col min="4926" max="4926" width="2.3984375" style="1188"/>
    <col min="4927" max="4927" width="4.19921875" style="1188" bestFit="1" customWidth="1"/>
    <col min="4928" max="4929" width="2.3984375" style="1188"/>
    <col min="4930" max="4930" width="4.19921875" style="1188" bestFit="1" customWidth="1"/>
    <col min="4931" max="4931" width="2.3984375" style="1188"/>
    <col min="4932" max="4932" width="4.19921875" style="1188" bestFit="1" customWidth="1"/>
    <col min="4933" max="4935" width="2.3984375" style="1188"/>
    <col min="4936" max="4938" width="2.8984375" style="1188" bestFit="1" customWidth="1"/>
    <col min="4939" max="4940" width="2.3984375" style="1188"/>
    <col min="4941" max="4941" width="4.19921875" style="1188" bestFit="1" customWidth="1"/>
    <col min="4942" max="4942" width="2.3984375" style="1188"/>
    <col min="4943" max="4943" width="4.19921875" style="1188" bestFit="1" customWidth="1"/>
    <col min="4944" max="4945" width="2.3984375" style="1188"/>
    <col min="4946" max="4946" width="4.19921875" style="1188" bestFit="1" customWidth="1"/>
    <col min="4947" max="4947" width="2.3984375" style="1188"/>
    <col min="4948" max="4948" width="4.19921875" style="1188" bestFit="1" customWidth="1"/>
    <col min="4949" max="4951" width="2.3984375" style="1188"/>
    <col min="4952" max="4954" width="2.8984375" style="1188" bestFit="1" customWidth="1"/>
    <col min="4955" max="4956" width="2.3984375" style="1188"/>
    <col min="4957" max="4957" width="4.19921875" style="1188" bestFit="1" customWidth="1"/>
    <col min="4958" max="4958" width="2.3984375" style="1188"/>
    <col min="4959" max="4959" width="4.19921875" style="1188" bestFit="1" customWidth="1"/>
    <col min="4960" max="4961" width="2.3984375" style="1188"/>
    <col min="4962" max="4962" width="4.19921875" style="1188" bestFit="1" customWidth="1"/>
    <col min="4963" max="4963" width="2.3984375" style="1188"/>
    <col min="4964" max="4964" width="4.19921875" style="1188" bestFit="1" customWidth="1"/>
    <col min="4965" max="4967" width="2.3984375" style="1188"/>
    <col min="4968" max="4970" width="2.8984375" style="1188" bestFit="1" customWidth="1"/>
    <col min="4971" max="4972" width="2.3984375" style="1188"/>
    <col min="4973" max="4973" width="4.19921875" style="1188" bestFit="1" customWidth="1"/>
    <col min="4974" max="4974" width="2.3984375" style="1188"/>
    <col min="4975" max="4975" width="4.19921875" style="1188" bestFit="1" customWidth="1"/>
    <col min="4976" max="4977" width="2.3984375" style="1188"/>
    <col min="4978" max="4978" width="4.19921875" style="1188" bestFit="1" customWidth="1"/>
    <col min="4979" max="4979" width="2.3984375" style="1188"/>
    <col min="4980" max="4980" width="4.19921875" style="1188" bestFit="1" customWidth="1"/>
    <col min="4981" max="4983" width="2.3984375" style="1188"/>
    <col min="4984" max="4986" width="2.8984375" style="1188" bestFit="1" customWidth="1"/>
    <col min="4987" max="4988" width="2.3984375" style="1188"/>
    <col min="4989" max="4989" width="4.19921875" style="1188" bestFit="1" customWidth="1"/>
    <col min="4990" max="4990" width="2.3984375" style="1188"/>
    <col min="4991" max="4991" width="4.19921875" style="1188" bestFit="1" customWidth="1"/>
    <col min="4992" max="4993" width="2.3984375" style="1188"/>
    <col min="4994" max="4994" width="4.19921875" style="1188" bestFit="1" customWidth="1"/>
    <col min="4995" max="4995" width="2.3984375" style="1188"/>
    <col min="4996" max="4996" width="4.19921875" style="1188" bestFit="1" customWidth="1"/>
    <col min="4997" max="4999" width="2.3984375" style="1188"/>
    <col min="5000" max="5002" width="2.8984375" style="1188" bestFit="1" customWidth="1"/>
    <col min="5003" max="5004" width="2.3984375" style="1188"/>
    <col min="5005" max="5005" width="4.19921875" style="1188" bestFit="1" customWidth="1"/>
    <col min="5006" max="5006" width="2.3984375" style="1188"/>
    <col min="5007" max="5007" width="4.19921875" style="1188" bestFit="1" customWidth="1"/>
    <col min="5008" max="5009" width="2.3984375" style="1188"/>
    <col min="5010" max="5010" width="4.19921875" style="1188" bestFit="1" customWidth="1"/>
    <col min="5011" max="5011" width="2.3984375" style="1188"/>
    <col min="5012" max="5012" width="4.19921875" style="1188" bestFit="1" customWidth="1"/>
    <col min="5013" max="5015" width="2.3984375" style="1188"/>
    <col min="5016" max="5018" width="2.8984375" style="1188" bestFit="1" customWidth="1"/>
    <col min="5019" max="5020" width="2.3984375" style="1188"/>
    <col min="5021" max="5021" width="4.19921875" style="1188" bestFit="1" customWidth="1"/>
    <col min="5022" max="5022" width="2.3984375" style="1188"/>
    <col min="5023" max="5023" width="4.19921875" style="1188" bestFit="1" customWidth="1"/>
    <col min="5024" max="5025" width="2.3984375" style="1188"/>
    <col min="5026" max="5026" width="4.19921875" style="1188" bestFit="1" customWidth="1"/>
    <col min="5027" max="5027" width="2.3984375" style="1188"/>
    <col min="5028" max="5028" width="4.19921875" style="1188" bestFit="1" customWidth="1"/>
    <col min="5029" max="5031" width="2.3984375" style="1188"/>
    <col min="5032" max="5034" width="2.8984375" style="1188" bestFit="1" customWidth="1"/>
    <col min="5035" max="5036" width="2.3984375" style="1188"/>
    <col min="5037" max="5037" width="4.19921875" style="1188" bestFit="1" customWidth="1"/>
    <col min="5038" max="5038" width="2.3984375" style="1188"/>
    <col min="5039" max="5039" width="4.19921875" style="1188" bestFit="1" customWidth="1"/>
    <col min="5040" max="5041" width="2.3984375" style="1188"/>
    <col min="5042" max="5042" width="4.19921875" style="1188" bestFit="1" customWidth="1"/>
    <col min="5043" max="5043" width="2.3984375" style="1188"/>
    <col min="5044" max="5044" width="4.19921875" style="1188" bestFit="1" customWidth="1"/>
    <col min="5045" max="5047" width="2.3984375" style="1188"/>
    <col min="5048" max="5050" width="2.8984375" style="1188" bestFit="1" customWidth="1"/>
    <col min="5051" max="5052" width="2.3984375" style="1188"/>
    <col min="5053" max="5053" width="4.19921875" style="1188" bestFit="1" customWidth="1"/>
    <col min="5054" max="5054" width="2.3984375" style="1188"/>
    <col min="5055" max="5055" width="4.19921875" style="1188" bestFit="1" customWidth="1"/>
    <col min="5056" max="5057" width="2.3984375" style="1188"/>
    <col min="5058" max="5058" width="4.19921875" style="1188" bestFit="1" customWidth="1"/>
    <col min="5059" max="5059" width="2.3984375" style="1188"/>
    <col min="5060" max="5060" width="4.19921875" style="1188" bestFit="1" customWidth="1"/>
    <col min="5061" max="5063" width="2.3984375" style="1188"/>
    <col min="5064" max="5066" width="2.8984375" style="1188" bestFit="1" customWidth="1"/>
    <col min="5067" max="5068" width="2.3984375" style="1188"/>
    <col min="5069" max="5069" width="4.19921875" style="1188" bestFit="1" customWidth="1"/>
    <col min="5070" max="5070" width="2.3984375" style="1188"/>
    <col min="5071" max="5071" width="4.19921875" style="1188" bestFit="1" customWidth="1"/>
    <col min="5072" max="5073" width="2.3984375" style="1188"/>
    <col min="5074" max="5074" width="4.19921875" style="1188" bestFit="1" customWidth="1"/>
    <col min="5075" max="5075" width="2.3984375" style="1188"/>
    <col min="5076" max="5076" width="4.19921875" style="1188" bestFit="1" customWidth="1"/>
    <col min="5077" max="5079" width="2.3984375" style="1188"/>
    <col min="5080" max="5082" width="2.8984375" style="1188" bestFit="1" customWidth="1"/>
    <col min="5083" max="5084" width="2.3984375" style="1188"/>
    <col min="5085" max="5085" width="4.19921875" style="1188" bestFit="1" customWidth="1"/>
    <col min="5086" max="5086" width="2.3984375" style="1188"/>
    <col min="5087" max="5087" width="4.19921875" style="1188" bestFit="1" customWidth="1"/>
    <col min="5088" max="5089" width="2.3984375" style="1188"/>
    <col min="5090" max="5090" width="4.19921875" style="1188" bestFit="1" customWidth="1"/>
    <col min="5091" max="5091" width="2.3984375" style="1188"/>
    <col min="5092" max="5092" width="4.19921875" style="1188" bestFit="1" customWidth="1"/>
    <col min="5093" max="5095" width="2.3984375" style="1188"/>
    <col min="5096" max="5098" width="2.8984375" style="1188" bestFit="1" customWidth="1"/>
    <col min="5099" max="5100" width="2.3984375" style="1188"/>
    <col min="5101" max="5101" width="4.19921875" style="1188" bestFit="1" customWidth="1"/>
    <col min="5102" max="5102" width="2.3984375" style="1188"/>
    <col min="5103" max="5103" width="4.19921875" style="1188" bestFit="1" customWidth="1"/>
    <col min="5104" max="5105" width="2.3984375" style="1188"/>
    <col min="5106" max="5106" width="4.19921875" style="1188" bestFit="1" customWidth="1"/>
    <col min="5107" max="5107" width="2.3984375" style="1188"/>
    <col min="5108" max="5108" width="4.19921875" style="1188" bestFit="1" customWidth="1"/>
    <col min="5109" max="5111" width="2.3984375" style="1188"/>
    <col min="5112" max="5114" width="2.8984375" style="1188" bestFit="1" customWidth="1"/>
    <col min="5115" max="5116" width="2.3984375" style="1188"/>
    <col min="5117" max="5117" width="4.19921875" style="1188" bestFit="1" customWidth="1"/>
    <col min="5118" max="5118" width="2.3984375" style="1188"/>
    <col min="5119" max="5119" width="4.19921875" style="1188" bestFit="1" customWidth="1"/>
    <col min="5120" max="5121" width="2.3984375" style="1188"/>
    <col min="5122" max="5122" width="4.19921875" style="1188" bestFit="1" customWidth="1"/>
    <col min="5123" max="5123" width="2.3984375" style="1188"/>
    <col min="5124" max="5124" width="4.19921875" style="1188" bestFit="1" customWidth="1"/>
    <col min="5125" max="5127" width="2.3984375" style="1188"/>
    <col min="5128" max="5130" width="2.8984375" style="1188" bestFit="1" customWidth="1"/>
    <col min="5131" max="5132" width="2.3984375" style="1188"/>
    <col min="5133" max="5133" width="4.19921875" style="1188" bestFit="1" customWidth="1"/>
    <col min="5134" max="5134" width="2.3984375" style="1188"/>
    <col min="5135" max="5135" width="4.19921875" style="1188" bestFit="1" customWidth="1"/>
    <col min="5136" max="5137" width="2.3984375" style="1188"/>
    <col min="5138" max="5138" width="4.19921875" style="1188" bestFit="1" customWidth="1"/>
    <col min="5139" max="5139" width="2.3984375" style="1188"/>
    <col min="5140" max="5140" width="4.19921875" style="1188" bestFit="1" customWidth="1"/>
    <col min="5141" max="5143" width="2.3984375" style="1188"/>
    <col min="5144" max="5146" width="2.8984375" style="1188" bestFit="1" customWidth="1"/>
    <col min="5147" max="5148" width="2.3984375" style="1188"/>
    <col min="5149" max="5149" width="4.19921875" style="1188" bestFit="1" customWidth="1"/>
    <col min="5150" max="5150" width="2.3984375" style="1188"/>
    <col min="5151" max="5151" width="4.19921875" style="1188" bestFit="1" customWidth="1"/>
    <col min="5152" max="5153" width="2.3984375" style="1188"/>
    <col min="5154" max="5154" width="4.19921875" style="1188" bestFit="1" customWidth="1"/>
    <col min="5155" max="5155" width="2.3984375" style="1188"/>
    <col min="5156" max="5156" width="4.19921875" style="1188" bestFit="1" customWidth="1"/>
    <col min="5157" max="5159" width="2.3984375" style="1188"/>
    <col min="5160" max="5162" width="2.8984375" style="1188" bestFit="1" customWidth="1"/>
    <col min="5163" max="5164" width="2.3984375" style="1188"/>
    <col min="5165" max="5165" width="4.19921875" style="1188" bestFit="1" customWidth="1"/>
    <col min="5166" max="5166" width="2.3984375" style="1188"/>
    <col min="5167" max="5167" width="4.19921875" style="1188" bestFit="1" customWidth="1"/>
    <col min="5168" max="5169" width="2.3984375" style="1188"/>
    <col min="5170" max="5170" width="4.19921875" style="1188" bestFit="1" customWidth="1"/>
    <col min="5171" max="5171" width="2.3984375" style="1188"/>
    <col min="5172" max="5172" width="4.19921875" style="1188" bestFit="1" customWidth="1"/>
    <col min="5173" max="5175" width="2.3984375" style="1188"/>
    <col min="5176" max="5178" width="2.8984375" style="1188" bestFit="1" customWidth="1"/>
    <col min="5179" max="5180" width="2.3984375" style="1188"/>
    <col min="5181" max="5181" width="4.19921875" style="1188" bestFit="1" customWidth="1"/>
    <col min="5182" max="5182" width="2.3984375" style="1188"/>
    <col min="5183" max="5183" width="4.19921875" style="1188" bestFit="1" customWidth="1"/>
    <col min="5184" max="5185" width="2.3984375" style="1188"/>
    <col min="5186" max="5186" width="4.19921875" style="1188" bestFit="1" customWidth="1"/>
    <col min="5187" max="5187" width="2.3984375" style="1188"/>
    <col min="5188" max="5188" width="4.19921875" style="1188" bestFit="1" customWidth="1"/>
    <col min="5189" max="5191" width="2.3984375" style="1188"/>
    <col min="5192" max="5194" width="2.8984375" style="1188" bestFit="1" customWidth="1"/>
    <col min="5195" max="5196" width="2.3984375" style="1188"/>
    <col min="5197" max="5197" width="4.19921875" style="1188" bestFit="1" customWidth="1"/>
    <col min="5198" max="5198" width="2.3984375" style="1188"/>
    <col min="5199" max="5199" width="4.19921875" style="1188" bestFit="1" customWidth="1"/>
    <col min="5200" max="5201" width="2.3984375" style="1188"/>
    <col min="5202" max="5202" width="4.19921875" style="1188" bestFit="1" customWidth="1"/>
    <col min="5203" max="5203" width="2.3984375" style="1188"/>
    <col min="5204" max="5204" width="4.19921875" style="1188" bestFit="1" customWidth="1"/>
    <col min="5205" max="5207" width="2.3984375" style="1188"/>
    <col min="5208" max="5210" width="2.8984375" style="1188" bestFit="1" customWidth="1"/>
    <col min="5211" max="5212" width="2.3984375" style="1188"/>
    <col min="5213" max="5213" width="4.19921875" style="1188" bestFit="1" customWidth="1"/>
    <col min="5214" max="5214" width="2.3984375" style="1188"/>
    <col min="5215" max="5215" width="4.19921875" style="1188" bestFit="1" customWidth="1"/>
    <col min="5216" max="5217" width="2.3984375" style="1188"/>
    <col min="5218" max="5218" width="4.19921875" style="1188" bestFit="1" customWidth="1"/>
    <col min="5219" max="5219" width="2.3984375" style="1188"/>
    <col min="5220" max="5220" width="4.19921875" style="1188" bestFit="1" customWidth="1"/>
    <col min="5221" max="5223" width="2.3984375" style="1188"/>
    <col min="5224" max="5226" width="2.8984375" style="1188" bestFit="1" customWidth="1"/>
    <col min="5227" max="5228" width="2.3984375" style="1188"/>
    <col min="5229" max="5229" width="4.19921875" style="1188" bestFit="1" customWidth="1"/>
    <col min="5230" max="5230" width="2.3984375" style="1188"/>
    <col min="5231" max="5231" width="4.19921875" style="1188" bestFit="1" customWidth="1"/>
    <col min="5232" max="5233" width="2.3984375" style="1188"/>
    <col min="5234" max="5234" width="4.19921875" style="1188" bestFit="1" customWidth="1"/>
    <col min="5235" max="5235" width="2.3984375" style="1188"/>
    <col min="5236" max="5236" width="4.19921875" style="1188" bestFit="1" customWidth="1"/>
    <col min="5237" max="5239" width="2.3984375" style="1188"/>
    <col min="5240" max="5242" width="2.8984375" style="1188" bestFit="1" customWidth="1"/>
    <col min="5243" max="5244" width="2.3984375" style="1188"/>
    <col min="5245" max="5245" width="4.19921875" style="1188" bestFit="1" customWidth="1"/>
    <col min="5246" max="5246" width="2.3984375" style="1188"/>
    <col min="5247" max="5247" width="4.19921875" style="1188" bestFit="1" customWidth="1"/>
    <col min="5248" max="5249" width="2.3984375" style="1188"/>
    <col min="5250" max="5250" width="4.19921875" style="1188" bestFit="1" customWidth="1"/>
    <col min="5251" max="5251" width="2.3984375" style="1188"/>
    <col min="5252" max="5252" width="4.19921875" style="1188" bestFit="1" customWidth="1"/>
    <col min="5253" max="5255" width="2.3984375" style="1188"/>
    <col min="5256" max="5258" width="2.8984375" style="1188" bestFit="1" customWidth="1"/>
    <col min="5259" max="5260" width="2.3984375" style="1188"/>
    <col min="5261" max="5261" width="4.19921875" style="1188" bestFit="1" customWidth="1"/>
    <col min="5262" max="5262" width="2.3984375" style="1188"/>
    <col min="5263" max="5263" width="4.19921875" style="1188" bestFit="1" customWidth="1"/>
    <col min="5264" max="5265" width="2.3984375" style="1188"/>
    <col min="5266" max="5266" width="4.19921875" style="1188" bestFit="1" customWidth="1"/>
    <col min="5267" max="5267" width="2.3984375" style="1188"/>
    <col min="5268" max="5268" width="4.19921875" style="1188" bestFit="1" customWidth="1"/>
    <col min="5269" max="5271" width="2.3984375" style="1188"/>
    <col min="5272" max="5274" width="2.8984375" style="1188" bestFit="1" customWidth="1"/>
    <col min="5275" max="5276" width="2.3984375" style="1188"/>
    <col min="5277" max="5277" width="4.19921875" style="1188" bestFit="1" customWidth="1"/>
    <col min="5278" max="5278" width="2.3984375" style="1188"/>
    <col min="5279" max="5279" width="4.19921875" style="1188" bestFit="1" customWidth="1"/>
    <col min="5280" max="5281" width="2.3984375" style="1188"/>
    <col min="5282" max="5282" width="4.19921875" style="1188" bestFit="1" customWidth="1"/>
    <col min="5283" max="5283" width="2.3984375" style="1188"/>
    <col min="5284" max="5284" width="4.19921875" style="1188" bestFit="1" customWidth="1"/>
    <col min="5285" max="5287" width="2.3984375" style="1188"/>
    <col min="5288" max="5290" width="2.8984375" style="1188" bestFit="1" customWidth="1"/>
    <col min="5291" max="5292" width="2.3984375" style="1188"/>
    <col min="5293" max="5293" width="4.19921875" style="1188" bestFit="1" customWidth="1"/>
    <col min="5294" max="5294" width="2.3984375" style="1188"/>
    <col min="5295" max="5295" width="4.19921875" style="1188" bestFit="1" customWidth="1"/>
    <col min="5296" max="5297" width="2.3984375" style="1188"/>
    <col min="5298" max="5298" width="4.19921875" style="1188" bestFit="1" customWidth="1"/>
    <col min="5299" max="5299" width="2.3984375" style="1188"/>
    <col min="5300" max="5300" width="4.19921875" style="1188" bestFit="1" customWidth="1"/>
    <col min="5301" max="5303" width="2.3984375" style="1188"/>
    <col min="5304" max="5306" width="2.8984375" style="1188" bestFit="1" customWidth="1"/>
    <col min="5307" max="5308" width="2.3984375" style="1188"/>
    <col min="5309" max="5309" width="4.19921875" style="1188" bestFit="1" customWidth="1"/>
    <col min="5310" max="5310" width="2.3984375" style="1188"/>
    <col min="5311" max="5311" width="4.19921875" style="1188" bestFit="1" customWidth="1"/>
    <col min="5312" max="5313" width="2.3984375" style="1188"/>
    <col min="5314" max="5314" width="4.19921875" style="1188" bestFit="1" customWidth="1"/>
    <col min="5315" max="5315" width="2.3984375" style="1188"/>
    <col min="5316" max="5316" width="4.19921875" style="1188" bestFit="1" customWidth="1"/>
    <col min="5317" max="5319" width="2.3984375" style="1188"/>
    <col min="5320" max="5322" width="2.8984375" style="1188" bestFit="1" customWidth="1"/>
    <col min="5323" max="5324" width="2.3984375" style="1188"/>
    <col min="5325" max="5325" width="4.19921875" style="1188" bestFit="1" customWidth="1"/>
    <col min="5326" max="5326" width="2.3984375" style="1188"/>
    <col min="5327" max="5327" width="4.19921875" style="1188" bestFit="1" customWidth="1"/>
    <col min="5328" max="5329" width="2.3984375" style="1188"/>
    <col min="5330" max="5330" width="4.19921875" style="1188" bestFit="1" customWidth="1"/>
    <col min="5331" max="5331" width="2.3984375" style="1188"/>
    <col min="5332" max="5332" width="4.19921875" style="1188" bestFit="1" customWidth="1"/>
    <col min="5333" max="5335" width="2.3984375" style="1188"/>
    <col min="5336" max="5338" width="2.8984375" style="1188" bestFit="1" customWidth="1"/>
    <col min="5339" max="5340" width="2.3984375" style="1188"/>
    <col min="5341" max="5341" width="4.19921875" style="1188" bestFit="1" customWidth="1"/>
    <col min="5342" max="5342" width="2.3984375" style="1188"/>
    <col min="5343" max="5343" width="4.19921875" style="1188" bestFit="1" customWidth="1"/>
    <col min="5344" max="5345" width="2.3984375" style="1188"/>
    <col min="5346" max="5346" width="4.19921875" style="1188" bestFit="1" customWidth="1"/>
    <col min="5347" max="5347" width="2.3984375" style="1188"/>
    <col min="5348" max="5348" width="4.19921875" style="1188" bestFit="1" customWidth="1"/>
    <col min="5349" max="5351" width="2.3984375" style="1188"/>
    <col min="5352" max="5354" width="2.8984375" style="1188" bestFit="1" customWidth="1"/>
    <col min="5355" max="5356" width="2.3984375" style="1188"/>
    <col min="5357" max="5357" width="4.19921875" style="1188" bestFit="1" customWidth="1"/>
    <col min="5358" max="5358" width="2.3984375" style="1188"/>
    <col min="5359" max="5359" width="4.19921875" style="1188" bestFit="1" customWidth="1"/>
    <col min="5360" max="5361" width="2.3984375" style="1188"/>
    <col min="5362" max="5362" width="4.19921875" style="1188" bestFit="1" customWidth="1"/>
    <col min="5363" max="5363" width="2.3984375" style="1188"/>
    <col min="5364" max="5364" width="4.19921875" style="1188" bestFit="1" customWidth="1"/>
    <col min="5365" max="5367" width="2.3984375" style="1188"/>
    <col min="5368" max="5370" width="2.8984375" style="1188" bestFit="1" customWidth="1"/>
    <col min="5371" max="5372" width="2.3984375" style="1188"/>
    <col min="5373" max="5373" width="4.19921875" style="1188" bestFit="1" customWidth="1"/>
    <col min="5374" max="5374" width="2.3984375" style="1188"/>
    <col min="5375" max="5375" width="4.19921875" style="1188" bestFit="1" customWidth="1"/>
    <col min="5376" max="5377" width="2.3984375" style="1188"/>
    <col min="5378" max="5378" width="4.19921875" style="1188" bestFit="1" customWidth="1"/>
    <col min="5379" max="5379" width="2.3984375" style="1188"/>
    <col min="5380" max="5380" width="4.19921875" style="1188" bestFit="1" customWidth="1"/>
    <col min="5381" max="5383" width="2.3984375" style="1188"/>
    <col min="5384" max="5386" width="2.8984375" style="1188" bestFit="1" customWidth="1"/>
    <col min="5387" max="5388" width="2.3984375" style="1188"/>
    <col min="5389" max="5389" width="4.19921875" style="1188" bestFit="1" customWidth="1"/>
    <col min="5390" max="5390" width="2.3984375" style="1188"/>
    <col min="5391" max="5391" width="4.19921875" style="1188" bestFit="1" customWidth="1"/>
    <col min="5392" max="5393" width="2.3984375" style="1188"/>
    <col min="5394" max="5394" width="4.19921875" style="1188" bestFit="1" customWidth="1"/>
    <col min="5395" max="5395" width="2.3984375" style="1188"/>
    <col min="5396" max="5396" width="4.19921875" style="1188" bestFit="1" customWidth="1"/>
    <col min="5397" max="5399" width="2.3984375" style="1188"/>
    <col min="5400" max="5402" width="2.8984375" style="1188" bestFit="1" customWidth="1"/>
    <col min="5403" max="5404" width="2.3984375" style="1188"/>
    <col min="5405" max="5405" width="4.19921875" style="1188" bestFit="1" customWidth="1"/>
    <col min="5406" max="5406" width="2.3984375" style="1188"/>
    <col min="5407" max="5407" width="4.19921875" style="1188" bestFit="1" customWidth="1"/>
    <col min="5408" max="5409" width="2.3984375" style="1188"/>
    <col min="5410" max="5410" width="4.19921875" style="1188" bestFit="1" customWidth="1"/>
    <col min="5411" max="5411" width="2.3984375" style="1188"/>
    <col min="5412" max="5412" width="4.19921875" style="1188" bestFit="1" customWidth="1"/>
    <col min="5413" max="5415" width="2.3984375" style="1188"/>
    <col min="5416" max="5418" width="2.8984375" style="1188" bestFit="1" customWidth="1"/>
    <col min="5419" max="5420" width="2.3984375" style="1188"/>
    <col min="5421" max="5421" width="4.19921875" style="1188" bestFit="1" customWidth="1"/>
    <col min="5422" max="5422" width="2.3984375" style="1188"/>
    <col min="5423" max="5423" width="4.19921875" style="1188" bestFit="1" customWidth="1"/>
    <col min="5424" max="5425" width="2.3984375" style="1188"/>
    <col min="5426" max="5426" width="4.19921875" style="1188" bestFit="1" customWidth="1"/>
    <col min="5427" max="5427" width="2.3984375" style="1188"/>
    <col min="5428" max="5428" width="4.19921875" style="1188" bestFit="1" customWidth="1"/>
    <col min="5429" max="5431" width="2.3984375" style="1188"/>
    <col min="5432" max="5434" width="2.8984375" style="1188" bestFit="1" customWidth="1"/>
    <col min="5435" max="5436" width="2.3984375" style="1188"/>
    <col min="5437" max="5437" width="4.19921875" style="1188" bestFit="1" customWidth="1"/>
    <col min="5438" max="5438" width="2.3984375" style="1188"/>
    <col min="5439" max="5439" width="4.19921875" style="1188" bestFit="1" customWidth="1"/>
    <col min="5440" max="5441" width="2.3984375" style="1188"/>
    <col min="5442" max="5442" width="4.19921875" style="1188" bestFit="1" customWidth="1"/>
    <col min="5443" max="5443" width="2.3984375" style="1188"/>
    <col min="5444" max="5444" width="4.19921875" style="1188" bestFit="1" customWidth="1"/>
    <col min="5445" max="5447" width="2.3984375" style="1188"/>
    <col min="5448" max="5450" width="2.8984375" style="1188" bestFit="1" customWidth="1"/>
    <col min="5451" max="5452" width="2.3984375" style="1188"/>
    <col min="5453" max="5453" width="4.19921875" style="1188" bestFit="1" customWidth="1"/>
    <col min="5454" max="5454" width="2.3984375" style="1188"/>
    <col min="5455" max="5455" width="4.19921875" style="1188" bestFit="1" customWidth="1"/>
    <col min="5456" max="5457" width="2.3984375" style="1188"/>
    <col min="5458" max="5458" width="4.19921875" style="1188" bestFit="1" customWidth="1"/>
    <col min="5459" max="5459" width="2.3984375" style="1188"/>
    <col min="5460" max="5460" width="4.19921875" style="1188" bestFit="1" customWidth="1"/>
    <col min="5461" max="5463" width="2.3984375" style="1188"/>
    <col min="5464" max="5466" width="2.8984375" style="1188" bestFit="1" customWidth="1"/>
    <col min="5467" max="5468" width="2.3984375" style="1188"/>
    <col min="5469" max="5469" width="4.19921875" style="1188" bestFit="1" customWidth="1"/>
    <col min="5470" max="5470" width="2.3984375" style="1188"/>
    <col min="5471" max="5471" width="4.19921875" style="1188" bestFit="1" customWidth="1"/>
    <col min="5472" max="5473" width="2.3984375" style="1188"/>
    <col min="5474" max="5474" width="4.19921875" style="1188" bestFit="1" customWidth="1"/>
    <col min="5475" max="5475" width="2.3984375" style="1188"/>
    <col min="5476" max="5476" width="4.19921875" style="1188" bestFit="1" customWidth="1"/>
    <col min="5477" max="5479" width="2.3984375" style="1188"/>
    <col min="5480" max="5482" width="2.8984375" style="1188" bestFit="1" customWidth="1"/>
    <col min="5483" max="5484" width="2.3984375" style="1188"/>
    <col min="5485" max="5485" width="4.19921875" style="1188" bestFit="1" customWidth="1"/>
    <col min="5486" max="5486" width="2.3984375" style="1188"/>
    <col min="5487" max="5487" width="4.19921875" style="1188" bestFit="1" customWidth="1"/>
    <col min="5488" max="5489" width="2.3984375" style="1188"/>
    <col min="5490" max="5490" width="4.19921875" style="1188" bestFit="1" customWidth="1"/>
    <col min="5491" max="5491" width="2.3984375" style="1188"/>
    <col min="5492" max="5492" width="4.19921875" style="1188" bestFit="1" customWidth="1"/>
    <col min="5493" max="5495" width="2.3984375" style="1188"/>
    <col min="5496" max="5498" width="2.8984375" style="1188" bestFit="1" customWidth="1"/>
    <col min="5499" max="5500" width="2.3984375" style="1188"/>
    <col min="5501" max="5501" width="4.19921875" style="1188" bestFit="1" customWidth="1"/>
    <col min="5502" max="5502" width="2.3984375" style="1188"/>
    <col min="5503" max="5503" width="4.19921875" style="1188" bestFit="1" customWidth="1"/>
    <col min="5504" max="5505" width="2.3984375" style="1188"/>
    <col min="5506" max="5506" width="4.19921875" style="1188" bestFit="1" customWidth="1"/>
    <col min="5507" max="5507" width="2.3984375" style="1188"/>
    <col min="5508" max="5508" width="4.19921875" style="1188" bestFit="1" customWidth="1"/>
    <col min="5509" max="5511" width="2.3984375" style="1188"/>
    <col min="5512" max="5514" width="2.8984375" style="1188" bestFit="1" customWidth="1"/>
    <col min="5515" max="5516" width="2.3984375" style="1188"/>
    <col min="5517" max="5517" width="4.19921875" style="1188" bestFit="1" customWidth="1"/>
    <col min="5518" max="5518" width="2.3984375" style="1188"/>
    <col min="5519" max="5519" width="4.19921875" style="1188" bestFit="1" customWidth="1"/>
    <col min="5520" max="5521" width="2.3984375" style="1188"/>
    <col min="5522" max="5522" width="4.19921875" style="1188" bestFit="1" customWidth="1"/>
    <col min="5523" max="5523" width="2.3984375" style="1188"/>
    <col min="5524" max="5524" width="4.19921875" style="1188" bestFit="1" customWidth="1"/>
    <col min="5525" max="5527" width="2.3984375" style="1188"/>
    <col min="5528" max="5530" width="2.8984375" style="1188" bestFit="1" customWidth="1"/>
    <col min="5531" max="5532" width="2.3984375" style="1188"/>
    <col min="5533" max="5533" width="4.19921875" style="1188" bestFit="1" customWidth="1"/>
    <col min="5534" max="5534" width="2.3984375" style="1188"/>
    <col min="5535" max="5535" width="4.19921875" style="1188" bestFit="1" customWidth="1"/>
    <col min="5536" max="5537" width="2.3984375" style="1188"/>
    <col min="5538" max="5538" width="4.19921875" style="1188" bestFit="1" customWidth="1"/>
    <col min="5539" max="5539" width="2.3984375" style="1188"/>
    <col min="5540" max="5540" width="4.19921875" style="1188" bestFit="1" customWidth="1"/>
    <col min="5541" max="5543" width="2.3984375" style="1188"/>
    <col min="5544" max="5546" width="2.8984375" style="1188" bestFit="1" customWidth="1"/>
    <col min="5547" max="5548" width="2.3984375" style="1188"/>
    <col min="5549" max="5549" width="4.19921875" style="1188" bestFit="1" customWidth="1"/>
    <col min="5550" max="5550" width="2.3984375" style="1188"/>
    <col min="5551" max="5551" width="4.19921875" style="1188" bestFit="1" customWidth="1"/>
    <col min="5552" max="5553" width="2.3984375" style="1188"/>
    <col min="5554" max="5554" width="4.19921875" style="1188" bestFit="1" customWidth="1"/>
    <col min="5555" max="5555" width="2.3984375" style="1188"/>
    <col min="5556" max="5556" width="4.19921875" style="1188" bestFit="1" customWidth="1"/>
    <col min="5557" max="5559" width="2.3984375" style="1188"/>
    <col min="5560" max="5562" width="2.8984375" style="1188" bestFit="1" customWidth="1"/>
    <col min="5563" max="5564" width="2.3984375" style="1188"/>
    <col min="5565" max="5565" width="4.19921875" style="1188" bestFit="1" customWidth="1"/>
    <col min="5566" max="5566" width="2.3984375" style="1188"/>
    <col min="5567" max="5567" width="4.19921875" style="1188" bestFit="1" customWidth="1"/>
    <col min="5568" max="5569" width="2.3984375" style="1188"/>
    <col min="5570" max="5570" width="4.19921875" style="1188" bestFit="1" customWidth="1"/>
    <col min="5571" max="5571" width="2.3984375" style="1188"/>
    <col min="5572" max="5572" width="4.19921875" style="1188" bestFit="1" customWidth="1"/>
    <col min="5573" max="5575" width="2.3984375" style="1188"/>
    <col min="5576" max="5578" width="2.8984375" style="1188" bestFit="1" customWidth="1"/>
    <col min="5579" max="5580" width="2.3984375" style="1188"/>
    <col min="5581" max="5581" width="4.19921875" style="1188" bestFit="1" customWidth="1"/>
    <col min="5582" max="5582" width="2.3984375" style="1188"/>
    <col min="5583" max="5583" width="4.19921875" style="1188" bestFit="1" customWidth="1"/>
    <col min="5584" max="5585" width="2.3984375" style="1188"/>
    <col min="5586" max="5586" width="4.19921875" style="1188" bestFit="1" customWidth="1"/>
    <col min="5587" max="5587" width="2.3984375" style="1188"/>
    <col min="5588" max="5588" width="4.19921875" style="1188" bestFit="1" customWidth="1"/>
    <col min="5589" max="5591" width="2.3984375" style="1188"/>
    <col min="5592" max="5594" width="2.8984375" style="1188" bestFit="1" customWidth="1"/>
    <col min="5595" max="5596" width="2.3984375" style="1188"/>
    <col min="5597" max="5597" width="4.19921875" style="1188" bestFit="1" customWidth="1"/>
    <col min="5598" max="5598" width="2.3984375" style="1188"/>
    <col min="5599" max="5599" width="4.19921875" style="1188" bestFit="1" customWidth="1"/>
    <col min="5600" max="5601" width="2.3984375" style="1188"/>
    <col min="5602" max="5602" width="4.19921875" style="1188" bestFit="1" customWidth="1"/>
    <col min="5603" max="5603" width="2.3984375" style="1188"/>
    <col min="5604" max="5604" width="4.19921875" style="1188" bestFit="1" customWidth="1"/>
    <col min="5605" max="5607" width="2.3984375" style="1188"/>
    <col min="5608" max="5610" width="2.8984375" style="1188" bestFit="1" customWidth="1"/>
    <col min="5611" max="5612" width="2.3984375" style="1188"/>
    <col min="5613" max="5613" width="4.19921875" style="1188" bestFit="1" customWidth="1"/>
    <col min="5614" max="5614" width="2.3984375" style="1188"/>
    <col min="5615" max="5615" width="4.19921875" style="1188" bestFit="1" customWidth="1"/>
    <col min="5616" max="5617" width="2.3984375" style="1188"/>
    <col min="5618" max="5618" width="4.19921875" style="1188" bestFit="1" customWidth="1"/>
    <col min="5619" max="5619" width="2.3984375" style="1188"/>
    <col min="5620" max="5620" width="4.19921875" style="1188" bestFit="1" customWidth="1"/>
    <col min="5621" max="5623" width="2.3984375" style="1188"/>
    <col min="5624" max="5626" width="2.8984375" style="1188" bestFit="1" customWidth="1"/>
    <col min="5627" max="5628" width="2.3984375" style="1188"/>
    <col min="5629" max="5629" width="4.19921875" style="1188" bestFit="1" customWidth="1"/>
    <col min="5630" max="5630" width="2.3984375" style="1188"/>
    <col min="5631" max="5631" width="4.19921875" style="1188" bestFit="1" customWidth="1"/>
    <col min="5632" max="5633" width="2.3984375" style="1188"/>
    <col min="5634" max="5634" width="4.19921875" style="1188" bestFit="1" customWidth="1"/>
    <col min="5635" max="5635" width="2.3984375" style="1188"/>
    <col min="5636" max="5636" width="4.19921875" style="1188" bestFit="1" customWidth="1"/>
    <col min="5637" max="5639" width="2.3984375" style="1188"/>
    <col min="5640" max="5642" width="2.8984375" style="1188" bestFit="1" customWidth="1"/>
    <col min="5643" max="5644" width="2.3984375" style="1188"/>
    <col min="5645" max="5645" width="4.19921875" style="1188" bestFit="1" customWidth="1"/>
    <col min="5646" max="5646" width="2.3984375" style="1188"/>
    <col min="5647" max="5647" width="4.19921875" style="1188" bestFit="1" customWidth="1"/>
    <col min="5648" max="5649" width="2.3984375" style="1188"/>
    <col min="5650" max="5650" width="4.19921875" style="1188" bestFit="1" customWidth="1"/>
    <col min="5651" max="5651" width="2.3984375" style="1188"/>
    <col min="5652" max="5652" width="4.19921875" style="1188" bestFit="1" customWidth="1"/>
    <col min="5653" max="5655" width="2.3984375" style="1188"/>
    <col min="5656" max="5658" width="2.8984375" style="1188" bestFit="1" customWidth="1"/>
    <col min="5659" max="5660" width="2.3984375" style="1188"/>
    <col min="5661" max="5661" width="4.19921875" style="1188" bestFit="1" customWidth="1"/>
    <col min="5662" max="5662" width="2.3984375" style="1188"/>
    <col min="5663" max="5663" width="4.19921875" style="1188" bestFit="1" customWidth="1"/>
    <col min="5664" max="5665" width="2.3984375" style="1188"/>
    <col min="5666" max="5666" width="4.19921875" style="1188" bestFit="1" customWidth="1"/>
    <col min="5667" max="5667" width="2.3984375" style="1188"/>
    <col min="5668" max="5668" width="4.19921875" style="1188" bestFit="1" customWidth="1"/>
    <col min="5669" max="5671" width="2.3984375" style="1188"/>
    <col min="5672" max="5674" width="2.8984375" style="1188" bestFit="1" customWidth="1"/>
    <col min="5675" max="5676" width="2.3984375" style="1188"/>
    <col min="5677" max="5677" width="4.19921875" style="1188" bestFit="1" customWidth="1"/>
    <col min="5678" max="5678" width="2.3984375" style="1188"/>
    <col min="5679" max="5679" width="4.19921875" style="1188" bestFit="1" customWidth="1"/>
    <col min="5680" max="5681" width="2.3984375" style="1188"/>
    <col min="5682" max="5682" width="4.19921875" style="1188" bestFit="1" customWidth="1"/>
    <col min="5683" max="5683" width="2.3984375" style="1188"/>
    <col min="5684" max="5684" width="4.19921875" style="1188" bestFit="1" customWidth="1"/>
    <col min="5685" max="5687" width="2.3984375" style="1188"/>
    <col min="5688" max="5690" width="2.8984375" style="1188" bestFit="1" customWidth="1"/>
    <col min="5691" max="5692" width="2.3984375" style="1188"/>
    <col min="5693" max="5693" width="4.19921875" style="1188" bestFit="1" customWidth="1"/>
    <col min="5694" max="5694" width="2.3984375" style="1188"/>
    <col min="5695" max="5695" width="4.19921875" style="1188" bestFit="1" customWidth="1"/>
    <col min="5696" max="5697" width="2.3984375" style="1188"/>
    <col min="5698" max="5698" width="4.19921875" style="1188" bestFit="1" customWidth="1"/>
    <col min="5699" max="5699" width="2.3984375" style="1188"/>
    <col min="5700" max="5700" width="4.19921875" style="1188" bestFit="1" customWidth="1"/>
    <col min="5701" max="5703" width="2.3984375" style="1188"/>
    <col min="5704" max="5706" width="2.8984375" style="1188" bestFit="1" customWidth="1"/>
    <col min="5707" max="5708" width="2.3984375" style="1188"/>
    <col min="5709" max="5709" width="4.19921875" style="1188" bestFit="1" customWidth="1"/>
    <col min="5710" max="5710" width="2.3984375" style="1188"/>
    <col min="5711" max="5711" width="4.19921875" style="1188" bestFit="1" customWidth="1"/>
    <col min="5712" max="5713" width="2.3984375" style="1188"/>
    <col min="5714" max="5714" width="4.19921875" style="1188" bestFit="1" customWidth="1"/>
    <col min="5715" max="5715" width="2.3984375" style="1188"/>
    <col min="5716" max="5716" width="4.19921875" style="1188" bestFit="1" customWidth="1"/>
    <col min="5717" max="5719" width="2.3984375" style="1188"/>
    <col min="5720" max="5722" width="2.8984375" style="1188" bestFit="1" customWidth="1"/>
    <col min="5723" max="5724" width="2.3984375" style="1188"/>
    <col min="5725" max="5725" width="4.19921875" style="1188" bestFit="1" customWidth="1"/>
    <col min="5726" max="5726" width="2.3984375" style="1188"/>
    <col min="5727" max="5727" width="4.19921875" style="1188" bestFit="1" customWidth="1"/>
    <col min="5728" max="5729" width="2.3984375" style="1188"/>
    <col min="5730" max="5730" width="4.19921875" style="1188" bestFit="1" customWidth="1"/>
    <col min="5731" max="5731" width="2.3984375" style="1188"/>
    <col min="5732" max="5732" width="4.19921875" style="1188" bestFit="1" customWidth="1"/>
    <col min="5733" max="5735" width="2.3984375" style="1188"/>
    <col min="5736" max="5738" width="2.8984375" style="1188" bestFit="1" customWidth="1"/>
    <col min="5739" max="5740" width="2.3984375" style="1188"/>
    <col min="5741" max="5741" width="4.19921875" style="1188" bestFit="1" customWidth="1"/>
    <col min="5742" max="5742" width="2.3984375" style="1188"/>
    <col min="5743" max="5743" width="4.19921875" style="1188" bestFit="1" customWidth="1"/>
    <col min="5744" max="5745" width="2.3984375" style="1188"/>
    <col min="5746" max="5746" width="4.19921875" style="1188" bestFit="1" customWidth="1"/>
    <col min="5747" max="5747" width="2.3984375" style="1188"/>
    <col min="5748" max="5748" width="4.19921875" style="1188" bestFit="1" customWidth="1"/>
    <col min="5749" max="5751" width="2.3984375" style="1188"/>
    <col min="5752" max="5754" width="2.8984375" style="1188" bestFit="1" customWidth="1"/>
    <col min="5755" max="5756" width="2.3984375" style="1188"/>
    <col min="5757" max="5757" width="4.19921875" style="1188" bestFit="1" customWidth="1"/>
    <col min="5758" max="5758" width="2.3984375" style="1188"/>
    <col min="5759" max="5759" width="4.19921875" style="1188" bestFit="1" customWidth="1"/>
    <col min="5760" max="5761" width="2.3984375" style="1188"/>
    <col min="5762" max="5762" width="4.19921875" style="1188" bestFit="1" customWidth="1"/>
    <col min="5763" max="5763" width="2.3984375" style="1188"/>
    <col min="5764" max="5764" width="4.19921875" style="1188" bestFit="1" customWidth="1"/>
    <col min="5765" max="5767" width="2.3984375" style="1188"/>
    <col min="5768" max="5770" width="2.8984375" style="1188" bestFit="1" customWidth="1"/>
    <col min="5771" max="5772" width="2.3984375" style="1188"/>
    <col min="5773" max="5773" width="4.19921875" style="1188" bestFit="1" customWidth="1"/>
    <col min="5774" max="5774" width="2.3984375" style="1188"/>
    <col min="5775" max="5775" width="4.19921875" style="1188" bestFit="1" customWidth="1"/>
    <col min="5776" max="5777" width="2.3984375" style="1188"/>
    <col min="5778" max="5778" width="4.19921875" style="1188" bestFit="1" customWidth="1"/>
    <col min="5779" max="5779" width="2.3984375" style="1188"/>
    <col min="5780" max="5780" width="4.19921875" style="1188" bestFit="1" customWidth="1"/>
    <col min="5781" max="5783" width="2.3984375" style="1188"/>
    <col min="5784" max="5786" width="2.8984375" style="1188" bestFit="1" customWidth="1"/>
    <col min="5787" max="5788" width="2.3984375" style="1188"/>
    <col min="5789" max="5789" width="4.19921875" style="1188" bestFit="1" customWidth="1"/>
    <col min="5790" max="5790" width="2.3984375" style="1188"/>
    <col min="5791" max="5791" width="4.19921875" style="1188" bestFit="1" customWidth="1"/>
    <col min="5792" max="5793" width="2.3984375" style="1188"/>
    <col min="5794" max="5794" width="4.19921875" style="1188" bestFit="1" customWidth="1"/>
    <col min="5795" max="5795" width="2.3984375" style="1188"/>
    <col min="5796" max="5796" width="4.19921875" style="1188" bestFit="1" customWidth="1"/>
    <col min="5797" max="5799" width="2.3984375" style="1188"/>
    <col min="5800" max="5802" width="2.8984375" style="1188" bestFit="1" customWidth="1"/>
    <col min="5803" max="5804" width="2.3984375" style="1188"/>
    <col min="5805" max="5805" width="4.19921875" style="1188" bestFit="1" customWidth="1"/>
    <col min="5806" max="5806" width="2.3984375" style="1188"/>
    <col min="5807" max="5807" width="4.19921875" style="1188" bestFit="1" customWidth="1"/>
    <col min="5808" max="5809" width="2.3984375" style="1188"/>
    <col min="5810" max="5810" width="4.19921875" style="1188" bestFit="1" customWidth="1"/>
    <col min="5811" max="5811" width="2.3984375" style="1188"/>
    <col min="5812" max="5812" width="4.19921875" style="1188" bestFit="1" customWidth="1"/>
    <col min="5813" max="5815" width="2.3984375" style="1188"/>
    <col min="5816" max="5818" width="2.8984375" style="1188" bestFit="1" customWidth="1"/>
    <col min="5819" max="5820" width="2.3984375" style="1188"/>
    <col min="5821" max="5821" width="4.19921875" style="1188" bestFit="1" customWidth="1"/>
    <col min="5822" max="5822" width="2.3984375" style="1188"/>
    <col min="5823" max="5823" width="4.19921875" style="1188" bestFit="1" customWidth="1"/>
    <col min="5824" max="5825" width="2.3984375" style="1188"/>
    <col min="5826" max="5826" width="4.19921875" style="1188" bestFit="1" customWidth="1"/>
    <col min="5827" max="5827" width="2.3984375" style="1188"/>
    <col min="5828" max="5828" width="4.19921875" style="1188" bestFit="1" customWidth="1"/>
    <col min="5829" max="5831" width="2.3984375" style="1188"/>
    <col min="5832" max="5834" width="2.8984375" style="1188" bestFit="1" customWidth="1"/>
    <col min="5835" max="5836" width="2.3984375" style="1188"/>
    <col min="5837" max="5837" width="4.19921875" style="1188" bestFit="1" customWidth="1"/>
    <col min="5838" max="5838" width="2.3984375" style="1188"/>
    <col min="5839" max="5839" width="4.19921875" style="1188" bestFit="1" customWidth="1"/>
    <col min="5840" max="5841" width="2.3984375" style="1188"/>
    <col min="5842" max="5842" width="4.19921875" style="1188" bestFit="1" customWidth="1"/>
    <col min="5843" max="5843" width="2.3984375" style="1188"/>
    <col min="5844" max="5844" width="4.19921875" style="1188" bestFit="1" customWidth="1"/>
    <col min="5845" max="5847" width="2.3984375" style="1188"/>
    <col min="5848" max="5850" width="2.8984375" style="1188" bestFit="1" customWidth="1"/>
    <col min="5851" max="5852" width="2.3984375" style="1188"/>
    <col min="5853" max="5853" width="4.19921875" style="1188" bestFit="1" customWidth="1"/>
    <col min="5854" max="5854" width="2.3984375" style="1188"/>
    <col min="5855" max="5855" width="4.19921875" style="1188" bestFit="1" customWidth="1"/>
    <col min="5856" max="5857" width="2.3984375" style="1188"/>
    <col min="5858" max="5858" width="4.19921875" style="1188" bestFit="1" customWidth="1"/>
    <col min="5859" max="5859" width="2.3984375" style="1188"/>
    <col min="5860" max="5860" width="4.19921875" style="1188" bestFit="1" customWidth="1"/>
    <col min="5861" max="5863" width="2.3984375" style="1188"/>
    <col min="5864" max="5866" width="2.8984375" style="1188" bestFit="1" customWidth="1"/>
    <col min="5867" max="5868" width="2.3984375" style="1188"/>
    <col min="5869" max="5869" width="4.19921875" style="1188" bestFit="1" customWidth="1"/>
    <col min="5870" max="5870" width="2.3984375" style="1188"/>
    <col min="5871" max="5871" width="4.19921875" style="1188" bestFit="1" customWidth="1"/>
    <col min="5872" max="5873" width="2.3984375" style="1188"/>
    <col min="5874" max="5874" width="4.19921875" style="1188" bestFit="1" customWidth="1"/>
    <col min="5875" max="5875" width="2.3984375" style="1188"/>
    <col min="5876" max="5876" width="4.19921875" style="1188" bestFit="1" customWidth="1"/>
    <col min="5877" max="5879" width="2.3984375" style="1188"/>
    <col min="5880" max="5882" width="2.8984375" style="1188" bestFit="1" customWidth="1"/>
    <col min="5883" max="5884" width="2.3984375" style="1188"/>
    <col min="5885" max="5885" width="4.19921875" style="1188" bestFit="1" customWidth="1"/>
    <col min="5886" max="5886" width="2.3984375" style="1188"/>
    <col min="5887" max="5887" width="4.19921875" style="1188" bestFit="1" customWidth="1"/>
    <col min="5888" max="5889" width="2.3984375" style="1188"/>
    <col min="5890" max="5890" width="4.19921875" style="1188" bestFit="1" customWidth="1"/>
    <col min="5891" max="5891" width="2.3984375" style="1188"/>
    <col min="5892" max="5892" width="4.19921875" style="1188" bestFit="1" customWidth="1"/>
    <col min="5893" max="5895" width="2.3984375" style="1188"/>
    <col min="5896" max="5898" width="2.8984375" style="1188" bestFit="1" customWidth="1"/>
    <col min="5899" max="5900" width="2.3984375" style="1188"/>
    <col min="5901" max="5901" width="4.19921875" style="1188" bestFit="1" customWidth="1"/>
    <col min="5902" max="5902" width="2.3984375" style="1188"/>
    <col min="5903" max="5903" width="4.19921875" style="1188" bestFit="1" customWidth="1"/>
    <col min="5904" max="5905" width="2.3984375" style="1188"/>
    <col min="5906" max="5906" width="4.19921875" style="1188" bestFit="1" customWidth="1"/>
    <col min="5907" max="5907" width="2.3984375" style="1188"/>
    <col min="5908" max="5908" width="4.19921875" style="1188" bestFit="1" customWidth="1"/>
    <col min="5909" max="5911" width="2.3984375" style="1188"/>
    <col min="5912" max="5914" width="2.8984375" style="1188" bestFit="1" customWidth="1"/>
    <col min="5915" max="5916" width="2.3984375" style="1188"/>
    <col min="5917" max="5917" width="4.19921875" style="1188" bestFit="1" customWidth="1"/>
    <col min="5918" max="5918" width="2.3984375" style="1188"/>
    <col min="5919" max="5919" width="4.19921875" style="1188" bestFit="1" customWidth="1"/>
    <col min="5920" max="5921" width="2.3984375" style="1188"/>
    <col min="5922" max="5922" width="4.19921875" style="1188" bestFit="1" customWidth="1"/>
    <col min="5923" max="5923" width="2.3984375" style="1188"/>
    <col min="5924" max="5924" width="4.19921875" style="1188" bestFit="1" customWidth="1"/>
    <col min="5925" max="5927" width="2.3984375" style="1188"/>
    <col min="5928" max="5930" width="2.8984375" style="1188" bestFit="1" customWidth="1"/>
    <col min="5931" max="5932" width="2.3984375" style="1188"/>
    <col min="5933" max="5933" width="4.19921875" style="1188" bestFit="1" customWidth="1"/>
    <col min="5934" max="5934" width="2.3984375" style="1188"/>
    <col min="5935" max="5935" width="4.19921875" style="1188" bestFit="1" customWidth="1"/>
    <col min="5936" max="5937" width="2.3984375" style="1188"/>
    <col min="5938" max="5938" width="4.19921875" style="1188" bestFit="1" customWidth="1"/>
    <col min="5939" max="5939" width="2.3984375" style="1188"/>
    <col min="5940" max="5940" width="4.19921875" style="1188" bestFit="1" customWidth="1"/>
    <col min="5941" max="5943" width="2.3984375" style="1188"/>
    <col min="5944" max="5946" width="2.8984375" style="1188" bestFit="1" customWidth="1"/>
    <col min="5947" max="5948" width="2.3984375" style="1188"/>
    <col min="5949" max="5949" width="4.19921875" style="1188" bestFit="1" customWidth="1"/>
    <col min="5950" max="5950" width="2.3984375" style="1188"/>
    <col min="5951" max="5951" width="4.19921875" style="1188" bestFit="1" customWidth="1"/>
    <col min="5952" max="5953" width="2.3984375" style="1188"/>
    <col min="5954" max="5954" width="4.19921875" style="1188" bestFit="1" customWidth="1"/>
    <col min="5955" max="5955" width="2.3984375" style="1188"/>
    <col min="5956" max="5956" width="4.19921875" style="1188" bestFit="1" customWidth="1"/>
    <col min="5957" max="5959" width="2.3984375" style="1188"/>
    <col min="5960" max="5962" width="2.8984375" style="1188" bestFit="1" customWidth="1"/>
    <col min="5963" max="5964" width="2.3984375" style="1188"/>
    <col min="5965" max="5965" width="4.19921875" style="1188" bestFit="1" customWidth="1"/>
    <col min="5966" max="5966" width="2.3984375" style="1188"/>
    <col min="5967" max="5967" width="4.19921875" style="1188" bestFit="1" customWidth="1"/>
    <col min="5968" max="5969" width="2.3984375" style="1188"/>
    <col min="5970" max="5970" width="4.19921875" style="1188" bestFit="1" customWidth="1"/>
    <col min="5971" max="5971" width="2.3984375" style="1188"/>
    <col min="5972" max="5972" width="4.19921875" style="1188" bestFit="1" customWidth="1"/>
    <col min="5973" max="5975" width="2.3984375" style="1188"/>
    <col min="5976" max="5978" width="2.8984375" style="1188" bestFit="1" customWidth="1"/>
    <col min="5979" max="5980" width="2.3984375" style="1188"/>
    <col min="5981" max="5981" width="4.19921875" style="1188" bestFit="1" customWidth="1"/>
    <col min="5982" max="5982" width="2.3984375" style="1188"/>
    <col min="5983" max="5983" width="4.19921875" style="1188" bestFit="1" customWidth="1"/>
    <col min="5984" max="5985" width="2.3984375" style="1188"/>
    <col min="5986" max="5986" width="4.19921875" style="1188" bestFit="1" customWidth="1"/>
    <col min="5987" max="5987" width="2.3984375" style="1188"/>
    <col min="5988" max="5988" width="4.19921875" style="1188" bestFit="1" customWidth="1"/>
    <col min="5989" max="5991" width="2.3984375" style="1188"/>
    <col min="5992" max="5994" width="2.8984375" style="1188" bestFit="1" customWidth="1"/>
    <col min="5995" max="5996" width="2.3984375" style="1188"/>
    <col min="5997" max="5997" width="4.19921875" style="1188" bestFit="1" customWidth="1"/>
    <col min="5998" max="5998" width="2.3984375" style="1188"/>
    <col min="5999" max="5999" width="4.19921875" style="1188" bestFit="1" customWidth="1"/>
    <col min="6000" max="6001" width="2.3984375" style="1188"/>
    <col min="6002" max="6002" width="4.19921875" style="1188" bestFit="1" customWidth="1"/>
    <col min="6003" max="6003" width="2.3984375" style="1188"/>
    <col min="6004" max="6004" width="4.19921875" style="1188" bestFit="1" customWidth="1"/>
    <col min="6005" max="6007" width="2.3984375" style="1188"/>
    <col min="6008" max="6010" width="2.8984375" style="1188" bestFit="1" customWidth="1"/>
    <col min="6011" max="6012" width="2.3984375" style="1188"/>
    <col min="6013" max="6013" width="4.19921875" style="1188" bestFit="1" customWidth="1"/>
    <col min="6014" max="6014" width="2.3984375" style="1188"/>
    <col min="6015" max="6015" width="4.19921875" style="1188" bestFit="1" customWidth="1"/>
    <col min="6016" max="6017" width="2.3984375" style="1188"/>
    <col min="6018" max="6018" width="4.19921875" style="1188" bestFit="1" customWidth="1"/>
    <col min="6019" max="6019" width="2.3984375" style="1188"/>
    <col min="6020" max="6020" width="4.19921875" style="1188" bestFit="1" customWidth="1"/>
    <col min="6021" max="6023" width="2.3984375" style="1188"/>
    <col min="6024" max="6026" width="2.8984375" style="1188" bestFit="1" customWidth="1"/>
    <col min="6027" max="6028" width="2.3984375" style="1188"/>
    <col min="6029" max="6029" width="4.19921875" style="1188" bestFit="1" customWidth="1"/>
    <col min="6030" max="6030" width="2.3984375" style="1188"/>
    <col min="6031" max="6031" width="4.19921875" style="1188" bestFit="1" customWidth="1"/>
    <col min="6032" max="6033" width="2.3984375" style="1188"/>
    <col min="6034" max="6034" width="4.19921875" style="1188" bestFit="1" customWidth="1"/>
    <col min="6035" max="6035" width="2.3984375" style="1188"/>
    <col min="6036" max="6036" width="4.19921875" style="1188" bestFit="1" customWidth="1"/>
    <col min="6037" max="6039" width="2.3984375" style="1188"/>
    <col min="6040" max="6042" width="2.8984375" style="1188" bestFit="1" customWidth="1"/>
    <col min="6043" max="6044" width="2.3984375" style="1188"/>
    <col min="6045" max="6045" width="4.19921875" style="1188" bestFit="1" customWidth="1"/>
    <col min="6046" max="6046" width="2.3984375" style="1188"/>
    <col min="6047" max="6047" width="4.19921875" style="1188" bestFit="1" customWidth="1"/>
    <col min="6048" max="6049" width="2.3984375" style="1188"/>
    <col min="6050" max="6050" width="4.19921875" style="1188" bestFit="1" customWidth="1"/>
    <col min="6051" max="6051" width="2.3984375" style="1188"/>
    <col min="6052" max="6052" width="4.19921875" style="1188" bestFit="1" customWidth="1"/>
    <col min="6053" max="6055" width="2.3984375" style="1188"/>
    <col min="6056" max="6058" width="2.8984375" style="1188" bestFit="1" customWidth="1"/>
    <col min="6059" max="6060" width="2.3984375" style="1188"/>
    <col min="6061" max="6061" width="4.19921875" style="1188" bestFit="1" customWidth="1"/>
    <col min="6062" max="6062" width="2.3984375" style="1188"/>
    <col min="6063" max="6063" width="4.19921875" style="1188" bestFit="1" customWidth="1"/>
    <col min="6064" max="6065" width="2.3984375" style="1188"/>
    <col min="6066" max="6066" width="4.19921875" style="1188" bestFit="1" customWidth="1"/>
    <col min="6067" max="6067" width="2.3984375" style="1188"/>
    <col min="6068" max="6068" width="4.19921875" style="1188" bestFit="1" customWidth="1"/>
    <col min="6069" max="6071" width="2.3984375" style="1188"/>
    <col min="6072" max="6074" width="2.8984375" style="1188" bestFit="1" customWidth="1"/>
    <col min="6075" max="6076" width="2.3984375" style="1188"/>
    <col min="6077" max="6077" width="4.19921875" style="1188" bestFit="1" customWidth="1"/>
    <col min="6078" max="6078" width="2.3984375" style="1188"/>
    <col min="6079" max="6079" width="4.19921875" style="1188" bestFit="1" customWidth="1"/>
    <col min="6080" max="6081" width="2.3984375" style="1188"/>
    <col min="6082" max="6082" width="4.19921875" style="1188" bestFit="1" customWidth="1"/>
    <col min="6083" max="6083" width="2.3984375" style="1188"/>
    <col min="6084" max="6084" width="4.19921875" style="1188" bestFit="1" customWidth="1"/>
    <col min="6085" max="6087" width="2.3984375" style="1188"/>
    <col min="6088" max="6090" width="2.8984375" style="1188" bestFit="1" customWidth="1"/>
    <col min="6091" max="6092" width="2.3984375" style="1188"/>
    <col min="6093" max="6093" width="4.19921875" style="1188" bestFit="1" customWidth="1"/>
    <col min="6094" max="6094" width="2.3984375" style="1188"/>
    <col min="6095" max="6095" width="4.19921875" style="1188" bestFit="1" customWidth="1"/>
    <col min="6096" max="6097" width="2.3984375" style="1188"/>
    <col min="6098" max="6098" width="4.19921875" style="1188" bestFit="1" customWidth="1"/>
    <col min="6099" max="6099" width="2.3984375" style="1188"/>
    <col min="6100" max="6100" width="4.19921875" style="1188" bestFit="1" customWidth="1"/>
    <col min="6101" max="6103" width="2.3984375" style="1188"/>
    <col min="6104" max="6106" width="2.8984375" style="1188" bestFit="1" customWidth="1"/>
    <col min="6107" max="6108" width="2.3984375" style="1188"/>
    <col min="6109" max="6109" width="4.19921875" style="1188" bestFit="1" customWidth="1"/>
    <col min="6110" max="6110" width="2.3984375" style="1188"/>
    <col min="6111" max="6111" width="4.19921875" style="1188" bestFit="1" customWidth="1"/>
    <col min="6112" max="6113" width="2.3984375" style="1188"/>
    <col min="6114" max="6114" width="4.19921875" style="1188" bestFit="1" customWidth="1"/>
    <col min="6115" max="6115" width="2.3984375" style="1188"/>
    <col min="6116" max="6116" width="4.19921875" style="1188" bestFit="1" customWidth="1"/>
    <col min="6117" max="6119" width="2.3984375" style="1188"/>
    <col min="6120" max="6122" width="2.8984375" style="1188" bestFit="1" customWidth="1"/>
    <col min="6123" max="6124" width="2.3984375" style="1188"/>
    <col min="6125" max="6125" width="4.19921875" style="1188" bestFit="1" customWidth="1"/>
    <col min="6126" max="6126" width="2.3984375" style="1188"/>
    <col min="6127" max="6127" width="4.19921875" style="1188" bestFit="1" customWidth="1"/>
    <col min="6128" max="6129" width="2.3984375" style="1188"/>
    <col min="6130" max="6130" width="4.19921875" style="1188" bestFit="1" customWidth="1"/>
    <col min="6131" max="6131" width="2.3984375" style="1188"/>
    <col min="6132" max="6132" width="4.19921875" style="1188" bestFit="1" customWidth="1"/>
    <col min="6133" max="6135" width="2.3984375" style="1188"/>
    <col min="6136" max="6138" width="2.8984375" style="1188" bestFit="1" customWidth="1"/>
    <col min="6139" max="6140" width="2.3984375" style="1188"/>
    <col min="6141" max="6141" width="4.19921875" style="1188" bestFit="1" customWidth="1"/>
    <col min="6142" max="6142" width="2.3984375" style="1188"/>
    <col min="6143" max="6143" width="4.19921875" style="1188" bestFit="1" customWidth="1"/>
    <col min="6144" max="6145" width="2.3984375" style="1188"/>
    <col min="6146" max="6146" width="4.19921875" style="1188" bestFit="1" customWidth="1"/>
    <col min="6147" max="6147" width="2.3984375" style="1188"/>
    <col min="6148" max="6148" width="4.19921875" style="1188" bestFit="1" customWidth="1"/>
    <col min="6149" max="6151" width="2.3984375" style="1188"/>
    <col min="6152" max="6154" width="2.8984375" style="1188" bestFit="1" customWidth="1"/>
    <col min="6155" max="6156" width="2.3984375" style="1188"/>
    <col min="6157" max="6157" width="4.19921875" style="1188" bestFit="1" customWidth="1"/>
    <col min="6158" max="6158" width="2.3984375" style="1188"/>
    <col min="6159" max="6159" width="4.19921875" style="1188" bestFit="1" customWidth="1"/>
    <col min="6160" max="6161" width="2.3984375" style="1188"/>
    <col min="6162" max="6162" width="4.19921875" style="1188" bestFit="1" customWidth="1"/>
    <col min="6163" max="6163" width="2.3984375" style="1188"/>
    <col min="6164" max="6164" width="4.19921875" style="1188" bestFit="1" customWidth="1"/>
    <col min="6165" max="6167" width="2.3984375" style="1188"/>
    <col min="6168" max="6170" width="2.8984375" style="1188" bestFit="1" customWidth="1"/>
    <col min="6171" max="6172" width="2.3984375" style="1188"/>
    <col min="6173" max="6173" width="4.19921875" style="1188" bestFit="1" customWidth="1"/>
    <col min="6174" max="6174" width="2.3984375" style="1188"/>
    <col min="6175" max="6175" width="4.19921875" style="1188" bestFit="1" customWidth="1"/>
    <col min="6176" max="6177" width="2.3984375" style="1188"/>
    <col min="6178" max="6178" width="4.19921875" style="1188" bestFit="1" customWidth="1"/>
    <col min="6179" max="6179" width="2.3984375" style="1188"/>
    <col min="6180" max="6180" width="4.19921875" style="1188" bestFit="1" customWidth="1"/>
    <col min="6181" max="6183" width="2.3984375" style="1188"/>
    <col min="6184" max="6186" width="2.8984375" style="1188" bestFit="1" customWidth="1"/>
    <col min="6187" max="6188" width="2.3984375" style="1188"/>
    <col min="6189" max="6189" width="4.19921875" style="1188" bestFit="1" customWidth="1"/>
    <col min="6190" max="6190" width="2.3984375" style="1188"/>
    <col min="6191" max="6191" width="4.19921875" style="1188" bestFit="1" customWidth="1"/>
    <col min="6192" max="6193" width="2.3984375" style="1188"/>
    <col min="6194" max="6194" width="4.19921875" style="1188" bestFit="1" customWidth="1"/>
    <col min="6195" max="6195" width="2.3984375" style="1188"/>
    <col min="6196" max="6196" width="4.19921875" style="1188" bestFit="1" customWidth="1"/>
    <col min="6197" max="6199" width="2.3984375" style="1188"/>
    <col min="6200" max="6202" width="2.8984375" style="1188" bestFit="1" customWidth="1"/>
    <col min="6203" max="6204" width="2.3984375" style="1188"/>
    <col min="6205" max="6205" width="4.19921875" style="1188" bestFit="1" customWidth="1"/>
    <col min="6206" max="6206" width="2.3984375" style="1188"/>
    <col min="6207" max="6207" width="4.19921875" style="1188" bestFit="1" customWidth="1"/>
    <col min="6208" max="6209" width="2.3984375" style="1188"/>
    <col min="6210" max="6210" width="4.19921875" style="1188" bestFit="1" customWidth="1"/>
    <col min="6211" max="6211" width="2.3984375" style="1188"/>
    <col min="6212" max="6212" width="4.19921875" style="1188" bestFit="1" customWidth="1"/>
    <col min="6213" max="6215" width="2.3984375" style="1188"/>
    <col min="6216" max="6218" width="2.8984375" style="1188" bestFit="1" customWidth="1"/>
    <col min="6219" max="6220" width="2.3984375" style="1188"/>
    <col min="6221" max="6221" width="4.19921875" style="1188" bestFit="1" customWidth="1"/>
    <col min="6222" max="6222" width="2.3984375" style="1188"/>
    <col min="6223" max="6223" width="4.19921875" style="1188" bestFit="1" customWidth="1"/>
    <col min="6224" max="6225" width="2.3984375" style="1188"/>
    <col min="6226" max="6226" width="4.19921875" style="1188" bestFit="1" customWidth="1"/>
    <col min="6227" max="6227" width="2.3984375" style="1188"/>
    <col min="6228" max="6228" width="4.19921875" style="1188" bestFit="1" customWidth="1"/>
    <col min="6229" max="6231" width="2.3984375" style="1188"/>
    <col min="6232" max="6234" width="2.8984375" style="1188" bestFit="1" customWidth="1"/>
    <col min="6235" max="6236" width="2.3984375" style="1188"/>
    <col min="6237" max="6237" width="4.19921875" style="1188" bestFit="1" customWidth="1"/>
    <col min="6238" max="6238" width="2.3984375" style="1188"/>
    <col min="6239" max="6239" width="4.19921875" style="1188" bestFit="1" customWidth="1"/>
    <col min="6240" max="6241" width="2.3984375" style="1188"/>
    <col min="6242" max="6242" width="4.19921875" style="1188" bestFit="1" customWidth="1"/>
    <col min="6243" max="6243" width="2.3984375" style="1188"/>
    <col min="6244" max="6244" width="4.19921875" style="1188" bestFit="1" customWidth="1"/>
    <col min="6245" max="6247" width="2.3984375" style="1188"/>
    <col min="6248" max="6250" width="2.8984375" style="1188" bestFit="1" customWidth="1"/>
    <col min="6251" max="6252" width="2.3984375" style="1188"/>
    <col min="6253" max="6253" width="4.19921875" style="1188" bestFit="1" customWidth="1"/>
    <col min="6254" max="6254" width="2.3984375" style="1188"/>
    <col min="6255" max="6255" width="4.19921875" style="1188" bestFit="1" customWidth="1"/>
    <col min="6256" max="6257" width="2.3984375" style="1188"/>
    <col min="6258" max="6258" width="4.19921875" style="1188" bestFit="1" customWidth="1"/>
    <col min="6259" max="6259" width="2.3984375" style="1188"/>
    <col min="6260" max="6260" width="4.19921875" style="1188" bestFit="1" customWidth="1"/>
    <col min="6261" max="6263" width="2.3984375" style="1188"/>
    <col min="6264" max="6266" width="2.8984375" style="1188" bestFit="1" customWidth="1"/>
    <col min="6267" max="6268" width="2.3984375" style="1188"/>
    <col min="6269" max="6269" width="4.19921875" style="1188" bestFit="1" customWidth="1"/>
    <col min="6270" max="6270" width="2.3984375" style="1188"/>
    <col min="6271" max="6271" width="4.19921875" style="1188" bestFit="1" customWidth="1"/>
    <col min="6272" max="6273" width="2.3984375" style="1188"/>
    <col min="6274" max="6274" width="4.19921875" style="1188" bestFit="1" customWidth="1"/>
    <col min="6275" max="6275" width="2.3984375" style="1188"/>
    <col min="6276" max="6276" width="4.19921875" style="1188" bestFit="1" customWidth="1"/>
    <col min="6277" max="6279" width="2.3984375" style="1188"/>
    <col min="6280" max="6282" width="2.8984375" style="1188" bestFit="1" customWidth="1"/>
    <col min="6283" max="6284" width="2.3984375" style="1188"/>
    <col min="6285" max="6285" width="4.19921875" style="1188" bestFit="1" customWidth="1"/>
    <col min="6286" max="6286" width="2.3984375" style="1188"/>
    <col min="6287" max="6287" width="4.19921875" style="1188" bestFit="1" customWidth="1"/>
    <col min="6288" max="6289" width="2.3984375" style="1188"/>
    <col min="6290" max="6290" width="4.19921875" style="1188" bestFit="1" customWidth="1"/>
    <col min="6291" max="6291" width="2.3984375" style="1188"/>
    <col min="6292" max="6292" width="4.19921875" style="1188" bestFit="1" customWidth="1"/>
    <col min="6293" max="6295" width="2.3984375" style="1188"/>
    <col min="6296" max="6298" width="2.8984375" style="1188" bestFit="1" customWidth="1"/>
    <col min="6299" max="6300" width="2.3984375" style="1188"/>
    <col min="6301" max="6301" width="4.19921875" style="1188" bestFit="1" customWidth="1"/>
    <col min="6302" max="6302" width="2.3984375" style="1188"/>
    <col min="6303" max="6303" width="4.19921875" style="1188" bestFit="1" customWidth="1"/>
    <col min="6304" max="6305" width="2.3984375" style="1188"/>
    <col min="6306" max="6306" width="4.19921875" style="1188" bestFit="1" customWidth="1"/>
    <col min="6307" max="6307" width="2.3984375" style="1188"/>
    <col min="6308" max="6308" width="4.19921875" style="1188" bestFit="1" customWidth="1"/>
    <col min="6309" max="6311" width="2.3984375" style="1188"/>
    <col min="6312" max="6314" width="2.8984375" style="1188" bestFit="1" customWidth="1"/>
    <col min="6315" max="6316" width="2.3984375" style="1188"/>
    <col min="6317" max="6317" width="4.19921875" style="1188" bestFit="1" customWidth="1"/>
    <col min="6318" max="6318" width="2.3984375" style="1188"/>
    <col min="6319" max="6319" width="4.19921875" style="1188" bestFit="1" customWidth="1"/>
    <col min="6320" max="6321" width="2.3984375" style="1188"/>
    <col min="6322" max="6322" width="4.19921875" style="1188" bestFit="1" customWidth="1"/>
    <col min="6323" max="6323" width="2.3984375" style="1188"/>
    <col min="6324" max="6324" width="4.19921875" style="1188" bestFit="1" customWidth="1"/>
    <col min="6325" max="6327" width="2.3984375" style="1188"/>
    <col min="6328" max="6330" width="2.8984375" style="1188" bestFit="1" customWidth="1"/>
    <col min="6331" max="6332" width="2.3984375" style="1188"/>
    <col min="6333" max="6333" width="4.19921875" style="1188" bestFit="1" customWidth="1"/>
    <col min="6334" max="6334" width="2.3984375" style="1188"/>
    <col min="6335" max="6335" width="4.19921875" style="1188" bestFit="1" customWidth="1"/>
    <col min="6336" max="6337" width="2.3984375" style="1188"/>
    <col min="6338" max="6338" width="4.19921875" style="1188" bestFit="1" customWidth="1"/>
    <col min="6339" max="6339" width="2.3984375" style="1188"/>
    <col min="6340" max="6340" width="4.19921875" style="1188" bestFit="1" customWidth="1"/>
    <col min="6341" max="6343" width="2.3984375" style="1188"/>
    <col min="6344" max="6346" width="2.8984375" style="1188" bestFit="1" customWidth="1"/>
    <col min="6347" max="6348" width="2.3984375" style="1188"/>
    <col min="6349" max="6349" width="4.19921875" style="1188" bestFit="1" customWidth="1"/>
    <col min="6350" max="6350" width="2.3984375" style="1188"/>
    <col min="6351" max="6351" width="4.19921875" style="1188" bestFit="1" customWidth="1"/>
    <col min="6352" max="6353" width="2.3984375" style="1188"/>
    <col min="6354" max="6354" width="4.19921875" style="1188" bestFit="1" customWidth="1"/>
    <col min="6355" max="6355" width="2.3984375" style="1188"/>
    <col min="6356" max="6356" width="4.19921875" style="1188" bestFit="1" customWidth="1"/>
    <col min="6357" max="6359" width="2.3984375" style="1188"/>
    <col min="6360" max="6362" width="2.8984375" style="1188" bestFit="1" customWidth="1"/>
    <col min="6363" max="6364" width="2.3984375" style="1188"/>
    <col min="6365" max="6365" width="4.19921875" style="1188" bestFit="1" customWidth="1"/>
    <col min="6366" max="6366" width="2.3984375" style="1188"/>
    <col min="6367" max="6367" width="4.19921875" style="1188" bestFit="1" customWidth="1"/>
    <col min="6368" max="6369" width="2.3984375" style="1188"/>
    <col min="6370" max="6370" width="4.19921875" style="1188" bestFit="1" customWidth="1"/>
    <col min="6371" max="6371" width="2.3984375" style="1188"/>
    <col min="6372" max="6372" width="4.19921875" style="1188" bestFit="1" customWidth="1"/>
    <col min="6373" max="6375" width="2.3984375" style="1188"/>
    <col min="6376" max="6378" width="2.8984375" style="1188" bestFit="1" customWidth="1"/>
    <col min="6379" max="6380" width="2.3984375" style="1188"/>
    <col min="6381" max="6381" width="4.19921875" style="1188" bestFit="1" customWidth="1"/>
    <col min="6382" max="6382" width="2.3984375" style="1188"/>
    <col min="6383" max="6383" width="4.19921875" style="1188" bestFit="1" customWidth="1"/>
    <col min="6384" max="6385" width="2.3984375" style="1188"/>
    <col min="6386" max="6386" width="4.19921875" style="1188" bestFit="1" customWidth="1"/>
    <col min="6387" max="6387" width="2.3984375" style="1188"/>
    <col min="6388" max="6388" width="4.19921875" style="1188" bestFit="1" customWidth="1"/>
    <col min="6389" max="6391" width="2.3984375" style="1188"/>
    <col min="6392" max="6394" width="2.8984375" style="1188" bestFit="1" customWidth="1"/>
    <col min="6395" max="6396" width="2.3984375" style="1188"/>
    <col min="6397" max="6397" width="4.19921875" style="1188" bestFit="1" customWidth="1"/>
    <col min="6398" max="6398" width="2.3984375" style="1188"/>
    <col min="6399" max="6399" width="4.19921875" style="1188" bestFit="1" customWidth="1"/>
    <col min="6400" max="6401" width="2.3984375" style="1188"/>
    <col min="6402" max="6402" width="4.19921875" style="1188" bestFit="1" customWidth="1"/>
    <col min="6403" max="6403" width="2.3984375" style="1188"/>
    <col min="6404" max="6404" width="4.19921875" style="1188" bestFit="1" customWidth="1"/>
    <col min="6405" max="6407" width="2.3984375" style="1188"/>
    <col min="6408" max="6410" width="2.8984375" style="1188" bestFit="1" customWidth="1"/>
    <col min="6411" max="6412" width="2.3984375" style="1188"/>
    <col min="6413" max="6413" width="4.19921875" style="1188" bestFit="1" customWidth="1"/>
    <col min="6414" max="6414" width="2.3984375" style="1188"/>
    <col min="6415" max="6415" width="4.19921875" style="1188" bestFit="1" customWidth="1"/>
    <col min="6416" max="6417" width="2.3984375" style="1188"/>
    <col min="6418" max="6418" width="4.19921875" style="1188" bestFit="1" customWidth="1"/>
    <col min="6419" max="6419" width="2.3984375" style="1188"/>
    <col min="6420" max="6420" width="4.19921875" style="1188" bestFit="1" customWidth="1"/>
    <col min="6421" max="6423" width="2.3984375" style="1188"/>
    <col min="6424" max="6426" width="2.8984375" style="1188" bestFit="1" customWidth="1"/>
    <col min="6427" max="6428" width="2.3984375" style="1188"/>
    <col min="6429" max="6429" width="4.19921875" style="1188" bestFit="1" customWidth="1"/>
    <col min="6430" max="6430" width="2.3984375" style="1188"/>
    <col min="6431" max="6431" width="4.19921875" style="1188" bestFit="1" customWidth="1"/>
    <col min="6432" max="6433" width="2.3984375" style="1188"/>
    <col min="6434" max="6434" width="4.19921875" style="1188" bestFit="1" customWidth="1"/>
    <col min="6435" max="6435" width="2.3984375" style="1188"/>
    <col min="6436" max="6436" width="4.19921875" style="1188" bestFit="1" customWidth="1"/>
    <col min="6437" max="6439" width="2.3984375" style="1188"/>
    <col min="6440" max="6442" width="2.8984375" style="1188" bestFit="1" customWidth="1"/>
    <col min="6443" max="6444" width="2.3984375" style="1188"/>
    <col min="6445" max="6445" width="4.19921875" style="1188" bestFit="1" customWidth="1"/>
    <col min="6446" max="6446" width="2.3984375" style="1188"/>
    <col min="6447" max="6447" width="4.19921875" style="1188" bestFit="1" customWidth="1"/>
    <col min="6448" max="6449" width="2.3984375" style="1188"/>
    <col min="6450" max="6450" width="4.19921875" style="1188" bestFit="1" customWidth="1"/>
    <col min="6451" max="6451" width="2.3984375" style="1188"/>
    <col min="6452" max="6452" width="4.19921875" style="1188" bestFit="1" customWidth="1"/>
    <col min="6453" max="6455" width="2.3984375" style="1188"/>
    <col min="6456" max="6458" width="2.8984375" style="1188" bestFit="1" customWidth="1"/>
    <col min="6459" max="6460" width="2.3984375" style="1188"/>
    <col min="6461" max="6461" width="4.19921875" style="1188" bestFit="1" customWidth="1"/>
    <col min="6462" max="6462" width="2.3984375" style="1188"/>
    <col min="6463" max="6463" width="4.19921875" style="1188" bestFit="1" customWidth="1"/>
    <col min="6464" max="6465" width="2.3984375" style="1188"/>
    <col min="6466" max="6466" width="4.19921875" style="1188" bestFit="1" customWidth="1"/>
    <col min="6467" max="6467" width="2.3984375" style="1188"/>
    <col min="6468" max="6468" width="4.19921875" style="1188" bestFit="1" customWidth="1"/>
    <col min="6469" max="6471" width="2.3984375" style="1188"/>
    <col min="6472" max="6474" width="2.8984375" style="1188" bestFit="1" customWidth="1"/>
    <col min="6475" max="6476" width="2.3984375" style="1188"/>
    <col min="6477" max="6477" width="4.19921875" style="1188" bestFit="1" customWidth="1"/>
    <col min="6478" max="6478" width="2.3984375" style="1188"/>
    <col min="6479" max="6479" width="4.19921875" style="1188" bestFit="1" customWidth="1"/>
    <col min="6480" max="6481" width="2.3984375" style="1188"/>
    <col min="6482" max="6482" width="4.19921875" style="1188" bestFit="1" customWidth="1"/>
    <col min="6483" max="6483" width="2.3984375" style="1188"/>
    <col min="6484" max="6484" width="4.19921875" style="1188" bestFit="1" customWidth="1"/>
    <col min="6485" max="6487" width="2.3984375" style="1188"/>
    <col min="6488" max="6490" width="2.8984375" style="1188" bestFit="1" customWidth="1"/>
    <col min="6491" max="6492" width="2.3984375" style="1188"/>
    <col min="6493" max="6493" width="4.19921875" style="1188" bestFit="1" customWidth="1"/>
    <col min="6494" max="6494" width="2.3984375" style="1188"/>
    <col min="6495" max="6495" width="4.19921875" style="1188" bestFit="1" customWidth="1"/>
    <col min="6496" max="6497" width="2.3984375" style="1188"/>
    <col min="6498" max="6498" width="4.19921875" style="1188" bestFit="1" customWidth="1"/>
    <col min="6499" max="6499" width="2.3984375" style="1188"/>
    <col min="6500" max="6500" width="4.19921875" style="1188" bestFit="1" customWidth="1"/>
    <col min="6501" max="6503" width="2.3984375" style="1188"/>
    <col min="6504" max="6506" width="2.8984375" style="1188" bestFit="1" customWidth="1"/>
    <col min="6507" max="6508" width="2.3984375" style="1188"/>
    <col min="6509" max="6509" width="4.19921875" style="1188" bestFit="1" customWidth="1"/>
    <col min="6510" max="6510" width="2.3984375" style="1188"/>
    <col min="6511" max="6511" width="4.19921875" style="1188" bestFit="1" customWidth="1"/>
    <col min="6512" max="6513" width="2.3984375" style="1188"/>
    <col min="6514" max="6514" width="4.19921875" style="1188" bestFit="1" customWidth="1"/>
    <col min="6515" max="6515" width="2.3984375" style="1188"/>
    <col min="6516" max="6516" width="4.19921875" style="1188" bestFit="1" customWidth="1"/>
    <col min="6517" max="6519" width="2.3984375" style="1188"/>
    <col min="6520" max="6522" width="2.8984375" style="1188" bestFit="1" customWidth="1"/>
    <col min="6523" max="6524" width="2.3984375" style="1188"/>
    <col min="6525" max="6525" width="4.19921875" style="1188" bestFit="1" customWidth="1"/>
    <col min="6526" max="6526" width="2.3984375" style="1188"/>
    <col min="6527" max="6527" width="4.19921875" style="1188" bestFit="1" customWidth="1"/>
    <col min="6528" max="6529" width="2.3984375" style="1188"/>
    <col min="6530" max="6530" width="4.19921875" style="1188" bestFit="1" customWidth="1"/>
    <col min="6531" max="6531" width="2.3984375" style="1188"/>
    <col min="6532" max="6532" width="4.19921875" style="1188" bestFit="1" customWidth="1"/>
    <col min="6533" max="6535" width="2.3984375" style="1188"/>
    <col min="6536" max="6538" width="2.8984375" style="1188" bestFit="1" customWidth="1"/>
    <col min="6539" max="6540" width="2.3984375" style="1188"/>
    <col min="6541" max="6541" width="4.19921875" style="1188" bestFit="1" customWidth="1"/>
    <col min="6542" max="6542" width="2.3984375" style="1188"/>
    <col min="6543" max="6543" width="4.19921875" style="1188" bestFit="1" customWidth="1"/>
    <col min="6544" max="6545" width="2.3984375" style="1188"/>
    <col min="6546" max="6546" width="4.19921875" style="1188" bestFit="1" customWidth="1"/>
    <col min="6547" max="6547" width="2.3984375" style="1188"/>
    <col min="6548" max="6548" width="4.19921875" style="1188" bestFit="1" customWidth="1"/>
    <col min="6549" max="6551" width="2.3984375" style="1188"/>
    <col min="6552" max="6554" width="2.8984375" style="1188" bestFit="1" customWidth="1"/>
    <col min="6555" max="6556" width="2.3984375" style="1188"/>
    <col min="6557" max="6557" width="4.19921875" style="1188" bestFit="1" customWidth="1"/>
    <col min="6558" max="6558" width="2.3984375" style="1188"/>
    <col min="6559" max="6559" width="4.19921875" style="1188" bestFit="1" customWidth="1"/>
    <col min="6560" max="6561" width="2.3984375" style="1188"/>
    <col min="6562" max="6562" width="4.19921875" style="1188" bestFit="1" customWidth="1"/>
    <col min="6563" max="6563" width="2.3984375" style="1188"/>
    <col min="6564" max="6564" width="4.19921875" style="1188" bestFit="1" customWidth="1"/>
    <col min="6565" max="6567" width="2.3984375" style="1188"/>
    <col min="6568" max="6570" width="2.8984375" style="1188" bestFit="1" customWidth="1"/>
    <col min="6571" max="6572" width="2.3984375" style="1188"/>
    <col min="6573" max="6573" width="4.19921875" style="1188" bestFit="1" customWidth="1"/>
    <col min="6574" max="6574" width="2.3984375" style="1188"/>
    <col min="6575" max="6575" width="4.19921875" style="1188" bestFit="1" customWidth="1"/>
    <col min="6576" max="6577" width="2.3984375" style="1188"/>
    <col min="6578" max="6578" width="4.19921875" style="1188" bestFit="1" customWidth="1"/>
    <col min="6579" max="6579" width="2.3984375" style="1188"/>
    <col min="6580" max="6580" width="4.19921875" style="1188" bestFit="1" customWidth="1"/>
    <col min="6581" max="6583" width="2.3984375" style="1188"/>
    <col min="6584" max="6586" width="2.8984375" style="1188" bestFit="1" customWidth="1"/>
    <col min="6587" max="6588" width="2.3984375" style="1188"/>
    <col min="6589" max="6589" width="4.19921875" style="1188" bestFit="1" customWidth="1"/>
    <col min="6590" max="6590" width="2.3984375" style="1188"/>
    <col min="6591" max="6591" width="4.19921875" style="1188" bestFit="1" customWidth="1"/>
    <col min="6592" max="6593" width="2.3984375" style="1188"/>
    <col min="6594" max="6594" width="4.19921875" style="1188" bestFit="1" customWidth="1"/>
    <col min="6595" max="6595" width="2.3984375" style="1188"/>
    <col min="6596" max="6596" width="4.19921875" style="1188" bestFit="1" customWidth="1"/>
    <col min="6597" max="6599" width="2.3984375" style="1188"/>
    <col min="6600" max="6602" width="2.8984375" style="1188" bestFit="1" customWidth="1"/>
    <col min="6603" max="6604" width="2.3984375" style="1188"/>
    <col min="6605" max="6605" width="4.19921875" style="1188" bestFit="1" customWidth="1"/>
    <col min="6606" max="6606" width="2.3984375" style="1188"/>
    <col min="6607" max="6607" width="4.19921875" style="1188" bestFit="1" customWidth="1"/>
    <col min="6608" max="6609" width="2.3984375" style="1188"/>
    <col min="6610" max="6610" width="4.19921875" style="1188" bestFit="1" customWidth="1"/>
    <col min="6611" max="6611" width="2.3984375" style="1188"/>
    <col min="6612" max="6612" width="4.19921875" style="1188" bestFit="1" customWidth="1"/>
    <col min="6613" max="6615" width="2.3984375" style="1188"/>
    <col min="6616" max="6618" width="2.8984375" style="1188" bestFit="1" customWidth="1"/>
    <col min="6619" max="6620" width="2.3984375" style="1188"/>
    <col min="6621" max="6621" width="4.19921875" style="1188" bestFit="1" customWidth="1"/>
    <col min="6622" max="6622" width="2.3984375" style="1188"/>
    <col min="6623" max="6623" width="4.19921875" style="1188" bestFit="1" customWidth="1"/>
    <col min="6624" max="6625" width="2.3984375" style="1188"/>
    <col min="6626" max="6626" width="4.19921875" style="1188" bestFit="1" customWidth="1"/>
    <col min="6627" max="6627" width="2.3984375" style="1188"/>
    <col min="6628" max="6628" width="4.19921875" style="1188" bestFit="1" customWidth="1"/>
    <col min="6629" max="6631" width="2.3984375" style="1188"/>
    <col min="6632" max="6634" width="2.8984375" style="1188" bestFit="1" customWidth="1"/>
    <col min="6635" max="6636" width="2.3984375" style="1188"/>
    <col min="6637" max="6637" width="4.19921875" style="1188" bestFit="1" customWidth="1"/>
    <col min="6638" max="6638" width="2.3984375" style="1188"/>
    <col min="6639" max="6639" width="4.19921875" style="1188" bestFit="1" customWidth="1"/>
    <col min="6640" max="6641" width="2.3984375" style="1188"/>
    <col min="6642" max="6642" width="4.19921875" style="1188" bestFit="1" customWidth="1"/>
    <col min="6643" max="6643" width="2.3984375" style="1188"/>
    <col min="6644" max="6644" width="4.19921875" style="1188" bestFit="1" customWidth="1"/>
    <col min="6645" max="6647" width="2.3984375" style="1188"/>
    <col min="6648" max="6650" width="2.8984375" style="1188" bestFit="1" customWidth="1"/>
    <col min="6651" max="6652" width="2.3984375" style="1188"/>
    <col min="6653" max="6653" width="4.19921875" style="1188" bestFit="1" customWidth="1"/>
    <col min="6654" max="6654" width="2.3984375" style="1188"/>
    <col min="6655" max="6655" width="4.19921875" style="1188" bestFit="1" customWidth="1"/>
    <col min="6656" max="6657" width="2.3984375" style="1188"/>
    <col min="6658" max="6658" width="4.19921875" style="1188" bestFit="1" customWidth="1"/>
    <col min="6659" max="6659" width="2.3984375" style="1188"/>
    <col min="6660" max="6660" width="4.19921875" style="1188" bestFit="1" customWidth="1"/>
    <col min="6661" max="6663" width="2.3984375" style="1188"/>
    <col min="6664" max="6666" width="2.8984375" style="1188" bestFit="1" customWidth="1"/>
    <col min="6667" max="6668" width="2.3984375" style="1188"/>
    <col min="6669" max="6669" width="4.19921875" style="1188" bestFit="1" customWidth="1"/>
    <col min="6670" max="6670" width="2.3984375" style="1188"/>
    <col min="6671" max="6671" width="4.19921875" style="1188" bestFit="1" customWidth="1"/>
    <col min="6672" max="6673" width="2.3984375" style="1188"/>
    <col min="6674" max="6674" width="4.19921875" style="1188" bestFit="1" customWidth="1"/>
    <col min="6675" max="6675" width="2.3984375" style="1188"/>
    <col min="6676" max="6676" width="4.19921875" style="1188" bestFit="1" customWidth="1"/>
    <col min="6677" max="6679" width="2.3984375" style="1188"/>
    <col min="6680" max="6682" width="2.8984375" style="1188" bestFit="1" customWidth="1"/>
    <col min="6683" max="6684" width="2.3984375" style="1188"/>
    <col min="6685" max="6685" width="4.19921875" style="1188" bestFit="1" customWidth="1"/>
    <col min="6686" max="6686" width="2.3984375" style="1188"/>
    <col min="6687" max="6687" width="4.19921875" style="1188" bestFit="1" customWidth="1"/>
    <col min="6688" max="6689" width="2.3984375" style="1188"/>
    <col min="6690" max="6690" width="4.19921875" style="1188" bestFit="1" customWidth="1"/>
    <col min="6691" max="6691" width="2.3984375" style="1188"/>
    <col min="6692" max="6692" width="4.19921875" style="1188" bestFit="1" customWidth="1"/>
    <col min="6693" max="6695" width="2.3984375" style="1188"/>
    <col min="6696" max="6698" width="2.8984375" style="1188" bestFit="1" customWidth="1"/>
    <col min="6699" max="6700" width="2.3984375" style="1188"/>
    <col min="6701" max="6701" width="4.19921875" style="1188" bestFit="1" customWidth="1"/>
    <col min="6702" max="6702" width="2.3984375" style="1188"/>
    <col min="6703" max="6703" width="4.19921875" style="1188" bestFit="1" customWidth="1"/>
    <col min="6704" max="6705" width="2.3984375" style="1188"/>
    <col min="6706" max="6706" width="4.19921875" style="1188" bestFit="1" customWidth="1"/>
    <col min="6707" max="6707" width="2.3984375" style="1188"/>
    <col min="6708" max="6708" width="4.19921875" style="1188" bestFit="1" customWidth="1"/>
    <col min="6709" max="6711" width="2.3984375" style="1188"/>
    <col min="6712" max="6714" width="2.8984375" style="1188" bestFit="1" customWidth="1"/>
    <col min="6715" max="6716" width="2.3984375" style="1188"/>
    <col min="6717" max="6717" width="4.19921875" style="1188" bestFit="1" customWidth="1"/>
    <col min="6718" max="6718" width="2.3984375" style="1188"/>
    <col min="6719" max="6719" width="4.19921875" style="1188" bestFit="1" customWidth="1"/>
    <col min="6720" max="6721" width="2.3984375" style="1188"/>
    <col min="6722" max="6722" width="4.19921875" style="1188" bestFit="1" customWidth="1"/>
    <col min="6723" max="6723" width="2.3984375" style="1188"/>
    <col min="6724" max="6724" width="4.19921875" style="1188" bestFit="1" customWidth="1"/>
    <col min="6725" max="6727" width="2.3984375" style="1188"/>
    <col min="6728" max="6730" width="2.8984375" style="1188" bestFit="1" customWidth="1"/>
    <col min="6731" max="6732" width="2.3984375" style="1188"/>
    <col min="6733" max="6733" width="4.19921875" style="1188" bestFit="1" customWidth="1"/>
    <col min="6734" max="6734" width="2.3984375" style="1188"/>
    <col min="6735" max="6735" width="4.19921875" style="1188" bestFit="1" customWidth="1"/>
    <col min="6736" max="6737" width="2.3984375" style="1188"/>
    <col min="6738" max="6738" width="4.19921875" style="1188" bestFit="1" customWidth="1"/>
    <col min="6739" max="6739" width="2.3984375" style="1188"/>
    <col min="6740" max="6740" width="4.19921875" style="1188" bestFit="1" customWidth="1"/>
    <col min="6741" max="6743" width="2.3984375" style="1188"/>
    <col min="6744" max="6746" width="2.8984375" style="1188" bestFit="1" customWidth="1"/>
    <col min="6747" max="6748" width="2.3984375" style="1188"/>
    <col min="6749" max="6749" width="4.19921875" style="1188" bestFit="1" customWidth="1"/>
    <col min="6750" max="6750" width="2.3984375" style="1188"/>
    <col min="6751" max="6751" width="4.19921875" style="1188" bestFit="1" customWidth="1"/>
    <col min="6752" max="6753" width="2.3984375" style="1188"/>
    <col min="6754" max="6754" width="4.19921875" style="1188" bestFit="1" customWidth="1"/>
    <col min="6755" max="6755" width="2.3984375" style="1188"/>
    <col min="6756" max="6756" width="4.19921875" style="1188" bestFit="1" customWidth="1"/>
    <col min="6757" max="6759" width="2.3984375" style="1188"/>
    <col min="6760" max="6762" width="2.8984375" style="1188" bestFit="1" customWidth="1"/>
    <col min="6763" max="6764" width="2.3984375" style="1188"/>
    <col min="6765" max="6765" width="4.19921875" style="1188" bestFit="1" customWidth="1"/>
    <col min="6766" max="6766" width="2.3984375" style="1188"/>
    <col min="6767" max="6767" width="4.19921875" style="1188" bestFit="1" customWidth="1"/>
    <col min="6768" max="6769" width="2.3984375" style="1188"/>
    <col min="6770" max="6770" width="4.19921875" style="1188" bestFit="1" customWidth="1"/>
    <col min="6771" max="6771" width="2.3984375" style="1188"/>
    <col min="6772" max="6772" width="4.19921875" style="1188" bestFit="1" customWidth="1"/>
    <col min="6773" max="6775" width="2.3984375" style="1188"/>
    <col min="6776" max="6778" width="2.8984375" style="1188" bestFit="1" customWidth="1"/>
    <col min="6779" max="6780" width="2.3984375" style="1188"/>
    <col min="6781" max="6781" width="4.19921875" style="1188" bestFit="1" customWidth="1"/>
    <col min="6782" max="6782" width="2.3984375" style="1188"/>
    <col min="6783" max="6783" width="4.19921875" style="1188" bestFit="1" customWidth="1"/>
    <col min="6784" max="6785" width="2.3984375" style="1188"/>
    <col min="6786" max="6786" width="4.19921875" style="1188" bestFit="1" customWidth="1"/>
    <col min="6787" max="6787" width="2.3984375" style="1188"/>
    <col min="6788" max="6788" width="4.19921875" style="1188" bestFit="1" customWidth="1"/>
    <col min="6789" max="6791" width="2.3984375" style="1188"/>
    <col min="6792" max="6794" width="2.8984375" style="1188" bestFit="1" customWidth="1"/>
    <col min="6795" max="6796" width="2.3984375" style="1188"/>
    <col min="6797" max="6797" width="4.19921875" style="1188" bestFit="1" customWidth="1"/>
    <col min="6798" max="6798" width="2.3984375" style="1188"/>
    <col min="6799" max="6799" width="4.19921875" style="1188" bestFit="1" customWidth="1"/>
    <col min="6800" max="6801" width="2.3984375" style="1188"/>
    <col min="6802" max="6802" width="4.19921875" style="1188" bestFit="1" customWidth="1"/>
    <col min="6803" max="6803" width="2.3984375" style="1188"/>
    <col min="6804" max="6804" width="4.19921875" style="1188" bestFit="1" customWidth="1"/>
    <col min="6805" max="6807" width="2.3984375" style="1188"/>
    <col min="6808" max="6810" width="2.8984375" style="1188" bestFit="1" customWidth="1"/>
    <col min="6811" max="6812" width="2.3984375" style="1188"/>
    <col min="6813" max="6813" width="4.19921875" style="1188" bestFit="1" customWidth="1"/>
    <col min="6814" max="6814" width="2.3984375" style="1188"/>
    <col min="6815" max="6815" width="4.19921875" style="1188" bestFit="1" customWidth="1"/>
    <col min="6816" max="6817" width="2.3984375" style="1188"/>
    <col min="6818" max="6818" width="4.19921875" style="1188" bestFit="1" customWidth="1"/>
    <col min="6819" max="6819" width="2.3984375" style="1188"/>
    <col min="6820" max="6820" width="4.19921875" style="1188" bestFit="1" customWidth="1"/>
    <col min="6821" max="6823" width="2.3984375" style="1188"/>
    <col min="6824" max="6826" width="2.8984375" style="1188" bestFit="1" customWidth="1"/>
    <col min="6827" max="6828" width="2.3984375" style="1188"/>
    <col min="6829" max="6829" width="4.19921875" style="1188" bestFit="1" customWidth="1"/>
    <col min="6830" max="6830" width="2.3984375" style="1188"/>
    <col min="6831" max="6831" width="4.19921875" style="1188" bestFit="1" customWidth="1"/>
    <col min="6832" max="6833" width="2.3984375" style="1188"/>
    <col min="6834" max="6834" width="4.19921875" style="1188" bestFit="1" customWidth="1"/>
    <col min="6835" max="6835" width="2.3984375" style="1188"/>
    <col min="6836" max="6836" width="4.19921875" style="1188" bestFit="1" customWidth="1"/>
    <col min="6837" max="6839" width="2.3984375" style="1188"/>
    <col min="6840" max="6842" width="2.8984375" style="1188" bestFit="1" customWidth="1"/>
    <col min="6843" max="6844" width="2.3984375" style="1188"/>
    <col min="6845" max="6845" width="4.19921875" style="1188" bestFit="1" customWidth="1"/>
    <col min="6846" max="6846" width="2.3984375" style="1188"/>
    <col min="6847" max="6847" width="4.19921875" style="1188" bestFit="1" customWidth="1"/>
    <col min="6848" max="6849" width="2.3984375" style="1188"/>
    <col min="6850" max="6850" width="4.19921875" style="1188" bestFit="1" customWidth="1"/>
    <col min="6851" max="6851" width="2.3984375" style="1188"/>
    <col min="6852" max="6852" width="4.19921875" style="1188" bestFit="1" customWidth="1"/>
    <col min="6853" max="6855" width="2.3984375" style="1188"/>
    <col min="6856" max="6858" width="2.8984375" style="1188" bestFit="1" customWidth="1"/>
    <col min="6859" max="6860" width="2.3984375" style="1188"/>
    <col min="6861" max="6861" width="4.19921875" style="1188" bestFit="1" customWidth="1"/>
    <col min="6862" max="6862" width="2.3984375" style="1188"/>
    <col min="6863" max="6863" width="4.19921875" style="1188" bestFit="1" customWidth="1"/>
    <col min="6864" max="6865" width="2.3984375" style="1188"/>
    <col min="6866" max="6866" width="4.19921875" style="1188" bestFit="1" customWidth="1"/>
    <col min="6867" max="6867" width="2.3984375" style="1188"/>
    <col min="6868" max="6868" width="4.19921875" style="1188" bestFit="1" customWidth="1"/>
    <col min="6869" max="6871" width="2.3984375" style="1188"/>
    <col min="6872" max="6874" width="2.8984375" style="1188" bestFit="1" customWidth="1"/>
    <col min="6875" max="6876" width="2.3984375" style="1188"/>
    <col min="6877" max="6877" width="4.19921875" style="1188" bestFit="1" customWidth="1"/>
    <col min="6878" max="6878" width="2.3984375" style="1188"/>
    <col min="6879" max="6879" width="4.19921875" style="1188" bestFit="1" customWidth="1"/>
    <col min="6880" max="6881" width="2.3984375" style="1188"/>
    <col min="6882" max="6882" width="4.19921875" style="1188" bestFit="1" customWidth="1"/>
    <col min="6883" max="6883" width="2.3984375" style="1188"/>
    <col min="6884" max="6884" width="4.19921875" style="1188" bestFit="1" customWidth="1"/>
    <col min="6885" max="6887" width="2.3984375" style="1188"/>
    <col min="6888" max="6890" width="2.8984375" style="1188" bestFit="1" customWidth="1"/>
    <col min="6891" max="6892" width="2.3984375" style="1188"/>
    <col min="6893" max="6893" width="4.19921875" style="1188" bestFit="1" customWidth="1"/>
    <col min="6894" max="6894" width="2.3984375" style="1188"/>
    <col min="6895" max="6895" width="4.19921875" style="1188" bestFit="1" customWidth="1"/>
    <col min="6896" max="6897" width="2.3984375" style="1188"/>
    <col min="6898" max="6898" width="4.19921875" style="1188" bestFit="1" customWidth="1"/>
    <col min="6899" max="6899" width="2.3984375" style="1188"/>
    <col min="6900" max="6900" width="4.19921875" style="1188" bestFit="1" customWidth="1"/>
    <col min="6901" max="6903" width="2.3984375" style="1188"/>
    <col min="6904" max="6906" width="2.8984375" style="1188" bestFit="1" customWidth="1"/>
    <col min="6907" max="6908" width="2.3984375" style="1188"/>
    <col min="6909" max="6909" width="4.19921875" style="1188" bestFit="1" customWidth="1"/>
    <col min="6910" max="6910" width="2.3984375" style="1188"/>
    <col min="6911" max="6911" width="4.19921875" style="1188" bestFit="1" customWidth="1"/>
    <col min="6912" max="6913" width="2.3984375" style="1188"/>
    <col min="6914" max="6914" width="4.19921875" style="1188" bestFit="1" customWidth="1"/>
    <col min="6915" max="6915" width="2.3984375" style="1188"/>
    <col min="6916" max="6916" width="4.19921875" style="1188" bestFit="1" customWidth="1"/>
    <col min="6917" max="6919" width="2.3984375" style="1188"/>
    <col min="6920" max="6922" width="2.8984375" style="1188" bestFit="1" customWidth="1"/>
    <col min="6923" max="6924" width="2.3984375" style="1188"/>
    <col min="6925" max="6925" width="4.19921875" style="1188" bestFit="1" customWidth="1"/>
    <col min="6926" max="6926" width="2.3984375" style="1188"/>
    <col min="6927" max="6927" width="4.19921875" style="1188" bestFit="1" customWidth="1"/>
    <col min="6928" max="6929" width="2.3984375" style="1188"/>
    <col min="6930" max="6930" width="4.19921875" style="1188" bestFit="1" customWidth="1"/>
    <col min="6931" max="6931" width="2.3984375" style="1188"/>
    <col min="6932" max="6932" width="4.19921875" style="1188" bestFit="1" customWidth="1"/>
    <col min="6933" max="6935" width="2.3984375" style="1188"/>
    <col min="6936" max="6938" width="2.8984375" style="1188" bestFit="1" customWidth="1"/>
    <col min="6939" max="6940" width="2.3984375" style="1188"/>
    <col min="6941" max="6941" width="4.19921875" style="1188" bestFit="1" customWidth="1"/>
    <col min="6942" max="6942" width="2.3984375" style="1188"/>
    <col min="6943" max="6943" width="4.19921875" style="1188" bestFit="1" customWidth="1"/>
    <col min="6944" max="6945" width="2.3984375" style="1188"/>
    <col min="6946" max="6946" width="4.19921875" style="1188" bestFit="1" customWidth="1"/>
    <col min="6947" max="6947" width="2.3984375" style="1188"/>
    <col min="6948" max="6948" width="4.19921875" style="1188" bestFit="1" customWidth="1"/>
    <col min="6949" max="6951" width="2.3984375" style="1188"/>
    <col min="6952" max="6954" width="2.8984375" style="1188" bestFit="1" customWidth="1"/>
    <col min="6955" max="6956" width="2.3984375" style="1188"/>
    <col min="6957" max="6957" width="4.19921875" style="1188" bestFit="1" customWidth="1"/>
    <col min="6958" max="6958" width="2.3984375" style="1188"/>
    <col min="6959" max="6959" width="4.19921875" style="1188" bestFit="1" customWidth="1"/>
    <col min="6960" max="6961" width="2.3984375" style="1188"/>
    <col min="6962" max="6962" width="4.19921875" style="1188" bestFit="1" customWidth="1"/>
    <col min="6963" max="6963" width="2.3984375" style="1188"/>
    <col min="6964" max="6964" width="4.19921875" style="1188" bestFit="1" customWidth="1"/>
    <col min="6965" max="6967" width="2.3984375" style="1188"/>
    <col min="6968" max="6970" width="2.8984375" style="1188" bestFit="1" customWidth="1"/>
    <col min="6971" max="6972" width="2.3984375" style="1188"/>
    <col min="6973" max="6973" width="4.19921875" style="1188" bestFit="1" customWidth="1"/>
    <col min="6974" max="6974" width="2.3984375" style="1188"/>
    <col min="6975" max="6975" width="4.19921875" style="1188" bestFit="1" customWidth="1"/>
    <col min="6976" max="6977" width="2.3984375" style="1188"/>
    <col min="6978" max="6978" width="4.19921875" style="1188" bestFit="1" customWidth="1"/>
    <col min="6979" max="6979" width="2.3984375" style="1188"/>
    <col min="6980" max="6980" width="4.19921875" style="1188" bestFit="1" customWidth="1"/>
    <col min="6981" max="6983" width="2.3984375" style="1188"/>
    <col min="6984" max="6986" width="2.8984375" style="1188" bestFit="1" customWidth="1"/>
    <col min="6987" max="6988" width="2.3984375" style="1188"/>
    <col min="6989" max="6989" width="4.19921875" style="1188" bestFit="1" customWidth="1"/>
    <col min="6990" max="6990" width="2.3984375" style="1188"/>
    <col min="6991" max="6991" width="4.19921875" style="1188" bestFit="1" customWidth="1"/>
    <col min="6992" max="6993" width="2.3984375" style="1188"/>
    <col min="6994" max="6994" width="4.19921875" style="1188" bestFit="1" customWidth="1"/>
    <col min="6995" max="6995" width="2.3984375" style="1188"/>
    <col min="6996" max="6996" width="4.19921875" style="1188" bestFit="1" customWidth="1"/>
    <col min="6997" max="6999" width="2.3984375" style="1188"/>
    <col min="7000" max="7002" width="2.8984375" style="1188" bestFit="1" customWidth="1"/>
    <col min="7003" max="7004" width="2.3984375" style="1188"/>
    <col min="7005" max="7005" width="4.19921875" style="1188" bestFit="1" customWidth="1"/>
    <col min="7006" max="7006" width="2.3984375" style="1188"/>
    <col min="7007" max="7007" width="4.19921875" style="1188" bestFit="1" customWidth="1"/>
    <col min="7008" max="7009" width="2.3984375" style="1188"/>
    <col min="7010" max="7010" width="4.19921875" style="1188" bestFit="1" customWidth="1"/>
    <col min="7011" max="7011" width="2.3984375" style="1188"/>
    <col min="7012" max="7012" width="4.19921875" style="1188" bestFit="1" customWidth="1"/>
    <col min="7013" max="7015" width="2.3984375" style="1188"/>
    <col min="7016" max="7018" width="2.8984375" style="1188" bestFit="1" customWidth="1"/>
    <col min="7019" max="7020" width="2.3984375" style="1188"/>
    <col min="7021" max="7021" width="4.19921875" style="1188" bestFit="1" customWidth="1"/>
    <col min="7022" max="7022" width="2.3984375" style="1188"/>
    <col min="7023" max="7023" width="4.19921875" style="1188" bestFit="1" customWidth="1"/>
    <col min="7024" max="7025" width="2.3984375" style="1188"/>
    <col min="7026" max="7026" width="4.19921875" style="1188" bestFit="1" customWidth="1"/>
    <col min="7027" max="7027" width="2.3984375" style="1188"/>
    <col min="7028" max="7028" width="4.19921875" style="1188" bestFit="1" customWidth="1"/>
    <col min="7029" max="7031" width="2.3984375" style="1188"/>
    <col min="7032" max="7034" width="2.8984375" style="1188" bestFit="1" customWidth="1"/>
    <col min="7035" max="7036" width="2.3984375" style="1188"/>
    <col min="7037" max="7037" width="4.19921875" style="1188" bestFit="1" customWidth="1"/>
    <col min="7038" max="7038" width="2.3984375" style="1188"/>
    <col min="7039" max="7039" width="4.19921875" style="1188" bestFit="1" customWidth="1"/>
    <col min="7040" max="7041" width="2.3984375" style="1188"/>
    <col min="7042" max="7042" width="4.19921875" style="1188" bestFit="1" customWidth="1"/>
    <col min="7043" max="7043" width="2.3984375" style="1188"/>
    <col min="7044" max="7044" width="4.19921875" style="1188" bestFit="1" customWidth="1"/>
    <col min="7045" max="7047" width="2.3984375" style="1188"/>
    <col min="7048" max="7050" width="2.8984375" style="1188" bestFit="1" customWidth="1"/>
    <col min="7051" max="7052" width="2.3984375" style="1188"/>
    <col min="7053" max="7053" width="4.19921875" style="1188" bestFit="1" customWidth="1"/>
    <col min="7054" max="7054" width="2.3984375" style="1188"/>
    <col min="7055" max="7055" width="4.19921875" style="1188" bestFit="1" customWidth="1"/>
    <col min="7056" max="7057" width="2.3984375" style="1188"/>
    <col min="7058" max="7058" width="4.19921875" style="1188" bestFit="1" customWidth="1"/>
    <col min="7059" max="7059" width="2.3984375" style="1188"/>
    <col min="7060" max="7060" width="4.19921875" style="1188" bestFit="1" customWidth="1"/>
    <col min="7061" max="7063" width="2.3984375" style="1188"/>
    <col min="7064" max="7066" width="2.8984375" style="1188" bestFit="1" customWidth="1"/>
    <col min="7067" max="7068" width="2.3984375" style="1188"/>
    <col min="7069" max="7069" width="4.19921875" style="1188" bestFit="1" customWidth="1"/>
    <col min="7070" max="7070" width="2.3984375" style="1188"/>
    <col min="7071" max="7071" width="4.19921875" style="1188" bestFit="1" customWidth="1"/>
    <col min="7072" max="7073" width="2.3984375" style="1188"/>
    <col min="7074" max="7074" width="4.19921875" style="1188" bestFit="1" customWidth="1"/>
    <col min="7075" max="7075" width="2.3984375" style="1188"/>
    <col min="7076" max="7076" width="4.19921875" style="1188" bestFit="1" customWidth="1"/>
    <col min="7077" max="7079" width="2.3984375" style="1188"/>
    <col min="7080" max="7082" width="2.8984375" style="1188" bestFit="1" customWidth="1"/>
    <col min="7083" max="7084" width="2.3984375" style="1188"/>
    <col min="7085" max="7085" width="4.19921875" style="1188" bestFit="1" customWidth="1"/>
    <col min="7086" max="7086" width="2.3984375" style="1188"/>
    <col min="7087" max="7087" width="4.19921875" style="1188" bestFit="1" customWidth="1"/>
    <col min="7088" max="7089" width="2.3984375" style="1188"/>
    <col min="7090" max="7090" width="4.19921875" style="1188" bestFit="1" customWidth="1"/>
    <col min="7091" max="7091" width="2.3984375" style="1188"/>
    <col min="7092" max="7092" width="4.19921875" style="1188" bestFit="1" customWidth="1"/>
    <col min="7093" max="7095" width="2.3984375" style="1188"/>
    <col min="7096" max="7098" width="2.8984375" style="1188" bestFit="1" customWidth="1"/>
    <col min="7099" max="7100" width="2.3984375" style="1188"/>
    <col min="7101" max="7101" width="4.19921875" style="1188" bestFit="1" customWidth="1"/>
    <col min="7102" max="7102" width="2.3984375" style="1188"/>
    <col min="7103" max="7103" width="4.19921875" style="1188" bestFit="1" customWidth="1"/>
    <col min="7104" max="7105" width="2.3984375" style="1188"/>
    <col min="7106" max="7106" width="4.19921875" style="1188" bestFit="1" customWidth="1"/>
    <col min="7107" max="7107" width="2.3984375" style="1188"/>
    <col min="7108" max="7108" width="4.19921875" style="1188" bestFit="1" customWidth="1"/>
    <col min="7109" max="7111" width="2.3984375" style="1188"/>
    <col min="7112" max="7114" width="2.8984375" style="1188" bestFit="1" customWidth="1"/>
    <col min="7115" max="7116" width="2.3984375" style="1188"/>
    <col min="7117" max="7117" width="4.19921875" style="1188" bestFit="1" customWidth="1"/>
    <col min="7118" max="7118" width="2.3984375" style="1188"/>
    <col min="7119" max="7119" width="4.19921875" style="1188" bestFit="1" customWidth="1"/>
    <col min="7120" max="7121" width="2.3984375" style="1188"/>
    <col min="7122" max="7122" width="4.19921875" style="1188" bestFit="1" customWidth="1"/>
    <col min="7123" max="7123" width="2.3984375" style="1188"/>
    <col min="7124" max="7124" width="4.19921875" style="1188" bestFit="1" customWidth="1"/>
    <col min="7125" max="7127" width="2.3984375" style="1188"/>
    <col min="7128" max="7130" width="2.8984375" style="1188" bestFit="1" customWidth="1"/>
    <col min="7131" max="7132" width="2.3984375" style="1188"/>
    <col min="7133" max="7133" width="4.19921875" style="1188" bestFit="1" customWidth="1"/>
    <col min="7134" max="7134" width="2.3984375" style="1188"/>
    <col min="7135" max="7135" width="4.19921875" style="1188" bestFit="1" customWidth="1"/>
    <col min="7136" max="7137" width="2.3984375" style="1188"/>
    <col min="7138" max="7138" width="4.19921875" style="1188" bestFit="1" customWidth="1"/>
    <col min="7139" max="7139" width="2.3984375" style="1188"/>
    <col min="7140" max="7140" width="4.19921875" style="1188" bestFit="1" customWidth="1"/>
    <col min="7141" max="7143" width="2.3984375" style="1188"/>
    <col min="7144" max="7146" width="2.8984375" style="1188" bestFit="1" customWidth="1"/>
    <col min="7147" max="7148" width="2.3984375" style="1188"/>
    <col min="7149" max="7149" width="4.19921875" style="1188" bestFit="1" customWidth="1"/>
    <col min="7150" max="7150" width="2.3984375" style="1188"/>
    <col min="7151" max="7151" width="4.19921875" style="1188" bestFit="1" customWidth="1"/>
    <col min="7152" max="7153" width="2.3984375" style="1188"/>
    <col min="7154" max="7154" width="4.19921875" style="1188" bestFit="1" customWidth="1"/>
    <col min="7155" max="7155" width="2.3984375" style="1188"/>
    <col min="7156" max="7156" width="4.19921875" style="1188" bestFit="1" customWidth="1"/>
    <col min="7157" max="7159" width="2.3984375" style="1188"/>
    <col min="7160" max="7162" width="2.8984375" style="1188" bestFit="1" customWidth="1"/>
    <col min="7163" max="7164" width="2.3984375" style="1188"/>
    <col min="7165" max="7165" width="4.19921875" style="1188" bestFit="1" customWidth="1"/>
    <col min="7166" max="7166" width="2.3984375" style="1188"/>
    <col min="7167" max="7167" width="4.19921875" style="1188" bestFit="1" customWidth="1"/>
    <col min="7168" max="7169" width="2.3984375" style="1188"/>
    <col min="7170" max="7170" width="4.19921875" style="1188" bestFit="1" customWidth="1"/>
    <col min="7171" max="7171" width="2.3984375" style="1188"/>
    <col min="7172" max="7172" width="4.19921875" style="1188" bestFit="1" customWidth="1"/>
    <col min="7173" max="7175" width="2.3984375" style="1188"/>
    <col min="7176" max="7178" width="2.8984375" style="1188" bestFit="1" customWidth="1"/>
    <col min="7179" max="7180" width="2.3984375" style="1188"/>
    <col min="7181" max="7181" width="4.19921875" style="1188" bestFit="1" customWidth="1"/>
    <col min="7182" max="7182" width="2.3984375" style="1188"/>
    <col min="7183" max="7183" width="4.19921875" style="1188" bestFit="1" customWidth="1"/>
    <col min="7184" max="7185" width="2.3984375" style="1188"/>
    <col min="7186" max="7186" width="4.19921875" style="1188" bestFit="1" customWidth="1"/>
    <col min="7187" max="7187" width="2.3984375" style="1188"/>
    <col min="7188" max="7188" width="4.19921875" style="1188" bestFit="1" customWidth="1"/>
    <col min="7189" max="7191" width="2.3984375" style="1188"/>
    <col min="7192" max="7194" width="2.8984375" style="1188" bestFit="1" customWidth="1"/>
    <col min="7195" max="7196" width="2.3984375" style="1188"/>
    <col min="7197" max="7197" width="4.19921875" style="1188" bestFit="1" customWidth="1"/>
    <col min="7198" max="7198" width="2.3984375" style="1188"/>
    <col min="7199" max="7199" width="4.19921875" style="1188" bestFit="1" customWidth="1"/>
    <col min="7200" max="7201" width="2.3984375" style="1188"/>
    <col min="7202" max="7202" width="4.19921875" style="1188" bestFit="1" customWidth="1"/>
    <col min="7203" max="7203" width="2.3984375" style="1188"/>
    <col min="7204" max="7204" width="4.19921875" style="1188" bestFit="1" customWidth="1"/>
    <col min="7205" max="7207" width="2.3984375" style="1188"/>
    <col min="7208" max="7210" width="2.8984375" style="1188" bestFit="1" customWidth="1"/>
    <col min="7211" max="7212" width="2.3984375" style="1188"/>
    <col min="7213" max="7213" width="4.19921875" style="1188" bestFit="1" customWidth="1"/>
    <col min="7214" max="7214" width="2.3984375" style="1188"/>
    <col min="7215" max="7215" width="4.19921875" style="1188" bestFit="1" customWidth="1"/>
    <col min="7216" max="7217" width="2.3984375" style="1188"/>
    <col min="7218" max="7218" width="4.19921875" style="1188" bestFit="1" customWidth="1"/>
    <col min="7219" max="7219" width="2.3984375" style="1188"/>
    <col min="7220" max="7220" width="4.19921875" style="1188" bestFit="1" customWidth="1"/>
    <col min="7221" max="7223" width="2.3984375" style="1188"/>
    <col min="7224" max="7226" width="2.8984375" style="1188" bestFit="1" customWidth="1"/>
    <col min="7227" max="7228" width="2.3984375" style="1188"/>
    <col min="7229" max="7229" width="4.19921875" style="1188" bestFit="1" customWidth="1"/>
    <col min="7230" max="7230" width="2.3984375" style="1188"/>
    <col min="7231" max="7231" width="4.19921875" style="1188" bestFit="1" customWidth="1"/>
    <col min="7232" max="7233" width="2.3984375" style="1188"/>
    <col min="7234" max="7234" width="4.19921875" style="1188" bestFit="1" customWidth="1"/>
    <col min="7235" max="7235" width="2.3984375" style="1188"/>
    <col min="7236" max="7236" width="4.19921875" style="1188" bestFit="1" customWidth="1"/>
    <col min="7237" max="7239" width="2.3984375" style="1188"/>
    <col min="7240" max="7242" width="2.8984375" style="1188" bestFit="1" customWidth="1"/>
    <col min="7243" max="7244" width="2.3984375" style="1188"/>
    <col min="7245" max="7245" width="4.19921875" style="1188" bestFit="1" customWidth="1"/>
    <col min="7246" max="7246" width="2.3984375" style="1188"/>
    <col min="7247" max="7247" width="4.19921875" style="1188" bestFit="1" customWidth="1"/>
    <col min="7248" max="7249" width="2.3984375" style="1188"/>
    <col min="7250" max="7250" width="4.19921875" style="1188" bestFit="1" customWidth="1"/>
    <col min="7251" max="7251" width="2.3984375" style="1188"/>
    <col min="7252" max="7252" width="4.19921875" style="1188" bestFit="1" customWidth="1"/>
    <col min="7253" max="7255" width="2.3984375" style="1188"/>
    <col min="7256" max="7258" width="2.8984375" style="1188" bestFit="1" customWidth="1"/>
    <col min="7259" max="7260" width="2.3984375" style="1188"/>
    <col min="7261" max="7261" width="4.19921875" style="1188" bestFit="1" customWidth="1"/>
    <col min="7262" max="7262" width="2.3984375" style="1188"/>
    <col min="7263" max="7263" width="4.19921875" style="1188" bestFit="1" customWidth="1"/>
    <col min="7264" max="7265" width="2.3984375" style="1188"/>
    <col min="7266" max="7266" width="4.19921875" style="1188" bestFit="1" customWidth="1"/>
    <col min="7267" max="7267" width="2.3984375" style="1188"/>
    <col min="7268" max="7268" width="4.19921875" style="1188" bestFit="1" customWidth="1"/>
    <col min="7269" max="7271" width="2.3984375" style="1188"/>
    <col min="7272" max="7274" width="2.8984375" style="1188" bestFit="1" customWidth="1"/>
    <col min="7275" max="7276" width="2.3984375" style="1188"/>
    <col min="7277" max="7277" width="4.19921875" style="1188" bestFit="1" customWidth="1"/>
    <col min="7278" max="7278" width="2.3984375" style="1188"/>
    <col min="7279" max="7279" width="4.19921875" style="1188" bestFit="1" customWidth="1"/>
    <col min="7280" max="7281" width="2.3984375" style="1188"/>
    <col min="7282" max="7282" width="4.19921875" style="1188" bestFit="1" customWidth="1"/>
    <col min="7283" max="7283" width="2.3984375" style="1188"/>
    <col min="7284" max="7284" width="4.19921875" style="1188" bestFit="1" customWidth="1"/>
    <col min="7285" max="7287" width="2.3984375" style="1188"/>
    <col min="7288" max="7290" width="2.8984375" style="1188" bestFit="1" customWidth="1"/>
    <col min="7291" max="7292" width="2.3984375" style="1188"/>
    <col min="7293" max="7293" width="4.19921875" style="1188" bestFit="1" customWidth="1"/>
    <col min="7294" max="7294" width="2.3984375" style="1188"/>
    <col min="7295" max="7295" width="4.19921875" style="1188" bestFit="1" customWidth="1"/>
    <col min="7296" max="7297" width="2.3984375" style="1188"/>
    <col min="7298" max="7298" width="4.19921875" style="1188" bestFit="1" customWidth="1"/>
    <col min="7299" max="7299" width="2.3984375" style="1188"/>
    <col min="7300" max="7300" width="4.19921875" style="1188" bestFit="1" customWidth="1"/>
    <col min="7301" max="7303" width="2.3984375" style="1188"/>
    <col min="7304" max="7306" width="2.8984375" style="1188" bestFit="1" customWidth="1"/>
    <col min="7307" max="7308" width="2.3984375" style="1188"/>
    <col min="7309" max="7309" width="4.19921875" style="1188" bestFit="1" customWidth="1"/>
    <col min="7310" max="7310" width="2.3984375" style="1188"/>
    <col min="7311" max="7311" width="4.19921875" style="1188" bestFit="1" customWidth="1"/>
    <col min="7312" max="7313" width="2.3984375" style="1188"/>
    <col min="7314" max="7314" width="4.19921875" style="1188" bestFit="1" customWidth="1"/>
    <col min="7315" max="7315" width="2.3984375" style="1188"/>
    <col min="7316" max="7316" width="4.19921875" style="1188" bestFit="1" customWidth="1"/>
    <col min="7317" max="7319" width="2.3984375" style="1188"/>
    <col min="7320" max="7322" width="2.8984375" style="1188" bestFit="1" customWidth="1"/>
    <col min="7323" max="7324" width="2.3984375" style="1188"/>
    <col min="7325" max="7325" width="4.19921875" style="1188" bestFit="1" customWidth="1"/>
    <col min="7326" max="7326" width="2.3984375" style="1188"/>
    <col min="7327" max="7327" width="4.19921875" style="1188" bestFit="1" customWidth="1"/>
    <col min="7328" max="7329" width="2.3984375" style="1188"/>
    <col min="7330" max="7330" width="4.19921875" style="1188" bestFit="1" customWidth="1"/>
    <col min="7331" max="7331" width="2.3984375" style="1188"/>
    <col min="7332" max="7332" width="4.19921875" style="1188" bestFit="1" customWidth="1"/>
    <col min="7333" max="7335" width="2.3984375" style="1188"/>
    <col min="7336" max="7338" width="2.8984375" style="1188" bestFit="1" customWidth="1"/>
    <col min="7339" max="7340" width="2.3984375" style="1188"/>
    <col min="7341" max="7341" width="4.19921875" style="1188" bestFit="1" customWidth="1"/>
    <col min="7342" max="7342" width="2.3984375" style="1188"/>
    <col min="7343" max="7343" width="4.19921875" style="1188" bestFit="1" customWidth="1"/>
    <col min="7344" max="7345" width="2.3984375" style="1188"/>
    <col min="7346" max="7346" width="4.19921875" style="1188" bestFit="1" customWidth="1"/>
    <col min="7347" max="7347" width="2.3984375" style="1188"/>
    <col min="7348" max="7348" width="4.19921875" style="1188" bestFit="1" customWidth="1"/>
    <col min="7349" max="7351" width="2.3984375" style="1188"/>
    <col min="7352" max="7354" width="2.8984375" style="1188" bestFit="1" customWidth="1"/>
    <col min="7355" max="7356" width="2.3984375" style="1188"/>
    <col min="7357" max="7357" width="4.19921875" style="1188" bestFit="1" customWidth="1"/>
    <col min="7358" max="7358" width="2.3984375" style="1188"/>
    <col min="7359" max="7359" width="4.19921875" style="1188" bestFit="1" customWidth="1"/>
    <col min="7360" max="7361" width="2.3984375" style="1188"/>
    <col min="7362" max="7362" width="4.19921875" style="1188" bestFit="1" customWidth="1"/>
    <col min="7363" max="7363" width="2.3984375" style="1188"/>
    <col min="7364" max="7364" width="4.19921875" style="1188" bestFit="1" customWidth="1"/>
    <col min="7365" max="7367" width="2.3984375" style="1188"/>
    <col min="7368" max="7370" width="2.8984375" style="1188" bestFit="1" customWidth="1"/>
    <col min="7371" max="7372" width="2.3984375" style="1188"/>
    <col min="7373" max="7373" width="4.19921875" style="1188" bestFit="1" customWidth="1"/>
    <col min="7374" max="7374" width="2.3984375" style="1188"/>
    <col min="7375" max="7375" width="4.19921875" style="1188" bestFit="1" customWidth="1"/>
    <col min="7376" max="7377" width="2.3984375" style="1188"/>
    <col min="7378" max="7378" width="4.19921875" style="1188" bestFit="1" customWidth="1"/>
    <col min="7379" max="7379" width="2.3984375" style="1188"/>
    <col min="7380" max="7380" width="4.19921875" style="1188" bestFit="1" customWidth="1"/>
    <col min="7381" max="7383" width="2.3984375" style="1188"/>
    <col min="7384" max="7386" width="2.8984375" style="1188" bestFit="1" customWidth="1"/>
    <col min="7387" max="7388" width="2.3984375" style="1188"/>
    <col min="7389" max="7389" width="4.19921875" style="1188" bestFit="1" customWidth="1"/>
    <col min="7390" max="7390" width="2.3984375" style="1188"/>
    <col min="7391" max="7391" width="4.19921875" style="1188" bestFit="1" customWidth="1"/>
    <col min="7392" max="7393" width="2.3984375" style="1188"/>
    <col min="7394" max="7394" width="4.19921875" style="1188" bestFit="1" customWidth="1"/>
    <col min="7395" max="7395" width="2.3984375" style="1188"/>
    <col min="7396" max="7396" width="4.19921875" style="1188" bestFit="1" customWidth="1"/>
    <col min="7397" max="7399" width="2.3984375" style="1188"/>
    <col min="7400" max="7402" width="2.8984375" style="1188" bestFit="1" customWidth="1"/>
    <col min="7403" max="7404" width="2.3984375" style="1188"/>
    <col min="7405" max="7405" width="4.19921875" style="1188" bestFit="1" customWidth="1"/>
    <col min="7406" max="7406" width="2.3984375" style="1188"/>
    <col min="7407" max="7407" width="4.19921875" style="1188" bestFit="1" customWidth="1"/>
    <col min="7408" max="7409" width="2.3984375" style="1188"/>
    <col min="7410" max="7410" width="4.19921875" style="1188" bestFit="1" customWidth="1"/>
    <col min="7411" max="7411" width="2.3984375" style="1188"/>
    <col min="7412" max="7412" width="4.19921875" style="1188" bestFit="1" customWidth="1"/>
    <col min="7413" max="7415" width="2.3984375" style="1188"/>
    <col min="7416" max="7418" width="2.8984375" style="1188" bestFit="1" customWidth="1"/>
    <col min="7419" max="7420" width="2.3984375" style="1188"/>
    <col min="7421" max="7421" width="4.19921875" style="1188" bestFit="1" customWidth="1"/>
    <col min="7422" max="7422" width="2.3984375" style="1188"/>
    <col min="7423" max="7423" width="4.19921875" style="1188" bestFit="1" customWidth="1"/>
    <col min="7424" max="7425" width="2.3984375" style="1188"/>
    <col min="7426" max="7426" width="4.19921875" style="1188" bestFit="1" customWidth="1"/>
    <col min="7427" max="7427" width="2.3984375" style="1188"/>
    <col min="7428" max="7428" width="4.19921875" style="1188" bestFit="1" customWidth="1"/>
    <col min="7429" max="7431" width="2.3984375" style="1188"/>
    <col min="7432" max="7434" width="2.8984375" style="1188" bestFit="1" customWidth="1"/>
    <col min="7435" max="7436" width="2.3984375" style="1188"/>
    <col min="7437" max="7437" width="4.19921875" style="1188" bestFit="1" customWidth="1"/>
    <col min="7438" max="7438" width="2.3984375" style="1188"/>
    <col min="7439" max="7439" width="4.19921875" style="1188" bestFit="1" customWidth="1"/>
    <col min="7440" max="7441" width="2.3984375" style="1188"/>
    <col min="7442" max="7442" width="4.19921875" style="1188" bestFit="1" customWidth="1"/>
    <col min="7443" max="7443" width="2.3984375" style="1188"/>
    <col min="7444" max="7444" width="4.19921875" style="1188" bestFit="1" customWidth="1"/>
    <col min="7445" max="7447" width="2.3984375" style="1188"/>
    <col min="7448" max="7450" width="2.8984375" style="1188" bestFit="1" customWidth="1"/>
    <col min="7451" max="7452" width="2.3984375" style="1188"/>
    <col min="7453" max="7453" width="4.19921875" style="1188" bestFit="1" customWidth="1"/>
    <col min="7454" max="7454" width="2.3984375" style="1188"/>
    <col min="7455" max="7455" width="4.19921875" style="1188" bestFit="1" customWidth="1"/>
    <col min="7456" max="7457" width="2.3984375" style="1188"/>
    <col min="7458" max="7458" width="4.19921875" style="1188" bestFit="1" customWidth="1"/>
    <col min="7459" max="7459" width="2.3984375" style="1188"/>
    <col min="7460" max="7460" width="4.19921875" style="1188" bestFit="1" customWidth="1"/>
    <col min="7461" max="7463" width="2.3984375" style="1188"/>
    <col min="7464" max="7466" width="2.8984375" style="1188" bestFit="1" customWidth="1"/>
    <col min="7467" max="7468" width="2.3984375" style="1188"/>
    <col min="7469" max="7469" width="4.19921875" style="1188" bestFit="1" customWidth="1"/>
    <col min="7470" max="7470" width="2.3984375" style="1188"/>
    <col min="7471" max="7471" width="4.19921875" style="1188" bestFit="1" customWidth="1"/>
    <col min="7472" max="7473" width="2.3984375" style="1188"/>
    <col min="7474" max="7474" width="4.19921875" style="1188" bestFit="1" customWidth="1"/>
    <col min="7475" max="7475" width="2.3984375" style="1188"/>
    <col min="7476" max="7476" width="4.19921875" style="1188" bestFit="1" customWidth="1"/>
    <col min="7477" max="7479" width="2.3984375" style="1188"/>
    <col min="7480" max="7482" width="2.8984375" style="1188" bestFit="1" customWidth="1"/>
    <col min="7483" max="7484" width="2.3984375" style="1188"/>
    <col min="7485" max="7485" width="4.19921875" style="1188" bestFit="1" customWidth="1"/>
    <col min="7486" max="7486" width="2.3984375" style="1188"/>
    <col min="7487" max="7487" width="4.19921875" style="1188" bestFit="1" customWidth="1"/>
    <col min="7488" max="7489" width="2.3984375" style="1188"/>
    <col min="7490" max="7490" width="4.19921875" style="1188" bestFit="1" customWidth="1"/>
    <col min="7491" max="7491" width="2.3984375" style="1188"/>
    <col min="7492" max="7492" width="4.19921875" style="1188" bestFit="1" customWidth="1"/>
    <col min="7493" max="7495" width="2.3984375" style="1188"/>
    <col min="7496" max="7498" width="2.8984375" style="1188" bestFit="1" customWidth="1"/>
    <col min="7499" max="7500" width="2.3984375" style="1188"/>
    <col min="7501" max="7501" width="4.19921875" style="1188" bestFit="1" customWidth="1"/>
    <col min="7502" max="7502" width="2.3984375" style="1188"/>
    <col min="7503" max="7503" width="4.19921875" style="1188" bestFit="1" customWidth="1"/>
    <col min="7504" max="7505" width="2.3984375" style="1188"/>
    <col min="7506" max="7506" width="4.19921875" style="1188" bestFit="1" customWidth="1"/>
    <col min="7507" max="7507" width="2.3984375" style="1188"/>
    <col min="7508" max="7508" width="4.19921875" style="1188" bestFit="1" customWidth="1"/>
    <col min="7509" max="7511" width="2.3984375" style="1188"/>
    <col min="7512" max="7514" width="2.8984375" style="1188" bestFit="1" customWidth="1"/>
    <col min="7515" max="7516" width="2.3984375" style="1188"/>
    <col min="7517" max="7517" width="4.19921875" style="1188" bestFit="1" customWidth="1"/>
    <col min="7518" max="7518" width="2.3984375" style="1188"/>
    <col min="7519" max="7519" width="4.19921875" style="1188" bestFit="1" customWidth="1"/>
    <col min="7520" max="7521" width="2.3984375" style="1188"/>
    <col min="7522" max="7522" width="4.19921875" style="1188" bestFit="1" customWidth="1"/>
    <col min="7523" max="7523" width="2.3984375" style="1188"/>
    <col min="7524" max="7524" width="4.19921875" style="1188" bestFit="1" customWidth="1"/>
    <col min="7525" max="7527" width="2.3984375" style="1188"/>
    <col min="7528" max="7530" width="2.8984375" style="1188" bestFit="1" customWidth="1"/>
    <col min="7531" max="7532" width="2.3984375" style="1188"/>
    <col min="7533" max="7533" width="4.19921875" style="1188" bestFit="1" customWidth="1"/>
    <col min="7534" max="7534" width="2.3984375" style="1188"/>
    <col min="7535" max="7535" width="4.19921875" style="1188" bestFit="1" customWidth="1"/>
    <col min="7536" max="7537" width="2.3984375" style="1188"/>
    <col min="7538" max="7538" width="4.19921875" style="1188" bestFit="1" customWidth="1"/>
    <col min="7539" max="7539" width="2.3984375" style="1188"/>
    <col min="7540" max="7540" width="4.19921875" style="1188" bestFit="1" customWidth="1"/>
    <col min="7541" max="7543" width="2.3984375" style="1188"/>
    <col min="7544" max="7546" width="2.8984375" style="1188" bestFit="1" customWidth="1"/>
    <col min="7547" max="7548" width="2.3984375" style="1188"/>
    <col min="7549" max="7549" width="4.19921875" style="1188" bestFit="1" customWidth="1"/>
    <col min="7550" max="7550" width="2.3984375" style="1188"/>
    <col min="7551" max="7551" width="4.19921875" style="1188" bestFit="1" customWidth="1"/>
    <col min="7552" max="7553" width="2.3984375" style="1188"/>
    <col min="7554" max="7554" width="4.19921875" style="1188" bestFit="1" customWidth="1"/>
    <col min="7555" max="7555" width="2.3984375" style="1188"/>
    <col min="7556" max="7556" width="4.19921875" style="1188" bestFit="1" customWidth="1"/>
    <col min="7557" max="7559" width="2.3984375" style="1188"/>
    <col min="7560" max="7562" width="2.8984375" style="1188" bestFit="1" customWidth="1"/>
    <col min="7563" max="7564" width="2.3984375" style="1188"/>
    <col min="7565" max="7565" width="4.19921875" style="1188" bestFit="1" customWidth="1"/>
    <col min="7566" max="7566" width="2.3984375" style="1188"/>
    <col min="7567" max="7567" width="4.19921875" style="1188" bestFit="1" customWidth="1"/>
    <col min="7568" max="7569" width="2.3984375" style="1188"/>
    <col min="7570" max="7570" width="4.19921875" style="1188" bestFit="1" customWidth="1"/>
    <col min="7571" max="7571" width="2.3984375" style="1188"/>
    <col min="7572" max="7572" width="4.19921875" style="1188" bestFit="1" customWidth="1"/>
    <col min="7573" max="7575" width="2.3984375" style="1188"/>
    <col min="7576" max="7578" width="2.8984375" style="1188" bestFit="1" customWidth="1"/>
    <col min="7579" max="7580" width="2.3984375" style="1188"/>
    <col min="7581" max="7581" width="4.19921875" style="1188" bestFit="1" customWidth="1"/>
    <col min="7582" max="7582" width="2.3984375" style="1188"/>
    <col min="7583" max="7583" width="4.19921875" style="1188" bestFit="1" customWidth="1"/>
    <col min="7584" max="7585" width="2.3984375" style="1188"/>
    <col min="7586" max="7586" width="4.19921875" style="1188" bestFit="1" customWidth="1"/>
    <col min="7587" max="7587" width="2.3984375" style="1188"/>
    <col min="7588" max="7588" width="4.19921875" style="1188" bestFit="1" customWidth="1"/>
    <col min="7589" max="7591" width="2.3984375" style="1188"/>
    <col min="7592" max="7594" width="2.8984375" style="1188" bestFit="1" customWidth="1"/>
    <col min="7595" max="7596" width="2.3984375" style="1188"/>
    <col min="7597" max="7597" width="4.19921875" style="1188" bestFit="1" customWidth="1"/>
    <col min="7598" max="7598" width="2.3984375" style="1188"/>
    <col min="7599" max="7599" width="4.19921875" style="1188" bestFit="1" customWidth="1"/>
    <col min="7600" max="7601" width="2.3984375" style="1188"/>
    <col min="7602" max="7602" width="4.19921875" style="1188" bestFit="1" customWidth="1"/>
    <col min="7603" max="7603" width="2.3984375" style="1188"/>
    <col min="7604" max="7604" width="4.19921875" style="1188" bestFit="1" customWidth="1"/>
    <col min="7605" max="7607" width="2.3984375" style="1188"/>
    <col min="7608" max="7610" width="2.8984375" style="1188" bestFit="1" customWidth="1"/>
    <col min="7611" max="7612" width="2.3984375" style="1188"/>
    <col min="7613" max="7613" width="4.19921875" style="1188" bestFit="1" customWidth="1"/>
    <col min="7614" max="7614" width="2.3984375" style="1188"/>
    <col min="7615" max="7615" width="4.19921875" style="1188" bestFit="1" customWidth="1"/>
    <col min="7616" max="7617" width="2.3984375" style="1188"/>
    <col min="7618" max="7618" width="4.19921875" style="1188" bestFit="1" customWidth="1"/>
    <col min="7619" max="7619" width="2.3984375" style="1188"/>
    <col min="7620" max="7620" width="4.19921875" style="1188" bestFit="1" customWidth="1"/>
    <col min="7621" max="7623" width="2.3984375" style="1188"/>
    <col min="7624" max="7626" width="2.8984375" style="1188" bestFit="1" customWidth="1"/>
    <col min="7627" max="7628" width="2.3984375" style="1188"/>
    <col min="7629" max="7629" width="4.19921875" style="1188" bestFit="1" customWidth="1"/>
    <col min="7630" max="7630" width="2.3984375" style="1188"/>
    <col min="7631" max="7631" width="4.19921875" style="1188" bestFit="1" customWidth="1"/>
    <col min="7632" max="7633" width="2.3984375" style="1188"/>
    <col min="7634" max="7634" width="4.19921875" style="1188" bestFit="1" customWidth="1"/>
    <col min="7635" max="7635" width="2.3984375" style="1188"/>
    <col min="7636" max="7636" width="4.19921875" style="1188" bestFit="1" customWidth="1"/>
    <col min="7637" max="7639" width="2.3984375" style="1188"/>
    <col min="7640" max="7642" width="2.8984375" style="1188" bestFit="1" customWidth="1"/>
    <col min="7643" max="7644" width="2.3984375" style="1188"/>
    <col min="7645" max="7645" width="4.19921875" style="1188" bestFit="1" customWidth="1"/>
    <col min="7646" max="7646" width="2.3984375" style="1188"/>
    <col min="7647" max="7647" width="4.19921875" style="1188" bestFit="1" customWidth="1"/>
    <col min="7648" max="7649" width="2.3984375" style="1188"/>
    <col min="7650" max="7650" width="4.19921875" style="1188" bestFit="1" customWidth="1"/>
    <col min="7651" max="7651" width="2.3984375" style="1188"/>
    <col min="7652" max="7652" width="4.19921875" style="1188" bestFit="1" customWidth="1"/>
    <col min="7653" max="7655" width="2.3984375" style="1188"/>
    <col min="7656" max="7658" width="2.8984375" style="1188" bestFit="1" customWidth="1"/>
    <col min="7659" max="7660" width="2.3984375" style="1188"/>
    <col min="7661" max="7661" width="4.19921875" style="1188" bestFit="1" customWidth="1"/>
    <col min="7662" max="7662" width="2.3984375" style="1188"/>
    <col min="7663" max="7663" width="4.19921875" style="1188" bestFit="1" customWidth="1"/>
    <col min="7664" max="7665" width="2.3984375" style="1188"/>
    <col min="7666" max="7666" width="4.19921875" style="1188" bestFit="1" customWidth="1"/>
    <col min="7667" max="7667" width="2.3984375" style="1188"/>
    <col min="7668" max="7668" width="4.19921875" style="1188" bestFit="1" customWidth="1"/>
    <col min="7669" max="7671" width="2.3984375" style="1188"/>
    <col min="7672" max="7674" width="2.8984375" style="1188" bestFit="1" customWidth="1"/>
    <col min="7675" max="7676" width="2.3984375" style="1188"/>
    <col min="7677" max="7677" width="4.19921875" style="1188" bestFit="1" customWidth="1"/>
    <col min="7678" max="7678" width="2.3984375" style="1188"/>
    <col min="7679" max="7679" width="4.19921875" style="1188" bestFit="1" customWidth="1"/>
    <col min="7680" max="7681" width="2.3984375" style="1188"/>
    <col min="7682" max="7682" width="4.19921875" style="1188" bestFit="1" customWidth="1"/>
    <col min="7683" max="7683" width="2.3984375" style="1188"/>
    <col min="7684" max="7684" width="4.19921875" style="1188" bestFit="1" customWidth="1"/>
    <col min="7685" max="7687" width="2.3984375" style="1188"/>
    <col min="7688" max="7690" width="2.8984375" style="1188" bestFit="1" customWidth="1"/>
    <col min="7691" max="7692" width="2.3984375" style="1188"/>
    <col min="7693" max="7693" width="4.19921875" style="1188" bestFit="1" customWidth="1"/>
    <col min="7694" max="7694" width="2.3984375" style="1188"/>
    <col min="7695" max="7695" width="4.19921875" style="1188" bestFit="1" customWidth="1"/>
    <col min="7696" max="7697" width="2.3984375" style="1188"/>
    <col min="7698" max="7698" width="4.19921875" style="1188" bestFit="1" customWidth="1"/>
    <col min="7699" max="7699" width="2.3984375" style="1188"/>
    <col min="7700" max="7700" width="4.19921875" style="1188" bestFit="1" customWidth="1"/>
    <col min="7701" max="7703" width="2.3984375" style="1188"/>
    <col min="7704" max="7706" width="2.8984375" style="1188" bestFit="1" customWidth="1"/>
    <col min="7707" max="7708" width="2.3984375" style="1188"/>
    <col min="7709" max="7709" width="4.19921875" style="1188" bestFit="1" customWidth="1"/>
    <col min="7710" max="7710" width="2.3984375" style="1188"/>
    <col min="7711" max="7711" width="4.19921875" style="1188" bestFit="1" customWidth="1"/>
    <col min="7712" max="7713" width="2.3984375" style="1188"/>
    <col min="7714" max="7714" width="4.19921875" style="1188" bestFit="1" customWidth="1"/>
    <col min="7715" max="7715" width="2.3984375" style="1188"/>
    <col min="7716" max="7716" width="4.19921875" style="1188" bestFit="1" customWidth="1"/>
    <col min="7717" max="7719" width="2.3984375" style="1188"/>
    <col min="7720" max="7722" width="2.8984375" style="1188" bestFit="1" customWidth="1"/>
    <col min="7723" max="7724" width="2.3984375" style="1188"/>
    <col min="7725" max="7725" width="4.19921875" style="1188" bestFit="1" customWidth="1"/>
    <col min="7726" max="7726" width="2.3984375" style="1188"/>
    <col min="7727" max="7727" width="4.19921875" style="1188" bestFit="1" customWidth="1"/>
    <col min="7728" max="7729" width="2.3984375" style="1188"/>
    <col min="7730" max="7730" width="4.19921875" style="1188" bestFit="1" customWidth="1"/>
    <col min="7731" max="7731" width="2.3984375" style="1188"/>
    <col min="7732" max="7732" width="4.19921875" style="1188" bestFit="1" customWidth="1"/>
    <col min="7733" max="7735" width="2.3984375" style="1188"/>
    <col min="7736" max="7738" width="2.8984375" style="1188" bestFit="1" customWidth="1"/>
    <col min="7739" max="7740" width="2.3984375" style="1188"/>
    <col min="7741" max="7741" width="4.19921875" style="1188" bestFit="1" customWidth="1"/>
    <col min="7742" max="7742" width="2.3984375" style="1188"/>
    <col min="7743" max="7743" width="4.19921875" style="1188" bestFit="1" customWidth="1"/>
    <col min="7744" max="7745" width="2.3984375" style="1188"/>
    <col min="7746" max="7746" width="4.19921875" style="1188" bestFit="1" customWidth="1"/>
    <col min="7747" max="7747" width="2.3984375" style="1188"/>
    <col min="7748" max="7748" width="4.19921875" style="1188" bestFit="1" customWidth="1"/>
    <col min="7749" max="7751" width="2.3984375" style="1188"/>
    <col min="7752" max="7754" width="2.8984375" style="1188" bestFit="1" customWidth="1"/>
    <col min="7755" max="7756" width="2.3984375" style="1188"/>
    <col min="7757" max="7757" width="4.19921875" style="1188" bestFit="1" customWidth="1"/>
    <col min="7758" max="7758" width="2.3984375" style="1188"/>
    <col min="7759" max="7759" width="4.19921875" style="1188" bestFit="1" customWidth="1"/>
    <col min="7760" max="7761" width="2.3984375" style="1188"/>
    <col min="7762" max="7762" width="4.19921875" style="1188" bestFit="1" customWidth="1"/>
    <col min="7763" max="7763" width="2.3984375" style="1188"/>
    <col min="7764" max="7764" width="4.19921875" style="1188" bestFit="1" customWidth="1"/>
    <col min="7765" max="7767" width="2.3984375" style="1188"/>
    <col min="7768" max="7770" width="2.8984375" style="1188" bestFit="1" customWidth="1"/>
    <col min="7771" max="7772" width="2.3984375" style="1188"/>
    <col min="7773" max="7773" width="4.19921875" style="1188" bestFit="1" customWidth="1"/>
    <col min="7774" max="7774" width="2.3984375" style="1188"/>
    <col min="7775" max="7775" width="4.19921875" style="1188" bestFit="1" customWidth="1"/>
    <col min="7776" max="7777" width="2.3984375" style="1188"/>
    <col min="7778" max="7778" width="4.19921875" style="1188" bestFit="1" customWidth="1"/>
    <col min="7779" max="7779" width="2.3984375" style="1188"/>
    <col min="7780" max="7780" width="4.19921875" style="1188" bestFit="1" customWidth="1"/>
    <col min="7781" max="7783" width="2.3984375" style="1188"/>
    <col min="7784" max="7786" width="2.8984375" style="1188" bestFit="1" customWidth="1"/>
    <col min="7787" max="7788" width="2.3984375" style="1188"/>
    <col min="7789" max="7789" width="4.19921875" style="1188" bestFit="1" customWidth="1"/>
    <col min="7790" max="7790" width="2.3984375" style="1188"/>
    <col min="7791" max="7791" width="4.19921875" style="1188" bestFit="1" customWidth="1"/>
    <col min="7792" max="7793" width="2.3984375" style="1188"/>
    <col min="7794" max="7794" width="4.19921875" style="1188" bestFit="1" customWidth="1"/>
    <col min="7795" max="7795" width="2.3984375" style="1188"/>
    <col min="7796" max="7796" width="4.19921875" style="1188" bestFit="1" customWidth="1"/>
    <col min="7797" max="7799" width="2.3984375" style="1188"/>
    <col min="7800" max="7802" width="2.8984375" style="1188" bestFit="1" customWidth="1"/>
    <col min="7803" max="7804" width="2.3984375" style="1188"/>
    <col min="7805" max="7805" width="4.19921875" style="1188" bestFit="1" customWidth="1"/>
    <col min="7806" max="7806" width="2.3984375" style="1188"/>
    <col min="7807" max="7807" width="4.19921875" style="1188" bestFit="1" customWidth="1"/>
    <col min="7808" max="7809" width="2.3984375" style="1188"/>
    <col min="7810" max="7810" width="4.19921875" style="1188" bestFit="1" customWidth="1"/>
    <col min="7811" max="7811" width="2.3984375" style="1188"/>
    <col min="7812" max="7812" width="4.19921875" style="1188" bestFit="1" customWidth="1"/>
    <col min="7813" max="7815" width="2.3984375" style="1188"/>
    <col min="7816" max="7818" width="2.8984375" style="1188" bestFit="1" customWidth="1"/>
    <col min="7819" max="7820" width="2.3984375" style="1188"/>
    <col min="7821" max="7821" width="4.19921875" style="1188" bestFit="1" customWidth="1"/>
    <col min="7822" max="7822" width="2.3984375" style="1188"/>
    <col min="7823" max="7823" width="4.19921875" style="1188" bestFit="1" customWidth="1"/>
    <col min="7824" max="7825" width="2.3984375" style="1188"/>
    <col min="7826" max="7826" width="4.19921875" style="1188" bestFit="1" customWidth="1"/>
    <col min="7827" max="7827" width="2.3984375" style="1188"/>
    <col min="7828" max="7828" width="4.19921875" style="1188" bestFit="1" customWidth="1"/>
    <col min="7829" max="7831" width="2.3984375" style="1188"/>
    <col min="7832" max="7834" width="2.8984375" style="1188" bestFit="1" customWidth="1"/>
    <col min="7835" max="7836" width="2.3984375" style="1188"/>
    <col min="7837" max="7837" width="4.19921875" style="1188" bestFit="1" customWidth="1"/>
    <col min="7838" max="7838" width="2.3984375" style="1188"/>
    <col min="7839" max="7839" width="4.19921875" style="1188" bestFit="1" customWidth="1"/>
    <col min="7840" max="7841" width="2.3984375" style="1188"/>
    <col min="7842" max="7842" width="4.19921875" style="1188" bestFit="1" customWidth="1"/>
    <col min="7843" max="7843" width="2.3984375" style="1188"/>
    <col min="7844" max="7844" width="4.19921875" style="1188" bestFit="1" customWidth="1"/>
    <col min="7845" max="7847" width="2.3984375" style="1188"/>
    <col min="7848" max="7850" width="2.8984375" style="1188" bestFit="1" customWidth="1"/>
    <col min="7851" max="7852" width="2.3984375" style="1188"/>
    <col min="7853" max="7853" width="4.19921875" style="1188" bestFit="1" customWidth="1"/>
    <col min="7854" max="7854" width="2.3984375" style="1188"/>
    <col min="7855" max="7855" width="4.19921875" style="1188" bestFit="1" customWidth="1"/>
    <col min="7856" max="7857" width="2.3984375" style="1188"/>
    <col min="7858" max="7858" width="4.19921875" style="1188" bestFit="1" customWidth="1"/>
    <col min="7859" max="7859" width="2.3984375" style="1188"/>
    <col min="7860" max="7860" width="4.19921875" style="1188" bestFit="1" customWidth="1"/>
    <col min="7861" max="7863" width="2.3984375" style="1188"/>
    <col min="7864" max="7866" width="2.8984375" style="1188" bestFit="1" customWidth="1"/>
    <col min="7867" max="7868" width="2.3984375" style="1188"/>
    <col min="7869" max="7869" width="4.19921875" style="1188" bestFit="1" customWidth="1"/>
    <col min="7870" max="7870" width="2.3984375" style="1188"/>
    <col min="7871" max="7871" width="4.19921875" style="1188" bestFit="1" customWidth="1"/>
    <col min="7872" max="7873" width="2.3984375" style="1188"/>
    <col min="7874" max="7874" width="4.19921875" style="1188" bestFit="1" customWidth="1"/>
    <col min="7875" max="7875" width="2.3984375" style="1188"/>
    <col min="7876" max="7876" width="4.19921875" style="1188" bestFit="1" customWidth="1"/>
    <col min="7877" max="7879" width="2.3984375" style="1188"/>
    <col min="7880" max="7882" width="2.8984375" style="1188" bestFit="1" customWidth="1"/>
    <col min="7883" max="7884" width="2.3984375" style="1188"/>
    <col min="7885" max="7885" width="4.19921875" style="1188" bestFit="1" customWidth="1"/>
    <col min="7886" max="7886" width="2.3984375" style="1188"/>
    <col min="7887" max="7887" width="4.19921875" style="1188" bestFit="1" customWidth="1"/>
    <col min="7888" max="7889" width="2.3984375" style="1188"/>
    <col min="7890" max="7890" width="4.19921875" style="1188" bestFit="1" customWidth="1"/>
    <col min="7891" max="7891" width="2.3984375" style="1188"/>
    <col min="7892" max="7892" width="4.19921875" style="1188" bestFit="1" customWidth="1"/>
    <col min="7893" max="7895" width="2.3984375" style="1188"/>
    <col min="7896" max="7898" width="2.8984375" style="1188" bestFit="1" customWidth="1"/>
    <col min="7899" max="7900" width="2.3984375" style="1188"/>
    <col min="7901" max="7901" width="4.19921875" style="1188" bestFit="1" customWidth="1"/>
    <col min="7902" max="7902" width="2.3984375" style="1188"/>
    <col min="7903" max="7903" width="4.19921875" style="1188" bestFit="1" customWidth="1"/>
    <col min="7904" max="7905" width="2.3984375" style="1188"/>
    <col min="7906" max="7906" width="4.19921875" style="1188" bestFit="1" customWidth="1"/>
    <col min="7907" max="7907" width="2.3984375" style="1188"/>
    <col min="7908" max="7908" width="4.19921875" style="1188" bestFit="1" customWidth="1"/>
    <col min="7909" max="7911" width="2.3984375" style="1188"/>
    <col min="7912" max="7914" width="2.8984375" style="1188" bestFit="1" customWidth="1"/>
    <col min="7915" max="7916" width="2.3984375" style="1188"/>
    <col min="7917" max="7917" width="4.19921875" style="1188" bestFit="1" customWidth="1"/>
    <col min="7918" max="7918" width="2.3984375" style="1188"/>
    <col min="7919" max="7919" width="4.19921875" style="1188" bestFit="1" customWidth="1"/>
    <col min="7920" max="7921" width="2.3984375" style="1188"/>
    <col min="7922" max="7922" width="4.19921875" style="1188" bestFit="1" customWidth="1"/>
    <col min="7923" max="7923" width="2.3984375" style="1188"/>
    <col min="7924" max="7924" width="4.19921875" style="1188" bestFit="1" customWidth="1"/>
    <col min="7925" max="7927" width="2.3984375" style="1188"/>
    <col min="7928" max="7930" width="2.8984375" style="1188" bestFit="1" customWidth="1"/>
    <col min="7931" max="7932" width="2.3984375" style="1188"/>
    <col min="7933" max="7933" width="4.19921875" style="1188" bestFit="1" customWidth="1"/>
    <col min="7934" max="7934" width="2.3984375" style="1188"/>
    <col min="7935" max="7935" width="4.19921875" style="1188" bestFit="1" customWidth="1"/>
    <col min="7936" max="7937" width="2.3984375" style="1188"/>
    <col min="7938" max="7938" width="4.19921875" style="1188" bestFit="1" customWidth="1"/>
    <col min="7939" max="7939" width="2.3984375" style="1188"/>
    <col min="7940" max="7940" width="4.19921875" style="1188" bestFit="1" customWidth="1"/>
    <col min="7941" max="7943" width="2.3984375" style="1188"/>
    <col min="7944" max="7946" width="2.8984375" style="1188" bestFit="1" customWidth="1"/>
    <col min="7947" max="7948" width="2.3984375" style="1188"/>
    <col min="7949" max="7949" width="4.19921875" style="1188" bestFit="1" customWidth="1"/>
    <col min="7950" max="7950" width="2.3984375" style="1188"/>
    <col min="7951" max="7951" width="4.19921875" style="1188" bestFit="1" customWidth="1"/>
    <col min="7952" max="7953" width="2.3984375" style="1188"/>
    <col min="7954" max="7954" width="4.19921875" style="1188" bestFit="1" customWidth="1"/>
    <col min="7955" max="7955" width="2.3984375" style="1188"/>
    <col min="7956" max="7956" width="4.19921875" style="1188" bestFit="1" customWidth="1"/>
    <col min="7957" max="7959" width="2.3984375" style="1188"/>
    <col min="7960" max="7962" width="2.8984375" style="1188" bestFit="1" customWidth="1"/>
    <col min="7963" max="7964" width="2.3984375" style="1188"/>
    <col min="7965" max="7965" width="4.19921875" style="1188" bestFit="1" customWidth="1"/>
    <col min="7966" max="7966" width="2.3984375" style="1188"/>
    <col min="7967" max="7967" width="4.19921875" style="1188" bestFit="1" customWidth="1"/>
    <col min="7968" max="7969" width="2.3984375" style="1188"/>
    <col min="7970" max="7970" width="4.19921875" style="1188" bestFit="1" customWidth="1"/>
    <col min="7971" max="7971" width="2.3984375" style="1188"/>
    <col min="7972" max="7972" width="4.19921875" style="1188" bestFit="1" customWidth="1"/>
    <col min="7973" max="7975" width="2.3984375" style="1188"/>
    <col min="7976" max="7978" width="2.8984375" style="1188" bestFit="1" customWidth="1"/>
    <col min="7979" max="7980" width="2.3984375" style="1188"/>
    <col min="7981" max="7981" width="4.19921875" style="1188" bestFit="1" customWidth="1"/>
    <col min="7982" max="7982" width="2.3984375" style="1188"/>
    <col min="7983" max="7983" width="4.19921875" style="1188" bestFit="1" customWidth="1"/>
    <col min="7984" max="7985" width="2.3984375" style="1188"/>
    <col min="7986" max="7986" width="4.19921875" style="1188" bestFit="1" customWidth="1"/>
    <col min="7987" max="7987" width="2.3984375" style="1188"/>
    <col min="7988" max="7988" width="4.19921875" style="1188" bestFit="1" customWidth="1"/>
    <col min="7989" max="7991" width="2.3984375" style="1188"/>
    <col min="7992" max="7994" width="2.8984375" style="1188" bestFit="1" customWidth="1"/>
    <col min="7995" max="7996" width="2.3984375" style="1188"/>
    <col min="7997" max="7997" width="4.19921875" style="1188" bestFit="1" customWidth="1"/>
    <col min="7998" max="7998" width="2.3984375" style="1188"/>
    <col min="7999" max="7999" width="4.19921875" style="1188" bestFit="1" customWidth="1"/>
    <col min="8000" max="8001" width="2.3984375" style="1188"/>
    <col min="8002" max="8002" width="4.19921875" style="1188" bestFit="1" customWidth="1"/>
    <col min="8003" max="8003" width="2.3984375" style="1188"/>
    <col min="8004" max="8004" width="4.19921875" style="1188" bestFit="1" customWidth="1"/>
    <col min="8005" max="8007" width="2.3984375" style="1188"/>
    <col min="8008" max="8010" width="2.8984375" style="1188" bestFit="1" customWidth="1"/>
    <col min="8011" max="8012" width="2.3984375" style="1188"/>
    <col min="8013" max="8013" width="4.19921875" style="1188" bestFit="1" customWidth="1"/>
    <col min="8014" max="8014" width="2.3984375" style="1188"/>
    <col min="8015" max="8015" width="4.19921875" style="1188" bestFit="1" customWidth="1"/>
    <col min="8016" max="8017" width="2.3984375" style="1188"/>
    <col min="8018" max="8018" width="4.19921875" style="1188" bestFit="1" customWidth="1"/>
    <col min="8019" max="8019" width="2.3984375" style="1188"/>
    <col min="8020" max="8020" width="4.19921875" style="1188" bestFit="1" customWidth="1"/>
    <col min="8021" max="8023" width="2.3984375" style="1188"/>
    <col min="8024" max="8026" width="2.8984375" style="1188" bestFit="1" customWidth="1"/>
    <col min="8027" max="8028" width="2.3984375" style="1188"/>
    <col min="8029" max="8029" width="4.19921875" style="1188" bestFit="1" customWidth="1"/>
    <col min="8030" max="8030" width="2.3984375" style="1188"/>
    <col min="8031" max="8031" width="4.19921875" style="1188" bestFit="1" customWidth="1"/>
    <col min="8032" max="8033" width="2.3984375" style="1188"/>
    <col min="8034" max="8034" width="4.19921875" style="1188" bestFit="1" customWidth="1"/>
    <col min="8035" max="8035" width="2.3984375" style="1188"/>
    <col min="8036" max="8036" width="4.19921875" style="1188" bestFit="1" customWidth="1"/>
    <col min="8037" max="8039" width="2.3984375" style="1188"/>
    <col min="8040" max="8042" width="2.8984375" style="1188" bestFit="1" customWidth="1"/>
    <col min="8043" max="8044" width="2.3984375" style="1188"/>
    <col min="8045" max="8045" width="4.19921875" style="1188" bestFit="1" customWidth="1"/>
    <col min="8046" max="8046" width="2.3984375" style="1188"/>
    <col min="8047" max="8047" width="4.19921875" style="1188" bestFit="1" customWidth="1"/>
    <col min="8048" max="8049" width="2.3984375" style="1188"/>
    <col min="8050" max="8050" width="4.19921875" style="1188" bestFit="1" customWidth="1"/>
    <col min="8051" max="8051" width="2.3984375" style="1188"/>
    <col min="8052" max="8052" width="4.19921875" style="1188" bestFit="1" customWidth="1"/>
    <col min="8053" max="8055" width="2.3984375" style="1188"/>
    <col min="8056" max="8058" width="2.8984375" style="1188" bestFit="1" customWidth="1"/>
    <col min="8059" max="8060" width="2.3984375" style="1188"/>
    <col min="8061" max="8061" width="4.19921875" style="1188" bestFit="1" customWidth="1"/>
    <col min="8062" max="8062" width="2.3984375" style="1188"/>
    <col min="8063" max="8063" width="4.19921875" style="1188" bestFit="1" customWidth="1"/>
    <col min="8064" max="8065" width="2.3984375" style="1188"/>
    <col min="8066" max="8066" width="4.19921875" style="1188" bestFit="1" customWidth="1"/>
    <col min="8067" max="8067" width="2.3984375" style="1188"/>
    <col min="8068" max="8068" width="4.19921875" style="1188" bestFit="1" customWidth="1"/>
    <col min="8069" max="8071" width="2.3984375" style="1188"/>
    <col min="8072" max="8074" width="2.8984375" style="1188" bestFit="1" customWidth="1"/>
    <col min="8075" max="8076" width="2.3984375" style="1188"/>
    <col min="8077" max="8077" width="4.19921875" style="1188" bestFit="1" customWidth="1"/>
    <col min="8078" max="8078" width="2.3984375" style="1188"/>
    <col min="8079" max="8079" width="4.19921875" style="1188" bestFit="1" customWidth="1"/>
    <col min="8080" max="8081" width="2.3984375" style="1188"/>
    <col min="8082" max="8082" width="4.19921875" style="1188" bestFit="1" customWidth="1"/>
    <col min="8083" max="8083" width="2.3984375" style="1188"/>
    <col min="8084" max="8084" width="4.19921875" style="1188" bestFit="1" customWidth="1"/>
    <col min="8085" max="8087" width="2.3984375" style="1188"/>
    <col min="8088" max="8090" width="2.8984375" style="1188" bestFit="1" customWidth="1"/>
    <col min="8091" max="8092" width="2.3984375" style="1188"/>
    <col min="8093" max="8093" width="4.19921875" style="1188" bestFit="1" customWidth="1"/>
    <col min="8094" max="8094" width="2.3984375" style="1188"/>
    <col min="8095" max="8095" width="4.19921875" style="1188" bestFit="1" customWidth="1"/>
    <col min="8096" max="8097" width="2.3984375" style="1188"/>
    <col min="8098" max="8098" width="4.19921875" style="1188" bestFit="1" customWidth="1"/>
    <col min="8099" max="8099" width="2.3984375" style="1188"/>
    <col min="8100" max="8100" width="4.19921875" style="1188" bestFit="1" customWidth="1"/>
    <col min="8101" max="8103" width="2.3984375" style="1188"/>
    <col min="8104" max="8106" width="2.8984375" style="1188" bestFit="1" customWidth="1"/>
    <col min="8107" max="8108" width="2.3984375" style="1188"/>
    <col min="8109" max="8109" width="4.19921875" style="1188" bestFit="1" customWidth="1"/>
    <col min="8110" max="8110" width="2.3984375" style="1188"/>
    <col min="8111" max="8111" width="4.19921875" style="1188" bestFit="1" customWidth="1"/>
    <col min="8112" max="8113" width="2.3984375" style="1188"/>
    <col min="8114" max="8114" width="4.19921875" style="1188" bestFit="1" customWidth="1"/>
    <col min="8115" max="8115" width="2.3984375" style="1188"/>
    <col min="8116" max="8116" width="4.19921875" style="1188" bestFit="1" customWidth="1"/>
    <col min="8117" max="8119" width="2.3984375" style="1188"/>
    <col min="8120" max="8122" width="2.8984375" style="1188" bestFit="1" customWidth="1"/>
    <col min="8123" max="8124" width="2.3984375" style="1188"/>
    <col min="8125" max="8125" width="4.19921875" style="1188" bestFit="1" customWidth="1"/>
    <col min="8126" max="8126" width="2.3984375" style="1188"/>
    <col min="8127" max="8127" width="4.19921875" style="1188" bestFit="1" customWidth="1"/>
    <col min="8128" max="8129" width="2.3984375" style="1188"/>
    <col min="8130" max="8130" width="4.19921875" style="1188" bestFit="1" customWidth="1"/>
    <col min="8131" max="8131" width="2.3984375" style="1188"/>
    <col min="8132" max="8132" width="4.19921875" style="1188" bestFit="1" customWidth="1"/>
    <col min="8133" max="8135" width="2.3984375" style="1188"/>
    <col min="8136" max="8138" width="2.8984375" style="1188" bestFit="1" customWidth="1"/>
    <col min="8139" max="8140" width="2.3984375" style="1188"/>
    <col min="8141" max="8141" width="4.19921875" style="1188" bestFit="1" customWidth="1"/>
    <col min="8142" max="8142" width="2.3984375" style="1188"/>
    <col min="8143" max="8143" width="4.19921875" style="1188" bestFit="1" customWidth="1"/>
    <col min="8144" max="8145" width="2.3984375" style="1188"/>
    <col min="8146" max="8146" width="4.19921875" style="1188" bestFit="1" customWidth="1"/>
    <col min="8147" max="8147" width="2.3984375" style="1188"/>
    <col min="8148" max="8148" width="4.19921875" style="1188" bestFit="1" customWidth="1"/>
    <col min="8149" max="8151" width="2.3984375" style="1188"/>
    <col min="8152" max="8154" width="2.8984375" style="1188" bestFit="1" customWidth="1"/>
    <col min="8155" max="8156" width="2.3984375" style="1188"/>
    <col min="8157" max="8157" width="4.19921875" style="1188" bestFit="1" customWidth="1"/>
    <col min="8158" max="8158" width="2.3984375" style="1188"/>
    <col min="8159" max="8159" width="4.19921875" style="1188" bestFit="1" customWidth="1"/>
    <col min="8160" max="8161" width="2.3984375" style="1188"/>
    <col min="8162" max="8162" width="4.19921875" style="1188" bestFit="1" customWidth="1"/>
    <col min="8163" max="8163" width="2.3984375" style="1188"/>
    <col min="8164" max="8164" width="4.19921875" style="1188" bestFit="1" customWidth="1"/>
    <col min="8165" max="8167" width="2.3984375" style="1188"/>
    <col min="8168" max="8170" width="2.8984375" style="1188" bestFit="1" customWidth="1"/>
    <col min="8171" max="8172" width="2.3984375" style="1188"/>
    <col min="8173" max="8173" width="4.19921875" style="1188" bestFit="1" customWidth="1"/>
    <col min="8174" max="8174" width="2.3984375" style="1188"/>
    <col min="8175" max="8175" width="4.19921875" style="1188" bestFit="1" customWidth="1"/>
    <col min="8176" max="8177" width="2.3984375" style="1188"/>
    <col min="8178" max="8178" width="4.19921875" style="1188" bestFit="1" customWidth="1"/>
    <col min="8179" max="8179" width="2.3984375" style="1188"/>
    <col min="8180" max="8180" width="4.19921875" style="1188" bestFit="1" customWidth="1"/>
    <col min="8181" max="8183" width="2.3984375" style="1188"/>
    <col min="8184" max="8186" width="2.8984375" style="1188" bestFit="1" customWidth="1"/>
    <col min="8187" max="8188" width="2.3984375" style="1188"/>
    <col min="8189" max="8189" width="4.19921875" style="1188" bestFit="1" customWidth="1"/>
    <col min="8190" max="8190" width="2.3984375" style="1188"/>
    <col min="8191" max="8191" width="4.19921875" style="1188" bestFit="1" customWidth="1"/>
    <col min="8192" max="8193" width="2.3984375" style="1188"/>
    <col min="8194" max="8194" width="4.19921875" style="1188" bestFit="1" customWidth="1"/>
    <col min="8195" max="8195" width="2.3984375" style="1188"/>
    <col min="8196" max="8196" width="4.19921875" style="1188" bestFit="1" customWidth="1"/>
    <col min="8197" max="8199" width="2.3984375" style="1188"/>
    <col min="8200" max="8202" width="2.8984375" style="1188" bestFit="1" customWidth="1"/>
    <col min="8203" max="8204" width="2.3984375" style="1188"/>
    <col min="8205" max="8205" width="4.19921875" style="1188" bestFit="1" customWidth="1"/>
    <col min="8206" max="8206" width="2.3984375" style="1188"/>
    <col min="8207" max="8207" width="4.19921875" style="1188" bestFit="1" customWidth="1"/>
    <col min="8208" max="8209" width="2.3984375" style="1188"/>
    <col min="8210" max="8210" width="4.19921875" style="1188" bestFit="1" customWidth="1"/>
    <col min="8211" max="8211" width="2.3984375" style="1188"/>
    <col min="8212" max="8212" width="4.19921875" style="1188" bestFit="1" customWidth="1"/>
    <col min="8213" max="8215" width="2.3984375" style="1188"/>
    <col min="8216" max="8218" width="2.8984375" style="1188" bestFit="1" customWidth="1"/>
    <col min="8219" max="8220" width="2.3984375" style="1188"/>
    <col min="8221" max="8221" width="4.19921875" style="1188" bestFit="1" customWidth="1"/>
    <col min="8222" max="8222" width="2.3984375" style="1188"/>
    <col min="8223" max="8223" width="4.19921875" style="1188" bestFit="1" customWidth="1"/>
    <col min="8224" max="8225" width="2.3984375" style="1188"/>
    <col min="8226" max="8226" width="4.19921875" style="1188" bestFit="1" customWidth="1"/>
    <col min="8227" max="8227" width="2.3984375" style="1188"/>
    <col min="8228" max="8228" width="4.19921875" style="1188" bestFit="1" customWidth="1"/>
    <col min="8229" max="8231" width="2.3984375" style="1188"/>
    <col min="8232" max="8234" width="2.8984375" style="1188" bestFit="1" customWidth="1"/>
    <col min="8235" max="8236" width="2.3984375" style="1188"/>
    <col min="8237" max="8237" width="4.19921875" style="1188" bestFit="1" customWidth="1"/>
    <col min="8238" max="8238" width="2.3984375" style="1188"/>
    <col min="8239" max="8239" width="4.19921875" style="1188" bestFit="1" customWidth="1"/>
    <col min="8240" max="8241" width="2.3984375" style="1188"/>
    <col min="8242" max="8242" width="4.19921875" style="1188" bestFit="1" customWidth="1"/>
    <col min="8243" max="8243" width="2.3984375" style="1188"/>
    <col min="8244" max="8244" width="4.19921875" style="1188" bestFit="1" customWidth="1"/>
    <col min="8245" max="8247" width="2.3984375" style="1188"/>
    <col min="8248" max="8250" width="2.8984375" style="1188" bestFit="1" customWidth="1"/>
    <col min="8251" max="8252" width="2.3984375" style="1188"/>
    <col min="8253" max="8253" width="4.19921875" style="1188" bestFit="1" customWidth="1"/>
    <col min="8254" max="8254" width="2.3984375" style="1188"/>
    <col min="8255" max="8255" width="4.19921875" style="1188" bestFit="1" customWidth="1"/>
    <col min="8256" max="8257" width="2.3984375" style="1188"/>
    <col min="8258" max="8258" width="4.19921875" style="1188" bestFit="1" customWidth="1"/>
    <col min="8259" max="8259" width="2.3984375" style="1188"/>
    <col min="8260" max="8260" width="4.19921875" style="1188" bestFit="1" customWidth="1"/>
    <col min="8261" max="8263" width="2.3984375" style="1188"/>
    <col min="8264" max="8266" width="2.8984375" style="1188" bestFit="1" customWidth="1"/>
    <col min="8267" max="8268" width="2.3984375" style="1188"/>
    <col min="8269" max="8269" width="4.19921875" style="1188" bestFit="1" customWidth="1"/>
    <col min="8270" max="8270" width="2.3984375" style="1188"/>
    <col min="8271" max="8271" width="4.19921875" style="1188" bestFit="1" customWidth="1"/>
    <col min="8272" max="8273" width="2.3984375" style="1188"/>
    <col min="8274" max="8274" width="4.19921875" style="1188" bestFit="1" customWidth="1"/>
    <col min="8275" max="8275" width="2.3984375" style="1188"/>
    <col min="8276" max="8276" width="4.19921875" style="1188" bestFit="1" customWidth="1"/>
    <col min="8277" max="8279" width="2.3984375" style="1188"/>
    <col min="8280" max="8282" width="2.8984375" style="1188" bestFit="1" customWidth="1"/>
    <col min="8283" max="8284" width="2.3984375" style="1188"/>
    <col min="8285" max="8285" width="4.19921875" style="1188" bestFit="1" customWidth="1"/>
    <col min="8286" max="8286" width="2.3984375" style="1188"/>
    <col min="8287" max="8287" width="4.19921875" style="1188" bestFit="1" customWidth="1"/>
    <col min="8288" max="8289" width="2.3984375" style="1188"/>
    <col min="8290" max="8290" width="4.19921875" style="1188" bestFit="1" customWidth="1"/>
    <col min="8291" max="8291" width="2.3984375" style="1188"/>
    <col min="8292" max="8292" width="4.19921875" style="1188" bestFit="1" customWidth="1"/>
    <col min="8293" max="8295" width="2.3984375" style="1188"/>
    <col min="8296" max="8298" width="2.8984375" style="1188" bestFit="1" customWidth="1"/>
    <col min="8299" max="8300" width="2.3984375" style="1188"/>
    <col min="8301" max="8301" width="4.19921875" style="1188" bestFit="1" customWidth="1"/>
    <col min="8302" max="8302" width="2.3984375" style="1188"/>
    <col min="8303" max="8303" width="4.19921875" style="1188" bestFit="1" customWidth="1"/>
    <col min="8304" max="8305" width="2.3984375" style="1188"/>
    <col min="8306" max="8306" width="4.19921875" style="1188" bestFit="1" customWidth="1"/>
    <col min="8307" max="8307" width="2.3984375" style="1188"/>
    <col min="8308" max="8308" width="4.19921875" style="1188" bestFit="1" customWidth="1"/>
    <col min="8309" max="8311" width="2.3984375" style="1188"/>
    <col min="8312" max="8314" width="2.8984375" style="1188" bestFit="1" customWidth="1"/>
    <col min="8315" max="8316" width="2.3984375" style="1188"/>
    <col min="8317" max="8317" width="4.19921875" style="1188" bestFit="1" customWidth="1"/>
    <col min="8318" max="8318" width="2.3984375" style="1188"/>
    <col min="8319" max="8319" width="4.19921875" style="1188" bestFit="1" customWidth="1"/>
    <col min="8320" max="8321" width="2.3984375" style="1188"/>
    <col min="8322" max="8322" width="4.19921875" style="1188" bestFit="1" customWidth="1"/>
    <col min="8323" max="8323" width="2.3984375" style="1188"/>
    <col min="8324" max="8324" width="4.19921875" style="1188" bestFit="1" customWidth="1"/>
    <col min="8325" max="8327" width="2.3984375" style="1188"/>
    <col min="8328" max="8330" width="2.8984375" style="1188" bestFit="1" customWidth="1"/>
    <col min="8331" max="8332" width="2.3984375" style="1188"/>
    <col min="8333" max="8333" width="4.19921875" style="1188" bestFit="1" customWidth="1"/>
    <col min="8334" max="8334" width="2.3984375" style="1188"/>
    <col min="8335" max="8335" width="4.19921875" style="1188" bestFit="1" customWidth="1"/>
    <col min="8336" max="8337" width="2.3984375" style="1188"/>
    <col min="8338" max="8338" width="4.19921875" style="1188" bestFit="1" customWidth="1"/>
    <col min="8339" max="8339" width="2.3984375" style="1188"/>
    <col min="8340" max="8340" width="4.19921875" style="1188" bestFit="1" customWidth="1"/>
    <col min="8341" max="8343" width="2.3984375" style="1188"/>
    <col min="8344" max="8346" width="2.8984375" style="1188" bestFit="1" customWidth="1"/>
    <col min="8347" max="8348" width="2.3984375" style="1188"/>
    <col min="8349" max="8349" width="4.19921875" style="1188" bestFit="1" customWidth="1"/>
    <col min="8350" max="8350" width="2.3984375" style="1188"/>
    <col min="8351" max="8351" width="4.19921875" style="1188" bestFit="1" customWidth="1"/>
    <col min="8352" max="8353" width="2.3984375" style="1188"/>
    <col min="8354" max="8354" width="4.19921875" style="1188" bestFit="1" customWidth="1"/>
    <col min="8355" max="8355" width="2.3984375" style="1188"/>
    <col min="8356" max="8356" width="4.19921875" style="1188" bestFit="1" customWidth="1"/>
    <col min="8357" max="8359" width="2.3984375" style="1188"/>
    <col min="8360" max="8362" width="2.8984375" style="1188" bestFit="1" customWidth="1"/>
    <col min="8363" max="8364" width="2.3984375" style="1188"/>
    <col min="8365" max="8365" width="4.19921875" style="1188" bestFit="1" customWidth="1"/>
    <col min="8366" max="8366" width="2.3984375" style="1188"/>
    <col min="8367" max="8367" width="4.19921875" style="1188" bestFit="1" customWidth="1"/>
    <col min="8368" max="8369" width="2.3984375" style="1188"/>
    <col min="8370" max="8370" width="4.19921875" style="1188" bestFit="1" customWidth="1"/>
    <col min="8371" max="8371" width="2.3984375" style="1188"/>
    <col min="8372" max="8372" width="4.19921875" style="1188" bestFit="1" customWidth="1"/>
    <col min="8373" max="8375" width="2.3984375" style="1188"/>
    <col min="8376" max="8378" width="2.8984375" style="1188" bestFit="1" customWidth="1"/>
    <col min="8379" max="8380" width="2.3984375" style="1188"/>
    <col min="8381" max="8381" width="4.19921875" style="1188" bestFit="1" customWidth="1"/>
    <col min="8382" max="8382" width="2.3984375" style="1188"/>
    <col min="8383" max="8383" width="4.19921875" style="1188" bestFit="1" customWidth="1"/>
    <col min="8384" max="8385" width="2.3984375" style="1188"/>
    <col min="8386" max="8386" width="4.19921875" style="1188" bestFit="1" customWidth="1"/>
    <col min="8387" max="8387" width="2.3984375" style="1188"/>
    <col min="8388" max="8388" width="4.19921875" style="1188" bestFit="1" customWidth="1"/>
    <col min="8389" max="8391" width="2.3984375" style="1188"/>
    <col min="8392" max="8394" width="2.8984375" style="1188" bestFit="1" customWidth="1"/>
    <col min="8395" max="8396" width="2.3984375" style="1188"/>
    <col min="8397" max="8397" width="4.19921875" style="1188" bestFit="1" customWidth="1"/>
    <col min="8398" max="8398" width="2.3984375" style="1188"/>
    <col min="8399" max="8399" width="4.19921875" style="1188" bestFit="1" customWidth="1"/>
    <col min="8400" max="8401" width="2.3984375" style="1188"/>
    <col min="8402" max="8402" width="4.19921875" style="1188" bestFit="1" customWidth="1"/>
    <col min="8403" max="8403" width="2.3984375" style="1188"/>
    <col min="8404" max="8404" width="4.19921875" style="1188" bestFit="1" customWidth="1"/>
    <col min="8405" max="8407" width="2.3984375" style="1188"/>
    <col min="8408" max="8410" width="2.8984375" style="1188" bestFit="1" customWidth="1"/>
    <col min="8411" max="8412" width="2.3984375" style="1188"/>
    <col min="8413" max="8413" width="4.19921875" style="1188" bestFit="1" customWidth="1"/>
    <col min="8414" max="8414" width="2.3984375" style="1188"/>
    <col min="8415" max="8415" width="4.19921875" style="1188" bestFit="1" customWidth="1"/>
    <col min="8416" max="8417" width="2.3984375" style="1188"/>
    <col min="8418" max="8418" width="4.19921875" style="1188" bestFit="1" customWidth="1"/>
    <col min="8419" max="8419" width="2.3984375" style="1188"/>
    <col min="8420" max="8420" width="4.19921875" style="1188" bestFit="1" customWidth="1"/>
    <col min="8421" max="8423" width="2.3984375" style="1188"/>
    <col min="8424" max="8426" width="2.8984375" style="1188" bestFit="1" customWidth="1"/>
    <col min="8427" max="8428" width="2.3984375" style="1188"/>
    <col min="8429" max="8429" width="4.19921875" style="1188" bestFit="1" customWidth="1"/>
    <col min="8430" max="8430" width="2.3984375" style="1188"/>
    <col min="8431" max="8431" width="4.19921875" style="1188" bestFit="1" customWidth="1"/>
    <col min="8432" max="8433" width="2.3984375" style="1188"/>
    <col min="8434" max="8434" width="4.19921875" style="1188" bestFit="1" customWidth="1"/>
    <col min="8435" max="8435" width="2.3984375" style="1188"/>
    <col min="8436" max="8436" width="4.19921875" style="1188" bestFit="1" customWidth="1"/>
    <col min="8437" max="8439" width="2.3984375" style="1188"/>
    <col min="8440" max="8442" width="2.8984375" style="1188" bestFit="1" customWidth="1"/>
    <col min="8443" max="8444" width="2.3984375" style="1188"/>
    <col min="8445" max="8445" width="4.19921875" style="1188" bestFit="1" customWidth="1"/>
    <col min="8446" max="8446" width="2.3984375" style="1188"/>
    <col min="8447" max="8447" width="4.19921875" style="1188" bestFit="1" customWidth="1"/>
    <col min="8448" max="8449" width="2.3984375" style="1188"/>
    <col min="8450" max="8450" width="4.19921875" style="1188" bestFit="1" customWidth="1"/>
    <col min="8451" max="8451" width="2.3984375" style="1188"/>
    <col min="8452" max="8452" width="4.19921875" style="1188" bestFit="1" customWidth="1"/>
    <col min="8453" max="8455" width="2.3984375" style="1188"/>
    <col min="8456" max="8458" width="2.8984375" style="1188" bestFit="1" customWidth="1"/>
    <col min="8459" max="8460" width="2.3984375" style="1188"/>
    <col min="8461" max="8461" width="4.19921875" style="1188" bestFit="1" customWidth="1"/>
    <col min="8462" max="8462" width="2.3984375" style="1188"/>
    <col min="8463" max="8463" width="4.19921875" style="1188" bestFit="1" customWidth="1"/>
    <col min="8464" max="8465" width="2.3984375" style="1188"/>
    <col min="8466" max="8466" width="4.19921875" style="1188" bestFit="1" customWidth="1"/>
    <col min="8467" max="8467" width="2.3984375" style="1188"/>
    <col min="8468" max="8468" width="4.19921875" style="1188" bestFit="1" customWidth="1"/>
    <col min="8469" max="8471" width="2.3984375" style="1188"/>
    <col min="8472" max="8474" width="2.8984375" style="1188" bestFit="1" customWidth="1"/>
    <col min="8475" max="8476" width="2.3984375" style="1188"/>
    <col min="8477" max="8477" width="4.19921875" style="1188" bestFit="1" customWidth="1"/>
    <col min="8478" max="8478" width="2.3984375" style="1188"/>
    <col min="8479" max="8479" width="4.19921875" style="1188" bestFit="1" customWidth="1"/>
    <col min="8480" max="8481" width="2.3984375" style="1188"/>
    <col min="8482" max="8482" width="4.19921875" style="1188" bestFit="1" customWidth="1"/>
    <col min="8483" max="8483" width="2.3984375" style="1188"/>
    <col min="8484" max="8484" width="4.19921875" style="1188" bestFit="1" customWidth="1"/>
    <col min="8485" max="8487" width="2.3984375" style="1188"/>
    <col min="8488" max="8490" width="2.8984375" style="1188" bestFit="1" customWidth="1"/>
    <col min="8491" max="8492" width="2.3984375" style="1188"/>
    <col min="8493" max="8493" width="4.19921875" style="1188" bestFit="1" customWidth="1"/>
    <col min="8494" max="8494" width="2.3984375" style="1188"/>
    <col min="8495" max="8495" width="4.19921875" style="1188" bestFit="1" customWidth="1"/>
    <col min="8496" max="8497" width="2.3984375" style="1188"/>
    <col min="8498" max="8498" width="4.19921875" style="1188" bestFit="1" customWidth="1"/>
    <col min="8499" max="8499" width="2.3984375" style="1188"/>
    <col min="8500" max="8500" width="4.19921875" style="1188" bestFit="1" customWidth="1"/>
    <col min="8501" max="8503" width="2.3984375" style="1188"/>
    <col min="8504" max="8506" width="2.8984375" style="1188" bestFit="1" customWidth="1"/>
    <col min="8507" max="8508" width="2.3984375" style="1188"/>
    <col min="8509" max="8509" width="4.19921875" style="1188" bestFit="1" customWidth="1"/>
    <col min="8510" max="8510" width="2.3984375" style="1188"/>
    <col min="8511" max="8511" width="4.19921875" style="1188" bestFit="1" customWidth="1"/>
    <col min="8512" max="8513" width="2.3984375" style="1188"/>
    <col min="8514" max="8514" width="4.19921875" style="1188" bestFit="1" customWidth="1"/>
    <col min="8515" max="8515" width="2.3984375" style="1188"/>
    <col min="8516" max="8516" width="4.19921875" style="1188" bestFit="1" customWidth="1"/>
    <col min="8517" max="8519" width="2.3984375" style="1188"/>
    <col min="8520" max="8522" width="2.8984375" style="1188" bestFit="1" customWidth="1"/>
    <col min="8523" max="8524" width="2.3984375" style="1188"/>
    <col min="8525" max="8525" width="4.19921875" style="1188" bestFit="1" customWidth="1"/>
    <col min="8526" max="8526" width="2.3984375" style="1188"/>
    <col min="8527" max="8527" width="4.19921875" style="1188" bestFit="1" customWidth="1"/>
    <col min="8528" max="8529" width="2.3984375" style="1188"/>
    <col min="8530" max="8530" width="4.19921875" style="1188" bestFit="1" customWidth="1"/>
    <col min="8531" max="8531" width="2.3984375" style="1188"/>
    <col min="8532" max="8532" width="4.19921875" style="1188" bestFit="1" customWidth="1"/>
    <col min="8533" max="8535" width="2.3984375" style="1188"/>
    <col min="8536" max="8538" width="2.8984375" style="1188" bestFit="1" customWidth="1"/>
    <col min="8539" max="8540" width="2.3984375" style="1188"/>
    <col min="8541" max="8541" width="4.19921875" style="1188" bestFit="1" customWidth="1"/>
    <col min="8542" max="8542" width="2.3984375" style="1188"/>
    <col min="8543" max="8543" width="4.19921875" style="1188" bestFit="1" customWidth="1"/>
    <col min="8544" max="8545" width="2.3984375" style="1188"/>
    <col min="8546" max="8546" width="4.19921875" style="1188" bestFit="1" customWidth="1"/>
    <col min="8547" max="8547" width="2.3984375" style="1188"/>
    <col min="8548" max="8548" width="4.19921875" style="1188" bestFit="1" customWidth="1"/>
    <col min="8549" max="8551" width="2.3984375" style="1188"/>
    <col min="8552" max="8554" width="2.8984375" style="1188" bestFit="1" customWidth="1"/>
    <col min="8555" max="8556" width="2.3984375" style="1188"/>
    <col min="8557" max="8557" width="4.19921875" style="1188" bestFit="1" customWidth="1"/>
    <col min="8558" max="8558" width="2.3984375" style="1188"/>
    <col min="8559" max="8559" width="4.19921875" style="1188" bestFit="1" customWidth="1"/>
    <col min="8560" max="8561" width="2.3984375" style="1188"/>
    <col min="8562" max="8562" width="4.19921875" style="1188" bestFit="1" customWidth="1"/>
    <col min="8563" max="8563" width="2.3984375" style="1188"/>
    <col min="8564" max="8564" width="4.19921875" style="1188" bestFit="1" customWidth="1"/>
    <col min="8565" max="8567" width="2.3984375" style="1188"/>
    <col min="8568" max="8570" width="2.8984375" style="1188" bestFit="1" customWidth="1"/>
    <col min="8571" max="8572" width="2.3984375" style="1188"/>
    <col min="8573" max="8573" width="4.19921875" style="1188" bestFit="1" customWidth="1"/>
    <col min="8574" max="8574" width="2.3984375" style="1188"/>
    <col min="8575" max="8575" width="4.19921875" style="1188" bestFit="1" customWidth="1"/>
    <col min="8576" max="8577" width="2.3984375" style="1188"/>
    <col min="8578" max="8578" width="4.19921875" style="1188" bestFit="1" customWidth="1"/>
    <col min="8579" max="8579" width="2.3984375" style="1188"/>
    <col min="8580" max="8580" width="4.19921875" style="1188" bestFit="1" customWidth="1"/>
    <col min="8581" max="8583" width="2.3984375" style="1188"/>
    <col min="8584" max="8586" width="2.8984375" style="1188" bestFit="1" customWidth="1"/>
    <col min="8587" max="8588" width="2.3984375" style="1188"/>
    <col min="8589" max="8589" width="4.19921875" style="1188" bestFit="1" customWidth="1"/>
    <col min="8590" max="8590" width="2.3984375" style="1188"/>
    <col min="8591" max="8591" width="4.19921875" style="1188" bestFit="1" customWidth="1"/>
    <col min="8592" max="8593" width="2.3984375" style="1188"/>
    <col min="8594" max="8594" width="4.19921875" style="1188" bestFit="1" customWidth="1"/>
    <col min="8595" max="8595" width="2.3984375" style="1188"/>
    <col min="8596" max="8596" width="4.19921875" style="1188" bestFit="1" customWidth="1"/>
    <col min="8597" max="8599" width="2.3984375" style="1188"/>
    <col min="8600" max="8602" width="2.8984375" style="1188" bestFit="1" customWidth="1"/>
    <col min="8603" max="8604" width="2.3984375" style="1188"/>
    <col min="8605" max="8605" width="4.19921875" style="1188" bestFit="1" customWidth="1"/>
    <col min="8606" max="8606" width="2.3984375" style="1188"/>
    <col min="8607" max="8607" width="4.19921875" style="1188" bestFit="1" customWidth="1"/>
    <col min="8608" max="8609" width="2.3984375" style="1188"/>
    <col min="8610" max="8610" width="4.19921875" style="1188" bestFit="1" customWidth="1"/>
    <col min="8611" max="8611" width="2.3984375" style="1188"/>
    <col min="8612" max="8612" width="4.19921875" style="1188" bestFit="1" customWidth="1"/>
    <col min="8613" max="8615" width="2.3984375" style="1188"/>
    <col min="8616" max="8618" width="2.8984375" style="1188" bestFit="1" customWidth="1"/>
    <col min="8619" max="8620" width="2.3984375" style="1188"/>
    <col min="8621" max="8621" width="4.19921875" style="1188" bestFit="1" customWidth="1"/>
    <col min="8622" max="8622" width="2.3984375" style="1188"/>
    <col min="8623" max="8623" width="4.19921875" style="1188" bestFit="1" customWidth="1"/>
    <col min="8624" max="8625" width="2.3984375" style="1188"/>
    <col min="8626" max="8626" width="4.19921875" style="1188" bestFit="1" customWidth="1"/>
    <col min="8627" max="8627" width="2.3984375" style="1188"/>
    <col min="8628" max="8628" width="4.19921875" style="1188" bestFit="1" customWidth="1"/>
    <col min="8629" max="8631" width="2.3984375" style="1188"/>
    <col min="8632" max="8634" width="2.8984375" style="1188" bestFit="1" customWidth="1"/>
    <col min="8635" max="8636" width="2.3984375" style="1188"/>
    <col min="8637" max="8637" width="4.19921875" style="1188" bestFit="1" customWidth="1"/>
    <col min="8638" max="8638" width="2.3984375" style="1188"/>
    <col min="8639" max="8639" width="4.19921875" style="1188" bestFit="1" customWidth="1"/>
    <col min="8640" max="8641" width="2.3984375" style="1188"/>
    <col min="8642" max="8642" width="4.19921875" style="1188" bestFit="1" customWidth="1"/>
    <col min="8643" max="8643" width="2.3984375" style="1188"/>
    <col min="8644" max="8644" width="4.19921875" style="1188" bestFit="1" customWidth="1"/>
    <col min="8645" max="8647" width="2.3984375" style="1188"/>
    <col min="8648" max="8650" width="2.8984375" style="1188" bestFit="1" customWidth="1"/>
    <col min="8651" max="8652" width="2.3984375" style="1188"/>
    <col min="8653" max="8653" width="4.19921875" style="1188" bestFit="1" customWidth="1"/>
    <col min="8654" max="8654" width="2.3984375" style="1188"/>
    <col min="8655" max="8655" width="4.19921875" style="1188" bestFit="1" customWidth="1"/>
    <col min="8656" max="8657" width="2.3984375" style="1188"/>
    <col min="8658" max="8658" width="4.19921875" style="1188" bestFit="1" customWidth="1"/>
    <col min="8659" max="8659" width="2.3984375" style="1188"/>
    <col min="8660" max="8660" width="4.19921875" style="1188" bestFit="1" customWidth="1"/>
    <col min="8661" max="8663" width="2.3984375" style="1188"/>
    <col min="8664" max="8666" width="2.8984375" style="1188" bestFit="1" customWidth="1"/>
    <col min="8667" max="8668" width="2.3984375" style="1188"/>
    <col min="8669" max="8669" width="4.19921875" style="1188" bestFit="1" customWidth="1"/>
    <col min="8670" max="8670" width="2.3984375" style="1188"/>
    <col min="8671" max="8671" width="4.19921875" style="1188" bestFit="1" customWidth="1"/>
    <col min="8672" max="8673" width="2.3984375" style="1188"/>
    <col min="8674" max="8674" width="4.19921875" style="1188" bestFit="1" customWidth="1"/>
    <col min="8675" max="8675" width="2.3984375" style="1188"/>
    <col min="8676" max="8676" width="4.19921875" style="1188" bestFit="1" customWidth="1"/>
    <col min="8677" max="8679" width="2.3984375" style="1188"/>
    <col min="8680" max="8682" width="2.8984375" style="1188" bestFit="1" customWidth="1"/>
    <col min="8683" max="8684" width="2.3984375" style="1188"/>
    <col min="8685" max="8685" width="4.19921875" style="1188" bestFit="1" customWidth="1"/>
    <col min="8686" max="8686" width="2.3984375" style="1188"/>
    <col min="8687" max="8687" width="4.19921875" style="1188" bestFit="1" customWidth="1"/>
    <col min="8688" max="8689" width="2.3984375" style="1188"/>
    <col min="8690" max="8690" width="4.19921875" style="1188" bestFit="1" customWidth="1"/>
    <col min="8691" max="8691" width="2.3984375" style="1188"/>
    <col min="8692" max="8692" width="4.19921875" style="1188" bestFit="1" customWidth="1"/>
    <col min="8693" max="8695" width="2.3984375" style="1188"/>
    <col min="8696" max="8698" width="2.8984375" style="1188" bestFit="1" customWidth="1"/>
    <col min="8699" max="8700" width="2.3984375" style="1188"/>
    <col min="8701" max="8701" width="4.19921875" style="1188" bestFit="1" customWidth="1"/>
    <col min="8702" max="8702" width="2.3984375" style="1188"/>
    <col min="8703" max="8703" width="4.19921875" style="1188" bestFit="1" customWidth="1"/>
    <col min="8704" max="8705" width="2.3984375" style="1188"/>
    <col min="8706" max="8706" width="4.19921875" style="1188" bestFit="1" customWidth="1"/>
    <col min="8707" max="8707" width="2.3984375" style="1188"/>
    <col min="8708" max="8708" width="4.19921875" style="1188" bestFit="1" customWidth="1"/>
    <col min="8709" max="8711" width="2.3984375" style="1188"/>
    <col min="8712" max="8714" width="2.8984375" style="1188" bestFit="1" customWidth="1"/>
    <col min="8715" max="8716" width="2.3984375" style="1188"/>
    <col min="8717" max="8717" width="4.19921875" style="1188" bestFit="1" customWidth="1"/>
    <col min="8718" max="8718" width="2.3984375" style="1188"/>
    <col min="8719" max="8719" width="4.19921875" style="1188" bestFit="1" customWidth="1"/>
    <col min="8720" max="8721" width="2.3984375" style="1188"/>
    <col min="8722" max="8722" width="4.19921875" style="1188" bestFit="1" customWidth="1"/>
    <col min="8723" max="8723" width="2.3984375" style="1188"/>
    <col min="8724" max="8724" width="4.19921875" style="1188" bestFit="1" customWidth="1"/>
    <col min="8725" max="8727" width="2.3984375" style="1188"/>
    <col min="8728" max="8730" width="2.8984375" style="1188" bestFit="1" customWidth="1"/>
    <col min="8731" max="8732" width="2.3984375" style="1188"/>
    <col min="8733" max="8733" width="4.19921875" style="1188" bestFit="1" customWidth="1"/>
    <col min="8734" max="8734" width="2.3984375" style="1188"/>
    <col min="8735" max="8735" width="4.19921875" style="1188" bestFit="1" customWidth="1"/>
    <col min="8736" max="8737" width="2.3984375" style="1188"/>
    <col min="8738" max="8738" width="4.19921875" style="1188" bestFit="1" customWidth="1"/>
    <col min="8739" max="8739" width="2.3984375" style="1188"/>
    <col min="8740" max="8740" width="4.19921875" style="1188" bestFit="1" customWidth="1"/>
    <col min="8741" max="8743" width="2.3984375" style="1188"/>
    <col min="8744" max="8746" width="2.8984375" style="1188" bestFit="1" customWidth="1"/>
    <col min="8747" max="8748" width="2.3984375" style="1188"/>
    <col min="8749" max="8749" width="4.19921875" style="1188" bestFit="1" customWidth="1"/>
    <col min="8750" max="8750" width="2.3984375" style="1188"/>
    <col min="8751" max="8751" width="4.19921875" style="1188" bestFit="1" customWidth="1"/>
    <col min="8752" max="8753" width="2.3984375" style="1188"/>
    <col min="8754" max="8754" width="4.19921875" style="1188" bestFit="1" customWidth="1"/>
    <col min="8755" max="8755" width="2.3984375" style="1188"/>
    <col min="8756" max="8756" width="4.19921875" style="1188" bestFit="1" customWidth="1"/>
    <col min="8757" max="8759" width="2.3984375" style="1188"/>
    <col min="8760" max="8762" width="2.8984375" style="1188" bestFit="1" customWidth="1"/>
    <col min="8763" max="8764" width="2.3984375" style="1188"/>
    <col min="8765" max="8765" width="4.19921875" style="1188" bestFit="1" customWidth="1"/>
    <col min="8766" max="8766" width="2.3984375" style="1188"/>
    <col min="8767" max="8767" width="4.19921875" style="1188" bestFit="1" customWidth="1"/>
    <col min="8768" max="8769" width="2.3984375" style="1188"/>
    <col min="8770" max="8770" width="4.19921875" style="1188" bestFit="1" customWidth="1"/>
    <col min="8771" max="8771" width="2.3984375" style="1188"/>
    <col min="8772" max="8772" width="4.19921875" style="1188" bestFit="1" customWidth="1"/>
    <col min="8773" max="8775" width="2.3984375" style="1188"/>
    <col min="8776" max="8778" width="2.8984375" style="1188" bestFit="1" customWidth="1"/>
    <col min="8779" max="8780" width="2.3984375" style="1188"/>
    <col min="8781" max="8781" width="4.19921875" style="1188" bestFit="1" customWidth="1"/>
    <col min="8782" max="8782" width="2.3984375" style="1188"/>
    <col min="8783" max="8783" width="4.19921875" style="1188" bestFit="1" customWidth="1"/>
    <col min="8784" max="8785" width="2.3984375" style="1188"/>
    <col min="8786" max="8786" width="4.19921875" style="1188" bestFit="1" customWidth="1"/>
    <col min="8787" max="8787" width="2.3984375" style="1188"/>
    <col min="8788" max="8788" width="4.19921875" style="1188" bestFit="1" customWidth="1"/>
    <col min="8789" max="8791" width="2.3984375" style="1188"/>
    <col min="8792" max="8794" width="2.8984375" style="1188" bestFit="1" customWidth="1"/>
    <col min="8795" max="8796" width="2.3984375" style="1188"/>
    <col min="8797" max="8797" width="4.19921875" style="1188" bestFit="1" customWidth="1"/>
    <col min="8798" max="8798" width="2.3984375" style="1188"/>
    <col min="8799" max="8799" width="4.19921875" style="1188" bestFit="1" customWidth="1"/>
    <col min="8800" max="8801" width="2.3984375" style="1188"/>
    <col min="8802" max="8802" width="4.19921875" style="1188" bestFit="1" customWidth="1"/>
    <col min="8803" max="8803" width="2.3984375" style="1188"/>
    <col min="8804" max="8804" width="4.19921875" style="1188" bestFit="1" customWidth="1"/>
    <col min="8805" max="8807" width="2.3984375" style="1188"/>
    <col min="8808" max="8810" width="2.8984375" style="1188" bestFit="1" customWidth="1"/>
    <col min="8811" max="8812" width="2.3984375" style="1188"/>
    <col min="8813" max="8813" width="4.19921875" style="1188" bestFit="1" customWidth="1"/>
    <col min="8814" max="8814" width="2.3984375" style="1188"/>
    <col min="8815" max="8815" width="4.19921875" style="1188" bestFit="1" customWidth="1"/>
    <col min="8816" max="8817" width="2.3984375" style="1188"/>
    <col min="8818" max="8818" width="4.19921875" style="1188" bestFit="1" customWidth="1"/>
    <col min="8819" max="8819" width="2.3984375" style="1188"/>
    <col min="8820" max="8820" width="4.19921875" style="1188" bestFit="1" customWidth="1"/>
    <col min="8821" max="8823" width="2.3984375" style="1188"/>
    <col min="8824" max="8826" width="2.8984375" style="1188" bestFit="1" customWidth="1"/>
    <col min="8827" max="8828" width="2.3984375" style="1188"/>
    <col min="8829" max="8829" width="4.19921875" style="1188" bestFit="1" customWidth="1"/>
    <col min="8830" max="8830" width="2.3984375" style="1188"/>
    <col min="8831" max="8831" width="4.19921875" style="1188" bestFit="1" customWidth="1"/>
    <col min="8832" max="8833" width="2.3984375" style="1188"/>
    <col min="8834" max="8834" width="4.19921875" style="1188" bestFit="1" customWidth="1"/>
    <col min="8835" max="8835" width="2.3984375" style="1188"/>
    <col min="8836" max="8836" width="4.19921875" style="1188" bestFit="1" customWidth="1"/>
    <col min="8837" max="8839" width="2.3984375" style="1188"/>
    <col min="8840" max="8842" width="2.8984375" style="1188" bestFit="1" customWidth="1"/>
    <col min="8843" max="8844" width="2.3984375" style="1188"/>
    <col min="8845" max="8845" width="4.19921875" style="1188" bestFit="1" customWidth="1"/>
    <col min="8846" max="8846" width="2.3984375" style="1188"/>
    <col min="8847" max="8847" width="4.19921875" style="1188" bestFit="1" customWidth="1"/>
    <col min="8848" max="8849" width="2.3984375" style="1188"/>
    <col min="8850" max="8850" width="4.19921875" style="1188" bestFit="1" customWidth="1"/>
    <col min="8851" max="8851" width="2.3984375" style="1188"/>
    <col min="8852" max="8852" width="4.19921875" style="1188" bestFit="1" customWidth="1"/>
    <col min="8853" max="8855" width="2.3984375" style="1188"/>
    <col min="8856" max="8858" width="2.8984375" style="1188" bestFit="1" customWidth="1"/>
    <col min="8859" max="8860" width="2.3984375" style="1188"/>
    <col min="8861" max="8861" width="4.19921875" style="1188" bestFit="1" customWidth="1"/>
    <col min="8862" max="8862" width="2.3984375" style="1188"/>
    <col min="8863" max="8863" width="4.19921875" style="1188" bestFit="1" customWidth="1"/>
    <col min="8864" max="8865" width="2.3984375" style="1188"/>
    <col min="8866" max="8866" width="4.19921875" style="1188" bestFit="1" customWidth="1"/>
    <col min="8867" max="8867" width="2.3984375" style="1188"/>
    <col min="8868" max="8868" width="4.19921875" style="1188" bestFit="1" customWidth="1"/>
    <col min="8869" max="8871" width="2.3984375" style="1188"/>
    <col min="8872" max="8874" width="2.8984375" style="1188" bestFit="1" customWidth="1"/>
    <col min="8875" max="8876" width="2.3984375" style="1188"/>
    <col min="8877" max="8877" width="4.19921875" style="1188" bestFit="1" customWidth="1"/>
    <col min="8878" max="8878" width="2.3984375" style="1188"/>
    <col min="8879" max="8879" width="4.19921875" style="1188" bestFit="1" customWidth="1"/>
    <col min="8880" max="8881" width="2.3984375" style="1188"/>
    <col min="8882" max="8882" width="4.19921875" style="1188" bestFit="1" customWidth="1"/>
    <col min="8883" max="8883" width="2.3984375" style="1188"/>
    <col min="8884" max="8884" width="4.19921875" style="1188" bestFit="1" customWidth="1"/>
    <col min="8885" max="8887" width="2.3984375" style="1188"/>
    <col min="8888" max="8890" width="2.8984375" style="1188" bestFit="1" customWidth="1"/>
    <col min="8891" max="8892" width="2.3984375" style="1188"/>
    <col min="8893" max="8893" width="4.19921875" style="1188" bestFit="1" customWidth="1"/>
    <col min="8894" max="8894" width="2.3984375" style="1188"/>
    <col min="8895" max="8895" width="4.19921875" style="1188" bestFit="1" customWidth="1"/>
    <col min="8896" max="8897" width="2.3984375" style="1188"/>
    <col min="8898" max="8898" width="4.19921875" style="1188" bestFit="1" customWidth="1"/>
    <col min="8899" max="8899" width="2.3984375" style="1188"/>
    <col min="8900" max="8900" width="4.19921875" style="1188" bestFit="1" customWidth="1"/>
    <col min="8901" max="8903" width="2.3984375" style="1188"/>
    <col min="8904" max="8906" width="2.8984375" style="1188" bestFit="1" customWidth="1"/>
    <col min="8907" max="8908" width="2.3984375" style="1188"/>
    <col min="8909" max="8909" width="4.19921875" style="1188" bestFit="1" customWidth="1"/>
    <col min="8910" max="8910" width="2.3984375" style="1188"/>
    <col min="8911" max="8911" width="4.19921875" style="1188" bestFit="1" customWidth="1"/>
    <col min="8912" max="8913" width="2.3984375" style="1188"/>
    <col min="8914" max="8914" width="4.19921875" style="1188" bestFit="1" customWidth="1"/>
    <col min="8915" max="8915" width="2.3984375" style="1188"/>
    <col min="8916" max="8916" width="4.19921875" style="1188" bestFit="1" customWidth="1"/>
    <col min="8917" max="8919" width="2.3984375" style="1188"/>
    <col min="8920" max="8922" width="2.8984375" style="1188" bestFit="1" customWidth="1"/>
    <col min="8923" max="8924" width="2.3984375" style="1188"/>
    <col min="8925" max="8925" width="4.19921875" style="1188" bestFit="1" customWidth="1"/>
    <col min="8926" max="8926" width="2.3984375" style="1188"/>
    <col min="8927" max="8927" width="4.19921875" style="1188" bestFit="1" customWidth="1"/>
    <col min="8928" max="8929" width="2.3984375" style="1188"/>
    <col min="8930" max="8930" width="4.19921875" style="1188" bestFit="1" customWidth="1"/>
    <col min="8931" max="8931" width="2.3984375" style="1188"/>
    <col min="8932" max="8932" width="4.19921875" style="1188" bestFit="1" customWidth="1"/>
    <col min="8933" max="8935" width="2.3984375" style="1188"/>
    <col min="8936" max="8938" width="2.8984375" style="1188" bestFit="1" customWidth="1"/>
    <col min="8939" max="8940" width="2.3984375" style="1188"/>
    <col min="8941" max="8941" width="4.19921875" style="1188" bestFit="1" customWidth="1"/>
    <col min="8942" max="8942" width="2.3984375" style="1188"/>
    <col min="8943" max="8943" width="4.19921875" style="1188" bestFit="1" customWidth="1"/>
    <col min="8944" max="8945" width="2.3984375" style="1188"/>
    <col min="8946" max="8946" width="4.19921875" style="1188" bestFit="1" customWidth="1"/>
    <col min="8947" max="8947" width="2.3984375" style="1188"/>
    <col min="8948" max="8948" width="4.19921875" style="1188" bestFit="1" customWidth="1"/>
    <col min="8949" max="8951" width="2.3984375" style="1188"/>
    <col min="8952" max="8954" width="2.8984375" style="1188" bestFit="1" customWidth="1"/>
    <col min="8955" max="8956" width="2.3984375" style="1188"/>
    <col min="8957" max="8957" width="4.19921875" style="1188" bestFit="1" customWidth="1"/>
    <col min="8958" max="8958" width="2.3984375" style="1188"/>
    <col min="8959" max="8959" width="4.19921875" style="1188" bestFit="1" customWidth="1"/>
    <col min="8960" max="8961" width="2.3984375" style="1188"/>
    <col min="8962" max="8962" width="4.19921875" style="1188" bestFit="1" customWidth="1"/>
    <col min="8963" max="8963" width="2.3984375" style="1188"/>
    <col min="8964" max="8964" width="4.19921875" style="1188" bestFit="1" customWidth="1"/>
    <col min="8965" max="8967" width="2.3984375" style="1188"/>
    <col min="8968" max="8970" width="2.8984375" style="1188" bestFit="1" customWidth="1"/>
    <col min="8971" max="8972" width="2.3984375" style="1188"/>
    <col min="8973" max="8973" width="4.19921875" style="1188" bestFit="1" customWidth="1"/>
    <col min="8974" max="8974" width="2.3984375" style="1188"/>
    <col min="8975" max="8975" width="4.19921875" style="1188" bestFit="1" customWidth="1"/>
    <col min="8976" max="8977" width="2.3984375" style="1188"/>
    <col min="8978" max="8978" width="4.19921875" style="1188" bestFit="1" customWidth="1"/>
    <col min="8979" max="8979" width="2.3984375" style="1188"/>
    <col min="8980" max="8980" width="4.19921875" style="1188" bestFit="1" customWidth="1"/>
    <col min="8981" max="8983" width="2.3984375" style="1188"/>
    <col min="8984" max="8986" width="2.8984375" style="1188" bestFit="1" customWidth="1"/>
    <col min="8987" max="8988" width="2.3984375" style="1188"/>
    <col min="8989" max="8989" width="4.19921875" style="1188" bestFit="1" customWidth="1"/>
    <col min="8990" max="8990" width="2.3984375" style="1188"/>
    <col min="8991" max="8991" width="4.19921875" style="1188" bestFit="1" customWidth="1"/>
    <col min="8992" max="8993" width="2.3984375" style="1188"/>
    <col min="8994" max="8994" width="4.19921875" style="1188" bestFit="1" customWidth="1"/>
    <col min="8995" max="8995" width="2.3984375" style="1188"/>
    <col min="8996" max="8996" width="4.19921875" style="1188" bestFit="1" customWidth="1"/>
    <col min="8997" max="8999" width="2.3984375" style="1188"/>
    <col min="9000" max="9002" width="2.8984375" style="1188" bestFit="1" customWidth="1"/>
    <col min="9003" max="9004" width="2.3984375" style="1188"/>
    <col min="9005" max="9005" width="4.19921875" style="1188" bestFit="1" customWidth="1"/>
    <col min="9006" max="9006" width="2.3984375" style="1188"/>
    <col min="9007" max="9007" width="4.19921875" style="1188" bestFit="1" customWidth="1"/>
    <col min="9008" max="9009" width="2.3984375" style="1188"/>
    <col min="9010" max="9010" width="4.19921875" style="1188" bestFit="1" customWidth="1"/>
    <col min="9011" max="9011" width="2.3984375" style="1188"/>
    <col min="9012" max="9012" width="4.19921875" style="1188" bestFit="1" customWidth="1"/>
    <col min="9013" max="9015" width="2.3984375" style="1188"/>
    <col min="9016" max="9018" width="2.8984375" style="1188" bestFit="1" customWidth="1"/>
    <col min="9019" max="9020" width="2.3984375" style="1188"/>
    <col min="9021" max="9021" width="4.19921875" style="1188" bestFit="1" customWidth="1"/>
    <col min="9022" max="9022" width="2.3984375" style="1188"/>
    <col min="9023" max="9023" width="4.19921875" style="1188" bestFit="1" customWidth="1"/>
    <col min="9024" max="9025" width="2.3984375" style="1188"/>
    <col min="9026" max="9026" width="4.19921875" style="1188" bestFit="1" customWidth="1"/>
    <col min="9027" max="9027" width="2.3984375" style="1188"/>
    <col min="9028" max="9028" width="4.19921875" style="1188" bestFit="1" customWidth="1"/>
    <col min="9029" max="9031" width="2.3984375" style="1188"/>
    <col min="9032" max="9034" width="2.8984375" style="1188" bestFit="1" customWidth="1"/>
    <col min="9035" max="9036" width="2.3984375" style="1188"/>
    <col min="9037" max="9037" width="4.19921875" style="1188" bestFit="1" customWidth="1"/>
    <col min="9038" max="9038" width="2.3984375" style="1188"/>
    <col min="9039" max="9039" width="4.19921875" style="1188" bestFit="1" customWidth="1"/>
    <col min="9040" max="9041" width="2.3984375" style="1188"/>
    <col min="9042" max="9042" width="4.19921875" style="1188" bestFit="1" customWidth="1"/>
    <col min="9043" max="9043" width="2.3984375" style="1188"/>
    <col min="9044" max="9044" width="4.19921875" style="1188" bestFit="1" customWidth="1"/>
    <col min="9045" max="9047" width="2.3984375" style="1188"/>
    <col min="9048" max="9050" width="2.8984375" style="1188" bestFit="1" customWidth="1"/>
    <col min="9051" max="9052" width="2.3984375" style="1188"/>
    <col min="9053" max="9053" width="4.19921875" style="1188" bestFit="1" customWidth="1"/>
    <col min="9054" max="9054" width="2.3984375" style="1188"/>
    <col min="9055" max="9055" width="4.19921875" style="1188" bestFit="1" customWidth="1"/>
    <col min="9056" max="9057" width="2.3984375" style="1188"/>
    <col min="9058" max="9058" width="4.19921875" style="1188" bestFit="1" customWidth="1"/>
    <col min="9059" max="9059" width="2.3984375" style="1188"/>
    <col min="9060" max="9060" width="4.19921875" style="1188" bestFit="1" customWidth="1"/>
    <col min="9061" max="9063" width="2.3984375" style="1188"/>
    <col min="9064" max="9066" width="2.8984375" style="1188" bestFit="1" customWidth="1"/>
    <col min="9067" max="9068" width="2.3984375" style="1188"/>
    <col min="9069" max="9069" width="4.19921875" style="1188" bestFit="1" customWidth="1"/>
    <col min="9070" max="9070" width="2.3984375" style="1188"/>
    <col min="9071" max="9071" width="4.19921875" style="1188" bestFit="1" customWidth="1"/>
    <col min="9072" max="9073" width="2.3984375" style="1188"/>
    <col min="9074" max="9074" width="4.19921875" style="1188" bestFit="1" customWidth="1"/>
    <col min="9075" max="9075" width="2.3984375" style="1188"/>
    <col min="9076" max="9076" width="4.19921875" style="1188" bestFit="1" customWidth="1"/>
    <col min="9077" max="9079" width="2.3984375" style="1188"/>
    <col min="9080" max="9082" width="2.8984375" style="1188" bestFit="1" customWidth="1"/>
    <col min="9083" max="9084" width="2.3984375" style="1188"/>
    <col min="9085" max="9085" width="4.19921875" style="1188" bestFit="1" customWidth="1"/>
    <col min="9086" max="9086" width="2.3984375" style="1188"/>
    <col min="9087" max="9087" width="4.19921875" style="1188" bestFit="1" customWidth="1"/>
    <col min="9088" max="9089" width="2.3984375" style="1188"/>
    <col min="9090" max="9090" width="4.19921875" style="1188" bestFit="1" customWidth="1"/>
    <col min="9091" max="9091" width="2.3984375" style="1188"/>
    <col min="9092" max="9092" width="4.19921875" style="1188" bestFit="1" customWidth="1"/>
    <col min="9093" max="9095" width="2.3984375" style="1188"/>
    <col min="9096" max="9098" width="2.8984375" style="1188" bestFit="1" customWidth="1"/>
    <col min="9099" max="9100" width="2.3984375" style="1188"/>
    <col min="9101" max="9101" width="4.19921875" style="1188" bestFit="1" customWidth="1"/>
    <col min="9102" max="9102" width="2.3984375" style="1188"/>
    <col min="9103" max="9103" width="4.19921875" style="1188" bestFit="1" customWidth="1"/>
    <col min="9104" max="9105" width="2.3984375" style="1188"/>
    <col min="9106" max="9106" width="4.19921875" style="1188" bestFit="1" customWidth="1"/>
    <col min="9107" max="9107" width="2.3984375" style="1188"/>
    <col min="9108" max="9108" width="4.19921875" style="1188" bestFit="1" customWidth="1"/>
    <col min="9109" max="9111" width="2.3984375" style="1188"/>
    <col min="9112" max="9114" width="2.8984375" style="1188" bestFit="1" customWidth="1"/>
    <col min="9115" max="9116" width="2.3984375" style="1188"/>
    <col min="9117" max="9117" width="4.19921875" style="1188" bestFit="1" customWidth="1"/>
    <col min="9118" max="9118" width="2.3984375" style="1188"/>
    <col min="9119" max="9119" width="4.19921875" style="1188" bestFit="1" customWidth="1"/>
    <col min="9120" max="9121" width="2.3984375" style="1188"/>
    <col min="9122" max="9122" width="4.19921875" style="1188" bestFit="1" customWidth="1"/>
    <col min="9123" max="9123" width="2.3984375" style="1188"/>
    <col min="9124" max="9124" width="4.19921875" style="1188" bestFit="1" customWidth="1"/>
    <col min="9125" max="9127" width="2.3984375" style="1188"/>
    <col min="9128" max="9130" width="2.8984375" style="1188" bestFit="1" customWidth="1"/>
    <col min="9131" max="9132" width="2.3984375" style="1188"/>
    <col min="9133" max="9133" width="4.19921875" style="1188" bestFit="1" customWidth="1"/>
    <col min="9134" max="9134" width="2.3984375" style="1188"/>
    <col min="9135" max="9135" width="4.19921875" style="1188" bestFit="1" customWidth="1"/>
    <col min="9136" max="9137" width="2.3984375" style="1188"/>
    <col min="9138" max="9138" width="4.19921875" style="1188" bestFit="1" customWidth="1"/>
    <col min="9139" max="9139" width="2.3984375" style="1188"/>
    <col min="9140" max="9140" width="4.19921875" style="1188" bestFit="1" customWidth="1"/>
    <col min="9141" max="9143" width="2.3984375" style="1188"/>
    <col min="9144" max="9146" width="2.8984375" style="1188" bestFit="1" customWidth="1"/>
    <col min="9147" max="9148" width="2.3984375" style="1188"/>
    <col min="9149" max="9149" width="4.19921875" style="1188" bestFit="1" customWidth="1"/>
    <col min="9150" max="9150" width="2.3984375" style="1188"/>
    <col min="9151" max="9151" width="4.19921875" style="1188" bestFit="1" customWidth="1"/>
    <col min="9152" max="9153" width="2.3984375" style="1188"/>
    <col min="9154" max="9154" width="4.19921875" style="1188" bestFit="1" customWidth="1"/>
    <col min="9155" max="9155" width="2.3984375" style="1188"/>
    <col min="9156" max="9156" width="4.19921875" style="1188" bestFit="1" customWidth="1"/>
    <col min="9157" max="9159" width="2.3984375" style="1188"/>
    <col min="9160" max="9162" width="2.8984375" style="1188" bestFit="1" customWidth="1"/>
    <col min="9163" max="9164" width="2.3984375" style="1188"/>
    <col min="9165" max="9165" width="4.19921875" style="1188" bestFit="1" customWidth="1"/>
    <col min="9166" max="9166" width="2.3984375" style="1188"/>
    <col min="9167" max="9167" width="4.19921875" style="1188" bestFit="1" customWidth="1"/>
    <col min="9168" max="9169" width="2.3984375" style="1188"/>
    <col min="9170" max="9170" width="4.19921875" style="1188" bestFit="1" customWidth="1"/>
    <col min="9171" max="9171" width="2.3984375" style="1188"/>
    <col min="9172" max="9172" width="4.19921875" style="1188" bestFit="1" customWidth="1"/>
    <col min="9173" max="9175" width="2.3984375" style="1188"/>
    <col min="9176" max="9178" width="2.8984375" style="1188" bestFit="1" customWidth="1"/>
    <col min="9179" max="9180" width="2.3984375" style="1188"/>
    <col min="9181" max="9181" width="4.19921875" style="1188" bestFit="1" customWidth="1"/>
    <col min="9182" max="9182" width="2.3984375" style="1188"/>
    <col min="9183" max="9183" width="4.19921875" style="1188" bestFit="1" customWidth="1"/>
    <col min="9184" max="9185" width="2.3984375" style="1188"/>
    <col min="9186" max="9186" width="4.19921875" style="1188" bestFit="1" customWidth="1"/>
    <col min="9187" max="9187" width="2.3984375" style="1188"/>
    <col min="9188" max="9188" width="4.19921875" style="1188" bestFit="1" customWidth="1"/>
    <col min="9189" max="9191" width="2.3984375" style="1188"/>
    <col min="9192" max="9194" width="2.8984375" style="1188" bestFit="1" customWidth="1"/>
    <col min="9195" max="9196" width="2.3984375" style="1188"/>
    <col min="9197" max="9197" width="4.19921875" style="1188" bestFit="1" customWidth="1"/>
    <col min="9198" max="9198" width="2.3984375" style="1188"/>
    <col min="9199" max="9199" width="4.19921875" style="1188" bestFit="1" customWidth="1"/>
    <col min="9200" max="9201" width="2.3984375" style="1188"/>
    <col min="9202" max="9202" width="4.19921875" style="1188" bestFit="1" customWidth="1"/>
    <col min="9203" max="9203" width="2.3984375" style="1188"/>
    <col min="9204" max="9204" width="4.19921875" style="1188" bestFit="1" customWidth="1"/>
    <col min="9205" max="9207" width="2.3984375" style="1188"/>
    <col min="9208" max="9210" width="2.8984375" style="1188" bestFit="1" customWidth="1"/>
    <col min="9211" max="9212" width="2.3984375" style="1188"/>
    <col min="9213" max="9213" width="4.19921875" style="1188" bestFit="1" customWidth="1"/>
    <col min="9214" max="9214" width="2.3984375" style="1188"/>
    <col min="9215" max="9215" width="4.19921875" style="1188" bestFit="1" customWidth="1"/>
    <col min="9216" max="9217" width="2.3984375" style="1188"/>
    <col min="9218" max="9218" width="4.19921875" style="1188" bestFit="1" customWidth="1"/>
    <col min="9219" max="9219" width="2.3984375" style="1188"/>
    <col min="9220" max="9220" width="4.19921875" style="1188" bestFit="1" customWidth="1"/>
    <col min="9221" max="9223" width="2.3984375" style="1188"/>
    <col min="9224" max="9226" width="2.8984375" style="1188" bestFit="1" customWidth="1"/>
    <col min="9227" max="9228" width="2.3984375" style="1188"/>
    <col min="9229" max="9229" width="4.19921875" style="1188" bestFit="1" customWidth="1"/>
    <col min="9230" max="9230" width="2.3984375" style="1188"/>
    <col min="9231" max="9231" width="4.19921875" style="1188" bestFit="1" customWidth="1"/>
    <col min="9232" max="9233" width="2.3984375" style="1188"/>
    <col min="9234" max="9234" width="4.19921875" style="1188" bestFit="1" customWidth="1"/>
    <col min="9235" max="9235" width="2.3984375" style="1188"/>
    <col min="9236" max="9236" width="4.19921875" style="1188" bestFit="1" customWidth="1"/>
    <col min="9237" max="9239" width="2.3984375" style="1188"/>
    <col min="9240" max="9242" width="2.8984375" style="1188" bestFit="1" customWidth="1"/>
    <col min="9243" max="9244" width="2.3984375" style="1188"/>
    <col min="9245" max="9245" width="4.19921875" style="1188" bestFit="1" customWidth="1"/>
    <col min="9246" max="9246" width="2.3984375" style="1188"/>
    <col min="9247" max="9247" width="4.19921875" style="1188" bestFit="1" customWidth="1"/>
    <col min="9248" max="9249" width="2.3984375" style="1188"/>
    <col min="9250" max="9250" width="4.19921875" style="1188" bestFit="1" customWidth="1"/>
    <col min="9251" max="9251" width="2.3984375" style="1188"/>
    <col min="9252" max="9252" width="4.19921875" style="1188" bestFit="1" customWidth="1"/>
    <col min="9253" max="9255" width="2.3984375" style="1188"/>
    <col min="9256" max="9258" width="2.8984375" style="1188" bestFit="1" customWidth="1"/>
    <col min="9259" max="9260" width="2.3984375" style="1188"/>
    <col min="9261" max="9261" width="4.19921875" style="1188" bestFit="1" customWidth="1"/>
    <col min="9262" max="9262" width="2.3984375" style="1188"/>
    <col min="9263" max="9263" width="4.19921875" style="1188" bestFit="1" customWidth="1"/>
    <col min="9264" max="9265" width="2.3984375" style="1188"/>
    <col min="9266" max="9266" width="4.19921875" style="1188" bestFit="1" customWidth="1"/>
    <col min="9267" max="9267" width="2.3984375" style="1188"/>
    <col min="9268" max="9268" width="4.19921875" style="1188" bestFit="1" customWidth="1"/>
    <col min="9269" max="9271" width="2.3984375" style="1188"/>
    <col min="9272" max="9274" width="2.8984375" style="1188" bestFit="1" customWidth="1"/>
    <col min="9275" max="9276" width="2.3984375" style="1188"/>
    <col min="9277" max="9277" width="4.19921875" style="1188" bestFit="1" customWidth="1"/>
    <col min="9278" max="9278" width="2.3984375" style="1188"/>
    <col min="9279" max="9279" width="4.19921875" style="1188" bestFit="1" customWidth="1"/>
    <col min="9280" max="9281" width="2.3984375" style="1188"/>
    <col min="9282" max="9282" width="4.19921875" style="1188" bestFit="1" customWidth="1"/>
    <col min="9283" max="9283" width="2.3984375" style="1188"/>
    <col min="9284" max="9284" width="4.19921875" style="1188" bestFit="1" customWidth="1"/>
    <col min="9285" max="9287" width="2.3984375" style="1188"/>
    <col min="9288" max="9290" width="2.8984375" style="1188" bestFit="1" customWidth="1"/>
    <col min="9291" max="9292" width="2.3984375" style="1188"/>
    <col min="9293" max="9293" width="4.19921875" style="1188" bestFit="1" customWidth="1"/>
    <col min="9294" max="9294" width="2.3984375" style="1188"/>
    <col min="9295" max="9295" width="4.19921875" style="1188" bestFit="1" customWidth="1"/>
    <col min="9296" max="9297" width="2.3984375" style="1188"/>
    <col min="9298" max="9298" width="4.19921875" style="1188" bestFit="1" customWidth="1"/>
    <col min="9299" max="9299" width="2.3984375" style="1188"/>
    <col min="9300" max="9300" width="4.19921875" style="1188" bestFit="1" customWidth="1"/>
    <col min="9301" max="9303" width="2.3984375" style="1188"/>
    <col min="9304" max="9306" width="2.8984375" style="1188" bestFit="1" customWidth="1"/>
    <col min="9307" max="9308" width="2.3984375" style="1188"/>
    <col min="9309" max="9309" width="4.19921875" style="1188" bestFit="1" customWidth="1"/>
    <col min="9310" max="9310" width="2.3984375" style="1188"/>
    <col min="9311" max="9311" width="4.19921875" style="1188" bestFit="1" customWidth="1"/>
    <col min="9312" max="9313" width="2.3984375" style="1188"/>
    <col min="9314" max="9314" width="4.19921875" style="1188" bestFit="1" customWidth="1"/>
    <col min="9315" max="9315" width="2.3984375" style="1188"/>
    <col min="9316" max="9316" width="4.19921875" style="1188" bestFit="1" customWidth="1"/>
    <col min="9317" max="9319" width="2.3984375" style="1188"/>
    <col min="9320" max="9322" width="2.8984375" style="1188" bestFit="1" customWidth="1"/>
    <col min="9323" max="9324" width="2.3984375" style="1188"/>
    <col min="9325" max="9325" width="4.19921875" style="1188" bestFit="1" customWidth="1"/>
    <col min="9326" max="9326" width="2.3984375" style="1188"/>
    <col min="9327" max="9327" width="4.19921875" style="1188" bestFit="1" customWidth="1"/>
    <col min="9328" max="9329" width="2.3984375" style="1188"/>
    <col min="9330" max="9330" width="4.19921875" style="1188" bestFit="1" customWidth="1"/>
    <col min="9331" max="9331" width="2.3984375" style="1188"/>
    <col min="9332" max="9332" width="4.19921875" style="1188" bestFit="1" customWidth="1"/>
    <col min="9333" max="9335" width="2.3984375" style="1188"/>
    <col min="9336" max="9338" width="2.8984375" style="1188" bestFit="1" customWidth="1"/>
    <col min="9339" max="9340" width="2.3984375" style="1188"/>
    <col min="9341" max="9341" width="4.19921875" style="1188" bestFit="1" customWidth="1"/>
    <col min="9342" max="9342" width="2.3984375" style="1188"/>
    <col min="9343" max="9343" width="4.19921875" style="1188" bestFit="1" customWidth="1"/>
    <col min="9344" max="9345" width="2.3984375" style="1188"/>
    <col min="9346" max="9346" width="4.19921875" style="1188" bestFit="1" customWidth="1"/>
    <col min="9347" max="9347" width="2.3984375" style="1188"/>
    <col min="9348" max="9348" width="4.19921875" style="1188" bestFit="1" customWidth="1"/>
    <col min="9349" max="9351" width="2.3984375" style="1188"/>
    <col min="9352" max="9354" width="2.8984375" style="1188" bestFit="1" customWidth="1"/>
    <col min="9355" max="9356" width="2.3984375" style="1188"/>
    <col min="9357" max="9357" width="4.19921875" style="1188" bestFit="1" customWidth="1"/>
    <col min="9358" max="9358" width="2.3984375" style="1188"/>
    <col min="9359" max="9359" width="4.19921875" style="1188" bestFit="1" customWidth="1"/>
    <col min="9360" max="9361" width="2.3984375" style="1188"/>
    <col min="9362" max="9362" width="4.19921875" style="1188" bestFit="1" customWidth="1"/>
    <col min="9363" max="9363" width="2.3984375" style="1188"/>
    <col min="9364" max="9364" width="4.19921875" style="1188" bestFit="1" customWidth="1"/>
    <col min="9365" max="9367" width="2.3984375" style="1188"/>
    <col min="9368" max="9370" width="2.8984375" style="1188" bestFit="1" customWidth="1"/>
    <col min="9371" max="9372" width="2.3984375" style="1188"/>
    <col min="9373" max="9373" width="4.19921875" style="1188" bestFit="1" customWidth="1"/>
    <col min="9374" max="9374" width="2.3984375" style="1188"/>
    <col min="9375" max="9375" width="4.19921875" style="1188" bestFit="1" customWidth="1"/>
    <col min="9376" max="9377" width="2.3984375" style="1188"/>
    <col min="9378" max="9378" width="4.19921875" style="1188" bestFit="1" customWidth="1"/>
    <col min="9379" max="9379" width="2.3984375" style="1188"/>
    <col min="9380" max="9380" width="4.19921875" style="1188" bestFit="1" customWidth="1"/>
    <col min="9381" max="9383" width="2.3984375" style="1188"/>
    <col min="9384" max="9386" width="2.8984375" style="1188" bestFit="1" customWidth="1"/>
    <col min="9387" max="9388" width="2.3984375" style="1188"/>
    <col min="9389" max="9389" width="4.19921875" style="1188" bestFit="1" customWidth="1"/>
    <col min="9390" max="9390" width="2.3984375" style="1188"/>
    <col min="9391" max="9391" width="4.19921875" style="1188" bestFit="1" customWidth="1"/>
    <col min="9392" max="9393" width="2.3984375" style="1188"/>
    <col min="9394" max="9394" width="4.19921875" style="1188" bestFit="1" customWidth="1"/>
    <col min="9395" max="9395" width="2.3984375" style="1188"/>
    <col min="9396" max="9396" width="4.19921875" style="1188" bestFit="1" customWidth="1"/>
    <col min="9397" max="9399" width="2.3984375" style="1188"/>
    <col min="9400" max="9402" width="2.8984375" style="1188" bestFit="1" customWidth="1"/>
    <col min="9403" max="9404" width="2.3984375" style="1188"/>
    <col min="9405" max="9405" width="4.19921875" style="1188" bestFit="1" customWidth="1"/>
    <col min="9406" max="9406" width="2.3984375" style="1188"/>
    <col min="9407" max="9407" width="4.19921875" style="1188" bestFit="1" customWidth="1"/>
    <col min="9408" max="9409" width="2.3984375" style="1188"/>
    <col min="9410" max="9410" width="4.19921875" style="1188" bestFit="1" customWidth="1"/>
    <col min="9411" max="9411" width="2.3984375" style="1188"/>
    <col min="9412" max="9412" width="4.19921875" style="1188" bestFit="1" customWidth="1"/>
    <col min="9413" max="9415" width="2.3984375" style="1188"/>
    <col min="9416" max="9418" width="2.8984375" style="1188" bestFit="1" customWidth="1"/>
    <col min="9419" max="9420" width="2.3984375" style="1188"/>
    <col min="9421" max="9421" width="4.19921875" style="1188" bestFit="1" customWidth="1"/>
    <col min="9422" max="9422" width="2.3984375" style="1188"/>
    <col min="9423" max="9423" width="4.19921875" style="1188" bestFit="1" customWidth="1"/>
    <col min="9424" max="9425" width="2.3984375" style="1188"/>
    <col min="9426" max="9426" width="4.19921875" style="1188" bestFit="1" customWidth="1"/>
    <col min="9427" max="9427" width="2.3984375" style="1188"/>
    <col min="9428" max="9428" width="4.19921875" style="1188" bestFit="1" customWidth="1"/>
    <col min="9429" max="9431" width="2.3984375" style="1188"/>
    <col min="9432" max="9434" width="2.8984375" style="1188" bestFit="1" customWidth="1"/>
    <col min="9435" max="9436" width="2.3984375" style="1188"/>
    <col min="9437" max="9437" width="4.19921875" style="1188" bestFit="1" customWidth="1"/>
    <col min="9438" max="9438" width="2.3984375" style="1188"/>
    <col min="9439" max="9439" width="4.19921875" style="1188" bestFit="1" customWidth="1"/>
    <col min="9440" max="9441" width="2.3984375" style="1188"/>
    <col min="9442" max="9442" width="4.19921875" style="1188" bestFit="1" customWidth="1"/>
    <col min="9443" max="9443" width="2.3984375" style="1188"/>
    <col min="9444" max="9444" width="4.19921875" style="1188" bestFit="1" customWidth="1"/>
    <col min="9445" max="9447" width="2.3984375" style="1188"/>
    <col min="9448" max="9450" width="2.8984375" style="1188" bestFit="1" customWidth="1"/>
    <col min="9451" max="9452" width="2.3984375" style="1188"/>
    <col min="9453" max="9453" width="4.19921875" style="1188" bestFit="1" customWidth="1"/>
    <col min="9454" max="9454" width="2.3984375" style="1188"/>
    <col min="9455" max="9455" width="4.19921875" style="1188" bestFit="1" customWidth="1"/>
    <col min="9456" max="9457" width="2.3984375" style="1188"/>
    <col min="9458" max="9458" width="4.19921875" style="1188" bestFit="1" customWidth="1"/>
    <col min="9459" max="9459" width="2.3984375" style="1188"/>
    <col min="9460" max="9460" width="4.19921875" style="1188" bestFit="1" customWidth="1"/>
    <col min="9461" max="9463" width="2.3984375" style="1188"/>
    <col min="9464" max="9466" width="2.8984375" style="1188" bestFit="1" customWidth="1"/>
    <col min="9467" max="9468" width="2.3984375" style="1188"/>
    <col min="9469" max="9469" width="4.19921875" style="1188" bestFit="1" customWidth="1"/>
    <col min="9470" max="9470" width="2.3984375" style="1188"/>
    <col min="9471" max="9471" width="4.19921875" style="1188" bestFit="1" customWidth="1"/>
    <col min="9472" max="9473" width="2.3984375" style="1188"/>
    <col min="9474" max="9474" width="4.19921875" style="1188" bestFit="1" customWidth="1"/>
    <col min="9475" max="9475" width="2.3984375" style="1188"/>
    <col min="9476" max="9476" width="4.19921875" style="1188" bestFit="1" customWidth="1"/>
    <col min="9477" max="9479" width="2.3984375" style="1188"/>
    <col min="9480" max="9482" width="2.8984375" style="1188" bestFit="1" customWidth="1"/>
    <col min="9483" max="9484" width="2.3984375" style="1188"/>
    <col min="9485" max="9485" width="4.19921875" style="1188" bestFit="1" customWidth="1"/>
    <col min="9486" max="9486" width="2.3984375" style="1188"/>
    <col min="9487" max="9487" width="4.19921875" style="1188" bestFit="1" customWidth="1"/>
    <col min="9488" max="9489" width="2.3984375" style="1188"/>
    <col min="9490" max="9490" width="4.19921875" style="1188" bestFit="1" customWidth="1"/>
    <col min="9491" max="9491" width="2.3984375" style="1188"/>
    <col min="9492" max="9492" width="4.19921875" style="1188" bestFit="1" customWidth="1"/>
    <col min="9493" max="9495" width="2.3984375" style="1188"/>
    <col min="9496" max="9498" width="2.8984375" style="1188" bestFit="1" customWidth="1"/>
    <col min="9499" max="9500" width="2.3984375" style="1188"/>
    <col min="9501" max="9501" width="4.19921875" style="1188" bestFit="1" customWidth="1"/>
    <col min="9502" max="9502" width="2.3984375" style="1188"/>
    <col min="9503" max="9503" width="4.19921875" style="1188" bestFit="1" customWidth="1"/>
    <col min="9504" max="9505" width="2.3984375" style="1188"/>
    <col min="9506" max="9506" width="4.19921875" style="1188" bestFit="1" customWidth="1"/>
    <col min="9507" max="9507" width="2.3984375" style="1188"/>
    <col min="9508" max="9508" width="4.19921875" style="1188" bestFit="1" customWidth="1"/>
    <col min="9509" max="9511" width="2.3984375" style="1188"/>
    <col min="9512" max="9514" width="2.8984375" style="1188" bestFit="1" customWidth="1"/>
    <col min="9515" max="9516" width="2.3984375" style="1188"/>
    <col min="9517" max="9517" width="4.19921875" style="1188" bestFit="1" customWidth="1"/>
    <col min="9518" max="9518" width="2.3984375" style="1188"/>
    <col min="9519" max="9519" width="4.19921875" style="1188" bestFit="1" customWidth="1"/>
    <col min="9520" max="9521" width="2.3984375" style="1188"/>
    <col min="9522" max="9522" width="4.19921875" style="1188" bestFit="1" customWidth="1"/>
    <col min="9523" max="9523" width="2.3984375" style="1188"/>
    <col min="9524" max="9524" width="4.19921875" style="1188" bestFit="1" customWidth="1"/>
    <col min="9525" max="9527" width="2.3984375" style="1188"/>
    <col min="9528" max="9530" width="2.8984375" style="1188" bestFit="1" customWidth="1"/>
    <col min="9531" max="9532" width="2.3984375" style="1188"/>
    <col min="9533" max="9533" width="4.19921875" style="1188" bestFit="1" customWidth="1"/>
    <col min="9534" max="9534" width="2.3984375" style="1188"/>
    <col min="9535" max="9535" width="4.19921875" style="1188" bestFit="1" customWidth="1"/>
    <col min="9536" max="9537" width="2.3984375" style="1188"/>
    <col min="9538" max="9538" width="4.19921875" style="1188" bestFit="1" customWidth="1"/>
    <col min="9539" max="9539" width="2.3984375" style="1188"/>
    <col min="9540" max="9540" width="4.19921875" style="1188" bestFit="1" customWidth="1"/>
    <col min="9541" max="9543" width="2.3984375" style="1188"/>
    <col min="9544" max="9546" width="2.8984375" style="1188" bestFit="1" customWidth="1"/>
    <col min="9547" max="9548" width="2.3984375" style="1188"/>
    <col min="9549" max="9549" width="4.19921875" style="1188" bestFit="1" customWidth="1"/>
    <col min="9550" max="9550" width="2.3984375" style="1188"/>
    <col min="9551" max="9551" width="4.19921875" style="1188" bestFit="1" customWidth="1"/>
    <col min="9552" max="9553" width="2.3984375" style="1188"/>
    <col min="9554" max="9554" width="4.19921875" style="1188" bestFit="1" customWidth="1"/>
    <col min="9555" max="9555" width="2.3984375" style="1188"/>
    <col min="9556" max="9556" width="4.19921875" style="1188" bestFit="1" customWidth="1"/>
    <col min="9557" max="9559" width="2.3984375" style="1188"/>
    <col min="9560" max="9562" width="2.8984375" style="1188" bestFit="1" customWidth="1"/>
    <col min="9563" max="9564" width="2.3984375" style="1188"/>
    <col min="9565" max="9565" width="4.19921875" style="1188" bestFit="1" customWidth="1"/>
    <col min="9566" max="9566" width="2.3984375" style="1188"/>
    <col min="9567" max="9567" width="4.19921875" style="1188" bestFit="1" customWidth="1"/>
    <col min="9568" max="9569" width="2.3984375" style="1188"/>
    <col min="9570" max="9570" width="4.19921875" style="1188" bestFit="1" customWidth="1"/>
    <col min="9571" max="9571" width="2.3984375" style="1188"/>
    <col min="9572" max="9572" width="4.19921875" style="1188" bestFit="1" customWidth="1"/>
    <col min="9573" max="9575" width="2.3984375" style="1188"/>
    <col min="9576" max="9578" width="2.8984375" style="1188" bestFit="1" customWidth="1"/>
    <col min="9579" max="9580" width="2.3984375" style="1188"/>
    <col min="9581" max="9581" width="4.19921875" style="1188" bestFit="1" customWidth="1"/>
    <col min="9582" max="9582" width="2.3984375" style="1188"/>
    <col min="9583" max="9583" width="4.19921875" style="1188" bestFit="1" customWidth="1"/>
    <col min="9584" max="9585" width="2.3984375" style="1188"/>
    <col min="9586" max="9586" width="4.19921875" style="1188" bestFit="1" customWidth="1"/>
    <col min="9587" max="9587" width="2.3984375" style="1188"/>
    <col min="9588" max="9588" width="4.19921875" style="1188" bestFit="1" customWidth="1"/>
    <col min="9589" max="9591" width="2.3984375" style="1188"/>
    <col min="9592" max="9594" width="2.8984375" style="1188" bestFit="1" customWidth="1"/>
    <col min="9595" max="9596" width="2.3984375" style="1188"/>
    <col min="9597" max="9597" width="4.19921875" style="1188" bestFit="1" customWidth="1"/>
    <col min="9598" max="9598" width="2.3984375" style="1188"/>
    <col min="9599" max="9599" width="4.19921875" style="1188" bestFit="1" customWidth="1"/>
    <col min="9600" max="9601" width="2.3984375" style="1188"/>
    <col min="9602" max="9602" width="4.19921875" style="1188" bestFit="1" customWidth="1"/>
    <col min="9603" max="9603" width="2.3984375" style="1188"/>
    <col min="9604" max="9604" width="4.19921875" style="1188" bestFit="1" customWidth="1"/>
    <col min="9605" max="9607" width="2.3984375" style="1188"/>
    <col min="9608" max="9610" width="2.8984375" style="1188" bestFit="1" customWidth="1"/>
    <col min="9611" max="9612" width="2.3984375" style="1188"/>
    <col min="9613" max="9613" width="4.19921875" style="1188" bestFit="1" customWidth="1"/>
    <col min="9614" max="9614" width="2.3984375" style="1188"/>
    <col min="9615" max="9615" width="4.19921875" style="1188" bestFit="1" customWidth="1"/>
    <col min="9616" max="9617" width="2.3984375" style="1188"/>
    <col min="9618" max="9618" width="4.19921875" style="1188" bestFit="1" customWidth="1"/>
    <col min="9619" max="9619" width="2.3984375" style="1188"/>
    <col min="9620" max="9620" width="4.19921875" style="1188" bestFit="1" customWidth="1"/>
    <col min="9621" max="9623" width="2.3984375" style="1188"/>
    <col min="9624" max="9626" width="2.8984375" style="1188" bestFit="1" customWidth="1"/>
    <col min="9627" max="9628" width="2.3984375" style="1188"/>
    <col min="9629" max="9629" width="4.19921875" style="1188" bestFit="1" customWidth="1"/>
    <col min="9630" max="9630" width="2.3984375" style="1188"/>
    <col min="9631" max="9631" width="4.19921875" style="1188" bestFit="1" customWidth="1"/>
    <col min="9632" max="9633" width="2.3984375" style="1188"/>
    <col min="9634" max="9634" width="4.19921875" style="1188" bestFit="1" customWidth="1"/>
    <col min="9635" max="9635" width="2.3984375" style="1188"/>
    <col min="9636" max="9636" width="4.19921875" style="1188" bestFit="1" customWidth="1"/>
    <col min="9637" max="9639" width="2.3984375" style="1188"/>
    <col min="9640" max="9642" width="2.8984375" style="1188" bestFit="1" customWidth="1"/>
    <col min="9643" max="9644" width="2.3984375" style="1188"/>
    <col min="9645" max="9645" width="4.19921875" style="1188" bestFit="1" customWidth="1"/>
    <col min="9646" max="9646" width="2.3984375" style="1188"/>
    <col min="9647" max="9647" width="4.19921875" style="1188" bestFit="1" customWidth="1"/>
    <col min="9648" max="9649" width="2.3984375" style="1188"/>
    <col min="9650" max="9650" width="4.19921875" style="1188" bestFit="1" customWidth="1"/>
    <col min="9651" max="9651" width="2.3984375" style="1188"/>
    <col min="9652" max="9652" width="4.19921875" style="1188" bestFit="1" customWidth="1"/>
    <col min="9653" max="9655" width="2.3984375" style="1188"/>
    <col min="9656" max="9658" width="2.8984375" style="1188" bestFit="1" customWidth="1"/>
    <col min="9659" max="9660" width="2.3984375" style="1188"/>
    <col min="9661" max="9661" width="4.19921875" style="1188" bestFit="1" customWidth="1"/>
    <col min="9662" max="9662" width="2.3984375" style="1188"/>
    <col min="9663" max="9663" width="4.19921875" style="1188" bestFit="1" customWidth="1"/>
    <col min="9664" max="9665" width="2.3984375" style="1188"/>
    <col min="9666" max="9666" width="4.19921875" style="1188" bestFit="1" customWidth="1"/>
    <col min="9667" max="9667" width="2.3984375" style="1188"/>
    <col min="9668" max="9668" width="4.19921875" style="1188" bestFit="1" customWidth="1"/>
    <col min="9669" max="9671" width="2.3984375" style="1188"/>
    <col min="9672" max="9674" width="2.8984375" style="1188" bestFit="1" customWidth="1"/>
    <col min="9675" max="9676" width="2.3984375" style="1188"/>
    <col min="9677" max="9677" width="4.19921875" style="1188" bestFit="1" customWidth="1"/>
    <col min="9678" max="9678" width="2.3984375" style="1188"/>
    <col min="9679" max="9679" width="4.19921875" style="1188" bestFit="1" customWidth="1"/>
    <col min="9680" max="9681" width="2.3984375" style="1188"/>
    <col min="9682" max="9682" width="4.19921875" style="1188" bestFit="1" customWidth="1"/>
    <col min="9683" max="9683" width="2.3984375" style="1188"/>
    <col min="9684" max="9684" width="4.19921875" style="1188" bestFit="1" customWidth="1"/>
    <col min="9685" max="9687" width="2.3984375" style="1188"/>
    <col min="9688" max="9690" width="2.8984375" style="1188" bestFit="1" customWidth="1"/>
    <col min="9691" max="9692" width="2.3984375" style="1188"/>
    <col min="9693" max="9693" width="4.19921875" style="1188" bestFit="1" customWidth="1"/>
    <col min="9694" max="9694" width="2.3984375" style="1188"/>
    <col min="9695" max="9695" width="4.19921875" style="1188" bestFit="1" customWidth="1"/>
    <col min="9696" max="9697" width="2.3984375" style="1188"/>
    <col min="9698" max="9698" width="4.19921875" style="1188" bestFit="1" customWidth="1"/>
    <col min="9699" max="9699" width="2.3984375" style="1188"/>
    <col min="9700" max="9700" width="4.19921875" style="1188" bestFit="1" customWidth="1"/>
    <col min="9701" max="9703" width="2.3984375" style="1188"/>
    <col min="9704" max="9706" width="2.8984375" style="1188" bestFit="1" customWidth="1"/>
    <col min="9707" max="9708" width="2.3984375" style="1188"/>
    <col min="9709" max="9709" width="4.19921875" style="1188" bestFit="1" customWidth="1"/>
    <col min="9710" max="9710" width="2.3984375" style="1188"/>
    <col min="9711" max="9711" width="4.19921875" style="1188" bestFit="1" customWidth="1"/>
    <col min="9712" max="9713" width="2.3984375" style="1188"/>
    <col min="9714" max="9714" width="4.19921875" style="1188" bestFit="1" customWidth="1"/>
    <col min="9715" max="9715" width="2.3984375" style="1188"/>
    <col min="9716" max="9716" width="4.19921875" style="1188" bestFit="1" customWidth="1"/>
    <col min="9717" max="9719" width="2.3984375" style="1188"/>
    <col min="9720" max="9722" width="2.8984375" style="1188" bestFit="1" customWidth="1"/>
    <col min="9723" max="9724" width="2.3984375" style="1188"/>
    <col min="9725" max="9725" width="4.19921875" style="1188" bestFit="1" customWidth="1"/>
    <col min="9726" max="9726" width="2.3984375" style="1188"/>
    <col min="9727" max="9727" width="4.19921875" style="1188" bestFit="1" customWidth="1"/>
    <col min="9728" max="9729" width="2.3984375" style="1188"/>
    <col min="9730" max="9730" width="4.19921875" style="1188" bestFit="1" customWidth="1"/>
    <col min="9731" max="9731" width="2.3984375" style="1188"/>
    <col min="9732" max="9732" width="4.19921875" style="1188" bestFit="1" customWidth="1"/>
    <col min="9733" max="9735" width="2.3984375" style="1188"/>
    <col min="9736" max="9738" width="2.8984375" style="1188" bestFit="1" customWidth="1"/>
    <col min="9739" max="9740" width="2.3984375" style="1188"/>
    <col min="9741" max="9741" width="4.19921875" style="1188" bestFit="1" customWidth="1"/>
    <col min="9742" max="9742" width="2.3984375" style="1188"/>
    <col min="9743" max="9743" width="4.19921875" style="1188" bestFit="1" customWidth="1"/>
    <col min="9744" max="9745" width="2.3984375" style="1188"/>
    <col min="9746" max="9746" width="4.19921875" style="1188" bestFit="1" customWidth="1"/>
    <col min="9747" max="9747" width="2.3984375" style="1188"/>
    <col min="9748" max="9748" width="4.19921875" style="1188" bestFit="1" customWidth="1"/>
    <col min="9749" max="9751" width="2.3984375" style="1188"/>
    <col min="9752" max="9754" width="2.8984375" style="1188" bestFit="1" customWidth="1"/>
    <col min="9755" max="9756" width="2.3984375" style="1188"/>
    <col min="9757" max="9757" width="4.19921875" style="1188" bestFit="1" customWidth="1"/>
    <col min="9758" max="9758" width="2.3984375" style="1188"/>
    <col min="9759" max="9759" width="4.19921875" style="1188" bestFit="1" customWidth="1"/>
    <col min="9760" max="9761" width="2.3984375" style="1188"/>
    <col min="9762" max="9762" width="4.19921875" style="1188" bestFit="1" customWidth="1"/>
    <col min="9763" max="9763" width="2.3984375" style="1188"/>
    <col min="9764" max="9764" width="4.19921875" style="1188" bestFit="1" customWidth="1"/>
    <col min="9765" max="9767" width="2.3984375" style="1188"/>
    <col min="9768" max="9770" width="2.8984375" style="1188" bestFit="1" customWidth="1"/>
    <col min="9771" max="9772" width="2.3984375" style="1188"/>
    <col min="9773" max="9773" width="4.19921875" style="1188" bestFit="1" customWidth="1"/>
    <col min="9774" max="9774" width="2.3984375" style="1188"/>
    <col min="9775" max="9775" width="4.19921875" style="1188" bestFit="1" customWidth="1"/>
    <col min="9776" max="9777" width="2.3984375" style="1188"/>
    <col min="9778" max="9778" width="4.19921875" style="1188" bestFit="1" customWidth="1"/>
    <col min="9779" max="9779" width="2.3984375" style="1188"/>
    <col min="9780" max="9780" width="4.19921875" style="1188" bestFit="1" customWidth="1"/>
    <col min="9781" max="9783" width="2.3984375" style="1188"/>
    <col min="9784" max="9786" width="2.8984375" style="1188" bestFit="1" customWidth="1"/>
    <col min="9787" max="9788" width="2.3984375" style="1188"/>
    <col min="9789" max="9789" width="4.19921875" style="1188" bestFit="1" customWidth="1"/>
    <col min="9790" max="9790" width="2.3984375" style="1188"/>
    <col min="9791" max="9791" width="4.19921875" style="1188" bestFit="1" customWidth="1"/>
    <col min="9792" max="9793" width="2.3984375" style="1188"/>
    <col min="9794" max="9794" width="4.19921875" style="1188" bestFit="1" customWidth="1"/>
    <col min="9795" max="9795" width="2.3984375" style="1188"/>
    <col min="9796" max="9796" width="4.19921875" style="1188" bestFit="1" customWidth="1"/>
    <col min="9797" max="9799" width="2.3984375" style="1188"/>
    <col min="9800" max="9802" width="2.8984375" style="1188" bestFit="1" customWidth="1"/>
    <col min="9803" max="9804" width="2.3984375" style="1188"/>
    <col min="9805" max="9805" width="4.19921875" style="1188" bestFit="1" customWidth="1"/>
    <col min="9806" max="9806" width="2.3984375" style="1188"/>
    <col min="9807" max="9807" width="4.19921875" style="1188" bestFit="1" customWidth="1"/>
    <col min="9808" max="9809" width="2.3984375" style="1188"/>
    <col min="9810" max="9810" width="4.19921875" style="1188" bestFit="1" customWidth="1"/>
    <col min="9811" max="9811" width="2.3984375" style="1188"/>
    <col min="9812" max="9812" width="4.19921875" style="1188" bestFit="1" customWidth="1"/>
    <col min="9813" max="9815" width="2.3984375" style="1188"/>
    <col min="9816" max="9818" width="2.8984375" style="1188" bestFit="1" customWidth="1"/>
    <col min="9819" max="9820" width="2.3984375" style="1188"/>
    <col min="9821" max="9821" width="4.19921875" style="1188" bestFit="1" customWidth="1"/>
    <col min="9822" max="9822" width="2.3984375" style="1188"/>
    <col min="9823" max="9823" width="4.19921875" style="1188" bestFit="1" customWidth="1"/>
    <col min="9824" max="9825" width="2.3984375" style="1188"/>
    <col min="9826" max="9826" width="4.19921875" style="1188" bestFit="1" customWidth="1"/>
    <col min="9827" max="9827" width="2.3984375" style="1188"/>
    <col min="9828" max="9828" width="4.19921875" style="1188" bestFit="1" customWidth="1"/>
    <col min="9829" max="9831" width="2.3984375" style="1188"/>
    <col min="9832" max="9834" width="2.8984375" style="1188" bestFit="1" customWidth="1"/>
    <col min="9835" max="9836" width="2.3984375" style="1188"/>
    <col min="9837" max="9837" width="4.19921875" style="1188" bestFit="1" customWidth="1"/>
    <col min="9838" max="9838" width="2.3984375" style="1188"/>
    <col min="9839" max="9839" width="4.19921875" style="1188" bestFit="1" customWidth="1"/>
    <col min="9840" max="9841" width="2.3984375" style="1188"/>
    <col min="9842" max="9842" width="4.19921875" style="1188" bestFit="1" customWidth="1"/>
    <col min="9843" max="9843" width="2.3984375" style="1188"/>
    <col min="9844" max="9844" width="4.19921875" style="1188" bestFit="1" customWidth="1"/>
    <col min="9845" max="9847" width="2.3984375" style="1188"/>
    <col min="9848" max="9850" width="2.8984375" style="1188" bestFit="1" customWidth="1"/>
    <col min="9851" max="9852" width="2.3984375" style="1188"/>
    <col min="9853" max="9853" width="4.19921875" style="1188" bestFit="1" customWidth="1"/>
    <col min="9854" max="9854" width="2.3984375" style="1188"/>
    <col min="9855" max="9855" width="4.19921875" style="1188" bestFit="1" customWidth="1"/>
    <col min="9856" max="9857" width="2.3984375" style="1188"/>
    <col min="9858" max="9858" width="4.19921875" style="1188" bestFit="1" customWidth="1"/>
    <col min="9859" max="9859" width="2.3984375" style="1188"/>
    <col min="9860" max="9860" width="4.19921875" style="1188" bestFit="1" customWidth="1"/>
    <col min="9861" max="9863" width="2.3984375" style="1188"/>
    <col min="9864" max="9866" width="2.8984375" style="1188" bestFit="1" customWidth="1"/>
    <col min="9867" max="9868" width="2.3984375" style="1188"/>
    <col min="9869" max="9869" width="4.19921875" style="1188" bestFit="1" customWidth="1"/>
    <col min="9870" max="9870" width="2.3984375" style="1188"/>
    <col min="9871" max="9871" width="4.19921875" style="1188" bestFit="1" customWidth="1"/>
    <col min="9872" max="9873" width="2.3984375" style="1188"/>
    <col min="9874" max="9874" width="4.19921875" style="1188" bestFit="1" customWidth="1"/>
    <col min="9875" max="9875" width="2.3984375" style="1188"/>
    <col min="9876" max="9876" width="4.19921875" style="1188" bestFit="1" customWidth="1"/>
    <col min="9877" max="9879" width="2.3984375" style="1188"/>
    <col min="9880" max="9882" width="2.8984375" style="1188" bestFit="1" customWidth="1"/>
    <col min="9883" max="9884" width="2.3984375" style="1188"/>
    <col min="9885" max="9885" width="4.19921875" style="1188" bestFit="1" customWidth="1"/>
    <col min="9886" max="9886" width="2.3984375" style="1188"/>
    <col min="9887" max="9887" width="4.19921875" style="1188" bestFit="1" customWidth="1"/>
    <col min="9888" max="9889" width="2.3984375" style="1188"/>
    <col min="9890" max="9890" width="4.19921875" style="1188" bestFit="1" customWidth="1"/>
    <col min="9891" max="9891" width="2.3984375" style="1188"/>
    <col min="9892" max="9892" width="4.19921875" style="1188" bestFit="1" customWidth="1"/>
    <col min="9893" max="9895" width="2.3984375" style="1188"/>
    <col min="9896" max="9898" width="2.8984375" style="1188" bestFit="1" customWidth="1"/>
    <col min="9899" max="9900" width="2.3984375" style="1188"/>
    <col min="9901" max="9901" width="4.19921875" style="1188" bestFit="1" customWidth="1"/>
    <col min="9902" max="9902" width="2.3984375" style="1188"/>
    <col min="9903" max="9903" width="4.19921875" style="1188" bestFit="1" customWidth="1"/>
    <col min="9904" max="9905" width="2.3984375" style="1188"/>
    <col min="9906" max="9906" width="4.19921875" style="1188" bestFit="1" customWidth="1"/>
    <col min="9907" max="9907" width="2.3984375" style="1188"/>
    <col min="9908" max="9908" width="4.19921875" style="1188" bestFit="1" customWidth="1"/>
    <col min="9909" max="9911" width="2.3984375" style="1188"/>
    <col min="9912" max="9914" width="2.8984375" style="1188" bestFit="1" customWidth="1"/>
    <col min="9915" max="9916" width="2.3984375" style="1188"/>
    <col min="9917" max="9917" width="4.19921875" style="1188" bestFit="1" customWidth="1"/>
    <col min="9918" max="9918" width="2.3984375" style="1188"/>
    <col min="9919" max="9919" width="4.19921875" style="1188" bestFit="1" customWidth="1"/>
    <col min="9920" max="9921" width="2.3984375" style="1188"/>
    <col min="9922" max="9922" width="4.19921875" style="1188" bestFit="1" customWidth="1"/>
    <col min="9923" max="9923" width="2.3984375" style="1188"/>
    <col min="9924" max="9924" width="4.19921875" style="1188" bestFit="1" customWidth="1"/>
    <col min="9925" max="9927" width="2.3984375" style="1188"/>
    <col min="9928" max="9930" width="2.8984375" style="1188" bestFit="1" customWidth="1"/>
    <col min="9931" max="9932" width="2.3984375" style="1188"/>
    <col min="9933" max="9933" width="4.19921875" style="1188" bestFit="1" customWidth="1"/>
    <col min="9934" max="9934" width="2.3984375" style="1188"/>
    <col min="9935" max="9935" width="4.19921875" style="1188" bestFit="1" customWidth="1"/>
    <col min="9936" max="9937" width="2.3984375" style="1188"/>
    <col min="9938" max="9938" width="4.19921875" style="1188" bestFit="1" customWidth="1"/>
    <col min="9939" max="9939" width="2.3984375" style="1188"/>
    <col min="9940" max="9940" width="4.19921875" style="1188" bestFit="1" customWidth="1"/>
    <col min="9941" max="9943" width="2.3984375" style="1188"/>
    <col min="9944" max="9946" width="2.8984375" style="1188" bestFit="1" customWidth="1"/>
    <col min="9947" max="9948" width="2.3984375" style="1188"/>
    <col min="9949" max="9949" width="4.19921875" style="1188" bestFit="1" customWidth="1"/>
    <col min="9950" max="9950" width="2.3984375" style="1188"/>
    <col min="9951" max="9951" width="4.19921875" style="1188" bestFit="1" customWidth="1"/>
    <col min="9952" max="9953" width="2.3984375" style="1188"/>
    <col min="9954" max="9954" width="4.19921875" style="1188" bestFit="1" customWidth="1"/>
    <col min="9955" max="9955" width="2.3984375" style="1188"/>
    <col min="9956" max="9956" width="4.19921875" style="1188" bestFit="1" customWidth="1"/>
    <col min="9957" max="9959" width="2.3984375" style="1188"/>
    <col min="9960" max="9962" width="2.8984375" style="1188" bestFit="1" customWidth="1"/>
    <col min="9963" max="9964" width="2.3984375" style="1188"/>
    <col min="9965" max="9965" width="4.19921875" style="1188" bestFit="1" customWidth="1"/>
    <col min="9966" max="9966" width="2.3984375" style="1188"/>
    <col min="9967" max="9967" width="4.19921875" style="1188" bestFit="1" customWidth="1"/>
    <col min="9968" max="9969" width="2.3984375" style="1188"/>
    <col min="9970" max="9970" width="4.19921875" style="1188" bestFit="1" customWidth="1"/>
    <col min="9971" max="9971" width="2.3984375" style="1188"/>
    <col min="9972" max="9972" width="4.19921875" style="1188" bestFit="1" customWidth="1"/>
    <col min="9973" max="9975" width="2.3984375" style="1188"/>
    <col min="9976" max="9978" width="2.8984375" style="1188" bestFit="1" customWidth="1"/>
    <col min="9979" max="9980" width="2.3984375" style="1188"/>
    <col min="9981" max="9981" width="4.19921875" style="1188" bestFit="1" customWidth="1"/>
    <col min="9982" max="9982" width="2.3984375" style="1188"/>
    <col min="9983" max="9983" width="4.19921875" style="1188" bestFit="1" customWidth="1"/>
    <col min="9984" max="9985" width="2.3984375" style="1188"/>
    <col min="9986" max="9986" width="4.19921875" style="1188" bestFit="1" customWidth="1"/>
    <col min="9987" max="9987" width="2.3984375" style="1188"/>
    <col min="9988" max="9988" width="4.19921875" style="1188" bestFit="1" customWidth="1"/>
    <col min="9989" max="9991" width="2.3984375" style="1188"/>
    <col min="9992" max="9994" width="2.8984375" style="1188" bestFit="1" customWidth="1"/>
    <col min="9995" max="9996" width="2.3984375" style="1188"/>
    <col min="9997" max="9997" width="4.19921875" style="1188" bestFit="1" customWidth="1"/>
    <col min="9998" max="9998" width="2.3984375" style="1188"/>
    <col min="9999" max="9999" width="4.19921875" style="1188" bestFit="1" customWidth="1"/>
    <col min="10000" max="10001" width="2.3984375" style="1188"/>
    <col min="10002" max="10002" width="4.19921875" style="1188" bestFit="1" customWidth="1"/>
    <col min="10003" max="10003" width="2.3984375" style="1188"/>
    <col min="10004" max="10004" width="4.19921875" style="1188" bestFit="1" customWidth="1"/>
    <col min="10005" max="10007" width="2.3984375" style="1188"/>
    <col min="10008" max="10010" width="2.8984375" style="1188" bestFit="1" customWidth="1"/>
    <col min="10011" max="10012" width="2.3984375" style="1188"/>
    <col min="10013" max="10013" width="4.19921875" style="1188" bestFit="1" customWidth="1"/>
    <col min="10014" max="10014" width="2.3984375" style="1188"/>
    <col min="10015" max="10015" width="4.19921875" style="1188" bestFit="1" customWidth="1"/>
    <col min="10016" max="10017" width="2.3984375" style="1188"/>
    <col min="10018" max="10018" width="4.19921875" style="1188" bestFit="1" customWidth="1"/>
    <col min="10019" max="10019" width="2.3984375" style="1188"/>
    <col min="10020" max="10020" width="4.19921875" style="1188" bestFit="1" customWidth="1"/>
    <col min="10021" max="10023" width="2.3984375" style="1188"/>
    <col min="10024" max="10026" width="2.8984375" style="1188" bestFit="1" customWidth="1"/>
    <col min="10027" max="10028" width="2.3984375" style="1188"/>
    <col min="10029" max="10029" width="4.19921875" style="1188" bestFit="1" customWidth="1"/>
    <col min="10030" max="10030" width="2.3984375" style="1188"/>
    <col min="10031" max="10031" width="4.19921875" style="1188" bestFit="1" customWidth="1"/>
    <col min="10032" max="10033" width="2.3984375" style="1188"/>
    <col min="10034" max="10034" width="4.19921875" style="1188" bestFit="1" customWidth="1"/>
    <col min="10035" max="10035" width="2.3984375" style="1188"/>
    <col min="10036" max="10036" width="4.19921875" style="1188" bestFit="1" customWidth="1"/>
    <col min="10037" max="10039" width="2.3984375" style="1188"/>
    <col min="10040" max="10042" width="2.8984375" style="1188" bestFit="1" customWidth="1"/>
    <col min="10043" max="10044" width="2.3984375" style="1188"/>
    <col min="10045" max="10045" width="4.19921875" style="1188" bestFit="1" customWidth="1"/>
    <col min="10046" max="10046" width="2.3984375" style="1188"/>
    <col min="10047" max="10047" width="4.19921875" style="1188" bestFit="1" customWidth="1"/>
    <col min="10048" max="10049" width="2.3984375" style="1188"/>
    <col min="10050" max="10050" width="4.19921875" style="1188" bestFit="1" customWidth="1"/>
    <col min="10051" max="10051" width="2.3984375" style="1188"/>
    <col min="10052" max="10052" width="4.19921875" style="1188" bestFit="1" customWidth="1"/>
    <col min="10053" max="10055" width="2.3984375" style="1188"/>
    <col min="10056" max="10058" width="2.8984375" style="1188" bestFit="1" customWidth="1"/>
    <col min="10059" max="10060" width="2.3984375" style="1188"/>
    <col min="10061" max="10061" width="4.19921875" style="1188" bestFit="1" customWidth="1"/>
    <col min="10062" max="10062" width="2.3984375" style="1188"/>
    <col min="10063" max="10063" width="4.19921875" style="1188" bestFit="1" customWidth="1"/>
    <col min="10064" max="10065" width="2.3984375" style="1188"/>
    <col min="10066" max="10066" width="4.19921875" style="1188" bestFit="1" customWidth="1"/>
    <col min="10067" max="10067" width="2.3984375" style="1188"/>
    <col min="10068" max="10068" width="4.19921875" style="1188" bestFit="1" customWidth="1"/>
    <col min="10069" max="10071" width="2.3984375" style="1188"/>
    <col min="10072" max="10074" width="2.8984375" style="1188" bestFit="1" customWidth="1"/>
    <col min="10075" max="10076" width="2.3984375" style="1188"/>
    <col min="10077" max="10077" width="4.19921875" style="1188" bestFit="1" customWidth="1"/>
    <col min="10078" max="10078" width="2.3984375" style="1188"/>
    <col min="10079" max="10079" width="4.19921875" style="1188" bestFit="1" customWidth="1"/>
    <col min="10080" max="10081" width="2.3984375" style="1188"/>
    <col min="10082" max="10082" width="4.19921875" style="1188" bestFit="1" customWidth="1"/>
    <col min="10083" max="10083" width="2.3984375" style="1188"/>
    <col min="10084" max="10084" width="4.19921875" style="1188" bestFit="1" customWidth="1"/>
    <col min="10085" max="10087" width="2.3984375" style="1188"/>
    <col min="10088" max="10090" width="2.8984375" style="1188" bestFit="1" customWidth="1"/>
    <col min="10091" max="10092" width="2.3984375" style="1188"/>
    <col min="10093" max="10093" width="4.19921875" style="1188" bestFit="1" customWidth="1"/>
    <col min="10094" max="10094" width="2.3984375" style="1188"/>
    <col min="10095" max="10095" width="4.19921875" style="1188" bestFit="1" customWidth="1"/>
    <col min="10096" max="10097" width="2.3984375" style="1188"/>
    <col min="10098" max="10098" width="4.19921875" style="1188" bestFit="1" customWidth="1"/>
    <col min="10099" max="10099" width="2.3984375" style="1188"/>
    <col min="10100" max="10100" width="4.19921875" style="1188" bestFit="1" customWidth="1"/>
    <col min="10101" max="10103" width="2.3984375" style="1188"/>
    <col min="10104" max="10106" width="2.8984375" style="1188" bestFit="1" customWidth="1"/>
    <col min="10107" max="10108" width="2.3984375" style="1188"/>
    <col min="10109" max="10109" width="4.19921875" style="1188" bestFit="1" customWidth="1"/>
    <col min="10110" max="10110" width="2.3984375" style="1188"/>
    <col min="10111" max="10111" width="4.19921875" style="1188" bestFit="1" customWidth="1"/>
    <col min="10112" max="10113" width="2.3984375" style="1188"/>
    <col min="10114" max="10114" width="4.19921875" style="1188" bestFit="1" customWidth="1"/>
    <col min="10115" max="10115" width="2.3984375" style="1188"/>
    <col min="10116" max="10116" width="4.19921875" style="1188" bestFit="1" customWidth="1"/>
    <col min="10117" max="10119" width="2.3984375" style="1188"/>
    <col min="10120" max="10122" width="2.8984375" style="1188" bestFit="1" customWidth="1"/>
    <col min="10123" max="10124" width="2.3984375" style="1188"/>
    <col min="10125" max="10125" width="4.19921875" style="1188" bestFit="1" customWidth="1"/>
    <col min="10126" max="10126" width="2.3984375" style="1188"/>
    <col min="10127" max="10127" width="4.19921875" style="1188" bestFit="1" customWidth="1"/>
    <col min="10128" max="10129" width="2.3984375" style="1188"/>
    <col min="10130" max="10130" width="4.19921875" style="1188" bestFit="1" customWidth="1"/>
    <col min="10131" max="10131" width="2.3984375" style="1188"/>
    <col min="10132" max="10132" width="4.19921875" style="1188" bestFit="1" customWidth="1"/>
    <col min="10133" max="10135" width="2.3984375" style="1188"/>
    <col min="10136" max="10138" width="2.8984375" style="1188" bestFit="1" customWidth="1"/>
    <col min="10139" max="10140" width="2.3984375" style="1188"/>
    <col min="10141" max="10141" width="4.19921875" style="1188" bestFit="1" customWidth="1"/>
    <col min="10142" max="10142" width="2.3984375" style="1188"/>
    <col min="10143" max="10143" width="4.19921875" style="1188" bestFit="1" customWidth="1"/>
    <col min="10144" max="10145" width="2.3984375" style="1188"/>
    <col min="10146" max="10146" width="4.19921875" style="1188" bestFit="1" customWidth="1"/>
    <col min="10147" max="10147" width="2.3984375" style="1188"/>
    <col min="10148" max="10148" width="4.19921875" style="1188" bestFit="1" customWidth="1"/>
    <col min="10149" max="10151" width="2.3984375" style="1188"/>
    <col min="10152" max="10154" width="2.8984375" style="1188" bestFit="1" customWidth="1"/>
    <col min="10155" max="10156" width="2.3984375" style="1188"/>
    <col min="10157" max="10157" width="4.19921875" style="1188" bestFit="1" customWidth="1"/>
    <col min="10158" max="10158" width="2.3984375" style="1188"/>
    <col min="10159" max="10159" width="4.19921875" style="1188" bestFit="1" customWidth="1"/>
    <col min="10160" max="10161" width="2.3984375" style="1188"/>
    <col min="10162" max="10162" width="4.19921875" style="1188" bestFit="1" customWidth="1"/>
    <col min="10163" max="10163" width="2.3984375" style="1188"/>
    <col min="10164" max="10164" width="4.19921875" style="1188" bestFit="1" customWidth="1"/>
    <col min="10165" max="10167" width="2.3984375" style="1188"/>
    <col min="10168" max="10170" width="2.8984375" style="1188" bestFit="1" customWidth="1"/>
    <col min="10171" max="10172" width="2.3984375" style="1188"/>
    <col min="10173" max="10173" width="4.19921875" style="1188" bestFit="1" customWidth="1"/>
    <col min="10174" max="10174" width="2.3984375" style="1188"/>
    <col min="10175" max="10175" width="4.19921875" style="1188" bestFit="1" customWidth="1"/>
    <col min="10176" max="10177" width="2.3984375" style="1188"/>
    <col min="10178" max="10178" width="4.19921875" style="1188" bestFit="1" customWidth="1"/>
    <col min="10179" max="10179" width="2.3984375" style="1188"/>
    <col min="10180" max="10180" width="4.19921875" style="1188" bestFit="1" customWidth="1"/>
    <col min="10181" max="10183" width="2.3984375" style="1188"/>
    <col min="10184" max="10186" width="2.8984375" style="1188" bestFit="1" customWidth="1"/>
    <col min="10187" max="10188" width="2.3984375" style="1188"/>
    <col min="10189" max="10189" width="4.19921875" style="1188" bestFit="1" customWidth="1"/>
    <col min="10190" max="10190" width="2.3984375" style="1188"/>
    <col min="10191" max="10191" width="4.19921875" style="1188" bestFit="1" customWidth="1"/>
    <col min="10192" max="10193" width="2.3984375" style="1188"/>
    <col min="10194" max="10194" width="4.19921875" style="1188" bestFit="1" customWidth="1"/>
    <col min="10195" max="10195" width="2.3984375" style="1188"/>
    <col min="10196" max="10196" width="4.19921875" style="1188" bestFit="1" customWidth="1"/>
    <col min="10197" max="10199" width="2.3984375" style="1188"/>
    <col min="10200" max="10202" width="2.8984375" style="1188" bestFit="1" customWidth="1"/>
    <col min="10203" max="10204" width="2.3984375" style="1188"/>
    <col min="10205" max="10205" width="4.19921875" style="1188" bestFit="1" customWidth="1"/>
    <col min="10206" max="10206" width="2.3984375" style="1188"/>
    <col min="10207" max="10207" width="4.19921875" style="1188" bestFit="1" customWidth="1"/>
    <col min="10208" max="10209" width="2.3984375" style="1188"/>
    <col min="10210" max="10210" width="4.19921875" style="1188" bestFit="1" customWidth="1"/>
    <col min="10211" max="10211" width="2.3984375" style="1188"/>
    <col min="10212" max="10212" width="4.19921875" style="1188" bestFit="1" customWidth="1"/>
    <col min="10213" max="10215" width="2.3984375" style="1188"/>
    <col min="10216" max="10218" width="2.8984375" style="1188" bestFit="1" customWidth="1"/>
    <col min="10219" max="10220" width="2.3984375" style="1188"/>
    <col min="10221" max="10221" width="4.19921875" style="1188" bestFit="1" customWidth="1"/>
    <col min="10222" max="10222" width="2.3984375" style="1188"/>
    <col min="10223" max="10223" width="4.19921875" style="1188" bestFit="1" customWidth="1"/>
    <col min="10224" max="10225" width="2.3984375" style="1188"/>
    <col min="10226" max="10226" width="4.19921875" style="1188" bestFit="1" customWidth="1"/>
    <col min="10227" max="10227" width="2.3984375" style="1188"/>
    <col min="10228" max="10228" width="4.19921875" style="1188" bestFit="1" customWidth="1"/>
    <col min="10229" max="10231" width="2.3984375" style="1188"/>
    <col min="10232" max="10234" width="2.8984375" style="1188" bestFit="1" customWidth="1"/>
    <col min="10235" max="10236" width="2.3984375" style="1188"/>
    <col min="10237" max="10237" width="4.19921875" style="1188" bestFit="1" customWidth="1"/>
    <col min="10238" max="10238" width="2.3984375" style="1188"/>
    <col min="10239" max="10239" width="4.19921875" style="1188" bestFit="1" customWidth="1"/>
    <col min="10240" max="10241" width="2.3984375" style="1188"/>
    <col min="10242" max="10242" width="4.19921875" style="1188" bestFit="1" customWidth="1"/>
    <col min="10243" max="10243" width="2.3984375" style="1188"/>
    <col min="10244" max="10244" width="4.19921875" style="1188" bestFit="1" customWidth="1"/>
    <col min="10245" max="10247" width="2.3984375" style="1188"/>
    <col min="10248" max="10250" width="2.8984375" style="1188" bestFit="1" customWidth="1"/>
    <col min="10251" max="10252" width="2.3984375" style="1188"/>
    <col min="10253" max="10253" width="4.19921875" style="1188" bestFit="1" customWidth="1"/>
    <col min="10254" max="10254" width="2.3984375" style="1188"/>
    <col min="10255" max="10255" width="4.19921875" style="1188" bestFit="1" customWidth="1"/>
    <col min="10256" max="10257" width="2.3984375" style="1188"/>
    <col min="10258" max="10258" width="4.19921875" style="1188" bestFit="1" customWidth="1"/>
    <col min="10259" max="10259" width="2.3984375" style="1188"/>
    <col min="10260" max="10260" width="4.19921875" style="1188" bestFit="1" customWidth="1"/>
    <col min="10261" max="10263" width="2.3984375" style="1188"/>
    <col min="10264" max="10266" width="2.8984375" style="1188" bestFit="1" customWidth="1"/>
    <col min="10267" max="10268" width="2.3984375" style="1188"/>
    <col min="10269" max="10269" width="4.19921875" style="1188" bestFit="1" customWidth="1"/>
    <col min="10270" max="10270" width="2.3984375" style="1188"/>
    <col min="10271" max="10271" width="4.19921875" style="1188" bestFit="1" customWidth="1"/>
    <col min="10272" max="10273" width="2.3984375" style="1188"/>
    <col min="10274" max="10274" width="4.19921875" style="1188" bestFit="1" customWidth="1"/>
    <col min="10275" max="10275" width="2.3984375" style="1188"/>
    <col min="10276" max="10276" width="4.19921875" style="1188" bestFit="1" customWidth="1"/>
    <col min="10277" max="10279" width="2.3984375" style="1188"/>
    <col min="10280" max="10282" width="2.8984375" style="1188" bestFit="1" customWidth="1"/>
    <col min="10283" max="10284" width="2.3984375" style="1188"/>
    <col min="10285" max="10285" width="4.19921875" style="1188" bestFit="1" customWidth="1"/>
    <col min="10286" max="10286" width="2.3984375" style="1188"/>
    <col min="10287" max="10287" width="4.19921875" style="1188" bestFit="1" customWidth="1"/>
    <col min="10288" max="10289" width="2.3984375" style="1188"/>
    <col min="10290" max="10290" width="4.19921875" style="1188" bestFit="1" customWidth="1"/>
    <col min="10291" max="10291" width="2.3984375" style="1188"/>
    <col min="10292" max="10292" width="4.19921875" style="1188" bestFit="1" customWidth="1"/>
    <col min="10293" max="10295" width="2.3984375" style="1188"/>
    <col min="10296" max="10298" width="2.8984375" style="1188" bestFit="1" customWidth="1"/>
    <col min="10299" max="10300" width="2.3984375" style="1188"/>
    <col min="10301" max="10301" width="4.19921875" style="1188" bestFit="1" customWidth="1"/>
    <col min="10302" max="10302" width="2.3984375" style="1188"/>
    <col min="10303" max="10303" width="4.19921875" style="1188" bestFit="1" customWidth="1"/>
    <col min="10304" max="10305" width="2.3984375" style="1188"/>
    <col min="10306" max="10306" width="4.19921875" style="1188" bestFit="1" customWidth="1"/>
    <col min="10307" max="10307" width="2.3984375" style="1188"/>
    <col min="10308" max="10308" width="4.19921875" style="1188" bestFit="1" customWidth="1"/>
    <col min="10309" max="10311" width="2.3984375" style="1188"/>
    <col min="10312" max="10314" width="2.8984375" style="1188" bestFit="1" customWidth="1"/>
    <col min="10315" max="10316" width="2.3984375" style="1188"/>
    <col min="10317" max="10317" width="4.19921875" style="1188" bestFit="1" customWidth="1"/>
    <col min="10318" max="10318" width="2.3984375" style="1188"/>
    <col min="10319" max="10319" width="4.19921875" style="1188" bestFit="1" customWidth="1"/>
    <col min="10320" max="10321" width="2.3984375" style="1188"/>
    <col min="10322" max="10322" width="4.19921875" style="1188" bestFit="1" customWidth="1"/>
    <col min="10323" max="10323" width="2.3984375" style="1188"/>
    <col min="10324" max="10324" width="4.19921875" style="1188" bestFit="1" customWidth="1"/>
    <col min="10325" max="10327" width="2.3984375" style="1188"/>
    <col min="10328" max="10330" width="2.8984375" style="1188" bestFit="1" customWidth="1"/>
    <col min="10331" max="10332" width="2.3984375" style="1188"/>
    <col min="10333" max="10333" width="4.19921875" style="1188" bestFit="1" customWidth="1"/>
    <col min="10334" max="10334" width="2.3984375" style="1188"/>
    <col min="10335" max="10335" width="4.19921875" style="1188" bestFit="1" customWidth="1"/>
    <col min="10336" max="10337" width="2.3984375" style="1188"/>
    <col min="10338" max="10338" width="4.19921875" style="1188" bestFit="1" customWidth="1"/>
    <col min="10339" max="10339" width="2.3984375" style="1188"/>
    <col min="10340" max="10340" width="4.19921875" style="1188" bestFit="1" customWidth="1"/>
    <col min="10341" max="10343" width="2.3984375" style="1188"/>
    <col min="10344" max="10346" width="2.8984375" style="1188" bestFit="1" customWidth="1"/>
    <col min="10347" max="10348" width="2.3984375" style="1188"/>
    <col min="10349" max="10349" width="4.19921875" style="1188" bestFit="1" customWidth="1"/>
    <col min="10350" max="10350" width="2.3984375" style="1188"/>
    <col min="10351" max="10351" width="4.19921875" style="1188" bestFit="1" customWidth="1"/>
    <col min="10352" max="10353" width="2.3984375" style="1188"/>
    <col min="10354" max="10354" width="4.19921875" style="1188" bestFit="1" customWidth="1"/>
    <col min="10355" max="10355" width="2.3984375" style="1188"/>
    <col min="10356" max="10356" width="4.19921875" style="1188" bestFit="1" customWidth="1"/>
    <col min="10357" max="10359" width="2.3984375" style="1188"/>
    <col min="10360" max="10362" width="2.8984375" style="1188" bestFit="1" customWidth="1"/>
    <col min="10363" max="10364" width="2.3984375" style="1188"/>
    <col min="10365" max="10365" width="4.19921875" style="1188" bestFit="1" customWidth="1"/>
    <col min="10366" max="10366" width="2.3984375" style="1188"/>
    <col min="10367" max="10367" width="4.19921875" style="1188" bestFit="1" customWidth="1"/>
    <col min="10368" max="10369" width="2.3984375" style="1188"/>
    <col min="10370" max="10370" width="4.19921875" style="1188" bestFit="1" customWidth="1"/>
    <col min="10371" max="10371" width="2.3984375" style="1188"/>
    <col min="10372" max="10372" width="4.19921875" style="1188" bestFit="1" customWidth="1"/>
    <col min="10373" max="10375" width="2.3984375" style="1188"/>
    <col min="10376" max="10378" width="2.8984375" style="1188" bestFit="1" customWidth="1"/>
    <col min="10379" max="10380" width="2.3984375" style="1188"/>
    <col min="10381" max="10381" width="4.19921875" style="1188" bestFit="1" customWidth="1"/>
    <col min="10382" max="10382" width="2.3984375" style="1188"/>
    <col min="10383" max="10383" width="4.19921875" style="1188" bestFit="1" customWidth="1"/>
    <col min="10384" max="10385" width="2.3984375" style="1188"/>
    <col min="10386" max="10386" width="4.19921875" style="1188" bestFit="1" customWidth="1"/>
    <col min="10387" max="10387" width="2.3984375" style="1188"/>
    <col min="10388" max="10388" width="4.19921875" style="1188" bestFit="1" customWidth="1"/>
    <col min="10389" max="10391" width="2.3984375" style="1188"/>
    <col min="10392" max="10394" width="2.8984375" style="1188" bestFit="1" customWidth="1"/>
    <col min="10395" max="10396" width="2.3984375" style="1188"/>
    <col min="10397" max="10397" width="4.19921875" style="1188" bestFit="1" customWidth="1"/>
    <col min="10398" max="10398" width="2.3984375" style="1188"/>
    <col min="10399" max="10399" width="4.19921875" style="1188" bestFit="1" customWidth="1"/>
    <col min="10400" max="10401" width="2.3984375" style="1188"/>
    <col min="10402" max="10402" width="4.19921875" style="1188" bestFit="1" customWidth="1"/>
    <col min="10403" max="10403" width="2.3984375" style="1188"/>
    <col min="10404" max="10404" width="4.19921875" style="1188" bestFit="1" customWidth="1"/>
    <col min="10405" max="10407" width="2.3984375" style="1188"/>
    <col min="10408" max="10410" width="2.8984375" style="1188" bestFit="1" customWidth="1"/>
    <col min="10411" max="10412" width="2.3984375" style="1188"/>
    <col min="10413" max="10413" width="4.19921875" style="1188" bestFit="1" customWidth="1"/>
    <col min="10414" max="10414" width="2.3984375" style="1188"/>
    <col min="10415" max="10415" width="4.19921875" style="1188" bestFit="1" customWidth="1"/>
    <col min="10416" max="10417" width="2.3984375" style="1188"/>
    <col min="10418" max="10418" width="4.19921875" style="1188" bestFit="1" customWidth="1"/>
    <col min="10419" max="10419" width="2.3984375" style="1188"/>
    <col min="10420" max="10420" width="4.19921875" style="1188" bestFit="1" customWidth="1"/>
    <col min="10421" max="10423" width="2.3984375" style="1188"/>
    <col min="10424" max="10426" width="2.8984375" style="1188" bestFit="1" customWidth="1"/>
    <col min="10427" max="10428" width="2.3984375" style="1188"/>
    <col min="10429" max="10429" width="4.19921875" style="1188" bestFit="1" customWidth="1"/>
    <col min="10430" max="10430" width="2.3984375" style="1188"/>
    <col min="10431" max="10431" width="4.19921875" style="1188" bestFit="1" customWidth="1"/>
    <col min="10432" max="10433" width="2.3984375" style="1188"/>
    <col min="10434" max="10434" width="4.19921875" style="1188" bestFit="1" customWidth="1"/>
    <col min="10435" max="10435" width="2.3984375" style="1188"/>
    <col min="10436" max="10436" width="4.19921875" style="1188" bestFit="1" customWidth="1"/>
    <col min="10437" max="10439" width="2.3984375" style="1188"/>
    <col min="10440" max="10442" width="2.8984375" style="1188" bestFit="1" customWidth="1"/>
    <col min="10443" max="10444" width="2.3984375" style="1188"/>
    <col min="10445" max="10445" width="4.19921875" style="1188" bestFit="1" customWidth="1"/>
    <col min="10446" max="10446" width="2.3984375" style="1188"/>
    <col min="10447" max="10447" width="4.19921875" style="1188" bestFit="1" customWidth="1"/>
    <col min="10448" max="10449" width="2.3984375" style="1188"/>
    <col min="10450" max="10450" width="4.19921875" style="1188" bestFit="1" customWidth="1"/>
    <col min="10451" max="10451" width="2.3984375" style="1188"/>
    <col min="10452" max="10452" width="4.19921875" style="1188" bestFit="1" customWidth="1"/>
    <col min="10453" max="10455" width="2.3984375" style="1188"/>
    <col min="10456" max="10458" width="2.8984375" style="1188" bestFit="1" customWidth="1"/>
    <col min="10459" max="10460" width="2.3984375" style="1188"/>
    <col min="10461" max="10461" width="4.19921875" style="1188" bestFit="1" customWidth="1"/>
    <col min="10462" max="10462" width="2.3984375" style="1188"/>
    <col min="10463" max="10463" width="4.19921875" style="1188" bestFit="1" customWidth="1"/>
    <col min="10464" max="10465" width="2.3984375" style="1188"/>
    <col min="10466" max="10466" width="4.19921875" style="1188" bestFit="1" customWidth="1"/>
    <col min="10467" max="10467" width="2.3984375" style="1188"/>
    <col min="10468" max="10468" width="4.19921875" style="1188" bestFit="1" customWidth="1"/>
    <col min="10469" max="10471" width="2.3984375" style="1188"/>
    <col min="10472" max="10474" width="2.8984375" style="1188" bestFit="1" customWidth="1"/>
    <col min="10475" max="10476" width="2.3984375" style="1188"/>
    <col min="10477" max="10477" width="4.19921875" style="1188" bestFit="1" customWidth="1"/>
    <col min="10478" max="10478" width="2.3984375" style="1188"/>
    <col min="10479" max="10479" width="4.19921875" style="1188" bestFit="1" customWidth="1"/>
    <col min="10480" max="10481" width="2.3984375" style="1188"/>
    <col min="10482" max="10482" width="4.19921875" style="1188" bestFit="1" customWidth="1"/>
    <col min="10483" max="10483" width="2.3984375" style="1188"/>
    <col min="10484" max="10484" width="4.19921875" style="1188" bestFit="1" customWidth="1"/>
    <col min="10485" max="10487" width="2.3984375" style="1188"/>
    <col min="10488" max="10490" width="2.8984375" style="1188" bestFit="1" customWidth="1"/>
    <col min="10491" max="10492" width="2.3984375" style="1188"/>
    <col min="10493" max="10493" width="4.19921875" style="1188" bestFit="1" customWidth="1"/>
    <col min="10494" max="10494" width="2.3984375" style="1188"/>
    <col min="10495" max="10495" width="4.19921875" style="1188" bestFit="1" customWidth="1"/>
    <col min="10496" max="10497" width="2.3984375" style="1188"/>
    <col min="10498" max="10498" width="4.19921875" style="1188" bestFit="1" customWidth="1"/>
    <col min="10499" max="10499" width="2.3984375" style="1188"/>
    <col min="10500" max="10500" width="4.19921875" style="1188" bestFit="1" customWidth="1"/>
    <col min="10501" max="10503" width="2.3984375" style="1188"/>
    <col min="10504" max="10506" width="2.8984375" style="1188" bestFit="1" customWidth="1"/>
    <col min="10507" max="10508" width="2.3984375" style="1188"/>
    <col min="10509" max="10509" width="4.19921875" style="1188" bestFit="1" customWidth="1"/>
    <col min="10510" max="10510" width="2.3984375" style="1188"/>
    <col min="10511" max="10511" width="4.19921875" style="1188" bestFit="1" customWidth="1"/>
    <col min="10512" max="10513" width="2.3984375" style="1188"/>
    <col min="10514" max="10514" width="4.19921875" style="1188" bestFit="1" customWidth="1"/>
    <col min="10515" max="10515" width="2.3984375" style="1188"/>
    <col min="10516" max="10516" width="4.19921875" style="1188" bestFit="1" customWidth="1"/>
    <col min="10517" max="10519" width="2.3984375" style="1188"/>
    <col min="10520" max="10522" width="2.8984375" style="1188" bestFit="1" customWidth="1"/>
    <col min="10523" max="10524" width="2.3984375" style="1188"/>
    <col min="10525" max="10525" width="4.19921875" style="1188" bestFit="1" customWidth="1"/>
    <col min="10526" max="10526" width="2.3984375" style="1188"/>
    <col min="10527" max="10527" width="4.19921875" style="1188" bestFit="1" customWidth="1"/>
    <col min="10528" max="10529" width="2.3984375" style="1188"/>
    <col min="10530" max="10530" width="4.19921875" style="1188" bestFit="1" customWidth="1"/>
    <col min="10531" max="10531" width="2.3984375" style="1188"/>
    <col min="10532" max="10532" width="4.19921875" style="1188" bestFit="1" customWidth="1"/>
    <col min="10533" max="10535" width="2.3984375" style="1188"/>
    <col min="10536" max="10538" width="2.8984375" style="1188" bestFit="1" customWidth="1"/>
    <col min="10539" max="10540" width="2.3984375" style="1188"/>
    <col min="10541" max="10541" width="4.19921875" style="1188" bestFit="1" customWidth="1"/>
    <col min="10542" max="10542" width="2.3984375" style="1188"/>
    <col min="10543" max="10543" width="4.19921875" style="1188" bestFit="1" customWidth="1"/>
    <col min="10544" max="10545" width="2.3984375" style="1188"/>
    <col min="10546" max="10546" width="4.19921875" style="1188" bestFit="1" customWidth="1"/>
    <col min="10547" max="10547" width="2.3984375" style="1188"/>
    <col min="10548" max="10548" width="4.19921875" style="1188" bestFit="1" customWidth="1"/>
    <col min="10549" max="10551" width="2.3984375" style="1188"/>
    <col min="10552" max="10554" width="2.8984375" style="1188" bestFit="1" customWidth="1"/>
    <col min="10555" max="10556" width="2.3984375" style="1188"/>
    <col min="10557" max="10557" width="4.19921875" style="1188" bestFit="1" customWidth="1"/>
    <col min="10558" max="10558" width="2.3984375" style="1188"/>
    <col min="10559" max="10559" width="4.19921875" style="1188" bestFit="1" customWidth="1"/>
    <col min="10560" max="10561" width="2.3984375" style="1188"/>
    <col min="10562" max="10562" width="4.19921875" style="1188" bestFit="1" customWidth="1"/>
    <col min="10563" max="10563" width="2.3984375" style="1188"/>
    <col min="10564" max="10564" width="4.19921875" style="1188" bestFit="1" customWidth="1"/>
    <col min="10565" max="10567" width="2.3984375" style="1188"/>
    <col min="10568" max="10570" width="2.8984375" style="1188" bestFit="1" customWidth="1"/>
    <col min="10571" max="10572" width="2.3984375" style="1188"/>
    <col min="10573" max="10573" width="4.19921875" style="1188" bestFit="1" customWidth="1"/>
    <col min="10574" max="10574" width="2.3984375" style="1188"/>
    <col min="10575" max="10575" width="4.19921875" style="1188" bestFit="1" customWidth="1"/>
    <col min="10576" max="10577" width="2.3984375" style="1188"/>
    <col min="10578" max="10578" width="4.19921875" style="1188" bestFit="1" customWidth="1"/>
    <col min="10579" max="10579" width="2.3984375" style="1188"/>
    <col min="10580" max="10580" width="4.19921875" style="1188" bestFit="1" customWidth="1"/>
    <col min="10581" max="10583" width="2.3984375" style="1188"/>
    <col min="10584" max="10586" width="2.8984375" style="1188" bestFit="1" customWidth="1"/>
    <col min="10587" max="10588" width="2.3984375" style="1188"/>
    <col min="10589" max="10589" width="4.19921875" style="1188" bestFit="1" customWidth="1"/>
    <col min="10590" max="10590" width="2.3984375" style="1188"/>
    <col min="10591" max="10591" width="4.19921875" style="1188" bestFit="1" customWidth="1"/>
    <col min="10592" max="10593" width="2.3984375" style="1188"/>
    <col min="10594" max="10594" width="4.19921875" style="1188" bestFit="1" customWidth="1"/>
    <col min="10595" max="10595" width="2.3984375" style="1188"/>
    <col min="10596" max="10596" width="4.19921875" style="1188" bestFit="1" customWidth="1"/>
    <col min="10597" max="10599" width="2.3984375" style="1188"/>
    <col min="10600" max="10602" width="2.8984375" style="1188" bestFit="1" customWidth="1"/>
    <col min="10603" max="10604" width="2.3984375" style="1188"/>
    <col min="10605" max="10605" width="4.19921875" style="1188" bestFit="1" customWidth="1"/>
    <col min="10606" max="10606" width="2.3984375" style="1188"/>
    <col min="10607" max="10607" width="4.19921875" style="1188" bestFit="1" customWidth="1"/>
    <col min="10608" max="10609" width="2.3984375" style="1188"/>
    <col min="10610" max="10610" width="4.19921875" style="1188" bestFit="1" customWidth="1"/>
    <col min="10611" max="10611" width="2.3984375" style="1188"/>
    <col min="10612" max="10612" width="4.19921875" style="1188" bestFit="1" customWidth="1"/>
    <col min="10613" max="10615" width="2.3984375" style="1188"/>
    <col min="10616" max="10618" width="2.8984375" style="1188" bestFit="1" customWidth="1"/>
    <col min="10619" max="10620" width="2.3984375" style="1188"/>
    <col min="10621" max="10621" width="4.19921875" style="1188" bestFit="1" customWidth="1"/>
    <col min="10622" max="10622" width="2.3984375" style="1188"/>
    <col min="10623" max="10623" width="4.19921875" style="1188" bestFit="1" customWidth="1"/>
    <col min="10624" max="10625" width="2.3984375" style="1188"/>
    <col min="10626" max="10626" width="4.19921875" style="1188" bestFit="1" customWidth="1"/>
    <col min="10627" max="10627" width="2.3984375" style="1188"/>
    <col min="10628" max="10628" width="4.19921875" style="1188" bestFit="1" customWidth="1"/>
    <col min="10629" max="10631" width="2.3984375" style="1188"/>
    <col min="10632" max="10634" width="2.8984375" style="1188" bestFit="1" customWidth="1"/>
    <col min="10635" max="10636" width="2.3984375" style="1188"/>
    <col min="10637" max="10637" width="4.19921875" style="1188" bestFit="1" customWidth="1"/>
    <col min="10638" max="10638" width="2.3984375" style="1188"/>
    <col min="10639" max="10639" width="4.19921875" style="1188" bestFit="1" customWidth="1"/>
    <col min="10640" max="10641" width="2.3984375" style="1188"/>
    <col min="10642" max="10642" width="4.19921875" style="1188" bestFit="1" customWidth="1"/>
    <col min="10643" max="10643" width="2.3984375" style="1188"/>
    <col min="10644" max="10644" width="4.19921875" style="1188" bestFit="1" customWidth="1"/>
    <col min="10645" max="10647" width="2.3984375" style="1188"/>
    <col min="10648" max="10650" width="2.8984375" style="1188" bestFit="1" customWidth="1"/>
    <col min="10651" max="10652" width="2.3984375" style="1188"/>
    <col min="10653" max="10653" width="4.19921875" style="1188" bestFit="1" customWidth="1"/>
    <col min="10654" max="10654" width="2.3984375" style="1188"/>
    <col min="10655" max="10655" width="4.19921875" style="1188" bestFit="1" customWidth="1"/>
    <col min="10656" max="10657" width="2.3984375" style="1188"/>
    <col min="10658" max="10658" width="4.19921875" style="1188" bestFit="1" customWidth="1"/>
    <col min="10659" max="10659" width="2.3984375" style="1188"/>
    <col min="10660" max="10660" width="4.19921875" style="1188" bestFit="1" customWidth="1"/>
    <col min="10661" max="10663" width="2.3984375" style="1188"/>
    <col min="10664" max="10666" width="2.8984375" style="1188" bestFit="1" customWidth="1"/>
    <col min="10667" max="10668" width="2.3984375" style="1188"/>
    <col min="10669" max="10669" width="4.19921875" style="1188" bestFit="1" customWidth="1"/>
    <col min="10670" max="10670" width="2.3984375" style="1188"/>
    <col min="10671" max="10671" width="4.19921875" style="1188" bestFit="1" customWidth="1"/>
    <col min="10672" max="10673" width="2.3984375" style="1188"/>
    <col min="10674" max="10674" width="4.19921875" style="1188" bestFit="1" customWidth="1"/>
    <col min="10675" max="10675" width="2.3984375" style="1188"/>
    <col min="10676" max="10676" width="4.19921875" style="1188" bestFit="1" customWidth="1"/>
    <col min="10677" max="10679" width="2.3984375" style="1188"/>
    <col min="10680" max="10682" width="2.8984375" style="1188" bestFit="1" customWidth="1"/>
    <col min="10683" max="10684" width="2.3984375" style="1188"/>
    <col min="10685" max="10685" width="4.19921875" style="1188" bestFit="1" customWidth="1"/>
    <col min="10686" max="10686" width="2.3984375" style="1188"/>
    <col min="10687" max="10687" width="4.19921875" style="1188" bestFit="1" customWidth="1"/>
    <col min="10688" max="10689" width="2.3984375" style="1188"/>
    <col min="10690" max="10690" width="4.19921875" style="1188" bestFit="1" customWidth="1"/>
    <col min="10691" max="10691" width="2.3984375" style="1188"/>
    <col min="10692" max="10692" width="4.19921875" style="1188" bestFit="1" customWidth="1"/>
    <col min="10693" max="10695" width="2.3984375" style="1188"/>
    <col min="10696" max="10698" width="2.8984375" style="1188" bestFit="1" customWidth="1"/>
    <col min="10699" max="10700" width="2.3984375" style="1188"/>
    <col min="10701" max="10701" width="4.19921875" style="1188" bestFit="1" customWidth="1"/>
    <col min="10702" max="10702" width="2.3984375" style="1188"/>
    <col min="10703" max="10703" width="4.19921875" style="1188" bestFit="1" customWidth="1"/>
    <col min="10704" max="10705" width="2.3984375" style="1188"/>
    <col min="10706" max="10706" width="4.19921875" style="1188" bestFit="1" customWidth="1"/>
    <col min="10707" max="10707" width="2.3984375" style="1188"/>
    <col min="10708" max="10708" width="4.19921875" style="1188" bestFit="1" customWidth="1"/>
    <col min="10709" max="10711" width="2.3984375" style="1188"/>
    <col min="10712" max="10714" width="2.8984375" style="1188" bestFit="1" customWidth="1"/>
    <col min="10715" max="10716" width="2.3984375" style="1188"/>
    <col min="10717" max="10717" width="4.19921875" style="1188" bestFit="1" customWidth="1"/>
    <col min="10718" max="10718" width="2.3984375" style="1188"/>
    <col min="10719" max="10719" width="4.19921875" style="1188" bestFit="1" customWidth="1"/>
    <col min="10720" max="10721" width="2.3984375" style="1188"/>
    <col min="10722" max="10722" width="4.19921875" style="1188" bestFit="1" customWidth="1"/>
    <col min="10723" max="10723" width="2.3984375" style="1188"/>
    <col min="10724" max="10724" width="4.19921875" style="1188" bestFit="1" customWidth="1"/>
    <col min="10725" max="10727" width="2.3984375" style="1188"/>
    <col min="10728" max="10730" width="2.8984375" style="1188" bestFit="1" customWidth="1"/>
    <col min="10731" max="10732" width="2.3984375" style="1188"/>
    <col min="10733" max="10733" width="4.19921875" style="1188" bestFit="1" customWidth="1"/>
    <col min="10734" max="10734" width="2.3984375" style="1188"/>
    <col min="10735" max="10735" width="4.19921875" style="1188" bestFit="1" customWidth="1"/>
    <col min="10736" max="10737" width="2.3984375" style="1188"/>
    <col min="10738" max="10738" width="4.19921875" style="1188" bestFit="1" customWidth="1"/>
    <col min="10739" max="10739" width="2.3984375" style="1188"/>
    <col min="10740" max="10740" width="4.19921875" style="1188" bestFit="1" customWidth="1"/>
    <col min="10741" max="10743" width="2.3984375" style="1188"/>
    <col min="10744" max="10746" width="2.8984375" style="1188" bestFit="1" customWidth="1"/>
    <col min="10747" max="10748" width="2.3984375" style="1188"/>
    <col min="10749" max="10749" width="4.19921875" style="1188" bestFit="1" customWidth="1"/>
    <col min="10750" max="10750" width="2.3984375" style="1188"/>
    <col min="10751" max="10751" width="4.19921875" style="1188" bestFit="1" customWidth="1"/>
    <col min="10752" max="10753" width="2.3984375" style="1188"/>
    <col min="10754" max="10754" width="4.19921875" style="1188" bestFit="1" customWidth="1"/>
    <col min="10755" max="10755" width="2.3984375" style="1188"/>
    <col min="10756" max="10756" width="4.19921875" style="1188" bestFit="1" customWidth="1"/>
    <col min="10757" max="10759" width="2.3984375" style="1188"/>
    <col min="10760" max="10762" width="2.8984375" style="1188" bestFit="1" customWidth="1"/>
    <col min="10763" max="10764" width="2.3984375" style="1188"/>
    <col min="10765" max="10765" width="4.19921875" style="1188" bestFit="1" customWidth="1"/>
    <col min="10766" max="10766" width="2.3984375" style="1188"/>
    <col min="10767" max="10767" width="4.19921875" style="1188" bestFit="1" customWidth="1"/>
    <col min="10768" max="10769" width="2.3984375" style="1188"/>
    <col min="10770" max="10770" width="4.19921875" style="1188" bestFit="1" customWidth="1"/>
    <col min="10771" max="10771" width="2.3984375" style="1188"/>
    <col min="10772" max="10772" width="4.19921875" style="1188" bestFit="1" customWidth="1"/>
    <col min="10773" max="10775" width="2.3984375" style="1188"/>
    <col min="10776" max="10778" width="2.8984375" style="1188" bestFit="1" customWidth="1"/>
    <col min="10779" max="10780" width="2.3984375" style="1188"/>
    <col min="10781" max="10781" width="4.19921875" style="1188" bestFit="1" customWidth="1"/>
    <col min="10782" max="10782" width="2.3984375" style="1188"/>
    <col min="10783" max="10783" width="4.19921875" style="1188" bestFit="1" customWidth="1"/>
    <col min="10784" max="10785" width="2.3984375" style="1188"/>
    <col min="10786" max="10786" width="4.19921875" style="1188" bestFit="1" customWidth="1"/>
    <col min="10787" max="10787" width="2.3984375" style="1188"/>
    <col min="10788" max="10788" width="4.19921875" style="1188" bestFit="1" customWidth="1"/>
    <col min="10789" max="10791" width="2.3984375" style="1188"/>
    <col min="10792" max="10794" width="2.8984375" style="1188" bestFit="1" customWidth="1"/>
    <col min="10795" max="10796" width="2.3984375" style="1188"/>
    <col min="10797" max="10797" width="4.19921875" style="1188" bestFit="1" customWidth="1"/>
    <col min="10798" max="10798" width="2.3984375" style="1188"/>
    <col min="10799" max="10799" width="4.19921875" style="1188" bestFit="1" customWidth="1"/>
    <col min="10800" max="10801" width="2.3984375" style="1188"/>
    <col min="10802" max="10802" width="4.19921875" style="1188" bestFit="1" customWidth="1"/>
    <col min="10803" max="10803" width="2.3984375" style="1188"/>
    <col min="10804" max="10804" width="4.19921875" style="1188" bestFit="1" customWidth="1"/>
    <col min="10805" max="10807" width="2.3984375" style="1188"/>
    <col min="10808" max="10810" width="2.8984375" style="1188" bestFit="1" customWidth="1"/>
    <col min="10811" max="10812" width="2.3984375" style="1188"/>
    <col min="10813" max="10813" width="4.19921875" style="1188" bestFit="1" customWidth="1"/>
    <col min="10814" max="10814" width="2.3984375" style="1188"/>
    <col min="10815" max="10815" width="4.19921875" style="1188" bestFit="1" customWidth="1"/>
    <col min="10816" max="10817" width="2.3984375" style="1188"/>
    <col min="10818" max="10818" width="4.19921875" style="1188" bestFit="1" customWidth="1"/>
    <col min="10819" max="10819" width="2.3984375" style="1188"/>
    <col min="10820" max="10820" width="4.19921875" style="1188" bestFit="1" customWidth="1"/>
    <col min="10821" max="10823" width="2.3984375" style="1188"/>
    <col min="10824" max="10826" width="2.8984375" style="1188" bestFit="1" customWidth="1"/>
    <col min="10827" max="10828" width="2.3984375" style="1188"/>
    <col min="10829" max="10829" width="4.19921875" style="1188" bestFit="1" customWidth="1"/>
    <col min="10830" max="10830" width="2.3984375" style="1188"/>
    <col min="10831" max="10831" width="4.19921875" style="1188" bestFit="1" customWidth="1"/>
    <col min="10832" max="10833" width="2.3984375" style="1188"/>
    <col min="10834" max="10834" width="4.19921875" style="1188" bestFit="1" customWidth="1"/>
    <col min="10835" max="10835" width="2.3984375" style="1188"/>
    <col min="10836" max="10836" width="4.19921875" style="1188" bestFit="1" customWidth="1"/>
    <col min="10837" max="10839" width="2.3984375" style="1188"/>
    <col min="10840" max="10842" width="2.8984375" style="1188" bestFit="1" customWidth="1"/>
    <col min="10843" max="10844" width="2.3984375" style="1188"/>
    <col min="10845" max="10845" width="4.19921875" style="1188" bestFit="1" customWidth="1"/>
    <col min="10846" max="10846" width="2.3984375" style="1188"/>
    <col min="10847" max="10847" width="4.19921875" style="1188" bestFit="1" customWidth="1"/>
    <col min="10848" max="10849" width="2.3984375" style="1188"/>
    <col min="10850" max="10850" width="4.19921875" style="1188" bestFit="1" customWidth="1"/>
    <col min="10851" max="10851" width="2.3984375" style="1188"/>
    <col min="10852" max="10852" width="4.19921875" style="1188" bestFit="1" customWidth="1"/>
    <col min="10853" max="10855" width="2.3984375" style="1188"/>
    <col min="10856" max="10858" width="2.8984375" style="1188" bestFit="1" customWidth="1"/>
    <col min="10859" max="10860" width="2.3984375" style="1188"/>
    <col min="10861" max="10861" width="4.19921875" style="1188" bestFit="1" customWidth="1"/>
    <col min="10862" max="10862" width="2.3984375" style="1188"/>
    <col min="10863" max="10863" width="4.19921875" style="1188" bestFit="1" customWidth="1"/>
    <col min="10864" max="10865" width="2.3984375" style="1188"/>
    <col min="10866" max="10866" width="4.19921875" style="1188" bestFit="1" customWidth="1"/>
    <col min="10867" max="10867" width="2.3984375" style="1188"/>
    <col min="10868" max="10868" width="4.19921875" style="1188" bestFit="1" customWidth="1"/>
    <col min="10869" max="10871" width="2.3984375" style="1188"/>
    <col min="10872" max="10874" width="2.8984375" style="1188" bestFit="1" customWidth="1"/>
    <col min="10875" max="10876" width="2.3984375" style="1188"/>
    <col min="10877" max="10877" width="4.19921875" style="1188" bestFit="1" customWidth="1"/>
    <col min="10878" max="10878" width="2.3984375" style="1188"/>
    <col min="10879" max="10879" width="4.19921875" style="1188" bestFit="1" customWidth="1"/>
    <col min="10880" max="10881" width="2.3984375" style="1188"/>
    <col min="10882" max="10882" width="4.19921875" style="1188" bestFit="1" customWidth="1"/>
    <col min="10883" max="10883" width="2.3984375" style="1188"/>
    <col min="10884" max="10884" width="4.19921875" style="1188" bestFit="1" customWidth="1"/>
    <col min="10885" max="10887" width="2.3984375" style="1188"/>
    <col min="10888" max="10890" width="2.8984375" style="1188" bestFit="1" customWidth="1"/>
    <col min="10891" max="10892" width="2.3984375" style="1188"/>
    <col min="10893" max="10893" width="4.19921875" style="1188" bestFit="1" customWidth="1"/>
    <col min="10894" max="10894" width="2.3984375" style="1188"/>
    <col min="10895" max="10895" width="4.19921875" style="1188" bestFit="1" customWidth="1"/>
    <col min="10896" max="10897" width="2.3984375" style="1188"/>
    <col min="10898" max="10898" width="4.19921875" style="1188" bestFit="1" customWidth="1"/>
    <col min="10899" max="10899" width="2.3984375" style="1188"/>
    <col min="10900" max="10900" width="4.19921875" style="1188" bestFit="1" customWidth="1"/>
    <col min="10901" max="10903" width="2.3984375" style="1188"/>
    <col min="10904" max="10906" width="2.8984375" style="1188" bestFit="1" customWidth="1"/>
    <col min="10907" max="10908" width="2.3984375" style="1188"/>
    <col min="10909" max="10909" width="4.19921875" style="1188" bestFit="1" customWidth="1"/>
    <col min="10910" max="10910" width="2.3984375" style="1188"/>
    <col min="10911" max="10911" width="4.19921875" style="1188" bestFit="1" customWidth="1"/>
    <col min="10912" max="10913" width="2.3984375" style="1188"/>
    <col min="10914" max="10914" width="4.19921875" style="1188" bestFit="1" customWidth="1"/>
    <col min="10915" max="10915" width="2.3984375" style="1188"/>
    <col min="10916" max="10916" width="4.19921875" style="1188" bestFit="1" customWidth="1"/>
    <col min="10917" max="10919" width="2.3984375" style="1188"/>
    <col min="10920" max="10922" width="2.8984375" style="1188" bestFit="1" customWidth="1"/>
    <col min="10923" max="10924" width="2.3984375" style="1188"/>
    <col min="10925" max="10925" width="4.19921875" style="1188" bestFit="1" customWidth="1"/>
    <col min="10926" max="10926" width="2.3984375" style="1188"/>
    <col min="10927" max="10927" width="4.19921875" style="1188" bestFit="1" customWidth="1"/>
    <col min="10928" max="10929" width="2.3984375" style="1188"/>
    <col min="10930" max="10930" width="4.19921875" style="1188" bestFit="1" customWidth="1"/>
    <col min="10931" max="10931" width="2.3984375" style="1188"/>
    <col min="10932" max="10932" width="4.19921875" style="1188" bestFit="1" customWidth="1"/>
    <col min="10933" max="10935" width="2.3984375" style="1188"/>
    <col min="10936" max="10938" width="2.8984375" style="1188" bestFit="1" customWidth="1"/>
    <col min="10939" max="10940" width="2.3984375" style="1188"/>
    <col min="10941" max="10941" width="4.19921875" style="1188" bestFit="1" customWidth="1"/>
    <col min="10942" max="10942" width="2.3984375" style="1188"/>
    <col min="10943" max="10943" width="4.19921875" style="1188" bestFit="1" customWidth="1"/>
    <col min="10944" max="10945" width="2.3984375" style="1188"/>
    <col min="10946" max="10946" width="4.19921875" style="1188" bestFit="1" customWidth="1"/>
    <col min="10947" max="10947" width="2.3984375" style="1188"/>
    <col min="10948" max="10948" width="4.19921875" style="1188" bestFit="1" customWidth="1"/>
    <col min="10949" max="10951" width="2.3984375" style="1188"/>
    <col min="10952" max="10954" width="2.8984375" style="1188" bestFit="1" customWidth="1"/>
    <col min="10955" max="10956" width="2.3984375" style="1188"/>
    <col min="10957" max="10957" width="4.19921875" style="1188" bestFit="1" customWidth="1"/>
    <col min="10958" max="10958" width="2.3984375" style="1188"/>
    <col min="10959" max="10959" width="4.19921875" style="1188" bestFit="1" customWidth="1"/>
    <col min="10960" max="10961" width="2.3984375" style="1188"/>
    <col min="10962" max="10962" width="4.19921875" style="1188" bestFit="1" customWidth="1"/>
    <col min="10963" max="10963" width="2.3984375" style="1188"/>
    <col min="10964" max="10964" width="4.19921875" style="1188" bestFit="1" customWidth="1"/>
    <col min="10965" max="10967" width="2.3984375" style="1188"/>
    <col min="10968" max="10970" width="2.8984375" style="1188" bestFit="1" customWidth="1"/>
    <col min="10971" max="10972" width="2.3984375" style="1188"/>
    <col min="10973" max="10973" width="4.19921875" style="1188" bestFit="1" customWidth="1"/>
    <col min="10974" max="10974" width="2.3984375" style="1188"/>
    <col min="10975" max="10975" width="4.19921875" style="1188" bestFit="1" customWidth="1"/>
    <col min="10976" max="10977" width="2.3984375" style="1188"/>
    <col min="10978" max="10978" width="4.19921875" style="1188" bestFit="1" customWidth="1"/>
    <col min="10979" max="10979" width="2.3984375" style="1188"/>
    <col min="10980" max="10980" width="4.19921875" style="1188" bestFit="1" customWidth="1"/>
    <col min="10981" max="10983" width="2.3984375" style="1188"/>
    <col min="10984" max="10986" width="2.8984375" style="1188" bestFit="1" customWidth="1"/>
    <col min="10987" max="10988" width="2.3984375" style="1188"/>
    <col min="10989" max="10989" width="4.19921875" style="1188" bestFit="1" customWidth="1"/>
    <col min="10990" max="10990" width="2.3984375" style="1188"/>
    <col min="10991" max="10991" width="4.19921875" style="1188" bestFit="1" customWidth="1"/>
    <col min="10992" max="10993" width="2.3984375" style="1188"/>
    <col min="10994" max="10994" width="4.19921875" style="1188" bestFit="1" customWidth="1"/>
    <col min="10995" max="10995" width="2.3984375" style="1188"/>
    <col min="10996" max="10996" width="4.19921875" style="1188" bestFit="1" customWidth="1"/>
    <col min="10997" max="10999" width="2.3984375" style="1188"/>
    <col min="11000" max="11002" width="2.8984375" style="1188" bestFit="1" customWidth="1"/>
    <col min="11003" max="11004" width="2.3984375" style="1188"/>
    <col min="11005" max="11005" width="4.19921875" style="1188" bestFit="1" customWidth="1"/>
    <col min="11006" max="11006" width="2.3984375" style="1188"/>
    <col min="11007" max="11007" width="4.19921875" style="1188" bestFit="1" customWidth="1"/>
    <col min="11008" max="11009" width="2.3984375" style="1188"/>
    <col min="11010" max="11010" width="4.19921875" style="1188" bestFit="1" customWidth="1"/>
    <col min="11011" max="11011" width="2.3984375" style="1188"/>
    <col min="11012" max="11012" width="4.19921875" style="1188" bestFit="1" customWidth="1"/>
    <col min="11013" max="11015" width="2.3984375" style="1188"/>
    <col min="11016" max="11018" width="2.8984375" style="1188" bestFit="1" customWidth="1"/>
    <col min="11019" max="11020" width="2.3984375" style="1188"/>
    <col min="11021" max="11021" width="4.19921875" style="1188" bestFit="1" customWidth="1"/>
    <col min="11022" max="11022" width="2.3984375" style="1188"/>
    <col min="11023" max="11023" width="4.19921875" style="1188" bestFit="1" customWidth="1"/>
    <col min="11024" max="11025" width="2.3984375" style="1188"/>
    <col min="11026" max="11026" width="4.19921875" style="1188" bestFit="1" customWidth="1"/>
    <col min="11027" max="11027" width="2.3984375" style="1188"/>
    <col min="11028" max="11028" width="4.19921875" style="1188" bestFit="1" customWidth="1"/>
    <col min="11029" max="11031" width="2.3984375" style="1188"/>
    <col min="11032" max="11034" width="2.8984375" style="1188" bestFit="1" customWidth="1"/>
    <col min="11035" max="11036" width="2.3984375" style="1188"/>
    <col min="11037" max="11037" width="4.19921875" style="1188" bestFit="1" customWidth="1"/>
    <col min="11038" max="11038" width="2.3984375" style="1188"/>
    <col min="11039" max="11039" width="4.19921875" style="1188" bestFit="1" customWidth="1"/>
    <col min="11040" max="11041" width="2.3984375" style="1188"/>
    <col min="11042" max="11042" width="4.19921875" style="1188" bestFit="1" customWidth="1"/>
    <col min="11043" max="11043" width="2.3984375" style="1188"/>
    <col min="11044" max="11044" width="4.19921875" style="1188" bestFit="1" customWidth="1"/>
    <col min="11045" max="11047" width="2.3984375" style="1188"/>
    <col min="11048" max="11050" width="2.8984375" style="1188" bestFit="1" customWidth="1"/>
    <col min="11051" max="11052" width="2.3984375" style="1188"/>
    <col min="11053" max="11053" width="4.19921875" style="1188" bestFit="1" customWidth="1"/>
    <col min="11054" max="11054" width="2.3984375" style="1188"/>
    <col min="11055" max="11055" width="4.19921875" style="1188" bestFit="1" customWidth="1"/>
    <col min="11056" max="11057" width="2.3984375" style="1188"/>
    <col min="11058" max="11058" width="4.19921875" style="1188" bestFit="1" customWidth="1"/>
    <col min="11059" max="11059" width="2.3984375" style="1188"/>
    <col min="11060" max="11060" width="4.19921875" style="1188" bestFit="1" customWidth="1"/>
    <col min="11061" max="11063" width="2.3984375" style="1188"/>
    <col min="11064" max="11066" width="2.8984375" style="1188" bestFit="1" customWidth="1"/>
    <col min="11067" max="11068" width="2.3984375" style="1188"/>
    <col min="11069" max="11069" width="4.19921875" style="1188" bestFit="1" customWidth="1"/>
    <col min="11070" max="11070" width="2.3984375" style="1188"/>
    <col min="11071" max="11071" width="4.19921875" style="1188" bestFit="1" customWidth="1"/>
    <col min="11072" max="11073" width="2.3984375" style="1188"/>
    <col min="11074" max="11074" width="4.19921875" style="1188" bestFit="1" customWidth="1"/>
    <col min="11075" max="11075" width="2.3984375" style="1188"/>
    <col min="11076" max="11076" width="4.19921875" style="1188" bestFit="1" customWidth="1"/>
    <col min="11077" max="11079" width="2.3984375" style="1188"/>
    <col min="11080" max="11082" width="2.8984375" style="1188" bestFit="1" customWidth="1"/>
    <col min="11083" max="11084" width="2.3984375" style="1188"/>
    <col min="11085" max="11085" width="4.19921875" style="1188" bestFit="1" customWidth="1"/>
    <col min="11086" max="11086" width="2.3984375" style="1188"/>
    <col min="11087" max="11087" width="4.19921875" style="1188" bestFit="1" customWidth="1"/>
    <col min="11088" max="11089" width="2.3984375" style="1188"/>
    <col min="11090" max="11090" width="4.19921875" style="1188" bestFit="1" customWidth="1"/>
    <col min="11091" max="11091" width="2.3984375" style="1188"/>
    <col min="11092" max="11092" width="4.19921875" style="1188" bestFit="1" customWidth="1"/>
    <col min="11093" max="11095" width="2.3984375" style="1188"/>
    <col min="11096" max="11098" width="2.8984375" style="1188" bestFit="1" customWidth="1"/>
    <col min="11099" max="11100" width="2.3984375" style="1188"/>
    <col min="11101" max="11101" width="4.19921875" style="1188" bestFit="1" customWidth="1"/>
    <col min="11102" max="11102" width="2.3984375" style="1188"/>
    <col min="11103" max="11103" width="4.19921875" style="1188" bestFit="1" customWidth="1"/>
    <col min="11104" max="11105" width="2.3984375" style="1188"/>
    <col min="11106" max="11106" width="4.19921875" style="1188" bestFit="1" customWidth="1"/>
    <col min="11107" max="11107" width="2.3984375" style="1188"/>
    <col min="11108" max="11108" width="4.19921875" style="1188" bestFit="1" customWidth="1"/>
    <col min="11109" max="11111" width="2.3984375" style="1188"/>
    <col min="11112" max="11114" width="2.8984375" style="1188" bestFit="1" customWidth="1"/>
    <col min="11115" max="11116" width="2.3984375" style="1188"/>
    <col min="11117" max="11117" width="4.19921875" style="1188" bestFit="1" customWidth="1"/>
    <col min="11118" max="11118" width="2.3984375" style="1188"/>
    <col min="11119" max="11119" width="4.19921875" style="1188" bestFit="1" customWidth="1"/>
    <col min="11120" max="11121" width="2.3984375" style="1188"/>
    <col min="11122" max="11122" width="4.19921875" style="1188" bestFit="1" customWidth="1"/>
    <col min="11123" max="11123" width="2.3984375" style="1188"/>
    <col min="11124" max="11124" width="4.19921875" style="1188" bestFit="1" customWidth="1"/>
    <col min="11125" max="11127" width="2.3984375" style="1188"/>
    <col min="11128" max="11130" width="2.8984375" style="1188" bestFit="1" customWidth="1"/>
    <col min="11131" max="11132" width="2.3984375" style="1188"/>
    <col min="11133" max="11133" width="4.19921875" style="1188" bestFit="1" customWidth="1"/>
    <col min="11134" max="11134" width="2.3984375" style="1188"/>
    <col min="11135" max="11135" width="4.19921875" style="1188" bestFit="1" customWidth="1"/>
    <col min="11136" max="11137" width="2.3984375" style="1188"/>
    <col min="11138" max="11138" width="4.19921875" style="1188" bestFit="1" customWidth="1"/>
    <col min="11139" max="11139" width="2.3984375" style="1188"/>
    <col min="11140" max="11140" width="4.19921875" style="1188" bestFit="1" customWidth="1"/>
    <col min="11141" max="11143" width="2.3984375" style="1188"/>
    <col min="11144" max="11146" width="2.8984375" style="1188" bestFit="1" customWidth="1"/>
    <col min="11147" max="11148" width="2.3984375" style="1188"/>
    <col min="11149" max="11149" width="4.19921875" style="1188" bestFit="1" customWidth="1"/>
    <col min="11150" max="11150" width="2.3984375" style="1188"/>
    <col min="11151" max="11151" width="4.19921875" style="1188" bestFit="1" customWidth="1"/>
    <col min="11152" max="11153" width="2.3984375" style="1188"/>
    <col min="11154" max="11154" width="4.19921875" style="1188" bestFit="1" customWidth="1"/>
    <col min="11155" max="11155" width="2.3984375" style="1188"/>
    <col min="11156" max="11156" width="4.19921875" style="1188" bestFit="1" customWidth="1"/>
    <col min="11157" max="11159" width="2.3984375" style="1188"/>
    <col min="11160" max="11162" width="2.8984375" style="1188" bestFit="1" customWidth="1"/>
    <col min="11163" max="11164" width="2.3984375" style="1188"/>
    <col min="11165" max="11165" width="4.19921875" style="1188" bestFit="1" customWidth="1"/>
    <col min="11166" max="11166" width="2.3984375" style="1188"/>
    <col min="11167" max="11167" width="4.19921875" style="1188" bestFit="1" customWidth="1"/>
    <col min="11168" max="11169" width="2.3984375" style="1188"/>
    <col min="11170" max="11170" width="4.19921875" style="1188" bestFit="1" customWidth="1"/>
    <col min="11171" max="11171" width="2.3984375" style="1188"/>
    <col min="11172" max="11172" width="4.19921875" style="1188" bestFit="1" customWidth="1"/>
    <col min="11173" max="11175" width="2.3984375" style="1188"/>
    <col min="11176" max="11178" width="2.8984375" style="1188" bestFit="1" customWidth="1"/>
    <col min="11179" max="11180" width="2.3984375" style="1188"/>
    <col min="11181" max="11181" width="4.19921875" style="1188" bestFit="1" customWidth="1"/>
    <col min="11182" max="11182" width="2.3984375" style="1188"/>
    <col min="11183" max="11183" width="4.19921875" style="1188" bestFit="1" customWidth="1"/>
    <col min="11184" max="11185" width="2.3984375" style="1188"/>
    <col min="11186" max="11186" width="4.19921875" style="1188" bestFit="1" customWidth="1"/>
    <col min="11187" max="11187" width="2.3984375" style="1188"/>
    <col min="11188" max="11188" width="4.19921875" style="1188" bestFit="1" customWidth="1"/>
    <col min="11189" max="11191" width="2.3984375" style="1188"/>
    <col min="11192" max="11194" width="2.8984375" style="1188" bestFit="1" customWidth="1"/>
    <col min="11195" max="11196" width="2.3984375" style="1188"/>
    <col min="11197" max="11197" width="4.19921875" style="1188" bestFit="1" customWidth="1"/>
    <col min="11198" max="11198" width="2.3984375" style="1188"/>
    <col min="11199" max="11199" width="4.19921875" style="1188" bestFit="1" customWidth="1"/>
    <col min="11200" max="11201" width="2.3984375" style="1188"/>
    <col min="11202" max="11202" width="4.19921875" style="1188" bestFit="1" customWidth="1"/>
    <col min="11203" max="11203" width="2.3984375" style="1188"/>
    <col min="11204" max="11204" width="4.19921875" style="1188" bestFit="1" customWidth="1"/>
    <col min="11205" max="11207" width="2.3984375" style="1188"/>
    <col min="11208" max="11210" width="2.8984375" style="1188" bestFit="1" customWidth="1"/>
    <col min="11211" max="11212" width="2.3984375" style="1188"/>
    <col min="11213" max="11213" width="4.19921875" style="1188" bestFit="1" customWidth="1"/>
    <col min="11214" max="11214" width="2.3984375" style="1188"/>
    <col min="11215" max="11215" width="4.19921875" style="1188" bestFit="1" customWidth="1"/>
    <col min="11216" max="11217" width="2.3984375" style="1188"/>
    <col min="11218" max="11218" width="4.19921875" style="1188" bestFit="1" customWidth="1"/>
    <col min="11219" max="11219" width="2.3984375" style="1188"/>
    <col min="11220" max="11220" width="4.19921875" style="1188" bestFit="1" customWidth="1"/>
    <col min="11221" max="11223" width="2.3984375" style="1188"/>
    <col min="11224" max="11226" width="2.8984375" style="1188" bestFit="1" customWidth="1"/>
    <col min="11227" max="11228" width="2.3984375" style="1188"/>
    <col min="11229" max="11229" width="4.19921875" style="1188" bestFit="1" customWidth="1"/>
    <col min="11230" max="11230" width="2.3984375" style="1188"/>
    <col min="11231" max="11231" width="4.19921875" style="1188" bestFit="1" customWidth="1"/>
    <col min="11232" max="11233" width="2.3984375" style="1188"/>
    <col min="11234" max="11234" width="4.19921875" style="1188" bestFit="1" customWidth="1"/>
    <col min="11235" max="11235" width="2.3984375" style="1188"/>
    <col min="11236" max="11236" width="4.19921875" style="1188" bestFit="1" customWidth="1"/>
    <col min="11237" max="11239" width="2.3984375" style="1188"/>
    <col min="11240" max="11242" width="2.8984375" style="1188" bestFit="1" customWidth="1"/>
    <col min="11243" max="11244" width="2.3984375" style="1188"/>
    <col min="11245" max="11245" width="4.19921875" style="1188" bestFit="1" customWidth="1"/>
    <col min="11246" max="11246" width="2.3984375" style="1188"/>
    <col min="11247" max="11247" width="4.19921875" style="1188" bestFit="1" customWidth="1"/>
    <col min="11248" max="11249" width="2.3984375" style="1188"/>
    <col min="11250" max="11250" width="4.19921875" style="1188" bestFit="1" customWidth="1"/>
    <col min="11251" max="11251" width="2.3984375" style="1188"/>
    <col min="11252" max="11252" width="4.19921875" style="1188" bestFit="1" customWidth="1"/>
    <col min="11253" max="11255" width="2.3984375" style="1188"/>
    <col min="11256" max="11258" width="2.8984375" style="1188" bestFit="1" customWidth="1"/>
    <col min="11259" max="11260" width="2.3984375" style="1188"/>
    <col min="11261" max="11261" width="4.19921875" style="1188" bestFit="1" customWidth="1"/>
    <col min="11262" max="11262" width="2.3984375" style="1188"/>
    <col min="11263" max="11263" width="4.19921875" style="1188" bestFit="1" customWidth="1"/>
    <col min="11264" max="11265" width="2.3984375" style="1188"/>
    <col min="11266" max="11266" width="4.19921875" style="1188" bestFit="1" customWidth="1"/>
    <col min="11267" max="11267" width="2.3984375" style="1188"/>
    <col min="11268" max="11268" width="4.19921875" style="1188" bestFit="1" customWidth="1"/>
    <col min="11269" max="11271" width="2.3984375" style="1188"/>
    <col min="11272" max="11274" width="2.8984375" style="1188" bestFit="1" customWidth="1"/>
    <col min="11275" max="11276" width="2.3984375" style="1188"/>
    <col min="11277" max="11277" width="4.19921875" style="1188" bestFit="1" customWidth="1"/>
    <col min="11278" max="11278" width="2.3984375" style="1188"/>
    <col min="11279" max="11279" width="4.19921875" style="1188" bestFit="1" customWidth="1"/>
    <col min="11280" max="11281" width="2.3984375" style="1188"/>
    <col min="11282" max="11282" width="4.19921875" style="1188" bestFit="1" customWidth="1"/>
    <col min="11283" max="11283" width="2.3984375" style="1188"/>
    <col min="11284" max="11284" width="4.19921875" style="1188" bestFit="1" customWidth="1"/>
    <col min="11285" max="11287" width="2.3984375" style="1188"/>
    <col min="11288" max="11290" width="2.8984375" style="1188" bestFit="1" customWidth="1"/>
    <col min="11291" max="11292" width="2.3984375" style="1188"/>
    <col min="11293" max="11293" width="4.19921875" style="1188" bestFit="1" customWidth="1"/>
    <col min="11294" max="11294" width="2.3984375" style="1188"/>
    <col min="11295" max="11295" width="4.19921875" style="1188" bestFit="1" customWidth="1"/>
    <col min="11296" max="11297" width="2.3984375" style="1188"/>
    <col min="11298" max="11298" width="4.19921875" style="1188" bestFit="1" customWidth="1"/>
    <col min="11299" max="11299" width="2.3984375" style="1188"/>
    <col min="11300" max="11300" width="4.19921875" style="1188" bestFit="1" customWidth="1"/>
    <col min="11301" max="11303" width="2.3984375" style="1188"/>
    <col min="11304" max="11306" width="2.8984375" style="1188" bestFit="1" customWidth="1"/>
    <col min="11307" max="11308" width="2.3984375" style="1188"/>
    <col min="11309" max="11309" width="4.19921875" style="1188" bestFit="1" customWidth="1"/>
    <col min="11310" max="11310" width="2.3984375" style="1188"/>
    <col min="11311" max="11311" width="4.19921875" style="1188" bestFit="1" customWidth="1"/>
    <col min="11312" max="11313" width="2.3984375" style="1188"/>
    <col min="11314" max="11314" width="4.19921875" style="1188" bestFit="1" customWidth="1"/>
    <col min="11315" max="11315" width="2.3984375" style="1188"/>
    <col min="11316" max="11316" width="4.19921875" style="1188" bestFit="1" customWidth="1"/>
    <col min="11317" max="11319" width="2.3984375" style="1188"/>
    <col min="11320" max="11322" width="2.8984375" style="1188" bestFit="1" customWidth="1"/>
    <col min="11323" max="11324" width="2.3984375" style="1188"/>
    <col min="11325" max="11325" width="4.19921875" style="1188" bestFit="1" customWidth="1"/>
    <col min="11326" max="11326" width="2.3984375" style="1188"/>
    <col min="11327" max="11327" width="4.19921875" style="1188" bestFit="1" customWidth="1"/>
    <col min="11328" max="11329" width="2.3984375" style="1188"/>
    <col min="11330" max="11330" width="4.19921875" style="1188" bestFit="1" customWidth="1"/>
    <col min="11331" max="11331" width="2.3984375" style="1188"/>
    <col min="11332" max="11332" width="4.19921875" style="1188" bestFit="1" customWidth="1"/>
    <col min="11333" max="11335" width="2.3984375" style="1188"/>
    <col min="11336" max="11338" width="2.8984375" style="1188" bestFit="1" customWidth="1"/>
    <col min="11339" max="11340" width="2.3984375" style="1188"/>
    <col min="11341" max="11341" width="4.19921875" style="1188" bestFit="1" customWidth="1"/>
    <col min="11342" max="11342" width="2.3984375" style="1188"/>
    <col min="11343" max="11343" width="4.19921875" style="1188" bestFit="1" customWidth="1"/>
    <col min="11344" max="11345" width="2.3984375" style="1188"/>
    <col min="11346" max="11346" width="4.19921875" style="1188" bestFit="1" customWidth="1"/>
    <col min="11347" max="11347" width="2.3984375" style="1188"/>
    <col min="11348" max="11348" width="4.19921875" style="1188" bestFit="1" customWidth="1"/>
    <col min="11349" max="11351" width="2.3984375" style="1188"/>
    <col min="11352" max="11354" width="2.8984375" style="1188" bestFit="1" customWidth="1"/>
    <col min="11355" max="11356" width="2.3984375" style="1188"/>
    <col min="11357" max="11357" width="4.19921875" style="1188" bestFit="1" customWidth="1"/>
    <col min="11358" max="11358" width="2.3984375" style="1188"/>
    <col min="11359" max="11359" width="4.19921875" style="1188" bestFit="1" customWidth="1"/>
    <col min="11360" max="11361" width="2.3984375" style="1188"/>
    <col min="11362" max="11362" width="4.19921875" style="1188" bestFit="1" customWidth="1"/>
    <col min="11363" max="11363" width="2.3984375" style="1188"/>
    <col min="11364" max="11364" width="4.19921875" style="1188" bestFit="1" customWidth="1"/>
    <col min="11365" max="11367" width="2.3984375" style="1188"/>
    <col min="11368" max="11370" width="2.8984375" style="1188" bestFit="1" customWidth="1"/>
    <col min="11371" max="11372" width="2.3984375" style="1188"/>
    <col min="11373" max="11373" width="4.19921875" style="1188" bestFit="1" customWidth="1"/>
    <col min="11374" max="11374" width="2.3984375" style="1188"/>
    <col min="11375" max="11375" width="4.19921875" style="1188" bestFit="1" customWidth="1"/>
    <col min="11376" max="11377" width="2.3984375" style="1188"/>
    <col min="11378" max="11378" width="4.19921875" style="1188" bestFit="1" customWidth="1"/>
    <col min="11379" max="11379" width="2.3984375" style="1188"/>
    <col min="11380" max="11380" width="4.19921875" style="1188" bestFit="1" customWidth="1"/>
    <col min="11381" max="11383" width="2.3984375" style="1188"/>
    <col min="11384" max="11386" width="2.8984375" style="1188" bestFit="1" customWidth="1"/>
    <col min="11387" max="11388" width="2.3984375" style="1188"/>
    <col min="11389" max="11389" width="4.19921875" style="1188" bestFit="1" customWidth="1"/>
    <col min="11390" max="11390" width="2.3984375" style="1188"/>
    <col min="11391" max="11391" width="4.19921875" style="1188" bestFit="1" customWidth="1"/>
    <col min="11392" max="11393" width="2.3984375" style="1188"/>
    <col min="11394" max="11394" width="4.19921875" style="1188" bestFit="1" customWidth="1"/>
    <col min="11395" max="11395" width="2.3984375" style="1188"/>
    <col min="11396" max="11396" width="4.19921875" style="1188" bestFit="1" customWidth="1"/>
    <col min="11397" max="11399" width="2.3984375" style="1188"/>
    <col min="11400" max="11402" width="2.8984375" style="1188" bestFit="1" customWidth="1"/>
    <col min="11403" max="11404" width="2.3984375" style="1188"/>
    <col min="11405" max="11405" width="4.19921875" style="1188" bestFit="1" customWidth="1"/>
    <col min="11406" max="11406" width="2.3984375" style="1188"/>
    <col min="11407" max="11407" width="4.19921875" style="1188" bestFit="1" customWidth="1"/>
    <col min="11408" max="11409" width="2.3984375" style="1188"/>
    <col min="11410" max="11410" width="4.19921875" style="1188" bestFit="1" customWidth="1"/>
    <col min="11411" max="11411" width="2.3984375" style="1188"/>
    <col min="11412" max="11412" width="4.19921875" style="1188" bestFit="1" customWidth="1"/>
    <col min="11413" max="11415" width="2.3984375" style="1188"/>
    <col min="11416" max="11418" width="2.8984375" style="1188" bestFit="1" customWidth="1"/>
    <col min="11419" max="11420" width="2.3984375" style="1188"/>
    <col min="11421" max="11421" width="4.19921875" style="1188" bestFit="1" customWidth="1"/>
    <col min="11422" max="11422" width="2.3984375" style="1188"/>
    <col min="11423" max="11423" width="4.19921875" style="1188" bestFit="1" customWidth="1"/>
    <col min="11424" max="11425" width="2.3984375" style="1188"/>
    <col min="11426" max="11426" width="4.19921875" style="1188" bestFit="1" customWidth="1"/>
    <col min="11427" max="11427" width="2.3984375" style="1188"/>
    <col min="11428" max="11428" width="4.19921875" style="1188" bestFit="1" customWidth="1"/>
    <col min="11429" max="11431" width="2.3984375" style="1188"/>
    <col min="11432" max="11434" width="2.8984375" style="1188" bestFit="1" customWidth="1"/>
    <col min="11435" max="11436" width="2.3984375" style="1188"/>
    <col min="11437" max="11437" width="4.19921875" style="1188" bestFit="1" customWidth="1"/>
    <col min="11438" max="11438" width="2.3984375" style="1188"/>
    <col min="11439" max="11439" width="4.19921875" style="1188" bestFit="1" customWidth="1"/>
    <col min="11440" max="11441" width="2.3984375" style="1188"/>
    <col min="11442" max="11442" width="4.19921875" style="1188" bestFit="1" customWidth="1"/>
    <col min="11443" max="11443" width="2.3984375" style="1188"/>
    <col min="11444" max="11444" width="4.19921875" style="1188" bestFit="1" customWidth="1"/>
    <col min="11445" max="11447" width="2.3984375" style="1188"/>
    <col min="11448" max="11450" width="2.8984375" style="1188" bestFit="1" customWidth="1"/>
    <col min="11451" max="11452" width="2.3984375" style="1188"/>
    <col min="11453" max="11453" width="4.19921875" style="1188" bestFit="1" customWidth="1"/>
    <col min="11454" max="11454" width="2.3984375" style="1188"/>
    <col min="11455" max="11455" width="4.19921875" style="1188" bestFit="1" customWidth="1"/>
    <col min="11456" max="11457" width="2.3984375" style="1188"/>
    <col min="11458" max="11458" width="4.19921875" style="1188" bestFit="1" customWidth="1"/>
    <col min="11459" max="11459" width="2.3984375" style="1188"/>
    <col min="11460" max="11460" width="4.19921875" style="1188" bestFit="1" customWidth="1"/>
    <col min="11461" max="11463" width="2.3984375" style="1188"/>
    <col min="11464" max="11466" width="2.8984375" style="1188" bestFit="1" customWidth="1"/>
    <col min="11467" max="11468" width="2.3984375" style="1188"/>
    <col min="11469" max="11469" width="4.19921875" style="1188" bestFit="1" customWidth="1"/>
    <col min="11470" max="11470" width="2.3984375" style="1188"/>
    <col min="11471" max="11471" width="4.19921875" style="1188" bestFit="1" customWidth="1"/>
    <col min="11472" max="11473" width="2.3984375" style="1188"/>
    <col min="11474" max="11474" width="4.19921875" style="1188" bestFit="1" customWidth="1"/>
    <col min="11475" max="11475" width="2.3984375" style="1188"/>
    <col min="11476" max="11476" width="4.19921875" style="1188" bestFit="1" customWidth="1"/>
    <col min="11477" max="11479" width="2.3984375" style="1188"/>
    <col min="11480" max="11482" width="2.8984375" style="1188" bestFit="1" customWidth="1"/>
    <col min="11483" max="11484" width="2.3984375" style="1188"/>
    <col min="11485" max="11485" width="4.19921875" style="1188" bestFit="1" customWidth="1"/>
    <col min="11486" max="11486" width="2.3984375" style="1188"/>
    <col min="11487" max="11487" width="4.19921875" style="1188" bestFit="1" customWidth="1"/>
    <col min="11488" max="11489" width="2.3984375" style="1188"/>
    <col min="11490" max="11490" width="4.19921875" style="1188" bestFit="1" customWidth="1"/>
    <col min="11491" max="11491" width="2.3984375" style="1188"/>
    <col min="11492" max="11492" width="4.19921875" style="1188" bestFit="1" customWidth="1"/>
    <col min="11493" max="11495" width="2.3984375" style="1188"/>
    <col min="11496" max="11498" width="2.8984375" style="1188" bestFit="1" customWidth="1"/>
    <col min="11499" max="11500" width="2.3984375" style="1188"/>
    <col min="11501" max="11501" width="4.19921875" style="1188" bestFit="1" customWidth="1"/>
    <col min="11502" max="11502" width="2.3984375" style="1188"/>
    <col min="11503" max="11503" width="4.19921875" style="1188" bestFit="1" customWidth="1"/>
    <col min="11504" max="11505" width="2.3984375" style="1188"/>
    <col min="11506" max="11506" width="4.19921875" style="1188" bestFit="1" customWidth="1"/>
    <col min="11507" max="11507" width="2.3984375" style="1188"/>
    <col min="11508" max="11508" width="4.19921875" style="1188" bestFit="1" customWidth="1"/>
    <col min="11509" max="11511" width="2.3984375" style="1188"/>
    <col min="11512" max="11514" width="2.8984375" style="1188" bestFit="1" customWidth="1"/>
    <col min="11515" max="11516" width="2.3984375" style="1188"/>
    <col min="11517" max="11517" width="4.19921875" style="1188" bestFit="1" customWidth="1"/>
    <col min="11518" max="11518" width="2.3984375" style="1188"/>
    <col min="11519" max="11519" width="4.19921875" style="1188" bestFit="1" customWidth="1"/>
    <col min="11520" max="11521" width="2.3984375" style="1188"/>
    <col min="11522" max="11522" width="4.19921875" style="1188" bestFit="1" customWidth="1"/>
    <col min="11523" max="11523" width="2.3984375" style="1188"/>
    <col min="11524" max="11524" width="4.19921875" style="1188" bestFit="1" customWidth="1"/>
    <col min="11525" max="11527" width="2.3984375" style="1188"/>
    <col min="11528" max="11530" width="2.8984375" style="1188" bestFit="1" customWidth="1"/>
    <col min="11531" max="11532" width="2.3984375" style="1188"/>
    <col min="11533" max="11533" width="4.19921875" style="1188" bestFit="1" customWidth="1"/>
    <col min="11534" max="11534" width="2.3984375" style="1188"/>
    <col min="11535" max="11535" width="4.19921875" style="1188" bestFit="1" customWidth="1"/>
    <col min="11536" max="11537" width="2.3984375" style="1188"/>
    <col min="11538" max="11538" width="4.19921875" style="1188" bestFit="1" customWidth="1"/>
    <col min="11539" max="11539" width="2.3984375" style="1188"/>
    <col min="11540" max="11540" width="4.19921875" style="1188" bestFit="1" customWidth="1"/>
    <col min="11541" max="11543" width="2.3984375" style="1188"/>
    <col min="11544" max="11546" width="2.8984375" style="1188" bestFit="1" customWidth="1"/>
    <col min="11547" max="11548" width="2.3984375" style="1188"/>
    <col min="11549" max="11549" width="4.19921875" style="1188" bestFit="1" customWidth="1"/>
    <col min="11550" max="11550" width="2.3984375" style="1188"/>
    <col min="11551" max="11551" width="4.19921875" style="1188" bestFit="1" customWidth="1"/>
    <col min="11552" max="11553" width="2.3984375" style="1188"/>
    <col min="11554" max="11554" width="4.19921875" style="1188" bestFit="1" customWidth="1"/>
    <col min="11555" max="11555" width="2.3984375" style="1188"/>
    <col min="11556" max="11556" width="4.19921875" style="1188" bestFit="1" customWidth="1"/>
    <col min="11557" max="11559" width="2.3984375" style="1188"/>
    <col min="11560" max="11562" width="2.8984375" style="1188" bestFit="1" customWidth="1"/>
    <col min="11563" max="11564" width="2.3984375" style="1188"/>
    <col min="11565" max="11565" width="4.19921875" style="1188" bestFit="1" customWidth="1"/>
    <col min="11566" max="11566" width="2.3984375" style="1188"/>
    <col min="11567" max="11567" width="4.19921875" style="1188" bestFit="1" customWidth="1"/>
    <col min="11568" max="11569" width="2.3984375" style="1188"/>
    <col min="11570" max="11570" width="4.19921875" style="1188" bestFit="1" customWidth="1"/>
    <col min="11571" max="11571" width="2.3984375" style="1188"/>
    <col min="11572" max="11572" width="4.19921875" style="1188" bestFit="1" customWidth="1"/>
    <col min="11573" max="11575" width="2.3984375" style="1188"/>
    <col min="11576" max="11578" width="2.8984375" style="1188" bestFit="1" customWidth="1"/>
    <col min="11579" max="11580" width="2.3984375" style="1188"/>
    <col min="11581" max="11581" width="4.19921875" style="1188" bestFit="1" customWidth="1"/>
    <col min="11582" max="11582" width="2.3984375" style="1188"/>
    <col min="11583" max="11583" width="4.19921875" style="1188" bestFit="1" customWidth="1"/>
    <col min="11584" max="11585" width="2.3984375" style="1188"/>
    <col min="11586" max="11586" width="4.19921875" style="1188" bestFit="1" customWidth="1"/>
    <col min="11587" max="11587" width="2.3984375" style="1188"/>
    <col min="11588" max="11588" width="4.19921875" style="1188" bestFit="1" customWidth="1"/>
    <col min="11589" max="11591" width="2.3984375" style="1188"/>
    <col min="11592" max="11594" width="2.8984375" style="1188" bestFit="1" customWidth="1"/>
    <col min="11595" max="11596" width="2.3984375" style="1188"/>
    <col min="11597" max="11597" width="4.19921875" style="1188" bestFit="1" customWidth="1"/>
    <col min="11598" max="11598" width="2.3984375" style="1188"/>
    <col min="11599" max="11599" width="4.19921875" style="1188" bestFit="1" customWidth="1"/>
    <col min="11600" max="11601" width="2.3984375" style="1188"/>
    <col min="11602" max="11602" width="4.19921875" style="1188" bestFit="1" customWidth="1"/>
    <col min="11603" max="11603" width="2.3984375" style="1188"/>
    <col min="11604" max="11604" width="4.19921875" style="1188" bestFit="1" customWidth="1"/>
    <col min="11605" max="11607" width="2.3984375" style="1188"/>
    <col min="11608" max="11610" width="2.8984375" style="1188" bestFit="1" customWidth="1"/>
    <col min="11611" max="11612" width="2.3984375" style="1188"/>
    <col min="11613" max="11613" width="4.19921875" style="1188" bestFit="1" customWidth="1"/>
    <col min="11614" max="11614" width="2.3984375" style="1188"/>
    <col min="11615" max="11615" width="4.19921875" style="1188" bestFit="1" customWidth="1"/>
    <col min="11616" max="11617" width="2.3984375" style="1188"/>
    <col min="11618" max="11618" width="4.19921875" style="1188" bestFit="1" customWidth="1"/>
    <col min="11619" max="11619" width="2.3984375" style="1188"/>
    <col min="11620" max="11620" width="4.19921875" style="1188" bestFit="1" customWidth="1"/>
    <col min="11621" max="11623" width="2.3984375" style="1188"/>
    <col min="11624" max="11626" width="2.8984375" style="1188" bestFit="1" customWidth="1"/>
    <col min="11627" max="11628" width="2.3984375" style="1188"/>
    <col min="11629" max="11629" width="4.19921875" style="1188" bestFit="1" customWidth="1"/>
    <col min="11630" max="11630" width="2.3984375" style="1188"/>
    <col min="11631" max="11631" width="4.19921875" style="1188" bestFit="1" customWidth="1"/>
    <col min="11632" max="11633" width="2.3984375" style="1188"/>
    <col min="11634" max="11634" width="4.19921875" style="1188" bestFit="1" customWidth="1"/>
    <col min="11635" max="11635" width="2.3984375" style="1188"/>
    <col min="11636" max="11636" width="4.19921875" style="1188" bestFit="1" customWidth="1"/>
    <col min="11637" max="11639" width="2.3984375" style="1188"/>
    <col min="11640" max="11642" width="2.8984375" style="1188" bestFit="1" customWidth="1"/>
    <col min="11643" max="11644" width="2.3984375" style="1188"/>
    <col min="11645" max="11645" width="4.19921875" style="1188" bestFit="1" customWidth="1"/>
    <col min="11646" max="11646" width="2.3984375" style="1188"/>
    <col min="11647" max="11647" width="4.19921875" style="1188" bestFit="1" customWidth="1"/>
    <col min="11648" max="11649" width="2.3984375" style="1188"/>
    <col min="11650" max="11650" width="4.19921875" style="1188" bestFit="1" customWidth="1"/>
    <col min="11651" max="11651" width="2.3984375" style="1188"/>
    <col min="11652" max="11652" width="4.19921875" style="1188" bestFit="1" customWidth="1"/>
    <col min="11653" max="11655" width="2.3984375" style="1188"/>
    <col min="11656" max="11658" width="2.8984375" style="1188" bestFit="1" customWidth="1"/>
    <col min="11659" max="11660" width="2.3984375" style="1188"/>
    <col min="11661" max="11661" width="4.19921875" style="1188" bestFit="1" customWidth="1"/>
    <col min="11662" max="11662" width="2.3984375" style="1188"/>
    <col min="11663" max="11663" width="4.19921875" style="1188" bestFit="1" customWidth="1"/>
    <col min="11664" max="11665" width="2.3984375" style="1188"/>
    <col min="11666" max="11666" width="4.19921875" style="1188" bestFit="1" customWidth="1"/>
    <col min="11667" max="11667" width="2.3984375" style="1188"/>
    <col min="11668" max="11668" width="4.19921875" style="1188" bestFit="1" customWidth="1"/>
    <col min="11669" max="11671" width="2.3984375" style="1188"/>
    <col min="11672" max="11674" width="2.8984375" style="1188" bestFit="1" customWidth="1"/>
    <col min="11675" max="11676" width="2.3984375" style="1188"/>
    <col min="11677" max="11677" width="4.19921875" style="1188" bestFit="1" customWidth="1"/>
    <col min="11678" max="11678" width="2.3984375" style="1188"/>
    <col min="11679" max="11679" width="4.19921875" style="1188" bestFit="1" customWidth="1"/>
    <col min="11680" max="11681" width="2.3984375" style="1188"/>
    <col min="11682" max="11682" width="4.19921875" style="1188" bestFit="1" customWidth="1"/>
    <col min="11683" max="11683" width="2.3984375" style="1188"/>
    <col min="11684" max="11684" width="4.19921875" style="1188" bestFit="1" customWidth="1"/>
    <col min="11685" max="11687" width="2.3984375" style="1188"/>
    <col min="11688" max="11690" width="2.8984375" style="1188" bestFit="1" customWidth="1"/>
    <col min="11691" max="11692" width="2.3984375" style="1188"/>
    <col min="11693" max="11693" width="4.19921875" style="1188" bestFit="1" customWidth="1"/>
    <col min="11694" max="11694" width="2.3984375" style="1188"/>
    <col min="11695" max="11695" width="4.19921875" style="1188" bestFit="1" customWidth="1"/>
    <col min="11696" max="11697" width="2.3984375" style="1188"/>
    <col min="11698" max="11698" width="4.19921875" style="1188" bestFit="1" customWidth="1"/>
    <col min="11699" max="11699" width="2.3984375" style="1188"/>
    <col min="11700" max="11700" width="4.19921875" style="1188" bestFit="1" customWidth="1"/>
    <col min="11701" max="11703" width="2.3984375" style="1188"/>
    <col min="11704" max="11706" width="2.8984375" style="1188" bestFit="1" customWidth="1"/>
    <col min="11707" max="11708" width="2.3984375" style="1188"/>
    <col min="11709" max="11709" width="4.19921875" style="1188" bestFit="1" customWidth="1"/>
    <col min="11710" max="11710" width="2.3984375" style="1188"/>
    <col min="11711" max="11711" width="4.19921875" style="1188" bestFit="1" customWidth="1"/>
    <col min="11712" max="11713" width="2.3984375" style="1188"/>
    <col min="11714" max="11714" width="4.19921875" style="1188" bestFit="1" customWidth="1"/>
    <col min="11715" max="11715" width="2.3984375" style="1188"/>
    <col min="11716" max="11716" width="4.19921875" style="1188" bestFit="1" customWidth="1"/>
    <col min="11717" max="11719" width="2.3984375" style="1188"/>
    <col min="11720" max="11722" width="2.8984375" style="1188" bestFit="1" customWidth="1"/>
    <col min="11723" max="11724" width="2.3984375" style="1188"/>
    <col min="11725" max="11725" width="4.19921875" style="1188" bestFit="1" customWidth="1"/>
    <col min="11726" max="11726" width="2.3984375" style="1188"/>
    <col min="11727" max="11727" width="4.19921875" style="1188" bestFit="1" customWidth="1"/>
    <col min="11728" max="11729" width="2.3984375" style="1188"/>
    <col min="11730" max="11730" width="4.19921875" style="1188" bestFit="1" customWidth="1"/>
    <col min="11731" max="11731" width="2.3984375" style="1188"/>
    <col min="11732" max="11732" width="4.19921875" style="1188" bestFit="1" customWidth="1"/>
    <col min="11733" max="11735" width="2.3984375" style="1188"/>
    <col min="11736" max="11738" width="2.8984375" style="1188" bestFit="1" customWidth="1"/>
    <col min="11739" max="11740" width="2.3984375" style="1188"/>
    <col min="11741" max="11741" width="4.19921875" style="1188" bestFit="1" customWidth="1"/>
    <col min="11742" max="11742" width="2.3984375" style="1188"/>
    <col min="11743" max="11743" width="4.19921875" style="1188" bestFit="1" customWidth="1"/>
    <col min="11744" max="11745" width="2.3984375" style="1188"/>
    <col min="11746" max="11746" width="4.19921875" style="1188" bestFit="1" customWidth="1"/>
    <col min="11747" max="11747" width="2.3984375" style="1188"/>
    <col min="11748" max="11748" width="4.19921875" style="1188" bestFit="1" customWidth="1"/>
    <col min="11749" max="11751" width="2.3984375" style="1188"/>
    <col min="11752" max="11754" width="2.8984375" style="1188" bestFit="1" customWidth="1"/>
    <col min="11755" max="11756" width="2.3984375" style="1188"/>
    <col min="11757" max="11757" width="4.19921875" style="1188" bestFit="1" customWidth="1"/>
    <col min="11758" max="11758" width="2.3984375" style="1188"/>
    <col min="11759" max="11759" width="4.19921875" style="1188" bestFit="1" customWidth="1"/>
    <col min="11760" max="11761" width="2.3984375" style="1188"/>
    <col min="11762" max="11762" width="4.19921875" style="1188" bestFit="1" customWidth="1"/>
    <col min="11763" max="11763" width="2.3984375" style="1188"/>
    <col min="11764" max="11764" width="4.19921875" style="1188" bestFit="1" customWidth="1"/>
    <col min="11765" max="11767" width="2.3984375" style="1188"/>
    <col min="11768" max="11770" width="2.8984375" style="1188" bestFit="1" customWidth="1"/>
    <col min="11771" max="11772" width="2.3984375" style="1188"/>
    <col min="11773" max="11773" width="4.19921875" style="1188" bestFit="1" customWidth="1"/>
    <col min="11774" max="11774" width="2.3984375" style="1188"/>
    <col min="11775" max="11775" width="4.19921875" style="1188" bestFit="1" customWidth="1"/>
    <col min="11776" max="11777" width="2.3984375" style="1188"/>
    <col min="11778" max="11778" width="4.19921875" style="1188" bestFit="1" customWidth="1"/>
    <col min="11779" max="11779" width="2.3984375" style="1188"/>
    <col min="11780" max="11780" width="4.19921875" style="1188" bestFit="1" customWidth="1"/>
    <col min="11781" max="11783" width="2.3984375" style="1188"/>
    <col min="11784" max="11786" width="2.8984375" style="1188" bestFit="1" customWidth="1"/>
    <col min="11787" max="11788" width="2.3984375" style="1188"/>
    <col min="11789" max="11789" width="4.19921875" style="1188" bestFit="1" customWidth="1"/>
    <col min="11790" max="11790" width="2.3984375" style="1188"/>
    <col min="11791" max="11791" width="4.19921875" style="1188" bestFit="1" customWidth="1"/>
    <col min="11792" max="11793" width="2.3984375" style="1188"/>
    <col min="11794" max="11794" width="4.19921875" style="1188" bestFit="1" customWidth="1"/>
    <col min="11795" max="11795" width="2.3984375" style="1188"/>
    <col min="11796" max="11796" width="4.19921875" style="1188" bestFit="1" customWidth="1"/>
    <col min="11797" max="11799" width="2.3984375" style="1188"/>
    <col min="11800" max="11802" width="2.8984375" style="1188" bestFit="1" customWidth="1"/>
    <col min="11803" max="11804" width="2.3984375" style="1188"/>
    <col min="11805" max="11805" width="4.19921875" style="1188" bestFit="1" customWidth="1"/>
    <col min="11806" max="11806" width="2.3984375" style="1188"/>
    <col min="11807" max="11807" width="4.19921875" style="1188" bestFit="1" customWidth="1"/>
    <col min="11808" max="11809" width="2.3984375" style="1188"/>
    <col min="11810" max="11810" width="4.19921875" style="1188" bestFit="1" customWidth="1"/>
    <col min="11811" max="11811" width="2.3984375" style="1188"/>
    <col min="11812" max="11812" width="4.19921875" style="1188" bestFit="1" customWidth="1"/>
    <col min="11813" max="11815" width="2.3984375" style="1188"/>
    <col min="11816" max="11818" width="2.8984375" style="1188" bestFit="1" customWidth="1"/>
    <col min="11819" max="11820" width="2.3984375" style="1188"/>
    <col min="11821" max="11821" width="4.19921875" style="1188" bestFit="1" customWidth="1"/>
    <col min="11822" max="11822" width="2.3984375" style="1188"/>
    <col min="11823" max="11823" width="4.19921875" style="1188" bestFit="1" customWidth="1"/>
    <col min="11824" max="11825" width="2.3984375" style="1188"/>
    <col min="11826" max="11826" width="4.19921875" style="1188" bestFit="1" customWidth="1"/>
    <col min="11827" max="11827" width="2.3984375" style="1188"/>
    <col min="11828" max="11828" width="4.19921875" style="1188" bestFit="1" customWidth="1"/>
    <col min="11829" max="11831" width="2.3984375" style="1188"/>
    <col min="11832" max="11834" width="2.8984375" style="1188" bestFit="1" customWidth="1"/>
    <col min="11835" max="11836" width="2.3984375" style="1188"/>
    <col min="11837" max="11837" width="4.19921875" style="1188" bestFit="1" customWidth="1"/>
    <col min="11838" max="11838" width="2.3984375" style="1188"/>
    <col min="11839" max="11839" width="4.19921875" style="1188" bestFit="1" customWidth="1"/>
    <col min="11840" max="11841" width="2.3984375" style="1188"/>
    <col min="11842" max="11842" width="4.19921875" style="1188" bestFit="1" customWidth="1"/>
    <col min="11843" max="11843" width="2.3984375" style="1188"/>
    <col min="11844" max="11844" width="4.19921875" style="1188" bestFit="1" customWidth="1"/>
    <col min="11845" max="11847" width="2.3984375" style="1188"/>
    <col min="11848" max="11850" width="2.8984375" style="1188" bestFit="1" customWidth="1"/>
    <col min="11851" max="11852" width="2.3984375" style="1188"/>
    <col min="11853" max="11853" width="4.19921875" style="1188" bestFit="1" customWidth="1"/>
    <col min="11854" max="11854" width="2.3984375" style="1188"/>
    <col min="11855" max="11855" width="4.19921875" style="1188" bestFit="1" customWidth="1"/>
    <col min="11856" max="11857" width="2.3984375" style="1188"/>
    <col min="11858" max="11858" width="4.19921875" style="1188" bestFit="1" customWidth="1"/>
    <col min="11859" max="11859" width="2.3984375" style="1188"/>
    <col min="11860" max="11860" width="4.19921875" style="1188" bestFit="1" customWidth="1"/>
    <col min="11861" max="11863" width="2.3984375" style="1188"/>
    <col min="11864" max="11866" width="2.8984375" style="1188" bestFit="1" customWidth="1"/>
    <col min="11867" max="11868" width="2.3984375" style="1188"/>
    <col min="11869" max="11869" width="4.19921875" style="1188" bestFit="1" customWidth="1"/>
    <col min="11870" max="11870" width="2.3984375" style="1188"/>
    <col min="11871" max="11871" width="4.19921875" style="1188" bestFit="1" customWidth="1"/>
    <col min="11872" max="11873" width="2.3984375" style="1188"/>
    <col min="11874" max="11874" width="4.19921875" style="1188" bestFit="1" customWidth="1"/>
    <col min="11875" max="11875" width="2.3984375" style="1188"/>
    <col min="11876" max="11876" width="4.19921875" style="1188" bestFit="1" customWidth="1"/>
    <col min="11877" max="11879" width="2.3984375" style="1188"/>
    <col min="11880" max="11882" width="2.8984375" style="1188" bestFit="1" customWidth="1"/>
    <col min="11883" max="11884" width="2.3984375" style="1188"/>
    <col min="11885" max="11885" width="4.19921875" style="1188" bestFit="1" customWidth="1"/>
    <col min="11886" max="11886" width="2.3984375" style="1188"/>
    <col min="11887" max="11887" width="4.19921875" style="1188" bestFit="1" customWidth="1"/>
    <col min="11888" max="11889" width="2.3984375" style="1188"/>
    <col min="11890" max="11890" width="4.19921875" style="1188" bestFit="1" customWidth="1"/>
    <col min="11891" max="11891" width="2.3984375" style="1188"/>
    <col min="11892" max="11892" width="4.19921875" style="1188" bestFit="1" customWidth="1"/>
    <col min="11893" max="11895" width="2.3984375" style="1188"/>
    <col min="11896" max="11898" width="2.8984375" style="1188" bestFit="1" customWidth="1"/>
    <col min="11899" max="11900" width="2.3984375" style="1188"/>
    <col min="11901" max="11901" width="4.19921875" style="1188" bestFit="1" customWidth="1"/>
    <col min="11902" max="11902" width="2.3984375" style="1188"/>
    <col min="11903" max="11903" width="4.19921875" style="1188" bestFit="1" customWidth="1"/>
    <col min="11904" max="11905" width="2.3984375" style="1188"/>
    <col min="11906" max="11906" width="4.19921875" style="1188" bestFit="1" customWidth="1"/>
    <col min="11907" max="11907" width="2.3984375" style="1188"/>
    <col min="11908" max="11908" width="4.19921875" style="1188" bestFit="1" customWidth="1"/>
    <col min="11909" max="11911" width="2.3984375" style="1188"/>
    <col min="11912" max="11914" width="2.8984375" style="1188" bestFit="1" customWidth="1"/>
    <col min="11915" max="11916" width="2.3984375" style="1188"/>
    <col min="11917" max="11917" width="4.19921875" style="1188" bestFit="1" customWidth="1"/>
    <col min="11918" max="11918" width="2.3984375" style="1188"/>
    <col min="11919" max="11919" width="4.19921875" style="1188" bestFit="1" customWidth="1"/>
    <col min="11920" max="11921" width="2.3984375" style="1188"/>
    <col min="11922" max="11922" width="4.19921875" style="1188" bestFit="1" customWidth="1"/>
    <col min="11923" max="11923" width="2.3984375" style="1188"/>
    <col min="11924" max="11924" width="4.19921875" style="1188" bestFit="1" customWidth="1"/>
    <col min="11925" max="11927" width="2.3984375" style="1188"/>
    <col min="11928" max="11930" width="2.8984375" style="1188" bestFit="1" customWidth="1"/>
    <col min="11931" max="11932" width="2.3984375" style="1188"/>
    <col min="11933" max="11933" width="4.19921875" style="1188" bestFit="1" customWidth="1"/>
    <col min="11934" max="11934" width="2.3984375" style="1188"/>
    <col min="11935" max="11935" width="4.19921875" style="1188" bestFit="1" customWidth="1"/>
    <col min="11936" max="11937" width="2.3984375" style="1188"/>
    <col min="11938" max="11938" width="4.19921875" style="1188" bestFit="1" customWidth="1"/>
    <col min="11939" max="11939" width="2.3984375" style="1188"/>
    <col min="11940" max="11940" width="4.19921875" style="1188" bestFit="1" customWidth="1"/>
    <col min="11941" max="11943" width="2.3984375" style="1188"/>
    <col min="11944" max="11946" width="2.8984375" style="1188" bestFit="1" customWidth="1"/>
    <col min="11947" max="11948" width="2.3984375" style="1188"/>
    <col min="11949" max="11949" width="4.19921875" style="1188" bestFit="1" customWidth="1"/>
    <col min="11950" max="11950" width="2.3984375" style="1188"/>
    <col min="11951" max="11951" width="4.19921875" style="1188" bestFit="1" customWidth="1"/>
    <col min="11952" max="11953" width="2.3984375" style="1188"/>
    <col min="11954" max="11954" width="4.19921875" style="1188" bestFit="1" customWidth="1"/>
    <col min="11955" max="11955" width="2.3984375" style="1188"/>
    <col min="11956" max="11956" width="4.19921875" style="1188" bestFit="1" customWidth="1"/>
    <col min="11957" max="11959" width="2.3984375" style="1188"/>
    <col min="11960" max="11962" width="2.8984375" style="1188" bestFit="1" customWidth="1"/>
    <col min="11963" max="11964" width="2.3984375" style="1188"/>
    <col min="11965" max="11965" width="4.19921875" style="1188" bestFit="1" customWidth="1"/>
    <col min="11966" max="11966" width="2.3984375" style="1188"/>
    <col min="11967" max="11967" width="4.19921875" style="1188" bestFit="1" customWidth="1"/>
    <col min="11968" max="11969" width="2.3984375" style="1188"/>
    <col min="11970" max="11970" width="4.19921875" style="1188" bestFit="1" customWidth="1"/>
    <col min="11971" max="11971" width="2.3984375" style="1188"/>
    <col min="11972" max="11972" width="4.19921875" style="1188" bestFit="1" customWidth="1"/>
    <col min="11973" max="11975" width="2.3984375" style="1188"/>
    <col min="11976" max="11978" width="2.8984375" style="1188" bestFit="1" customWidth="1"/>
    <col min="11979" max="11980" width="2.3984375" style="1188"/>
    <col min="11981" max="11981" width="4.19921875" style="1188" bestFit="1" customWidth="1"/>
    <col min="11982" max="11982" width="2.3984375" style="1188"/>
    <col min="11983" max="11983" width="4.19921875" style="1188" bestFit="1" customWidth="1"/>
    <col min="11984" max="11985" width="2.3984375" style="1188"/>
    <col min="11986" max="11986" width="4.19921875" style="1188" bestFit="1" customWidth="1"/>
    <col min="11987" max="11987" width="2.3984375" style="1188"/>
    <col min="11988" max="11988" width="4.19921875" style="1188" bestFit="1" customWidth="1"/>
    <col min="11989" max="11991" width="2.3984375" style="1188"/>
    <col min="11992" max="11994" width="2.8984375" style="1188" bestFit="1" customWidth="1"/>
    <col min="11995" max="11996" width="2.3984375" style="1188"/>
    <col min="11997" max="11997" width="4.19921875" style="1188" bestFit="1" customWidth="1"/>
    <col min="11998" max="11998" width="2.3984375" style="1188"/>
    <col min="11999" max="11999" width="4.19921875" style="1188" bestFit="1" customWidth="1"/>
    <col min="12000" max="12001" width="2.3984375" style="1188"/>
    <col min="12002" max="12002" width="4.19921875" style="1188" bestFit="1" customWidth="1"/>
    <col min="12003" max="12003" width="2.3984375" style="1188"/>
    <col min="12004" max="12004" width="4.19921875" style="1188" bestFit="1" customWidth="1"/>
    <col min="12005" max="12007" width="2.3984375" style="1188"/>
    <col min="12008" max="12010" width="2.8984375" style="1188" bestFit="1" customWidth="1"/>
    <col min="12011" max="12012" width="2.3984375" style="1188"/>
    <col min="12013" max="12013" width="4.19921875" style="1188" bestFit="1" customWidth="1"/>
    <col min="12014" max="12014" width="2.3984375" style="1188"/>
    <col min="12015" max="12015" width="4.19921875" style="1188" bestFit="1" customWidth="1"/>
    <col min="12016" max="12017" width="2.3984375" style="1188"/>
    <col min="12018" max="12018" width="4.19921875" style="1188" bestFit="1" customWidth="1"/>
    <col min="12019" max="12019" width="2.3984375" style="1188"/>
    <col min="12020" max="12020" width="4.19921875" style="1188" bestFit="1" customWidth="1"/>
    <col min="12021" max="12023" width="2.3984375" style="1188"/>
    <col min="12024" max="12026" width="2.8984375" style="1188" bestFit="1" customWidth="1"/>
    <col min="12027" max="12028" width="2.3984375" style="1188"/>
    <col min="12029" max="12029" width="4.19921875" style="1188" bestFit="1" customWidth="1"/>
    <col min="12030" max="12030" width="2.3984375" style="1188"/>
    <col min="12031" max="12031" width="4.19921875" style="1188" bestFit="1" customWidth="1"/>
    <col min="12032" max="12033" width="2.3984375" style="1188"/>
    <col min="12034" max="12034" width="4.19921875" style="1188" bestFit="1" customWidth="1"/>
    <col min="12035" max="12035" width="2.3984375" style="1188"/>
    <col min="12036" max="12036" width="4.19921875" style="1188" bestFit="1" customWidth="1"/>
    <col min="12037" max="12039" width="2.3984375" style="1188"/>
    <col min="12040" max="12042" width="2.8984375" style="1188" bestFit="1" customWidth="1"/>
    <col min="12043" max="12044" width="2.3984375" style="1188"/>
    <col min="12045" max="12045" width="4.19921875" style="1188" bestFit="1" customWidth="1"/>
    <col min="12046" max="12046" width="2.3984375" style="1188"/>
    <col min="12047" max="12047" width="4.19921875" style="1188" bestFit="1" customWidth="1"/>
    <col min="12048" max="12049" width="2.3984375" style="1188"/>
    <col min="12050" max="12050" width="4.19921875" style="1188" bestFit="1" customWidth="1"/>
    <col min="12051" max="12051" width="2.3984375" style="1188"/>
    <col min="12052" max="12052" width="4.19921875" style="1188" bestFit="1" customWidth="1"/>
    <col min="12053" max="12055" width="2.3984375" style="1188"/>
    <col min="12056" max="12058" width="2.8984375" style="1188" bestFit="1" customWidth="1"/>
    <col min="12059" max="12060" width="2.3984375" style="1188"/>
    <col min="12061" max="12061" width="4.19921875" style="1188" bestFit="1" customWidth="1"/>
    <col min="12062" max="12062" width="2.3984375" style="1188"/>
    <col min="12063" max="12063" width="4.19921875" style="1188" bestFit="1" customWidth="1"/>
    <col min="12064" max="12065" width="2.3984375" style="1188"/>
    <col min="12066" max="12066" width="4.19921875" style="1188" bestFit="1" customWidth="1"/>
    <col min="12067" max="12067" width="2.3984375" style="1188"/>
    <col min="12068" max="12068" width="4.19921875" style="1188" bestFit="1" customWidth="1"/>
    <col min="12069" max="12071" width="2.3984375" style="1188"/>
    <col min="12072" max="12074" width="2.8984375" style="1188" bestFit="1" customWidth="1"/>
    <col min="12075" max="12076" width="2.3984375" style="1188"/>
    <col min="12077" max="12077" width="4.19921875" style="1188" bestFit="1" customWidth="1"/>
    <col min="12078" max="12078" width="2.3984375" style="1188"/>
    <col min="12079" max="12079" width="4.19921875" style="1188" bestFit="1" customWidth="1"/>
    <col min="12080" max="12081" width="2.3984375" style="1188"/>
    <col min="12082" max="12082" width="4.19921875" style="1188" bestFit="1" customWidth="1"/>
    <col min="12083" max="12083" width="2.3984375" style="1188"/>
    <col min="12084" max="12084" width="4.19921875" style="1188" bestFit="1" customWidth="1"/>
    <col min="12085" max="12087" width="2.3984375" style="1188"/>
    <col min="12088" max="12090" width="2.8984375" style="1188" bestFit="1" customWidth="1"/>
    <col min="12091" max="12092" width="2.3984375" style="1188"/>
    <col min="12093" max="12093" width="4.19921875" style="1188" bestFit="1" customWidth="1"/>
    <col min="12094" max="12094" width="2.3984375" style="1188"/>
    <col min="12095" max="12095" width="4.19921875" style="1188" bestFit="1" customWidth="1"/>
    <col min="12096" max="12097" width="2.3984375" style="1188"/>
    <col min="12098" max="12098" width="4.19921875" style="1188" bestFit="1" customWidth="1"/>
    <col min="12099" max="12099" width="2.3984375" style="1188"/>
    <col min="12100" max="12100" width="4.19921875" style="1188" bestFit="1" customWidth="1"/>
    <col min="12101" max="12103" width="2.3984375" style="1188"/>
    <col min="12104" max="12106" width="2.8984375" style="1188" bestFit="1" customWidth="1"/>
    <col min="12107" max="12108" width="2.3984375" style="1188"/>
    <col min="12109" max="12109" width="4.19921875" style="1188" bestFit="1" customWidth="1"/>
    <col min="12110" max="12110" width="2.3984375" style="1188"/>
    <col min="12111" max="12111" width="4.19921875" style="1188" bestFit="1" customWidth="1"/>
    <col min="12112" max="12113" width="2.3984375" style="1188"/>
    <col min="12114" max="12114" width="4.19921875" style="1188" bestFit="1" customWidth="1"/>
    <col min="12115" max="12115" width="2.3984375" style="1188"/>
    <col min="12116" max="12116" width="4.19921875" style="1188" bestFit="1" customWidth="1"/>
    <col min="12117" max="12119" width="2.3984375" style="1188"/>
    <col min="12120" max="12122" width="2.8984375" style="1188" bestFit="1" customWidth="1"/>
    <col min="12123" max="12124" width="2.3984375" style="1188"/>
    <col min="12125" max="12125" width="4.19921875" style="1188" bestFit="1" customWidth="1"/>
    <col min="12126" max="12126" width="2.3984375" style="1188"/>
    <col min="12127" max="12127" width="4.19921875" style="1188" bestFit="1" customWidth="1"/>
    <col min="12128" max="12129" width="2.3984375" style="1188"/>
    <col min="12130" max="12130" width="4.19921875" style="1188" bestFit="1" customWidth="1"/>
    <col min="12131" max="12131" width="2.3984375" style="1188"/>
    <col min="12132" max="12132" width="4.19921875" style="1188" bestFit="1" customWidth="1"/>
    <col min="12133" max="12135" width="2.3984375" style="1188"/>
    <col min="12136" max="12138" width="2.8984375" style="1188" bestFit="1" customWidth="1"/>
    <col min="12139" max="12140" width="2.3984375" style="1188"/>
    <col min="12141" max="12141" width="4.19921875" style="1188" bestFit="1" customWidth="1"/>
    <col min="12142" max="12142" width="2.3984375" style="1188"/>
    <col min="12143" max="12143" width="4.19921875" style="1188" bestFit="1" customWidth="1"/>
    <col min="12144" max="12145" width="2.3984375" style="1188"/>
    <col min="12146" max="12146" width="4.19921875" style="1188" bestFit="1" customWidth="1"/>
    <col min="12147" max="12147" width="2.3984375" style="1188"/>
    <col min="12148" max="12148" width="4.19921875" style="1188" bestFit="1" customWidth="1"/>
    <col min="12149" max="12151" width="2.3984375" style="1188"/>
    <col min="12152" max="12154" width="2.8984375" style="1188" bestFit="1" customWidth="1"/>
    <col min="12155" max="12156" width="2.3984375" style="1188"/>
    <col min="12157" max="12157" width="4.19921875" style="1188" bestFit="1" customWidth="1"/>
    <col min="12158" max="12158" width="2.3984375" style="1188"/>
    <col min="12159" max="12159" width="4.19921875" style="1188" bestFit="1" customWidth="1"/>
    <col min="12160" max="12161" width="2.3984375" style="1188"/>
    <col min="12162" max="12162" width="4.19921875" style="1188" bestFit="1" customWidth="1"/>
    <col min="12163" max="12163" width="2.3984375" style="1188"/>
    <col min="12164" max="12164" width="4.19921875" style="1188" bestFit="1" customWidth="1"/>
    <col min="12165" max="12167" width="2.3984375" style="1188"/>
    <col min="12168" max="12170" width="2.8984375" style="1188" bestFit="1" customWidth="1"/>
    <col min="12171" max="12172" width="2.3984375" style="1188"/>
    <col min="12173" max="12173" width="4.19921875" style="1188" bestFit="1" customWidth="1"/>
    <col min="12174" max="12174" width="2.3984375" style="1188"/>
    <col min="12175" max="12175" width="4.19921875" style="1188" bestFit="1" customWidth="1"/>
    <col min="12176" max="12177" width="2.3984375" style="1188"/>
    <col min="12178" max="12178" width="4.19921875" style="1188" bestFit="1" customWidth="1"/>
    <col min="12179" max="12179" width="2.3984375" style="1188"/>
    <col min="12180" max="12180" width="4.19921875" style="1188" bestFit="1" customWidth="1"/>
    <col min="12181" max="12183" width="2.3984375" style="1188"/>
    <col min="12184" max="12186" width="2.8984375" style="1188" bestFit="1" customWidth="1"/>
    <col min="12187" max="12188" width="2.3984375" style="1188"/>
    <col min="12189" max="12189" width="4.19921875" style="1188" bestFit="1" customWidth="1"/>
    <col min="12190" max="12190" width="2.3984375" style="1188"/>
    <col min="12191" max="12191" width="4.19921875" style="1188" bestFit="1" customWidth="1"/>
    <col min="12192" max="12193" width="2.3984375" style="1188"/>
    <col min="12194" max="12194" width="4.19921875" style="1188" bestFit="1" customWidth="1"/>
    <col min="12195" max="12195" width="2.3984375" style="1188"/>
    <col min="12196" max="12196" width="4.19921875" style="1188" bestFit="1" customWidth="1"/>
    <col min="12197" max="12199" width="2.3984375" style="1188"/>
    <col min="12200" max="12202" width="2.8984375" style="1188" bestFit="1" customWidth="1"/>
    <col min="12203" max="12204" width="2.3984375" style="1188"/>
    <col min="12205" max="12205" width="4.19921875" style="1188" bestFit="1" customWidth="1"/>
    <col min="12206" max="12206" width="2.3984375" style="1188"/>
    <col min="12207" max="12207" width="4.19921875" style="1188" bestFit="1" customWidth="1"/>
    <col min="12208" max="12209" width="2.3984375" style="1188"/>
    <col min="12210" max="12210" width="4.19921875" style="1188" bestFit="1" customWidth="1"/>
    <col min="12211" max="12211" width="2.3984375" style="1188"/>
    <col min="12212" max="12212" width="4.19921875" style="1188" bestFit="1" customWidth="1"/>
    <col min="12213" max="12215" width="2.3984375" style="1188"/>
    <col min="12216" max="12218" width="2.8984375" style="1188" bestFit="1" customWidth="1"/>
    <col min="12219" max="12220" width="2.3984375" style="1188"/>
    <col min="12221" max="12221" width="4.19921875" style="1188" bestFit="1" customWidth="1"/>
    <col min="12222" max="12222" width="2.3984375" style="1188"/>
    <col min="12223" max="12223" width="4.19921875" style="1188" bestFit="1" customWidth="1"/>
    <col min="12224" max="12225" width="2.3984375" style="1188"/>
    <col min="12226" max="12226" width="4.19921875" style="1188" bestFit="1" customWidth="1"/>
    <col min="12227" max="12227" width="2.3984375" style="1188"/>
    <col min="12228" max="12228" width="4.19921875" style="1188" bestFit="1" customWidth="1"/>
    <col min="12229" max="12231" width="2.3984375" style="1188"/>
    <col min="12232" max="12234" width="2.8984375" style="1188" bestFit="1" customWidth="1"/>
    <col min="12235" max="12236" width="2.3984375" style="1188"/>
    <col min="12237" max="12237" width="4.19921875" style="1188" bestFit="1" customWidth="1"/>
    <col min="12238" max="12238" width="2.3984375" style="1188"/>
    <col min="12239" max="12239" width="4.19921875" style="1188" bestFit="1" customWidth="1"/>
    <col min="12240" max="12241" width="2.3984375" style="1188"/>
    <col min="12242" max="12242" width="4.19921875" style="1188" bestFit="1" customWidth="1"/>
    <col min="12243" max="12243" width="2.3984375" style="1188"/>
    <col min="12244" max="12244" width="4.19921875" style="1188" bestFit="1" customWidth="1"/>
    <col min="12245" max="12247" width="2.3984375" style="1188"/>
    <col min="12248" max="12250" width="2.8984375" style="1188" bestFit="1" customWidth="1"/>
    <col min="12251" max="12252" width="2.3984375" style="1188"/>
    <col min="12253" max="12253" width="4.19921875" style="1188" bestFit="1" customWidth="1"/>
    <col min="12254" max="12254" width="2.3984375" style="1188"/>
    <col min="12255" max="12255" width="4.19921875" style="1188" bestFit="1" customWidth="1"/>
    <col min="12256" max="12257" width="2.3984375" style="1188"/>
    <col min="12258" max="12258" width="4.19921875" style="1188" bestFit="1" customWidth="1"/>
    <col min="12259" max="12259" width="2.3984375" style="1188"/>
    <col min="12260" max="12260" width="4.19921875" style="1188" bestFit="1" customWidth="1"/>
    <col min="12261" max="12263" width="2.3984375" style="1188"/>
    <col min="12264" max="12266" width="2.8984375" style="1188" bestFit="1" customWidth="1"/>
    <col min="12267" max="12268" width="2.3984375" style="1188"/>
    <col min="12269" max="12269" width="4.19921875" style="1188" bestFit="1" customWidth="1"/>
    <col min="12270" max="12270" width="2.3984375" style="1188"/>
    <col min="12271" max="12271" width="4.19921875" style="1188" bestFit="1" customWidth="1"/>
    <col min="12272" max="12273" width="2.3984375" style="1188"/>
    <col min="12274" max="12274" width="4.19921875" style="1188" bestFit="1" customWidth="1"/>
    <col min="12275" max="12275" width="2.3984375" style="1188"/>
    <col min="12276" max="12276" width="4.19921875" style="1188" bestFit="1" customWidth="1"/>
    <col min="12277" max="12279" width="2.3984375" style="1188"/>
    <col min="12280" max="12282" width="2.8984375" style="1188" bestFit="1" customWidth="1"/>
    <col min="12283" max="12284" width="2.3984375" style="1188"/>
    <col min="12285" max="12285" width="4.19921875" style="1188" bestFit="1" customWidth="1"/>
    <col min="12286" max="12286" width="2.3984375" style="1188"/>
    <col min="12287" max="12287" width="4.19921875" style="1188" bestFit="1" customWidth="1"/>
    <col min="12288" max="12289" width="2.3984375" style="1188"/>
    <col min="12290" max="12290" width="4.19921875" style="1188" bestFit="1" customWidth="1"/>
    <col min="12291" max="12291" width="2.3984375" style="1188"/>
    <col min="12292" max="12292" width="4.19921875" style="1188" bestFit="1" customWidth="1"/>
    <col min="12293" max="12295" width="2.3984375" style="1188"/>
    <col min="12296" max="12298" width="2.8984375" style="1188" bestFit="1" customWidth="1"/>
    <col min="12299" max="12300" width="2.3984375" style="1188"/>
    <col min="12301" max="12301" width="4.19921875" style="1188" bestFit="1" customWidth="1"/>
    <col min="12302" max="12302" width="2.3984375" style="1188"/>
    <col min="12303" max="12303" width="4.19921875" style="1188" bestFit="1" customWidth="1"/>
    <col min="12304" max="12305" width="2.3984375" style="1188"/>
    <col min="12306" max="12306" width="4.19921875" style="1188" bestFit="1" customWidth="1"/>
    <col min="12307" max="12307" width="2.3984375" style="1188"/>
    <col min="12308" max="12308" width="4.19921875" style="1188" bestFit="1" customWidth="1"/>
    <col min="12309" max="12311" width="2.3984375" style="1188"/>
    <col min="12312" max="12314" width="2.8984375" style="1188" bestFit="1" customWidth="1"/>
    <col min="12315" max="12316" width="2.3984375" style="1188"/>
    <col min="12317" max="12317" width="4.19921875" style="1188" bestFit="1" customWidth="1"/>
    <col min="12318" max="12318" width="2.3984375" style="1188"/>
    <col min="12319" max="12319" width="4.19921875" style="1188" bestFit="1" customWidth="1"/>
    <col min="12320" max="12321" width="2.3984375" style="1188"/>
    <col min="12322" max="12322" width="4.19921875" style="1188" bestFit="1" customWidth="1"/>
    <col min="12323" max="12323" width="2.3984375" style="1188"/>
    <col min="12324" max="12324" width="4.19921875" style="1188" bestFit="1" customWidth="1"/>
    <col min="12325" max="12327" width="2.3984375" style="1188"/>
    <col min="12328" max="12330" width="2.8984375" style="1188" bestFit="1" customWidth="1"/>
    <col min="12331" max="12332" width="2.3984375" style="1188"/>
    <col min="12333" max="12333" width="4.19921875" style="1188" bestFit="1" customWidth="1"/>
    <col min="12334" max="12334" width="2.3984375" style="1188"/>
    <col min="12335" max="12335" width="4.19921875" style="1188" bestFit="1" customWidth="1"/>
    <col min="12336" max="12337" width="2.3984375" style="1188"/>
    <col min="12338" max="12338" width="4.19921875" style="1188" bestFit="1" customWidth="1"/>
    <col min="12339" max="12339" width="2.3984375" style="1188"/>
    <col min="12340" max="12340" width="4.19921875" style="1188" bestFit="1" customWidth="1"/>
    <col min="12341" max="12343" width="2.3984375" style="1188"/>
    <col min="12344" max="12346" width="2.8984375" style="1188" bestFit="1" customWidth="1"/>
    <col min="12347" max="12348" width="2.3984375" style="1188"/>
    <col min="12349" max="12349" width="4.19921875" style="1188" bestFit="1" customWidth="1"/>
    <col min="12350" max="12350" width="2.3984375" style="1188"/>
    <col min="12351" max="12351" width="4.19921875" style="1188" bestFit="1" customWidth="1"/>
    <col min="12352" max="12353" width="2.3984375" style="1188"/>
    <col min="12354" max="12354" width="4.19921875" style="1188" bestFit="1" customWidth="1"/>
    <col min="12355" max="12355" width="2.3984375" style="1188"/>
    <col min="12356" max="12356" width="4.19921875" style="1188" bestFit="1" customWidth="1"/>
    <col min="12357" max="12359" width="2.3984375" style="1188"/>
    <col min="12360" max="12362" width="2.8984375" style="1188" bestFit="1" customWidth="1"/>
    <col min="12363" max="12364" width="2.3984375" style="1188"/>
    <col min="12365" max="12365" width="4.19921875" style="1188" bestFit="1" customWidth="1"/>
    <col min="12366" max="12366" width="2.3984375" style="1188"/>
    <col min="12367" max="12367" width="4.19921875" style="1188" bestFit="1" customWidth="1"/>
    <col min="12368" max="12369" width="2.3984375" style="1188"/>
    <col min="12370" max="12370" width="4.19921875" style="1188" bestFit="1" customWidth="1"/>
    <col min="12371" max="12371" width="2.3984375" style="1188"/>
    <col min="12372" max="12372" width="4.19921875" style="1188" bestFit="1" customWidth="1"/>
    <col min="12373" max="12375" width="2.3984375" style="1188"/>
    <col min="12376" max="12378" width="2.8984375" style="1188" bestFit="1" customWidth="1"/>
    <col min="12379" max="12380" width="2.3984375" style="1188"/>
    <col min="12381" max="12381" width="4.19921875" style="1188" bestFit="1" customWidth="1"/>
    <col min="12382" max="12382" width="2.3984375" style="1188"/>
    <col min="12383" max="12383" width="4.19921875" style="1188" bestFit="1" customWidth="1"/>
    <col min="12384" max="12385" width="2.3984375" style="1188"/>
    <col min="12386" max="12386" width="4.19921875" style="1188" bestFit="1" customWidth="1"/>
    <col min="12387" max="12387" width="2.3984375" style="1188"/>
    <col min="12388" max="12388" width="4.19921875" style="1188" bestFit="1" customWidth="1"/>
    <col min="12389" max="12391" width="2.3984375" style="1188"/>
    <col min="12392" max="12394" width="2.8984375" style="1188" bestFit="1" customWidth="1"/>
    <col min="12395" max="12396" width="2.3984375" style="1188"/>
    <col min="12397" max="12397" width="4.19921875" style="1188" bestFit="1" customWidth="1"/>
    <col min="12398" max="12398" width="2.3984375" style="1188"/>
    <col min="12399" max="12399" width="4.19921875" style="1188" bestFit="1" customWidth="1"/>
    <col min="12400" max="12401" width="2.3984375" style="1188"/>
    <col min="12402" max="12402" width="4.19921875" style="1188" bestFit="1" customWidth="1"/>
    <col min="12403" max="12403" width="2.3984375" style="1188"/>
    <col min="12404" max="12404" width="4.19921875" style="1188" bestFit="1" customWidth="1"/>
    <col min="12405" max="12407" width="2.3984375" style="1188"/>
    <col min="12408" max="12410" width="2.8984375" style="1188" bestFit="1" customWidth="1"/>
    <col min="12411" max="12412" width="2.3984375" style="1188"/>
    <col min="12413" max="12413" width="4.19921875" style="1188" bestFit="1" customWidth="1"/>
    <col min="12414" max="12414" width="2.3984375" style="1188"/>
    <col min="12415" max="12415" width="4.19921875" style="1188" bestFit="1" customWidth="1"/>
    <col min="12416" max="12417" width="2.3984375" style="1188"/>
    <col min="12418" max="12418" width="4.19921875" style="1188" bestFit="1" customWidth="1"/>
    <col min="12419" max="12419" width="2.3984375" style="1188"/>
    <col min="12420" max="12420" width="4.19921875" style="1188" bestFit="1" customWidth="1"/>
    <col min="12421" max="12423" width="2.3984375" style="1188"/>
    <col min="12424" max="12426" width="2.8984375" style="1188" bestFit="1" customWidth="1"/>
    <col min="12427" max="12428" width="2.3984375" style="1188"/>
    <col min="12429" max="12429" width="4.19921875" style="1188" bestFit="1" customWidth="1"/>
    <col min="12430" max="12430" width="2.3984375" style="1188"/>
    <col min="12431" max="12431" width="4.19921875" style="1188" bestFit="1" customWidth="1"/>
    <col min="12432" max="12433" width="2.3984375" style="1188"/>
    <col min="12434" max="12434" width="4.19921875" style="1188" bestFit="1" customWidth="1"/>
    <col min="12435" max="12435" width="2.3984375" style="1188"/>
    <col min="12436" max="12436" width="4.19921875" style="1188" bestFit="1" customWidth="1"/>
    <col min="12437" max="12439" width="2.3984375" style="1188"/>
    <col min="12440" max="12442" width="2.8984375" style="1188" bestFit="1" customWidth="1"/>
    <col min="12443" max="12444" width="2.3984375" style="1188"/>
    <col min="12445" max="12445" width="4.19921875" style="1188" bestFit="1" customWidth="1"/>
    <col min="12446" max="12446" width="2.3984375" style="1188"/>
    <col min="12447" max="12447" width="4.19921875" style="1188" bestFit="1" customWidth="1"/>
    <col min="12448" max="12449" width="2.3984375" style="1188"/>
    <col min="12450" max="12450" width="4.19921875" style="1188" bestFit="1" customWidth="1"/>
    <col min="12451" max="12451" width="2.3984375" style="1188"/>
    <col min="12452" max="12452" width="4.19921875" style="1188" bestFit="1" customWidth="1"/>
    <col min="12453" max="12455" width="2.3984375" style="1188"/>
    <col min="12456" max="12458" width="2.8984375" style="1188" bestFit="1" customWidth="1"/>
    <col min="12459" max="12460" width="2.3984375" style="1188"/>
    <col min="12461" max="12461" width="4.19921875" style="1188" bestFit="1" customWidth="1"/>
    <col min="12462" max="12462" width="2.3984375" style="1188"/>
    <col min="12463" max="12463" width="4.19921875" style="1188" bestFit="1" customWidth="1"/>
    <col min="12464" max="12465" width="2.3984375" style="1188"/>
    <col min="12466" max="12466" width="4.19921875" style="1188" bestFit="1" customWidth="1"/>
    <col min="12467" max="12467" width="2.3984375" style="1188"/>
    <col min="12468" max="12468" width="4.19921875" style="1188" bestFit="1" customWidth="1"/>
    <col min="12469" max="12471" width="2.3984375" style="1188"/>
    <col min="12472" max="12474" width="2.8984375" style="1188" bestFit="1" customWidth="1"/>
    <col min="12475" max="12476" width="2.3984375" style="1188"/>
    <col min="12477" max="12477" width="4.19921875" style="1188" bestFit="1" customWidth="1"/>
    <col min="12478" max="12478" width="2.3984375" style="1188"/>
    <col min="12479" max="12479" width="4.19921875" style="1188" bestFit="1" customWidth="1"/>
    <col min="12480" max="12481" width="2.3984375" style="1188"/>
    <col min="12482" max="12482" width="4.19921875" style="1188" bestFit="1" customWidth="1"/>
    <col min="12483" max="12483" width="2.3984375" style="1188"/>
    <col min="12484" max="12484" width="4.19921875" style="1188" bestFit="1" customWidth="1"/>
    <col min="12485" max="12487" width="2.3984375" style="1188"/>
    <col min="12488" max="12490" width="2.8984375" style="1188" bestFit="1" customWidth="1"/>
    <col min="12491" max="12492" width="2.3984375" style="1188"/>
    <col min="12493" max="12493" width="4.19921875" style="1188" bestFit="1" customWidth="1"/>
    <col min="12494" max="12494" width="2.3984375" style="1188"/>
    <col min="12495" max="12495" width="4.19921875" style="1188" bestFit="1" customWidth="1"/>
    <col min="12496" max="12497" width="2.3984375" style="1188"/>
    <col min="12498" max="12498" width="4.19921875" style="1188" bestFit="1" customWidth="1"/>
    <col min="12499" max="12499" width="2.3984375" style="1188"/>
    <col min="12500" max="12500" width="4.19921875" style="1188" bestFit="1" customWidth="1"/>
    <col min="12501" max="12503" width="2.3984375" style="1188"/>
    <col min="12504" max="12506" width="2.8984375" style="1188" bestFit="1" customWidth="1"/>
    <col min="12507" max="12508" width="2.3984375" style="1188"/>
    <col min="12509" max="12509" width="4.19921875" style="1188" bestFit="1" customWidth="1"/>
    <col min="12510" max="12510" width="2.3984375" style="1188"/>
    <col min="12511" max="12511" width="4.19921875" style="1188" bestFit="1" customWidth="1"/>
    <col min="12512" max="12513" width="2.3984375" style="1188"/>
    <col min="12514" max="12514" width="4.19921875" style="1188" bestFit="1" customWidth="1"/>
    <col min="12515" max="12515" width="2.3984375" style="1188"/>
    <col min="12516" max="12516" width="4.19921875" style="1188" bestFit="1" customWidth="1"/>
    <col min="12517" max="12519" width="2.3984375" style="1188"/>
    <col min="12520" max="12522" width="2.8984375" style="1188" bestFit="1" customWidth="1"/>
    <col min="12523" max="12524" width="2.3984375" style="1188"/>
    <col min="12525" max="12525" width="4.19921875" style="1188" bestFit="1" customWidth="1"/>
    <col min="12526" max="12526" width="2.3984375" style="1188"/>
    <col min="12527" max="12527" width="4.19921875" style="1188" bestFit="1" customWidth="1"/>
    <col min="12528" max="12529" width="2.3984375" style="1188"/>
    <col min="12530" max="12530" width="4.19921875" style="1188" bestFit="1" customWidth="1"/>
    <col min="12531" max="12531" width="2.3984375" style="1188"/>
    <col min="12532" max="12532" width="4.19921875" style="1188" bestFit="1" customWidth="1"/>
    <col min="12533" max="12535" width="2.3984375" style="1188"/>
    <col min="12536" max="12538" width="2.8984375" style="1188" bestFit="1" customWidth="1"/>
    <col min="12539" max="12540" width="2.3984375" style="1188"/>
    <col min="12541" max="12541" width="4.19921875" style="1188" bestFit="1" customWidth="1"/>
    <col min="12542" max="12542" width="2.3984375" style="1188"/>
    <col min="12543" max="12543" width="4.19921875" style="1188" bestFit="1" customWidth="1"/>
    <col min="12544" max="12545" width="2.3984375" style="1188"/>
    <col min="12546" max="12546" width="4.19921875" style="1188" bestFit="1" customWidth="1"/>
    <col min="12547" max="12547" width="2.3984375" style="1188"/>
    <col min="12548" max="12548" width="4.19921875" style="1188" bestFit="1" customWidth="1"/>
    <col min="12549" max="12551" width="2.3984375" style="1188"/>
    <col min="12552" max="12554" width="2.8984375" style="1188" bestFit="1" customWidth="1"/>
    <col min="12555" max="12556" width="2.3984375" style="1188"/>
    <col min="12557" max="12557" width="4.19921875" style="1188" bestFit="1" customWidth="1"/>
    <col min="12558" max="12558" width="2.3984375" style="1188"/>
    <col min="12559" max="12559" width="4.19921875" style="1188" bestFit="1" customWidth="1"/>
    <col min="12560" max="12561" width="2.3984375" style="1188"/>
    <col min="12562" max="12562" width="4.19921875" style="1188" bestFit="1" customWidth="1"/>
    <col min="12563" max="12563" width="2.3984375" style="1188"/>
    <col min="12564" max="12564" width="4.19921875" style="1188" bestFit="1" customWidth="1"/>
    <col min="12565" max="12567" width="2.3984375" style="1188"/>
    <col min="12568" max="12570" width="2.8984375" style="1188" bestFit="1" customWidth="1"/>
    <col min="12571" max="12572" width="2.3984375" style="1188"/>
    <col min="12573" max="12573" width="4.19921875" style="1188" bestFit="1" customWidth="1"/>
    <col min="12574" max="12574" width="2.3984375" style="1188"/>
    <col min="12575" max="12575" width="4.19921875" style="1188" bestFit="1" customWidth="1"/>
    <col min="12576" max="12577" width="2.3984375" style="1188"/>
    <col min="12578" max="12578" width="4.19921875" style="1188" bestFit="1" customWidth="1"/>
    <col min="12579" max="12579" width="2.3984375" style="1188"/>
    <col min="12580" max="12580" width="4.19921875" style="1188" bestFit="1" customWidth="1"/>
    <col min="12581" max="12583" width="2.3984375" style="1188"/>
    <col min="12584" max="12586" width="2.8984375" style="1188" bestFit="1" customWidth="1"/>
    <col min="12587" max="12588" width="2.3984375" style="1188"/>
    <col min="12589" max="12589" width="4.19921875" style="1188" bestFit="1" customWidth="1"/>
    <col min="12590" max="12590" width="2.3984375" style="1188"/>
    <col min="12591" max="12591" width="4.19921875" style="1188" bestFit="1" customWidth="1"/>
    <col min="12592" max="12593" width="2.3984375" style="1188"/>
    <col min="12594" max="12594" width="4.19921875" style="1188" bestFit="1" customWidth="1"/>
    <col min="12595" max="12595" width="2.3984375" style="1188"/>
    <col min="12596" max="12596" width="4.19921875" style="1188" bestFit="1" customWidth="1"/>
    <col min="12597" max="12599" width="2.3984375" style="1188"/>
    <col min="12600" max="12602" width="2.8984375" style="1188" bestFit="1" customWidth="1"/>
    <col min="12603" max="12604" width="2.3984375" style="1188"/>
    <col min="12605" max="12605" width="4.19921875" style="1188" bestFit="1" customWidth="1"/>
    <col min="12606" max="12606" width="2.3984375" style="1188"/>
    <col min="12607" max="12607" width="4.19921875" style="1188" bestFit="1" customWidth="1"/>
    <col min="12608" max="12609" width="2.3984375" style="1188"/>
    <col min="12610" max="12610" width="4.19921875" style="1188" bestFit="1" customWidth="1"/>
    <col min="12611" max="12611" width="2.3984375" style="1188"/>
    <col min="12612" max="12612" width="4.19921875" style="1188" bestFit="1" customWidth="1"/>
    <col min="12613" max="12615" width="2.3984375" style="1188"/>
    <col min="12616" max="12618" width="2.8984375" style="1188" bestFit="1" customWidth="1"/>
    <col min="12619" max="12620" width="2.3984375" style="1188"/>
    <col min="12621" max="12621" width="4.19921875" style="1188" bestFit="1" customWidth="1"/>
    <col min="12622" max="12622" width="2.3984375" style="1188"/>
    <col min="12623" max="12623" width="4.19921875" style="1188" bestFit="1" customWidth="1"/>
    <col min="12624" max="12625" width="2.3984375" style="1188"/>
    <col min="12626" max="12626" width="4.19921875" style="1188" bestFit="1" customWidth="1"/>
    <col min="12627" max="12627" width="2.3984375" style="1188"/>
    <col min="12628" max="12628" width="4.19921875" style="1188" bestFit="1" customWidth="1"/>
    <col min="12629" max="12631" width="2.3984375" style="1188"/>
    <col min="12632" max="12634" width="2.8984375" style="1188" bestFit="1" customWidth="1"/>
    <col min="12635" max="12636" width="2.3984375" style="1188"/>
    <col min="12637" max="12637" width="4.19921875" style="1188" bestFit="1" customWidth="1"/>
    <col min="12638" max="12638" width="2.3984375" style="1188"/>
    <col min="12639" max="12639" width="4.19921875" style="1188" bestFit="1" customWidth="1"/>
    <col min="12640" max="12641" width="2.3984375" style="1188"/>
    <col min="12642" max="12642" width="4.19921875" style="1188" bestFit="1" customWidth="1"/>
    <col min="12643" max="12643" width="2.3984375" style="1188"/>
    <col min="12644" max="12644" width="4.19921875" style="1188" bestFit="1" customWidth="1"/>
    <col min="12645" max="12647" width="2.3984375" style="1188"/>
    <col min="12648" max="12650" width="2.8984375" style="1188" bestFit="1" customWidth="1"/>
    <col min="12651" max="12652" width="2.3984375" style="1188"/>
    <col min="12653" max="12653" width="4.19921875" style="1188" bestFit="1" customWidth="1"/>
    <col min="12654" max="12654" width="2.3984375" style="1188"/>
    <col min="12655" max="12655" width="4.19921875" style="1188" bestFit="1" customWidth="1"/>
    <col min="12656" max="12657" width="2.3984375" style="1188"/>
    <col min="12658" max="12658" width="4.19921875" style="1188" bestFit="1" customWidth="1"/>
    <col min="12659" max="12659" width="2.3984375" style="1188"/>
    <col min="12660" max="12660" width="4.19921875" style="1188" bestFit="1" customWidth="1"/>
    <col min="12661" max="12663" width="2.3984375" style="1188"/>
    <col min="12664" max="12666" width="2.8984375" style="1188" bestFit="1" customWidth="1"/>
    <col min="12667" max="12668" width="2.3984375" style="1188"/>
    <col min="12669" max="12669" width="4.19921875" style="1188" bestFit="1" customWidth="1"/>
    <col min="12670" max="12670" width="2.3984375" style="1188"/>
    <col min="12671" max="12671" width="4.19921875" style="1188" bestFit="1" customWidth="1"/>
    <col min="12672" max="12673" width="2.3984375" style="1188"/>
    <col min="12674" max="12674" width="4.19921875" style="1188" bestFit="1" customWidth="1"/>
    <col min="12675" max="12675" width="2.3984375" style="1188"/>
    <col min="12676" max="12676" width="4.19921875" style="1188" bestFit="1" customWidth="1"/>
    <col min="12677" max="12679" width="2.3984375" style="1188"/>
    <col min="12680" max="12682" width="2.8984375" style="1188" bestFit="1" customWidth="1"/>
    <col min="12683" max="12684" width="2.3984375" style="1188"/>
    <col min="12685" max="12685" width="4.19921875" style="1188" bestFit="1" customWidth="1"/>
    <col min="12686" max="12686" width="2.3984375" style="1188"/>
    <col min="12687" max="12687" width="4.19921875" style="1188" bestFit="1" customWidth="1"/>
    <col min="12688" max="12689" width="2.3984375" style="1188"/>
    <col min="12690" max="12690" width="4.19921875" style="1188" bestFit="1" customWidth="1"/>
    <col min="12691" max="12691" width="2.3984375" style="1188"/>
    <col min="12692" max="12692" width="4.19921875" style="1188" bestFit="1" customWidth="1"/>
    <col min="12693" max="12695" width="2.3984375" style="1188"/>
    <col min="12696" max="12698" width="2.8984375" style="1188" bestFit="1" customWidth="1"/>
    <col min="12699" max="12700" width="2.3984375" style="1188"/>
    <col min="12701" max="12701" width="4.19921875" style="1188" bestFit="1" customWidth="1"/>
    <col min="12702" max="12702" width="2.3984375" style="1188"/>
    <col min="12703" max="12703" width="4.19921875" style="1188" bestFit="1" customWidth="1"/>
    <col min="12704" max="12705" width="2.3984375" style="1188"/>
    <col min="12706" max="12706" width="4.19921875" style="1188" bestFit="1" customWidth="1"/>
    <col min="12707" max="12707" width="2.3984375" style="1188"/>
    <col min="12708" max="12708" width="4.19921875" style="1188" bestFit="1" customWidth="1"/>
    <col min="12709" max="12711" width="2.3984375" style="1188"/>
    <col min="12712" max="12714" width="2.8984375" style="1188" bestFit="1" customWidth="1"/>
    <col min="12715" max="12716" width="2.3984375" style="1188"/>
    <col min="12717" max="12717" width="4.19921875" style="1188" bestFit="1" customWidth="1"/>
    <col min="12718" max="12718" width="2.3984375" style="1188"/>
    <col min="12719" max="12719" width="4.19921875" style="1188" bestFit="1" customWidth="1"/>
    <col min="12720" max="12721" width="2.3984375" style="1188"/>
    <col min="12722" max="12722" width="4.19921875" style="1188" bestFit="1" customWidth="1"/>
    <col min="12723" max="12723" width="2.3984375" style="1188"/>
    <col min="12724" max="12724" width="4.19921875" style="1188" bestFit="1" customWidth="1"/>
    <col min="12725" max="12727" width="2.3984375" style="1188"/>
    <col min="12728" max="12730" width="2.8984375" style="1188" bestFit="1" customWidth="1"/>
    <col min="12731" max="12732" width="2.3984375" style="1188"/>
    <col min="12733" max="12733" width="4.19921875" style="1188" bestFit="1" customWidth="1"/>
    <col min="12734" max="12734" width="2.3984375" style="1188"/>
    <col min="12735" max="12735" width="4.19921875" style="1188" bestFit="1" customWidth="1"/>
    <col min="12736" max="12737" width="2.3984375" style="1188"/>
    <col min="12738" max="12738" width="4.19921875" style="1188" bestFit="1" customWidth="1"/>
    <col min="12739" max="12739" width="2.3984375" style="1188"/>
    <col min="12740" max="12740" width="4.19921875" style="1188" bestFit="1" customWidth="1"/>
    <col min="12741" max="12743" width="2.3984375" style="1188"/>
    <col min="12744" max="12746" width="2.8984375" style="1188" bestFit="1" customWidth="1"/>
    <col min="12747" max="12748" width="2.3984375" style="1188"/>
    <col min="12749" max="12749" width="4.19921875" style="1188" bestFit="1" customWidth="1"/>
    <col min="12750" max="12750" width="2.3984375" style="1188"/>
    <col min="12751" max="12751" width="4.19921875" style="1188" bestFit="1" customWidth="1"/>
    <col min="12752" max="12753" width="2.3984375" style="1188"/>
    <col min="12754" max="12754" width="4.19921875" style="1188" bestFit="1" customWidth="1"/>
    <col min="12755" max="12755" width="2.3984375" style="1188"/>
    <col min="12756" max="12756" width="4.19921875" style="1188" bestFit="1" customWidth="1"/>
    <col min="12757" max="12759" width="2.3984375" style="1188"/>
    <col min="12760" max="12762" width="2.8984375" style="1188" bestFit="1" customWidth="1"/>
    <col min="12763" max="12764" width="2.3984375" style="1188"/>
    <col min="12765" max="12765" width="4.19921875" style="1188" bestFit="1" customWidth="1"/>
    <col min="12766" max="12766" width="2.3984375" style="1188"/>
    <col min="12767" max="12767" width="4.19921875" style="1188" bestFit="1" customWidth="1"/>
    <col min="12768" max="12769" width="2.3984375" style="1188"/>
    <col min="12770" max="12770" width="4.19921875" style="1188" bestFit="1" customWidth="1"/>
    <col min="12771" max="12771" width="2.3984375" style="1188"/>
    <col min="12772" max="12772" width="4.19921875" style="1188" bestFit="1" customWidth="1"/>
    <col min="12773" max="12775" width="2.3984375" style="1188"/>
    <col min="12776" max="12778" width="2.8984375" style="1188" bestFit="1" customWidth="1"/>
    <col min="12779" max="12780" width="2.3984375" style="1188"/>
    <col min="12781" max="12781" width="4.19921875" style="1188" bestFit="1" customWidth="1"/>
    <col min="12782" max="12782" width="2.3984375" style="1188"/>
    <col min="12783" max="12783" width="4.19921875" style="1188" bestFit="1" customWidth="1"/>
    <col min="12784" max="12785" width="2.3984375" style="1188"/>
    <col min="12786" max="12786" width="4.19921875" style="1188" bestFit="1" customWidth="1"/>
    <col min="12787" max="12787" width="2.3984375" style="1188"/>
    <col min="12788" max="12788" width="4.19921875" style="1188" bestFit="1" customWidth="1"/>
    <col min="12789" max="12791" width="2.3984375" style="1188"/>
    <col min="12792" max="12794" width="2.8984375" style="1188" bestFit="1" customWidth="1"/>
    <col min="12795" max="12796" width="2.3984375" style="1188"/>
    <col min="12797" max="12797" width="4.19921875" style="1188" bestFit="1" customWidth="1"/>
    <col min="12798" max="12798" width="2.3984375" style="1188"/>
    <col min="12799" max="12799" width="4.19921875" style="1188" bestFit="1" customWidth="1"/>
    <col min="12800" max="12801" width="2.3984375" style="1188"/>
    <col min="12802" max="12802" width="4.19921875" style="1188" bestFit="1" customWidth="1"/>
    <col min="12803" max="12803" width="2.3984375" style="1188"/>
    <col min="12804" max="12804" width="4.19921875" style="1188" bestFit="1" customWidth="1"/>
    <col min="12805" max="12807" width="2.3984375" style="1188"/>
    <col min="12808" max="12810" width="2.8984375" style="1188" bestFit="1" customWidth="1"/>
    <col min="12811" max="12812" width="2.3984375" style="1188"/>
    <col min="12813" max="12813" width="4.19921875" style="1188" bestFit="1" customWidth="1"/>
    <col min="12814" max="12814" width="2.3984375" style="1188"/>
    <col min="12815" max="12815" width="4.19921875" style="1188" bestFit="1" customWidth="1"/>
    <col min="12816" max="12817" width="2.3984375" style="1188"/>
    <col min="12818" max="12818" width="4.19921875" style="1188" bestFit="1" customWidth="1"/>
    <col min="12819" max="12819" width="2.3984375" style="1188"/>
    <col min="12820" max="12820" width="4.19921875" style="1188" bestFit="1" customWidth="1"/>
    <col min="12821" max="12823" width="2.3984375" style="1188"/>
    <col min="12824" max="12826" width="2.8984375" style="1188" bestFit="1" customWidth="1"/>
    <col min="12827" max="12828" width="2.3984375" style="1188"/>
    <col min="12829" max="12829" width="4.19921875" style="1188" bestFit="1" customWidth="1"/>
    <col min="12830" max="12830" width="2.3984375" style="1188"/>
    <col min="12831" max="12831" width="4.19921875" style="1188" bestFit="1" customWidth="1"/>
    <col min="12832" max="12833" width="2.3984375" style="1188"/>
    <col min="12834" max="12834" width="4.19921875" style="1188" bestFit="1" customWidth="1"/>
    <col min="12835" max="12835" width="2.3984375" style="1188"/>
    <col min="12836" max="12836" width="4.19921875" style="1188" bestFit="1" customWidth="1"/>
    <col min="12837" max="12839" width="2.3984375" style="1188"/>
    <col min="12840" max="12842" width="2.8984375" style="1188" bestFit="1" customWidth="1"/>
    <col min="12843" max="12844" width="2.3984375" style="1188"/>
    <col min="12845" max="12845" width="4.19921875" style="1188" bestFit="1" customWidth="1"/>
    <col min="12846" max="12846" width="2.3984375" style="1188"/>
    <col min="12847" max="12847" width="4.19921875" style="1188" bestFit="1" customWidth="1"/>
    <col min="12848" max="12849" width="2.3984375" style="1188"/>
    <col min="12850" max="12850" width="4.19921875" style="1188" bestFit="1" customWidth="1"/>
    <col min="12851" max="12851" width="2.3984375" style="1188"/>
    <col min="12852" max="12852" width="4.19921875" style="1188" bestFit="1" customWidth="1"/>
    <col min="12853" max="12855" width="2.3984375" style="1188"/>
    <col min="12856" max="12858" width="2.8984375" style="1188" bestFit="1" customWidth="1"/>
    <col min="12859" max="12860" width="2.3984375" style="1188"/>
    <col min="12861" max="12861" width="4.19921875" style="1188" bestFit="1" customWidth="1"/>
    <col min="12862" max="12862" width="2.3984375" style="1188"/>
    <col min="12863" max="12863" width="4.19921875" style="1188" bestFit="1" customWidth="1"/>
    <col min="12864" max="12865" width="2.3984375" style="1188"/>
    <col min="12866" max="12866" width="4.19921875" style="1188" bestFit="1" customWidth="1"/>
    <col min="12867" max="12867" width="2.3984375" style="1188"/>
    <col min="12868" max="12868" width="4.19921875" style="1188" bestFit="1" customWidth="1"/>
    <col min="12869" max="12871" width="2.3984375" style="1188"/>
    <col min="12872" max="12874" width="2.8984375" style="1188" bestFit="1" customWidth="1"/>
    <col min="12875" max="12876" width="2.3984375" style="1188"/>
    <col min="12877" max="12877" width="4.19921875" style="1188" bestFit="1" customWidth="1"/>
    <col min="12878" max="12878" width="2.3984375" style="1188"/>
    <col min="12879" max="12879" width="4.19921875" style="1188" bestFit="1" customWidth="1"/>
    <col min="12880" max="12881" width="2.3984375" style="1188"/>
    <col min="12882" max="12882" width="4.19921875" style="1188" bestFit="1" customWidth="1"/>
    <col min="12883" max="12883" width="2.3984375" style="1188"/>
    <col min="12884" max="12884" width="4.19921875" style="1188" bestFit="1" customWidth="1"/>
    <col min="12885" max="12887" width="2.3984375" style="1188"/>
    <col min="12888" max="12890" width="2.8984375" style="1188" bestFit="1" customWidth="1"/>
    <col min="12891" max="12892" width="2.3984375" style="1188"/>
    <col min="12893" max="12893" width="4.19921875" style="1188" bestFit="1" customWidth="1"/>
    <col min="12894" max="12894" width="2.3984375" style="1188"/>
    <col min="12895" max="12895" width="4.19921875" style="1188" bestFit="1" customWidth="1"/>
    <col min="12896" max="12897" width="2.3984375" style="1188"/>
    <col min="12898" max="12898" width="4.19921875" style="1188" bestFit="1" customWidth="1"/>
    <col min="12899" max="12899" width="2.3984375" style="1188"/>
    <col min="12900" max="12900" width="4.19921875" style="1188" bestFit="1" customWidth="1"/>
    <col min="12901" max="12903" width="2.3984375" style="1188"/>
    <col min="12904" max="12906" width="2.8984375" style="1188" bestFit="1" customWidth="1"/>
    <col min="12907" max="12908" width="2.3984375" style="1188"/>
    <col min="12909" max="12909" width="4.19921875" style="1188" bestFit="1" customWidth="1"/>
    <col min="12910" max="12910" width="2.3984375" style="1188"/>
    <col min="12911" max="12911" width="4.19921875" style="1188" bestFit="1" customWidth="1"/>
    <col min="12912" max="12913" width="2.3984375" style="1188"/>
    <col min="12914" max="12914" width="4.19921875" style="1188" bestFit="1" customWidth="1"/>
    <col min="12915" max="12915" width="2.3984375" style="1188"/>
    <col min="12916" max="12916" width="4.19921875" style="1188" bestFit="1" customWidth="1"/>
    <col min="12917" max="12919" width="2.3984375" style="1188"/>
    <col min="12920" max="12922" width="2.8984375" style="1188" bestFit="1" customWidth="1"/>
    <col min="12923" max="12924" width="2.3984375" style="1188"/>
    <col min="12925" max="12925" width="4.19921875" style="1188" bestFit="1" customWidth="1"/>
    <col min="12926" max="12926" width="2.3984375" style="1188"/>
    <col min="12927" max="12927" width="4.19921875" style="1188" bestFit="1" customWidth="1"/>
    <col min="12928" max="12929" width="2.3984375" style="1188"/>
    <col min="12930" max="12930" width="4.19921875" style="1188" bestFit="1" customWidth="1"/>
    <col min="12931" max="12931" width="2.3984375" style="1188"/>
    <col min="12932" max="12932" width="4.19921875" style="1188" bestFit="1" customWidth="1"/>
    <col min="12933" max="12935" width="2.3984375" style="1188"/>
    <col min="12936" max="12938" width="2.8984375" style="1188" bestFit="1" customWidth="1"/>
    <col min="12939" max="12940" width="2.3984375" style="1188"/>
    <col min="12941" max="12941" width="4.19921875" style="1188" bestFit="1" customWidth="1"/>
    <col min="12942" max="12942" width="2.3984375" style="1188"/>
    <col min="12943" max="12943" width="4.19921875" style="1188" bestFit="1" customWidth="1"/>
    <col min="12944" max="12945" width="2.3984375" style="1188"/>
    <col min="12946" max="12946" width="4.19921875" style="1188" bestFit="1" customWidth="1"/>
    <col min="12947" max="12947" width="2.3984375" style="1188"/>
    <col min="12948" max="12948" width="4.19921875" style="1188" bestFit="1" customWidth="1"/>
    <col min="12949" max="12951" width="2.3984375" style="1188"/>
    <col min="12952" max="12954" width="2.8984375" style="1188" bestFit="1" customWidth="1"/>
    <col min="12955" max="12956" width="2.3984375" style="1188"/>
    <col min="12957" max="12957" width="4.19921875" style="1188" bestFit="1" customWidth="1"/>
    <col min="12958" max="12958" width="2.3984375" style="1188"/>
    <col min="12959" max="12959" width="4.19921875" style="1188" bestFit="1" customWidth="1"/>
    <col min="12960" max="12961" width="2.3984375" style="1188"/>
    <col min="12962" max="12962" width="4.19921875" style="1188" bestFit="1" customWidth="1"/>
    <col min="12963" max="12963" width="2.3984375" style="1188"/>
    <col min="12964" max="12964" width="4.19921875" style="1188" bestFit="1" customWidth="1"/>
    <col min="12965" max="12967" width="2.3984375" style="1188"/>
    <col min="12968" max="12970" width="2.8984375" style="1188" bestFit="1" customWidth="1"/>
    <col min="12971" max="12972" width="2.3984375" style="1188"/>
    <col min="12973" max="12973" width="4.19921875" style="1188" bestFit="1" customWidth="1"/>
    <col min="12974" max="12974" width="2.3984375" style="1188"/>
    <col min="12975" max="12975" width="4.19921875" style="1188" bestFit="1" customWidth="1"/>
    <col min="12976" max="12977" width="2.3984375" style="1188"/>
    <col min="12978" max="12978" width="4.19921875" style="1188" bestFit="1" customWidth="1"/>
    <col min="12979" max="12979" width="2.3984375" style="1188"/>
    <col min="12980" max="12980" width="4.19921875" style="1188" bestFit="1" customWidth="1"/>
    <col min="12981" max="12983" width="2.3984375" style="1188"/>
    <col min="12984" max="12986" width="2.8984375" style="1188" bestFit="1" customWidth="1"/>
    <col min="12987" max="12988" width="2.3984375" style="1188"/>
    <col min="12989" max="12989" width="4.19921875" style="1188" bestFit="1" customWidth="1"/>
    <col min="12990" max="12990" width="2.3984375" style="1188"/>
    <col min="12991" max="12991" width="4.19921875" style="1188" bestFit="1" customWidth="1"/>
    <col min="12992" max="12993" width="2.3984375" style="1188"/>
    <col min="12994" max="12994" width="4.19921875" style="1188" bestFit="1" customWidth="1"/>
    <col min="12995" max="12995" width="2.3984375" style="1188"/>
    <col min="12996" max="12996" width="4.19921875" style="1188" bestFit="1" customWidth="1"/>
    <col min="12997" max="12999" width="2.3984375" style="1188"/>
    <col min="13000" max="13002" width="2.8984375" style="1188" bestFit="1" customWidth="1"/>
    <col min="13003" max="13004" width="2.3984375" style="1188"/>
    <col min="13005" max="13005" width="4.19921875" style="1188" bestFit="1" customWidth="1"/>
    <col min="13006" max="13006" width="2.3984375" style="1188"/>
    <col min="13007" max="13007" width="4.19921875" style="1188" bestFit="1" customWidth="1"/>
    <col min="13008" max="13009" width="2.3984375" style="1188"/>
    <col min="13010" max="13010" width="4.19921875" style="1188" bestFit="1" customWidth="1"/>
    <col min="13011" max="13011" width="2.3984375" style="1188"/>
    <col min="13012" max="13012" width="4.19921875" style="1188" bestFit="1" customWidth="1"/>
    <col min="13013" max="13015" width="2.3984375" style="1188"/>
    <col min="13016" max="13018" width="2.8984375" style="1188" bestFit="1" customWidth="1"/>
    <col min="13019" max="13020" width="2.3984375" style="1188"/>
    <col min="13021" max="13021" width="4.19921875" style="1188" bestFit="1" customWidth="1"/>
    <col min="13022" max="13022" width="2.3984375" style="1188"/>
    <col min="13023" max="13023" width="4.19921875" style="1188" bestFit="1" customWidth="1"/>
    <col min="13024" max="13025" width="2.3984375" style="1188"/>
    <col min="13026" max="13026" width="4.19921875" style="1188" bestFit="1" customWidth="1"/>
    <col min="13027" max="13027" width="2.3984375" style="1188"/>
    <col min="13028" max="13028" width="4.19921875" style="1188" bestFit="1" customWidth="1"/>
    <col min="13029" max="13031" width="2.3984375" style="1188"/>
    <col min="13032" max="13034" width="2.8984375" style="1188" bestFit="1" customWidth="1"/>
    <col min="13035" max="13036" width="2.3984375" style="1188"/>
    <col min="13037" max="13037" width="4.19921875" style="1188" bestFit="1" customWidth="1"/>
    <col min="13038" max="13038" width="2.3984375" style="1188"/>
    <col min="13039" max="13039" width="4.19921875" style="1188" bestFit="1" customWidth="1"/>
    <col min="13040" max="13041" width="2.3984375" style="1188"/>
    <col min="13042" max="13042" width="4.19921875" style="1188" bestFit="1" customWidth="1"/>
    <col min="13043" max="13043" width="2.3984375" style="1188"/>
    <col min="13044" max="13044" width="4.19921875" style="1188" bestFit="1" customWidth="1"/>
    <col min="13045" max="13047" width="2.3984375" style="1188"/>
    <col min="13048" max="13050" width="2.8984375" style="1188" bestFit="1" customWidth="1"/>
    <col min="13051" max="13052" width="2.3984375" style="1188"/>
    <col min="13053" max="13053" width="4.19921875" style="1188" bestFit="1" customWidth="1"/>
    <col min="13054" max="13054" width="2.3984375" style="1188"/>
    <col min="13055" max="13055" width="4.19921875" style="1188" bestFit="1" customWidth="1"/>
    <col min="13056" max="13057" width="2.3984375" style="1188"/>
    <col min="13058" max="13058" width="4.19921875" style="1188" bestFit="1" customWidth="1"/>
    <col min="13059" max="13059" width="2.3984375" style="1188"/>
    <col min="13060" max="13060" width="4.19921875" style="1188" bestFit="1" customWidth="1"/>
    <col min="13061" max="13063" width="2.3984375" style="1188"/>
    <col min="13064" max="13066" width="2.8984375" style="1188" bestFit="1" customWidth="1"/>
    <col min="13067" max="13068" width="2.3984375" style="1188"/>
    <col min="13069" max="13069" width="4.19921875" style="1188" bestFit="1" customWidth="1"/>
    <col min="13070" max="13070" width="2.3984375" style="1188"/>
    <col min="13071" max="13071" width="4.19921875" style="1188" bestFit="1" customWidth="1"/>
    <col min="13072" max="13073" width="2.3984375" style="1188"/>
    <col min="13074" max="13074" width="4.19921875" style="1188" bestFit="1" customWidth="1"/>
    <col min="13075" max="13075" width="2.3984375" style="1188"/>
    <col min="13076" max="13076" width="4.19921875" style="1188" bestFit="1" customWidth="1"/>
    <col min="13077" max="13079" width="2.3984375" style="1188"/>
    <col min="13080" max="13082" width="2.8984375" style="1188" bestFit="1" customWidth="1"/>
    <col min="13083" max="13084" width="2.3984375" style="1188"/>
    <col min="13085" max="13085" width="4.19921875" style="1188" bestFit="1" customWidth="1"/>
    <col min="13086" max="13086" width="2.3984375" style="1188"/>
    <col min="13087" max="13087" width="4.19921875" style="1188" bestFit="1" customWidth="1"/>
    <col min="13088" max="13089" width="2.3984375" style="1188"/>
    <col min="13090" max="13090" width="4.19921875" style="1188" bestFit="1" customWidth="1"/>
    <col min="13091" max="13091" width="2.3984375" style="1188"/>
    <col min="13092" max="13092" width="4.19921875" style="1188" bestFit="1" customWidth="1"/>
    <col min="13093" max="13095" width="2.3984375" style="1188"/>
    <col min="13096" max="13098" width="2.8984375" style="1188" bestFit="1" customWidth="1"/>
    <col min="13099" max="13100" width="2.3984375" style="1188"/>
    <col min="13101" max="13101" width="4.19921875" style="1188" bestFit="1" customWidth="1"/>
    <col min="13102" max="13102" width="2.3984375" style="1188"/>
    <col min="13103" max="13103" width="4.19921875" style="1188" bestFit="1" customWidth="1"/>
    <col min="13104" max="13105" width="2.3984375" style="1188"/>
    <col min="13106" max="13106" width="4.19921875" style="1188" bestFit="1" customWidth="1"/>
    <col min="13107" max="13107" width="2.3984375" style="1188"/>
    <col min="13108" max="13108" width="4.19921875" style="1188" bestFit="1" customWidth="1"/>
    <col min="13109" max="13111" width="2.3984375" style="1188"/>
    <col min="13112" max="13114" width="2.8984375" style="1188" bestFit="1" customWidth="1"/>
    <col min="13115" max="13116" width="2.3984375" style="1188"/>
    <col min="13117" max="13117" width="4.19921875" style="1188" bestFit="1" customWidth="1"/>
    <col min="13118" max="13118" width="2.3984375" style="1188"/>
    <col min="13119" max="13119" width="4.19921875" style="1188" bestFit="1" customWidth="1"/>
    <col min="13120" max="13121" width="2.3984375" style="1188"/>
    <col min="13122" max="13122" width="4.19921875" style="1188" bestFit="1" customWidth="1"/>
    <col min="13123" max="13123" width="2.3984375" style="1188"/>
    <col min="13124" max="13124" width="4.19921875" style="1188" bestFit="1" customWidth="1"/>
    <col min="13125" max="13127" width="2.3984375" style="1188"/>
    <col min="13128" max="13130" width="2.8984375" style="1188" bestFit="1" customWidth="1"/>
    <col min="13131" max="13132" width="2.3984375" style="1188"/>
    <col min="13133" max="13133" width="4.19921875" style="1188" bestFit="1" customWidth="1"/>
    <col min="13134" max="13134" width="2.3984375" style="1188"/>
    <col min="13135" max="13135" width="4.19921875" style="1188" bestFit="1" customWidth="1"/>
    <col min="13136" max="13137" width="2.3984375" style="1188"/>
    <col min="13138" max="13138" width="4.19921875" style="1188" bestFit="1" customWidth="1"/>
    <col min="13139" max="13139" width="2.3984375" style="1188"/>
    <col min="13140" max="13140" width="4.19921875" style="1188" bestFit="1" customWidth="1"/>
    <col min="13141" max="13143" width="2.3984375" style="1188"/>
    <col min="13144" max="13146" width="2.8984375" style="1188" bestFit="1" customWidth="1"/>
    <col min="13147" max="13148" width="2.3984375" style="1188"/>
    <col min="13149" max="13149" width="4.19921875" style="1188" bestFit="1" customWidth="1"/>
    <col min="13150" max="13150" width="2.3984375" style="1188"/>
    <col min="13151" max="13151" width="4.19921875" style="1188" bestFit="1" customWidth="1"/>
    <col min="13152" max="13153" width="2.3984375" style="1188"/>
    <col min="13154" max="13154" width="4.19921875" style="1188" bestFit="1" customWidth="1"/>
    <col min="13155" max="13155" width="2.3984375" style="1188"/>
    <col min="13156" max="13156" width="4.19921875" style="1188" bestFit="1" customWidth="1"/>
    <col min="13157" max="13159" width="2.3984375" style="1188"/>
    <col min="13160" max="13162" width="2.8984375" style="1188" bestFit="1" customWidth="1"/>
    <col min="13163" max="13164" width="2.3984375" style="1188"/>
    <col min="13165" max="13165" width="4.19921875" style="1188" bestFit="1" customWidth="1"/>
    <col min="13166" max="13166" width="2.3984375" style="1188"/>
    <col min="13167" max="13167" width="4.19921875" style="1188" bestFit="1" customWidth="1"/>
    <col min="13168" max="13169" width="2.3984375" style="1188"/>
    <col min="13170" max="13170" width="4.19921875" style="1188" bestFit="1" customWidth="1"/>
    <col min="13171" max="13171" width="2.3984375" style="1188"/>
    <col min="13172" max="13172" width="4.19921875" style="1188" bestFit="1" customWidth="1"/>
    <col min="13173" max="13175" width="2.3984375" style="1188"/>
    <col min="13176" max="13178" width="2.8984375" style="1188" bestFit="1" customWidth="1"/>
    <col min="13179" max="13180" width="2.3984375" style="1188"/>
    <col min="13181" max="13181" width="4.19921875" style="1188" bestFit="1" customWidth="1"/>
    <col min="13182" max="13182" width="2.3984375" style="1188"/>
    <col min="13183" max="13183" width="4.19921875" style="1188" bestFit="1" customWidth="1"/>
    <col min="13184" max="13185" width="2.3984375" style="1188"/>
    <col min="13186" max="13186" width="4.19921875" style="1188" bestFit="1" customWidth="1"/>
    <col min="13187" max="13187" width="2.3984375" style="1188"/>
    <col min="13188" max="13188" width="4.19921875" style="1188" bestFit="1" customWidth="1"/>
    <col min="13189" max="13191" width="2.3984375" style="1188"/>
    <col min="13192" max="13194" width="2.8984375" style="1188" bestFit="1" customWidth="1"/>
    <col min="13195" max="13196" width="2.3984375" style="1188"/>
    <col min="13197" max="13197" width="4.19921875" style="1188" bestFit="1" customWidth="1"/>
    <col min="13198" max="13198" width="2.3984375" style="1188"/>
    <col min="13199" max="13199" width="4.19921875" style="1188" bestFit="1" customWidth="1"/>
    <col min="13200" max="13201" width="2.3984375" style="1188"/>
    <col min="13202" max="13202" width="4.19921875" style="1188" bestFit="1" customWidth="1"/>
    <col min="13203" max="13203" width="2.3984375" style="1188"/>
    <col min="13204" max="13204" width="4.19921875" style="1188" bestFit="1" customWidth="1"/>
    <col min="13205" max="13207" width="2.3984375" style="1188"/>
    <col min="13208" max="13210" width="2.8984375" style="1188" bestFit="1" customWidth="1"/>
    <col min="13211" max="13212" width="2.3984375" style="1188"/>
    <col min="13213" max="13213" width="4.19921875" style="1188" bestFit="1" customWidth="1"/>
    <col min="13214" max="13214" width="2.3984375" style="1188"/>
    <col min="13215" max="13215" width="4.19921875" style="1188" bestFit="1" customWidth="1"/>
    <col min="13216" max="13217" width="2.3984375" style="1188"/>
    <col min="13218" max="13218" width="4.19921875" style="1188" bestFit="1" customWidth="1"/>
    <col min="13219" max="13219" width="2.3984375" style="1188"/>
    <col min="13220" max="13220" width="4.19921875" style="1188" bestFit="1" customWidth="1"/>
    <col min="13221" max="13223" width="2.3984375" style="1188"/>
    <col min="13224" max="13226" width="2.8984375" style="1188" bestFit="1" customWidth="1"/>
    <col min="13227" max="13228" width="2.3984375" style="1188"/>
    <col min="13229" max="13229" width="4.19921875" style="1188" bestFit="1" customWidth="1"/>
    <col min="13230" max="13230" width="2.3984375" style="1188"/>
    <col min="13231" max="13231" width="4.19921875" style="1188" bestFit="1" customWidth="1"/>
    <col min="13232" max="13233" width="2.3984375" style="1188"/>
    <col min="13234" max="13234" width="4.19921875" style="1188" bestFit="1" customWidth="1"/>
    <col min="13235" max="13235" width="2.3984375" style="1188"/>
    <col min="13236" max="13236" width="4.19921875" style="1188" bestFit="1" customWidth="1"/>
    <col min="13237" max="13239" width="2.3984375" style="1188"/>
    <col min="13240" max="13242" width="2.8984375" style="1188" bestFit="1" customWidth="1"/>
    <col min="13243" max="13244" width="2.3984375" style="1188"/>
    <col min="13245" max="13245" width="4.19921875" style="1188" bestFit="1" customWidth="1"/>
    <col min="13246" max="13246" width="2.3984375" style="1188"/>
    <col min="13247" max="13247" width="4.19921875" style="1188" bestFit="1" customWidth="1"/>
    <col min="13248" max="13249" width="2.3984375" style="1188"/>
    <col min="13250" max="13250" width="4.19921875" style="1188" bestFit="1" customWidth="1"/>
    <col min="13251" max="13251" width="2.3984375" style="1188"/>
    <col min="13252" max="13252" width="4.19921875" style="1188" bestFit="1" customWidth="1"/>
    <col min="13253" max="13255" width="2.3984375" style="1188"/>
    <col min="13256" max="13258" width="2.8984375" style="1188" bestFit="1" customWidth="1"/>
    <col min="13259" max="13260" width="2.3984375" style="1188"/>
    <col min="13261" max="13261" width="4.19921875" style="1188" bestFit="1" customWidth="1"/>
    <col min="13262" max="13262" width="2.3984375" style="1188"/>
    <col min="13263" max="13263" width="4.19921875" style="1188" bestFit="1" customWidth="1"/>
    <col min="13264" max="13265" width="2.3984375" style="1188"/>
    <col min="13266" max="13266" width="4.19921875" style="1188" bestFit="1" customWidth="1"/>
    <col min="13267" max="13267" width="2.3984375" style="1188"/>
    <col min="13268" max="13268" width="4.19921875" style="1188" bestFit="1" customWidth="1"/>
    <col min="13269" max="13271" width="2.3984375" style="1188"/>
    <col min="13272" max="13274" width="2.8984375" style="1188" bestFit="1" customWidth="1"/>
    <col min="13275" max="13276" width="2.3984375" style="1188"/>
    <col min="13277" max="13277" width="4.19921875" style="1188" bestFit="1" customWidth="1"/>
    <col min="13278" max="13278" width="2.3984375" style="1188"/>
    <col min="13279" max="13279" width="4.19921875" style="1188" bestFit="1" customWidth="1"/>
    <col min="13280" max="13281" width="2.3984375" style="1188"/>
    <col min="13282" max="13282" width="4.19921875" style="1188" bestFit="1" customWidth="1"/>
    <col min="13283" max="13283" width="2.3984375" style="1188"/>
    <col min="13284" max="13284" width="4.19921875" style="1188" bestFit="1" customWidth="1"/>
    <col min="13285" max="13287" width="2.3984375" style="1188"/>
    <col min="13288" max="13290" width="2.8984375" style="1188" bestFit="1" customWidth="1"/>
    <col min="13291" max="13292" width="2.3984375" style="1188"/>
    <col min="13293" max="13293" width="4.19921875" style="1188" bestFit="1" customWidth="1"/>
    <col min="13294" max="13294" width="2.3984375" style="1188"/>
    <col min="13295" max="13295" width="4.19921875" style="1188" bestFit="1" customWidth="1"/>
    <col min="13296" max="13297" width="2.3984375" style="1188"/>
    <col min="13298" max="13298" width="4.19921875" style="1188" bestFit="1" customWidth="1"/>
    <col min="13299" max="13299" width="2.3984375" style="1188"/>
    <col min="13300" max="13300" width="4.19921875" style="1188" bestFit="1" customWidth="1"/>
    <col min="13301" max="13303" width="2.3984375" style="1188"/>
    <col min="13304" max="13306" width="2.8984375" style="1188" bestFit="1" customWidth="1"/>
    <col min="13307" max="13308" width="2.3984375" style="1188"/>
    <col min="13309" max="13309" width="4.19921875" style="1188" bestFit="1" customWidth="1"/>
    <col min="13310" max="13310" width="2.3984375" style="1188"/>
    <col min="13311" max="13311" width="4.19921875" style="1188" bestFit="1" customWidth="1"/>
    <col min="13312" max="13313" width="2.3984375" style="1188"/>
    <col min="13314" max="13314" width="4.19921875" style="1188" bestFit="1" customWidth="1"/>
    <col min="13315" max="13315" width="2.3984375" style="1188"/>
    <col min="13316" max="13316" width="4.19921875" style="1188" bestFit="1" customWidth="1"/>
    <col min="13317" max="13319" width="2.3984375" style="1188"/>
    <col min="13320" max="13322" width="2.8984375" style="1188" bestFit="1" customWidth="1"/>
    <col min="13323" max="13324" width="2.3984375" style="1188"/>
    <col min="13325" max="13325" width="4.19921875" style="1188" bestFit="1" customWidth="1"/>
    <col min="13326" max="13326" width="2.3984375" style="1188"/>
    <col min="13327" max="13327" width="4.19921875" style="1188" bestFit="1" customWidth="1"/>
    <col min="13328" max="13329" width="2.3984375" style="1188"/>
    <col min="13330" max="13330" width="4.19921875" style="1188" bestFit="1" customWidth="1"/>
    <col min="13331" max="13331" width="2.3984375" style="1188"/>
    <col min="13332" max="13332" width="4.19921875" style="1188" bestFit="1" customWidth="1"/>
    <col min="13333" max="13335" width="2.3984375" style="1188"/>
    <col min="13336" max="13338" width="2.8984375" style="1188" bestFit="1" customWidth="1"/>
    <col min="13339" max="13340" width="2.3984375" style="1188"/>
    <col min="13341" max="13341" width="4.19921875" style="1188" bestFit="1" customWidth="1"/>
    <col min="13342" max="13342" width="2.3984375" style="1188"/>
    <col min="13343" max="13343" width="4.19921875" style="1188" bestFit="1" customWidth="1"/>
    <col min="13344" max="13345" width="2.3984375" style="1188"/>
    <col min="13346" max="13346" width="4.19921875" style="1188" bestFit="1" customWidth="1"/>
    <col min="13347" max="13347" width="2.3984375" style="1188"/>
    <col min="13348" max="13348" width="4.19921875" style="1188" bestFit="1" customWidth="1"/>
    <col min="13349" max="13351" width="2.3984375" style="1188"/>
    <col min="13352" max="13354" width="2.8984375" style="1188" bestFit="1" customWidth="1"/>
    <col min="13355" max="13356" width="2.3984375" style="1188"/>
    <col min="13357" max="13357" width="4.19921875" style="1188" bestFit="1" customWidth="1"/>
    <col min="13358" max="13358" width="2.3984375" style="1188"/>
    <col min="13359" max="13359" width="4.19921875" style="1188" bestFit="1" customWidth="1"/>
    <col min="13360" max="13361" width="2.3984375" style="1188"/>
    <col min="13362" max="13362" width="4.19921875" style="1188" bestFit="1" customWidth="1"/>
    <col min="13363" max="13363" width="2.3984375" style="1188"/>
    <col min="13364" max="13364" width="4.19921875" style="1188" bestFit="1" customWidth="1"/>
    <col min="13365" max="13367" width="2.3984375" style="1188"/>
    <col min="13368" max="13370" width="2.8984375" style="1188" bestFit="1" customWidth="1"/>
    <col min="13371" max="13372" width="2.3984375" style="1188"/>
    <col min="13373" max="13373" width="4.19921875" style="1188" bestFit="1" customWidth="1"/>
    <col min="13374" max="13374" width="2.3984375" style="1188"/>
    <col min="13375" max="13375" width="4.19921875" style="1188" bestFit="1" customWidth="1"/>
    <col min="13376" max="13377" width="2.3984375" style="1188"/>
    <col min="13378" max="13378" width="4.19921875" style="1188" bestFit="1" customWidth="1"/>
    <col min="13379" max="13379" width="2.3984375" style="1188"/>
    <col min="13380" max="13380" width="4.19921875" style="1188" bestFit="1" customWidth="1"/>
    <col min="13381" max="13383" width="2.3984375" style="1188"/>
    <col min="13384" max="13386" width="2.8984375" style="1188" bestFit="1" customWidth="1"/>
    <col min="13387" max="13388" width="2.3984375" style="1188"/>
    <col min="13389" max="13389" width="4.19921875" style="1188" bestFit="1" customWidth="1"/>
    <col min="13390" max="13390" width="2.3984375" style="1188"/>
    <col min="13391" max="13391" width="4.19921875" style="1188" bestFit="1" customWidth="1"/>
    <col min="13392" max="13393" width="2.3984375" style="1188"/>
    <col min="13394" max="13394" width="4.19921875" style="1188" bestFit="1" customWidth="1"/>
    <col min="13395" max="13395" width="2.3984375" style="1188"/>
    <col min="13396" max="13396" width="4.19921875" style="1188" bestFit="1" customWidth="1"/>
    <col min="13397" max="13399" width="2.3984375" style="1188"/>
    <col min="13400" max="13402" width="2.8984375" style="1188" bestFit="1" customWidth="1"/>
    <col min="13403" max="13404" width="2.3984375" style="1188"/>
    <col min="13405" max="13405" width="4.19921875" style="1188" bestFit="1" customWidth="1"/>
    <col min="13406" max="13406" width="2.3984375" style="1188"/>
    <col min="13407" max="13407" width="4.19921875" style="1188" bestFit="1" customWidth="1"/>
    <col min="13408" max="13409" width="2.3984375" style="1188"/>
    <col min="13410" max="13410" width="4.19921875" style="1188" bestFit="1" customWidth="1"/>
    <col min="13411" max="13411" width="2.3984375" style="1188"/>
    <col min="13412" max="13412" width="4.19921875" style="1188" bestFit="1" customWidth="1"/>
    <col min="13413" max="13415" width="2.3984375" style="1188"/>
    <col min="13416" max="13418" width="2.8984375" style="1188" bestFit="1" customWidth="1"/>
    <col min="13419" max="13420" width="2.3984375" style="1188"/>
    <col min="13421" max="13421" width="4.19921875" style="1188" bestFit="1" customWidth="1"/>
    <col min="13422" max="13422" width="2.3984375" style="1188"/>
    <col min="13423" max="13423" width="4.19921875" style="1188" bestFit="1" customWidth="1"/>
    <col min="13424" max="13425" width="2.3984375" style="1188"/>
    <col min="13426" max="13426" width="4.19921875" style="1188" bestFit="1" customWidth="1"/>
    <col min="13427" max="13427" width="2.3984375" style="1188"/>
    <col min="13428" max="13428" width="4.19921875" style="1188" bestFit="1" customWidth="1"/>
    <col min="13429" max="13431" width="2.3984375" style="1188"/>
    <col min="13432" max="13434" width="2.8984375" style="1188" bestFit="1" customWidth="1"/>
    <col min="13435" max="13436" width="2.3984375" style="1188"/>
    <col min="13437" max="13437" width="4.19921875" style="1188" bestFit="1" customWidth="1"/>
    <col min="13438" max="13438" width="2.3984375" style="1188"/>
    <col min="13439" max="13439" width="4.19921875" style="1188" bestFit="1" customWidth="1"/>
    <col min="13440" max="13441" width="2.3984375" style="1188"/>
    <col min="13442" max="13442" width="4.19921875" style="1188" bestFit="1" customWidth="1"/>
    <col min="13443" max="13443" width="2.3984375" style="1188"/>
    <col min="13444" max="13444" width="4.19921875" style="1188" bestFit="1" customWidth="1"/>
    <col min="13445" max="13447" width="2.3984375" style="1188"/>
    <col min="13448" max="13450" width="2.8984375" style="1188" bestFit="1" customWidth="1"/>
    <col min="13451" max="13452" width="2.3984375" style="1188"/>
    <col min="13453" max="13453" width="4.19921875" style="1188" bestFit="1" customWidth="1"/>
    <col min="13454" max="13454" width="2.3984375" style="1188"/>
    <col min="13455" max="13455" width="4.19921875" style="1188" bestFit="1" customWidth="1"/>
    <col min="13456" max="13457" width="2.3984375" style="1188"/>
    <col min="13458" max="13458" width="4.19921875" style="1188" bestFit="1" customWidth="1"/>
    <col min="13459" max="13459" width="2.3984375" style="1188"/>
    <col min="13460" max="13460" width="4.19921875" style="1188" bestFit="1" customWidth="1"/>
    <col min="13461" max="13463" width="2.3984375" style="1188"/>
    <col min="13464" max="13466" width="2.8984375" style="1188" bestFit="1" customWidth="1"/>
    <col min="13467" max="13468" width="2.3984375" style="1188"/>
    <col min="13469" max="13469" width="4.19921875" style="1188" bestFit="1" customWidth="1"/>
    <col min="13470" max="13470" width="2.3984375" style="1188"/>
    <col min="13471" max="13471" width="4.19921875" style="1188" bestFit="1" customWidth="1"/>
    <col min="13472" max="13473" width="2.3984375" style="1188"/>
    <col min="13474" max="13474" width="4.19921875" style="1188" bestFit="1" customWidth="1"/>
    <col min="13475" max="13475" width="2.3984375" style="1188"/>
    <col min="13476" max="13476" width="4.19921875" style="1188" bestFit="1" customWidth="1"/>
    <col min="13477" max="13479" width="2.3984375" style="1188"/>
    <col min="13480" max="13482" width="2.8984375" style="1188" bestFit="1" customWidth="1"/>
    <col min="13483" max="13484" width="2.3984375" style="1188"/>
    <col min="13485" max="13485" width="4.19921875" style="1188" bestFit="1" customWidth="1"/>
    <col min="13486" max="13486" width="2.3984375" style="1188"/>
    <col min="13487" max="13487" width="4.19921875" style="1188" bestFit="1" customWidth="1"/>
    <col min="13488" max="13489" width="2.3984375" style="1188"/>
    <col min="13490" max="13490" width="4.19921875" style="1188" bestFit="1" customWidth="1"/>
    <col min="13491" max="13491" width="2.3984375" style="1188"/>
    <col min="13492" max="13492" width="4.19921875" style="1188" bestFit="1" customWidth="1"/>
    <col min="13493" max="13495" width="2.3984375" style="1188"/>
    <col min="13496" max="13498" width="2.8984375" style="1188" bestFit="1" customWidth="1"/>
    <col min="13499" max="13500" width="2.3984375" style="1188"/>
    <col min="13501" max="13501" width="4.19921875" style="1188" bestFit="1" customWidth="1"/>
    <col min="13502" max="13502" width="2.3984375" style="1188"/>
    <col min="13503" max="13503" width="4.19921875" style="1188" bestFit="1" customWidth="1"/>
    <col min="13504" max="13505" width="2.3984375" style="1188"/>
    <col min="13506" max="13506" width="4.19921875" style="1188" bestFit="1" customWidth="1"/>
    <col min="13507" max="13507" width="2.3984375" style="1188"/>
    <col min="13508" max="13508" width="4.19921875" style="1188" bestFit="1" customWidth="1"/>
    <col min="13509" max="13511" width="2.3984375" style="1188"/>
    <col min="13512" max="13514" width="2.8984375" style="1188" bestFit="1" customWidth="1"/>
    <col min="13515" max="13516" width="2.3984375" style="1188"/>
    <col min="13517" max="13517" width="4.19921875" style="1188" bestFit="1" customWidth="1"/>
    <col min="13518" max="13518" width="2.3984375" style="1188"/>
    <col min="13519" max="13519" width="4.19921875" style="1188" bestFit="1" customWidth="1"/>
    <col min="13520" max="13521" width="2.3984375" style="1188"/>
    <col min="13522" max="13522" width="4.19921875" style="1188" bestFit="1" customWidth="1"/>
    <col min="13523" max="13523" width="2.3984375" style="1188"/>
    <col min="13524" max="13524" width="4.19921875" style="1188" bestFit="1" customWidth="1"/>
    <col min="13525" max="13527" width="2.3984375" style="1188"/>
    <col min="13528" max="13530" width="2.8984375" style="1188" bestFit="1" customWidth="1"/>
    <col min="13531" max="13532" width="2.3984375" style="1188"/>
    <col min="13533" max="13533" width="4.19921875" style="1188" bestFit="1" customWidth="1"/>
    <col min="13534" max="13534" width="2.3984375" style="1188"/>
    <col min="13535" max="13535" width="4.19921875" style="1188" bestFit="1" customWidth="1"/>
    <col min="13536" max="13537" width="2.3984375" style="1188"/>
    <col min="13538" max="13538" width="4.19921875" style="1188" bestFit="1" customWidth="1"/>
    <col min="13539" max="13539" width="2.3984375" style="1188"/>
    <col min="13540" max="13540" width="4.19921875" style="1188" bestFit="1" customWidth="1"/>
    <col min="13541" max="13543" width="2.3984375" style="1188"/>
    <col min="13544" max="13546" width="2.8984375" style="1188" bestFit="1" customWidth="1"/>
    <col min="13547" max="13548" width="2.3984375" style="1188"/>
    <col min="13549" max="13549" width="4.19921875" style="1188" bestFit="1" customWidth="1"/>
    <col min="13550" max="13550" width="2.3984375" style="1188"/>
    <col min="13551" max="13551" width="4.19921875" style="1188" bestFit="1" customWidth="1"/>
    <col min="13552" max="13553" width="2.3984375" style="1188"/>
    <col min="13554" max="13554" width="4.19921875" style="1188" bestFit="1" customWidth="1"/>
    <col min="13555" max="13555" width="2.3984375" style="1188"/>
    <col min="13556" max="13556" width="4.19921875" style="1188" bestFit="1" customWidth="1"/>
    <col min="13557" max="13559" width="2.3984375" style="1188"/>
    <col min="13560" max="13562" width="2.8984375" style="1188" bestFit="1" customWidth="1"/>
    <col min="13563" max="13564" width="2.3984375" style="1188"/>
    <col min="13565" max="13565" width="4.19921875" style="1188" bestFit="1" customWidth="1"/>
    <col min="13566" max="13566" width="2.3984375" style="1188"/>
    <col min="13567" max="13567" width="4.19921875" style="1188" bestFit="1" customWidth="1"/>
    <col min="13568" max="13569" width="2.3984375" style="1188"/>
    <col min="13570" max="13570" width="4.19921875" style="1188" bestFit="1" customWidth="1"/>
    <col min="13571" max="13571" width="2.3984375" style="1188"/>
    <col min="13572" max="13572" width="4.19921875" style="1188" bestFit="1" customWidth="1"/>
    <col min="13573" max="13575" width="2.3984375" style="1188"/>
    <col min="13576" max="13578" width="2.8984375" style="1188" bestFit="1" customWidth="1"/>
    <col min="13579" max="13580" width="2.3984375" style="1188"/>
    <col min="13581" max="13581" width="4.19921875" style="1188" bestFit="1" customWidth="1"/>
    <col min="13582" max="13582" width="2.3984375" style="1188"/>
    <col min="13583" max="13583" width="4.19921875" style="1188" bestFit="1" customWidth="1"/>
    <col min="13584" max="13585" width="2.3984375" style="1188"/>
    <col min="13586" max="13586" width="4.19921875" style="1188" bestFit="1" customWidth="1"/>
    <col min="13587" max="13587" width="2.3984375" style="1188"/>
    <col min="13588" max="13588" width="4.19921875" style="1188" bestFit="1" customWidth="1"/>
    <col min="13589" max="13591" width="2.3984375" style="1188"/>
    <col min="13592" max="13594" width="2.8984375" style="1188" bestFit="1" customWidth="1"/>
    <col min="13595" max="13596" width="2.3984375" style="1188"/>
    <col min="13597" max="13597" width="4.19921875" style="1188" bestFit="1" customWidth="1"/>
    <col min="13598" max="13598" width="2.3984375" style="1188"/>
    <col min="13599" max="13599" width="4.19921875" style="1188" bestFit="1" customWidth="1"/>
    <col min="13600" max="13601" width="2.3984375" style="1188"/>
    <col min="13602" max="13602" width="4.19921875" style="1188" bestFit="1" customWidth="1"/>
    <col min="13603" max="13603" width="2.3984375" style="1188"/>
    <col min="13604" max="13604" width="4.19921875" style="1188" bestFit="1" customWidth="1"/>
    <col min="13605" max="13607" width="2.3984375" style="1188"/>
    <col min="13608" max="13610" width="2.8984375" style="1188" bestFit="1" customWidth="1"/>
    <col min="13611" max="13612" width="2.3984375" style="1188"/>
    <col min="13613" max="13613" width="4.19921875" style="1188" bestFit="1" customWidth="1"/>
    <col min="13614" max="13614" width="2.3984375" style="1188"/>
    <col min="13615" max="13615" width="4.19921875" style="1188" bestFit="1" customWidth="1"/>
    <col min="13616" max="13617" width="2.3984375" style="1188"/>
    <col min="13618" max="13618" width="4.19921875" style="1188" bestFit="1" customWidth="1"/>
    <col min="13619" max="13619" width="2.3984375" style="1188"/>
    <col min="13620" max="13620" width="4.19921875" style="1188" bestFit="1" customWidth="1"/>
    <col min="13621" max="13623" width="2.3984375" style="1188"/>
    <col min="13624" max="13626" width="2.8984375" style="1188" bestFit="1" customWidth="1"/>
    <col min="13627" max="13628" width="2.3984375" style="1188"/>
    <col min="13629" max="13629" width="4.19921875" style="1188" bestFit="1" customWidth="1"/>
    <col min="13630" max="13630" width="2.3984375" style="1188"/>
    <col min="13631" max="13631" width="4.19921875" style="1188" bestFit="1" customWidth="1"/>
    <col min="13632" max="13633" width="2.3984375" style="1188"/>
    <col min="13634" max="13634" width="4.19921875" style="1188" bestFit="1" customWidth="1"/>
    <col min="13635" max="13635" width="2.3984375" style="1188"/>
    <col min="13636" max="13636" width="4.19921875" style="1188" bestFit="1" customWidth="1"/>
    <col min="13637" max="13639" width="2.3984375" style="1188"/>
    <col min="13640" max="13642" width="2.8984375" style="1188" bestFit="1" customWidth="1"/>
    <col min="13643" max="13644" width="2.3984375" style="1188"/>
    <col min="13645" max="13645" width="4.19921875" style="1188" bestFit="1" customWidth="1"/>
    <col min="13646" max="13646" width="2.3984375" style="1188"/>
    <col min="13647" max="13647" width="4.19921875" style="1188" bestFit="1" customWidth="1"/>
    <col min="13648" max="13649" width="2.3984375" style="1188"/>
    <col min="13650" max="13650" width="4.19921875" style="1188" bestFit="1" customWidth="1"/>
    <col min="13651" max="13651" width="2.3984375" style="1188"/>
    <col min="13652" max="13652" width="4.19921875" style="1188" bestFit="1" customWidth="1"/>
    <col min="13653" max="13655" width="2.3984375" style="1188"/>
    <col min="13656" max="13658" width="2.8984375" style="1188" bestFit="1" customWidth="1"/>
    <col min="13659" max="13660" width="2.3984375" style="1188"/>
    <col min="13661" max="13661" width="4.19921875" style="1188" bestFit="1" customWidth="1"/>
    <col min="13662" max="13662" width="2.3984375" style="1188"/>
    <col min="13663" max="13663" width="4.19921875" style="1188" bestFit="1" customWidth="1"/>
    <col min="13664" max="13665" width="2.3984375" style="1188"/>
    <col min="13666" max="13666" width="4.19921875" style="1188" bestFit="1" customWidth="1"/>
    <col min="13667" max="13667" width="2.3984375" style="1188"/>
    <col min="13668" max="13668" width="4.19921875" style="1188" bestFit="1" customWidth="1"/>
    <col min="13669" max="13671" width="2.3984375" style="1188"/>
    <col min="13672" max="13674" width="2.8984375" style="1188" bestFit="1" customWidth="1"/>
    <col min="13675" max="13676" width="2.3984375" style="1188"/>
    <col min="13677" max="13677" width="4.19921875" style="1188" bestFit="1" customWidth="1"/>
    <col min="13678" max="13678" width="2.3984375" style="1188"/>
    <col min="13679" max="13679" width="4.19921875" style="1188" bestFit="1" customWidth="1"/>
    <col min="13680" max="13681" width="2.3984375" style="1188"/>
    <col min="13682" max="13682" width="4.19921875" style="1188" bestFit="1" customWidth="1"/>
    <col min="13683" max="13683" width="2.3984375" style="1188"/>
    <col min="13684" max="13684" width="4.19921875" style="1188" bestFit="1" customWidth="1"/>
    <col min="13685" max="13687" width="2.3984375" style="1188"/>
    <col min="13688" max="13690" width="2.8984375" style="1188" bestFit="1" customWidth="1"/>
    <col min="13691" max="13692" width="2.3984375" style="1188"/>
    <col min="13693" max="13693" width="4.19921875" style="1188" bestFit="1" customWidth="1"/>
    <col min="13694" max="13694" width="2.3984375" style="1188"/>
    <col min="13695" max="13695" width="4.19921875" style="1188" bestFit="1" customWidth="1"/>
    <col min="13696" max="13697" width="2.3984375" style="1188"/>
    <col min="13698" max="13698" width="4.19921875" style="1188" bestFit="1" customWidth="1"/>
    <col min="13699" max="13699" width="2.3984375" style="1188"/>
    <col min="13700" max="13700" width="4.19921875" style="1188" bestFit="1" customWidth="1"/>
    <col min="13701" max="13703" width="2.3984375" style="1188"/>
    <col min="13704" max="13706" width="2.8984375" style="1188" bestFit="1" customWidth="1"/>
    <col min="13707" max="13708" width="2.3984375" style="1188"/>
    <col min="13709" max="13709" width="4.19921875" style="1188" bestFit="1" customWidth="1"/>
    <col min="13710" max="13710" width="2.3984375" style="1188"/>
    <col min="13711" max="13711" width="4.19921875" style="1188" bestFit="1" customWidth="1"/>
    <col min="13712" max="13713" width="2.3984375" style="1188"/>
    <col min="13714" max="13714" width="4.19921875" style="1188" bestFit="1" customWidth="1"/>
    <col min="13715" max="13715" width="2.3984375" style="1188"/>
    <col min="13716" max="13716" width="4.19921875" style="1188" bestFit="1" customWidth="1"/>
    <col min="13717" max="13719" width="2.3984375" style="1188"/>
    <col min="13720" max="13722" width="2.8984375" style="1188" bestFit="1" customWidth="1"/>
    <col min="13723" max="13724" width="2.3984375" style="1188"/>
    <col min="13725" max="13725" width="4.19921875" style="1188" bestFit="1" customWidth="1"/>
    <col min="13726" max="13726" width="2.3984375" style="1188"/>
    <col min="13727" max="13727" width="4.19921875" style="1188" bestFit="1" customWidth="1"/>
    <col min="13728" max="13729" width="2.3984375" style="1188"/>
    <col min="13730" max="13730" width="4.19921875" style="1188" bestFit="1" customWidth="1"/>
    <col min="13731" max="13731" width="2.3984375" style="1188"/>
    <col min="13732" max="13732" width="4.19921875" style="1188" bestFit="1" customWidth="1"/>
    <col min="13733" max="13735" width="2.3984375" style="1188"/>
    <col min="13736" max="13738" width="2.8984375" style="1188" bestFit="1" customWidth="1"/>
    <col min="13739" max="13740" width="2.3984375" style="1188"/>
    <col min="13741" max="13741" width="4.19921875" style="1188" bestFit="1" customWidth="1"/>
    <col min="13742" max="13742" width="2.3984375" style="1188"/>
    <col min="13743" max="13743" width="4.19921875" style="1188" bestFit="1" customWidth="1"/>
    <col min="13744" max="13745" width="2.3984375" style="1188"/>
    <col min="13746" max="13746" width="4.19921875" style="1188" bestFit="1" customWidth="1"/>
    <col min="13747" max="13747" width="2.3984375" style="1188"/>
    <col min="13748" max="13748" width="4.19921875" style="1188" bestFit="1" customWidth="1"/>
    <col min="13749" max="13751" width="2.3984375" style="1188"/>
    <col min="13752" max="13754" width="2.8984375" style="1188" bestFit="1" customWidth="1"/>
    <col min="13755" max="13756" width="2.3984375" style="1188"/>
    <col min="13757" max="13757" width="4.19921875" style="1188" bestFit="1" customWidth="1"/>
    <col min="13758" max="13758" width="2.3984375" style="1188"/>
    <col min="13759" max="13759" width="4.19921875" style="1188" bestFit="1" customWidth="1"/>
    <col min="13760" max="13761" width="2.3984375" style="1188"/>
    <col min="13762" max="13762" width="4.19921875" style="1188" bestFit="1" customWidth="1"/>
    <col min="13763" max="13763" width="2.3984375" style="1188"/>
    <col min="13764" max="13764" width="4.19921875" style="1188" bestFit="1" customWidth="1"/>
    <col min="13765" max="13767" width="2.3984375" style="1188"/>
    <col min="13768" max="13770" width="2.8984375" style="1188" bestFit="1" customWidth="1"/>
    <col min="13771" max="13772" width="2.3984375" style="1188"/>
    <col min="13773" max="13773" width="4.19921875" style="1188" bestFit="1" customWidth="1"/>
    <col min="13774" max="13774" width="2.3984375" style="1188"/>
    <col min="13775" max="13775" width="4.19921875" style="1188" bestFit="1" customWidth="1"/>
    <col min="13776" max="13777" width="2.3984375" style="1188"/>
    <col min="13778" max="13778" width="4.19921875" style="1188" bestFit="1" customWidth="1"/>
    <col min="13779" max="13779" width="2.3984375" style="1188"/>
    <col min="13780" max="13780" width="4.19921875" style="1188" bestFit="1" customWidth="1"/>
    <col min="13781" max="13783" width="2.3984375" style="1188"/>
    <col min="13784" max="13786" width="2.8984375" style="1188" bestFit="1" customWidth="1"/>
    <col min="13787" max="13788" width="2.3984375" style="1188"/>
    <col min="13789" max="13789" width="4.19921875" style="1188" bestFit="1" customWidth="1"/>
    <col min="13790" max="13790" width="2.3984375" style="1188"/>
    <col min="13791" max="13791" width="4.19921875" style="1188" bestFit="1" customWidth="1"/>
    <col min="13792" max="13793" width="2.3984375" style="1188"/>
    <col min="13794" max="13794" width="4.19921875" style="1188" bestFit="1" customWidth="1"/>
    <col min="13795" max="13795" width="2.3984375" style="1188"/>
    <col min="13796" max="13796" width="4.19921875" style="1188" bestFit="1" customWidth="1"/>
    <col min="13797" max="13799" width="2.3984375" style="1188"/>
    <col min="13800" max="13802" width="2.8984375" style="1188" bestFit="1" customWidth="1"/>
    <col min="13803" max="13804" width="2.3984375" style="1188"/>
    <col min="13805" max="13805" width="4.19921875" style="1188" bestFit="1" customWidth="1"/>
    <col min="13806" max="13806" width="2.3984375" style="1188"/>
    <col min="13807" max="13807" width="4.19921875" style="1188" bestFit="1" customWidth="1"/>
    <col min="13808" max="13809" width="2.3984375" style="1188"/>
    <col min="13810" max="13810" width="4.19921875" style="1188" bestFit="1" customWidth="1"/>
    <col min="13811" max="13811" width="2.3984375" style="1188"/>
    <col min="13812" max="13812" width="4.19921875" style="1188" bestFit="1" customWidth="1"/>
    <col min="13813" max="13815" width="2.3984375" style="1188"/>
    <col min="13816" max="13818" width="2.8984375" style="1188" bestFit="1" customWidth="1"/>
    <col min="13819" max="13820" width="2.3984375" style="1188"/>
    <col min="13821" max="13821" width="4.19921875" style="1188" bestFit="1" customWidth="1"/>
    <col min="13822" max="13822" width="2.3984375" style="1188"/>
    <col min="13823" max="13823" width="4.19921875" style="1188" bestFit="1" customWidth="1"/>
    <col min="13824" max="13825" width="2.3984375" style="1188"/>
    <col min="13826" max="13826" width="4.19921875" style="1188" bestFit="1" customWidth="1"/>
    <col min="13827" max="13827" width="2.3984375" style="1188"/>
    <col min="13828" max="13828" width="4.19921875" style="1188" bestFit="1" customWidth="1"/>
    <col min="13829" max="13831" width="2.3984375" style="1188"/>
    <col min="13832" max="13834" width="2.8984375" style="1188" bestFit="1" customWidth="1"/>
    <col min="13835" max="13836" width="2.3984375" style="1188"/>
    <col min="13837" max="13837" width="4.19921875" style="1188" bestFit="1" customWidth="1"/>
    <col min="13838" max="13838" width="2.3984375" style="1188"/>
    <col min="13839" max="13839" width="4.19921875" style="1188" bestFit="1" customWidth="1"/>
    <col min="13840" max="13841" width="2.3984375" style="1188"/>
    <col min="13842" max="13842" width="4.19921875" style="1188" bestFit="1" customWidth="1"/>
    <col min="13843" max="13843" width="2.3984375" style="1188"/>
    <col min="13844" max="13844" width="4.19921875" style="1188" bestFit="1" customWidth="1"/>
    <col min="13845" max="13847" width="2.3984375" style="1188"/>
    <col min="13848" max="13850" width="2.8984375" style="1188" bestFit="1" customWidth="1"/>
    <col min="13851" max="13852" width="2.3984375" style="1188"/>
    <col min="13853" max="13853" width="4.19921875" style="1188" bestFit="1" customWidth="1"/>
    <col min="13854" max="13854" width="2.3984375" style="1188"/>
    <col min="13855" max="13855" width="4.19921875" style="1188" bestFit="1" customWidth="1"/>
    <col min="13856" max="13857" width="2.3984375" style="1188"/>
    <col min="13858" max="13858" width="4.19921875" style="1188" bestFit="1" customWidth="1"/>
    <col min="13859" max="13859" width="2.3984375" style="1188"/>
    <col min="13860" max="13860" width="4.19921875" style="1188" bestFit="1" customWidth="1"/>
    <col min="13861" max="13863" width="2.3984375" style="1188"/>
    <col min="13864" max="13866" width="2.8984375" style="1188" bestFit="1" customWidth="1"/>
    <col min="13867" max="13868" width="2.3984375" style="1188"/>
    <col min="13869" max="13869" width="4.19921875" style="1188" bestFit="1" customWidth="1"/>
    <col min="13870" max="13870" width="2.3984375" style="1188"/>
    <col min="13871" max="13871" width="4.19921875" style="1188" bestFit="1" customWidth="1"/>
    <col min="13872" max="13873" width="2.3984375" style="1188"/>
    <col min="13874" max="13874" width="4.19921875" style="1188" bestFit="1" customWidth="1"/>
    <col min="13875" max="13875" width="2.3984375" style="1188"/>
    <col min="13876" max="13876" width="4.19921875" style="1188" bestFit="1" customWidth="1"/>
    <col min="13877" max="13879" width="2.3984375" style="1188"/>
    <col min="13880" max="13882" width="2.8984375" style="1188" bestFit="1" customWidth="1"/>
    <col min="13883" max="13884" width="2.3984375" style="1188"/>
    <col min="13885" max="13885" width="4.19921875" style="1188" bestFit="1" customWidth="1"/>
    <col min="13886" max="13886" width="2.3984375" style="1188"/>
    <col min="13887" max="13887" width="4.19921875" style="1188" bestFit="1" customWidth="1"/>
    <col min="13888" max="13889" width="2.3984375" style="1188"/>
    <col min="13890" max="13890" width="4.19921875" style="1188" bestFit="1" customWidth="1"/>
    <col min="13891" max="13891" width="2.3984375" style="1188"/>
    <col min="13892" max="13892" width="4.19921875" style="1188" bestFit="1" customWidth="1"/>
    <col min="13893" max="13895" width="2.3984375" style="1188"/>
    <col min="13896" max="13898" width="2.8984375" style="1188" bestFit="1" customWidth="1"/>
    <col min="13899" max="13900" width="2.3984375" style="1188"/>
    <col min="13901" max="13901" width="4.19921875" style="1188" bestFit="1" customWidth="1"/>
    <col min="13902" max="13902" width="2.3984375" style="1188"/>
    <col min="13903" max="13903" width="4.19921875" style="1188" bestFit="1" customWidth="1"/>
    <col min="13904" max="13905" width="2.3984375" style="1188"/>
    <col min="13906" max="13906" width="4.19921875" style="1188" bestFit="1" customWidth="1"/>
    <col min="13907" max="13907" width="2.3984375" style="1188"/>
    <col min="13908" max="13908" width="4.19921875" style="1188" bestFit="1" customWidth="1"/>
    <col min="13909" max="13911" width="2.3984375" style="1188"/>
    <col min="13912" max="13914" width="2.8984375" style="1188" bestFit="1" customWidth="1"/>
    <col min="13915" max="13916" width="2.3984375" style="1188"/>
    <col min="13917" max="13917" width="4.19921875" style="1188" bestFit="1" customWidth="1"/>
    <col min="13918" max="13918" width="2.3984375" style="1188"/>
    <col min="13919" max="13919" width="4.19921875" style="1188" bestFit="1" customWidth="1"/>
    <col min="13920" max="13921" width="2.3984375" style="1188"/>
    <col min="13922" max="13922" width="4.19921875" style="1188" bestFit="1" customWidth="1"/>
    <col min="13923" max="13923" width="2.3984375" style="1188"/>
    <col min="13924" max="13924" width="4.19921875" style="1188" bestFit="1" customWidth="1"/>
    <col min="13925" max="13927" width="2.3984375" style="1188"/>
    <col min="13928" max="13930" width="2.8984375" style="1188" bestFit="1" customWidth="1"/>
    <col min="13931" max="13932" width="2.3984375" style="1188"/>
    <col min="13933" max="13933" width="4.19921875" style="1188" bestFit="1" customWidth="1"/>
    <col min="13934" max="13934" width="2.3984375" style="1188"/>
    <col min="13935" max="13935" width="4.19921875" style="1188" bestFit="1" customWidth="1"/>
    <col min="13936" max="13937" width="2.3984375" style="1188"/>
    <col min="13938" max="13938" width="4.19921875" style="1188" bestFit="1" customWidth="1"/>
    <col min="13939" max="13939" width="2.3984375" style="1188"/>
    <col min="13940" max="13940" width="4.19921875" style="1188" bestFit="1" customWidth="1"/>
    <col min="13941" max="13943" width="2.3984375" style="1188"/>
    <col min="13944" max="13946" width="2.8984375" style="1188" bestFit="1" customWidth="1"/>
    <col min="13947" max="13948" width="2.3984375" style="1188"/>
    <col min="13949" max="13949" width="4.19921875" style="1188" bestFit="1" customWidth="1"/>
    <col min="13950" max="13950" width="2.3984375" style="1188"/>
    <col min="13951" max="13951" width="4.19921875" style="1188" bestFit="1" customWidth="1"/>
    <col min="13952" max="13953" width="2.3984375" style="1188"/>
    <col min="13954" max="13954" width="4.19921875" style="1188" bestFit="1" customWidth="1"/>
    <col min="13955" max="13955" width="2.3984375" style="1188"/>
    <col min="13956" max="13956" width="4.19921875" style="1188" bestFit="1" customWidth="1"/>
    <col min="13957" max="13959" width="2.3984375" style="1188"/>
    <col min="13960" max="13962" width="2.8984375" style="1188" bestFit="1" customWidth="1"/>
    <col min="13963" max="13964" width="2.3984375" style="1188"/>
    <col min="13965" max="13965" width="4.19921875" style="1188" bestFit="1" customWidth="1"/>
    <col min="13966" max="13966" width="2.3984375" style="1188"/>
    <col min="13967" max="13967" width="4.19921875" style="1188" bestFit="1" customWidth="1"/>
    <col min="13968" max="13969" width="2.3984375" style="1188"/>
    <col min="13970" max="13970" width="4.19921875" style="1188" bestFit="1" customWidth="1"/>
    <col min="13971" max="13971" width="2.3984375" style="1188"/>
    <col min="13972" max="13972" width="4.19921875" style="1188" bestFit="1" customWidth="1"/>
    <col min="13973" max="13975" width="2.3984375" style="1188"/>
    <col min="13976" max="13978" width="2.8984375" style="1188" bestFit="1" customWidth="1"/>
    <col min="13979" max="13980" width="2.3984375" style="1188"/>
    <col min="13981" max="13981" width="4.19921875" style="1188" bestFit="1" customWidth="1"/>
    <col min="13982" max="13982" width="2.3984375" style="1188"/>
    <col min="13983" max="13983" width="4.19921875" style="1188" bestFit="1" customWidth="1"/>
    <col min="13984" max="13985" width="2.3984375" style="1188"/>
    <col min="13986" max="13986" width="4.19921875" style="1188" bestFit="1" customWidth="1"/>
    <col min="13987" max="13987" width="2.3984375" style="1188"/>
    <col min="13988" max="13988" width="4.19921875" style="1188" bestFit="1" customWidth="1"/>
    <col min="13989" max="13991" width="2.3984375" style="1188"/>
    <col min="13992" max="13994" width="2.8984375" style="1188" bestFit="1" customWidth="1"/>
    <col min="13995" max="13996" width="2.3984375" style="1188"/>
    <col min="13997" max="13997" width="4.19921875" style="1188" bestFit="1" customWidth="1"/>
    <col min="13998" max="13998" width="2.3984375" style="1188"/>
    <col min="13999" max="13999" width="4.19921875" style="1188" bestFit="1" customWidth="1"/>
    <col min="14000" max="14001" width="2.3984375" style="1188"/>
    <col min="14002" max="14002" width="4.19921875" style="1188" bestFit="1" customWidth="1"/>
    <col min="14003" max="14003" width="2.3984375" style="1188"/>
    <col min="14004" max="14004" width="4.19921875" style="1188" bestFit="1" customWidth="1"/>
    <col min="14005" max="14007" width="2.3984375" style="1188"/>
    <col min="14008" max="14010" width="2.8984375" style="1188" bestFit="1" customWidth="1"/>
    <col min="14011" max="14012" width="2.3984375" style="1188"/>
    <col min="14013" max="14013" width="4.19921875" style="1188" bestFit="1" customWidth="1"/>
    <col min="14014" max="14014" width="2.3984375" style="1188"/>
    <col min="14015" max="14015" width="4.19921875" style="1188" bestFit="1" customWidth="1"/>
    <col min="14016" max="14017" width="2.3984375" style="1188"/>
    <col min="14018" max="14018" width="4.19921875" style="1188" bestFit="1" customWidth="1"/>
    <col min="14019" max="14019" width="2.3984375" style="1188"/>
    <col min="14020" max="14020" width="4.19921875" style="1188" bestFit="1" customWidth="1"/>
    <col min="14021" max="14023" width="2.3984375" style="1188"/>
    <col min="14024" max="14026" width="2.8984375" style="1188" bestFit="1" customWidth="1"/>
    <col min="14027" max="14028" width="2.3984375" style="1188"/>
    <col min="14029" max="14029" width="4.19921875" style="1188" bestFit="1" customWidth="1"/>
    <col min="14030" max="14030" width="2.3984375" style="1188"/>
    <col min="14031" max="14031" width="4.19921875" style="1188" bestFit="1" customWidth="1"/>
    <col min="14032" max="14033" width="2.3984375" style="1188"/>
    <col min="14034" max="14034" width="4.19921875" style="1188" bestFit="1" customWidth="1"/>
    <col min="14035" max="14035" width="2.3984375" style="1188"/>
    <col min="14036" max="14036" width="4.19921875" style="1188" bestFit="1" customWidth="1"/>
    <col min="14037" max="14039" width="2.3984375" style="1188"/>
    <col min="14040" max="14042" width="2.8984375" style="1188" bestFit="1" customWidth="1"/>
    <col min="14043" max="14044" width="2.3984375" style="1188"/>
    <col min="14045" max="14045" width="4.19921875" style="1188" bestFit="1" customWidth="1"/>
    <col min="14046" max="14046" width="2.3984375" style="1188"/>
    <col min="14047" max="14047" width="4.19921875" style="1188" bestFit="1" customWidth="1"/>
    <col min="14048" max="14049" width="2.3984375" style="1188"/>
    <col min="14050" max="14050" width="4.19921875" style="1188" bestFit="1" customWidth="1"/>
    <col min="14051" max="14051" width="2.3984375" style="1188"/>
    <col min="14052" max="14052" width="4.19921875" style="1188" bestFit="1" customWidth="1"/>
    <col min="14053" max="14055" width="2.3984375" style="1188"/>
    <col min="14056" max="14058" width="2.8984375" style="1188" bestFit="1" customWidth="1"/>
    <col min="14059" max="14060" width="2.3984375" style="1188"/>
    <col min="14061" max="14061" width="4.19921875" style="1188" bestFit="1" customWidth="1"/>
    <col min="14062" max="14062" width="2.3984375" style="1188"/>
    <col min="14063" max="14063" width="4.19921875" style="1188" bestFit="1" customWidth="1"/>
    <col min="14064" max="14065" width="2.3984375" style="1188"/>
    <col min="14066" max="14066" width="4.19921875" style="1188" bestFit="1" customWidth="1"/>
    <col min="14067" max="14067" width="2.3984375" style="1188"/>
    <col min="14068" max="14068" width="4.19921875" style="1188" bestFit="1" customWidth="1"/>
    <col min="14069" max="14071" width="2.3984375" style="1188"/>
    <col min="14072" max="14074" width="2.8984375" style="1188" bestFit="1" customWidth="1"/>
    <col min="14075" max="14076" width="2.3984375" style="1188"/>
    <col min="14077" max="14077" width="4.19921875" style="1188" bestFit="1" customWidth="1"/>
    <col min="14078" max="14078" width="2.3984375" style="1188"/>
    <col min="14079" max="14079" width="4.19921875" style="1188" bestFit="1" customWidth="1"/>
    <col min="14080" max="14081" width="2.3984375" style="1188"/>
    <col min="14082" max="14082" width="4.19921875" style="1188" bestFit="1" customWidth="1"/>
    <col min="14083" max="14083" width="2.3984375" style="1188"/>
    <col min="14084" max="14084" width="4.19921875" style="1188" bestFit="1" customWidth="1"/>
    <col min="14085" max="14087" width="2.3984375" style="1188"/>
    <col min="14088" max="14090" width="2.8984375" style="1188" bestFit="1" customWidth="1"/>
    <col min="14091" max="14092" width="2.3984375" style="1188"/>
    <col min="14093" max="14093" width="4.19921875" style="1188" bestFit="1" customWidth="1"/>
    <col min="14094" max="14094" width="2.3984375" style="1188"/>
    <col min="14095" max="14095" width="4.19921875" style="1188" bestFit="1" customWidth="1"/>
    <col min="14096" max="14097" width="2.3984375" style="1188"/>
    <col min="14098" max="14098" width="4.19921875" style="1188" bestFit="1" customWidth="1"/>
    <col min="14099" max="14099" width="2.3984375" style="1188"/>
    <col min="14100" max="14100" width="4.19921875" style="1188" bestFit="1" customWidth="1"/>
    <col min="14101" max="14103" width="2.3984375" style="1188"/>
    <col min="14104" max="14106" width="2.8984375" style="1188" bestFit="1" customWidth="1"/>
    <col min="14107" max="14108" width="2.3984375" style="1188"/>
    <col min="14109" max="14109" width="4.19921875" style="1188" bestFit="1" customWidth="1"/>
    <col min="14110" max="14110" width="2.3984375" style="1188"/>
    <col min="14111" max="14111" width="4.19921875" style="1188" bestFit="1" customWidth="1"/>
    <col min="14112" max="14113" width="2.3984375" style="1188"/>
    <col min="14114" max="14114" width="4.19921875" style="1188" bestFit="1" customWidth="1"/>
    <col min="14115" max="14115" width="2.3984375" style="1188"/>
    <col min="14116" max="14116" width="4.19921875" style="1188" bestFit="1" customWidth="1"/>
    <col min="14117" max="14119" width="2.3984375" style="1188"/>
    <col min="14120" max="14122" width="2.8984375" style="1188" bestFit="1" customWidth="1"/>
    <col min="14123" max="14124" width="2.3984375" style="1188"/>
    <col min="14125" max="14125" width="4.19921875" style="1188" bestFit="1" customWidth="1"/>
    <col min="14126" max="14126" width="2.3984375" style="1188"/>
    <col min="14127" max="14127" width="4.19921875" style="1188" bestFit="1" customWidth="1"/>
    <col min="14128" max="14129" width="2.3984375" style="1188"/>
    <col min="14130" max="14130" width="4.19921875" style="1188" bestFit="1" customWidth="1"/>
    <col min="14131" max="14131" width="2.3984375" style="1188"/>
    <col min="14132" max="14132" width="4.19921875" style="1188" bestFit="1" customWidth="1"/>
    <col min="14133" max="14135" width="2.3984375" style="1188"/>
    <col min="14136" max="14138" width="2.8984375" style="1188" bestFit="1" customWidth="1"/>
    <col min="14139" max="14140" width="2.3984375" style="1188"/>
    <col min="14141" max="14141" width="4.19921875" style="1188" bestFit="1" customWidth="1"/>
    <col min="14142" max="14142" width="2.3984375" style="1188"/>
    <col min="14143" max="14143" width="4.19921875" style="1188" bestFit="1" customWidth="1"/>
    <col min="14144" max="14145" width="2.3984375" style="1188"/>
    <col min="14146" max="14146" width="4.19921875" style="1188" bestFit="1" customWidth="1"/>
    <col min="14147" max="14147" width="2.3984375" style="1188"/>
    <col min="14148" max="14148" width="4.19921875" style="1188" bestFit="1" customWidth="1"/>
    <col min="14149" max="14151" width="2.3984375" style="1188"/>
    <col min="14152" max="14154" width="2.8984375" style="1188" bestFit="1" customWidth="1"/>
    <col min="14155" max="14156" width="2.3984375" style="1188"/>
    <col min="14157" max="14157" width="4.19921875" style="1188" bestFit="1" customWidth="1"/>
    <col min="14158" max="14158" width="2.3984375" style="1188"/>
    <col min="14159" max="14159" width="4.19921875" style="1188" bestFit="1" customWidth="1"/>
    <col min="14160" max="14161" width="2.3984375" style="1188"/>
    <col min="14162" max="14162" width="4.19921875" style="1188" bestFit="1" customWidth="1"/>
    <col min="14163" max="14163" width="2.3984375" style="1188"/>
    <col min="14164" max="14164" width="4.19921875" style="1188" bestFit="1" customWidth="1"/>
    <col min="14165" max="14167" width="2.3984375" style="1188"/>
    <col min="14168" max="14170" width="2.8984375" style="1188" bestFit="1" customWidth="1"/>
    <col min="14171" max="14172" width="2.3984375" style="1188"/>
    <col min="14173" max="14173" width="4.19921875" style="1188" bestFit="1" customWidth="1"/>
    <col min="14174" max="14174" width="2.3984375" style="1188"/>
    <col min="14175" max="14175" width="4.19921875" style="1188" bestFit="1" customWidth="1"/>
    <col min="14176" max="14177" width="2.3984375" style="1188"/>
    <col min="14178" max="14178" width="4.19921875" style="1188" bestFit="1" customWidth="1"/>
    <col min="14179" max="14179" width="2.3984375" style="1188"/>
    <col min="14180" max="14180" width="4.19921875" style="1188" bestFit="1" customWidth="1"/>
    <col min="14181" max="14183" width="2.3984375" style="1188"/>
    <col min="14184" max="14186" width="2.8984375" style="1188" bestFit="1" customWidth="1"/>
    <col min="14187" max="14188" width="2.3984375" style="1188"/>
    <col min="14189" max="14189" width="4.19921875" style="1188" bestFit="1" customWidth="1"/>
    <col min="14190" max="14190" width="2.3984375" style="1188"/>
    <col min="14191" max="14191" width="4.19921875" style="1188" bestFit="1" customWidth="1"/>
    <col min="14192" max="14193" width="2.3984375" style="1188"/>
    <col min="14194" max="14194" width="4.19921875" style="1188" bestFit="1" customWidth="1"/>
    <col min="14195" max="14195" width="2.3984375" style="1188"/>
    <col min="14196" max="14196" width="4.19921875" style="1188" bestFit="1" customWidth="1"/>
    <col min="14197" max="14199" width="2.3984375" style="1188"/>
    <col min="14200" max="14202" width="2.8984375" style="1188" bestFit="1" customWidth="1"/>
    <col min="14203" max="14204" width="2.3984375" style="1188"/>
    <col min="14205" max="14205" width="4.19921875" style="1188" bestFit="1" customWidth="1"/>
    <col min="14206" max="14206" width="2.3984375" style="1188"/>
    <col min="14207" max="14207" width="4.19921875" style="1188" bestFit="1" customWidth="1"/>
    <col min="14208" max="14209" width="2.3984375" style="1188"/>
    <col min="14210" max="14210" width="4.19921875" style="1188" bestFit="1" customWidth="1"/>
    <col min="14211" max="14211" width="2.3984375" style="1188"/>
    <col min="14212" max="14212" width="4.19921875" style="1188" bestFit="1" customWidth="1"/>
    <col min="14213" max="14215" width="2.3984375" style="1188"/>
    <col min="14216" max="14218" width="2.8984375" style="1188" bestFit="1" customWidth="1"/>
    <col min="14219" max="14220" width="2.3984375" style="1188"/>
    <col min="14221" max="14221" width="4.19921875" style="1188" bestFit="1" customWidth="1"/>
    <col min="14222" max="14222" width="2.3984375" style="1188"/>
    <col min="14223" max="14223" width="4.19921875" style="1188" bestFit="1" customWidth="1"/>
    <col min="14224" max="14225" width="2.3984375" style="1188"/>
    <col min="14226" max="14226" width="4.19921875" style="1188" bestFit="1" customWidth="1"/>
    <col min="14227" max="14227" width="2.3984375" style="1188"/>
    <col min="14228" max="14228" width="4.19921875" style="1188" bestFit="1" customWidth="1"/>
    <col min="14229" max="14231" width="2.3984375" style="1188"/>
    <col min="14232" max="14234" width="2.8984375" style="1188" bestFit="1" customWidth="1"/>
    <col min="14235" max="14236" width="2.3984375" style="1188"/>
    <col min="14237" max="14237" width="4.19921875" style="1188" bestFit="1" customWidth="1"/>
    <col min="14238" max="14238" width="2.3984375" style="1188"/>
    <col min="14239" max="14239" width="4.19921875" style="1188" bestFit="1" customWidth="1"/>
    <col min="14240" max="14241" width="2.3984375" style="1188"/>
    <col min="14242" max="14242" width="4.19921875" style="1188" bestFit="1" customWidth="1"/>
    <col min="14243" max="14243" width="2.3984375" style="1188"/>
    <col min="14244" max="14244" width="4.19921875" style="1188" bestFit="1" customWidth="1"/>
    <col min="14245" max="14247" width="2.3984375" style="1188"/>
    <col min="14248" max="14250" width="2.8984375" style="1188" bestFit="1" customWidth="1"/>
    <col min="14251" max="14252" width="2.3984375" style="1188"/>
    <col min="14253" max="14253" width="4.19921875" style="1188" bestFit="1" customWidth="1"/>
    <col min="14254" max="14254" width="2.3984375" style="1188"/>
    <col min="14255" max="14255" width="4.19921875" style="1188" bestFit="1" customWidth="1"/>
    <col min="14256" max="14257" width="2.3984375" style="1188"/>
    <col min="14258" max="14258" width="4.19921875" style="1188" bestFit="1" customWidth="1"/>
    <col min="14259" max="14259" width="2.3984375" style="1188"/>
    <col min="14260" max="14260" width="4.19921875" style="1188" bestFit="1" customWidth="1"/>
    <col min="14261" max="14263" width="2.3984375" style="1188"/>
    <col min="14264" max="14266" width="2.8984375" style="1188" bestFit="1" customWidth="1"/>
    <col min="14267" max="14268" width="2.3984375" style="1188"/>
    <col min="14269" max="14269" width="4.19921875" style="1188" bestFit="1" customWidth="1"/>
    <col min="14270" max="14270" width="2.3984375" style="1188"/>
    <col min="14271" max="14271" width="4.19921875" style="1188" bestFit="1" customWidth="1"/>
    <col min="14272" max="14273" width="2.3984375" style="1188"/>
    <col min="14274" max="14274" width="4.19921875" style="1188" bestFit="1" customWidth="1"/>
    <col min="14275" max="14275" width="2.3984375" style="1188"/>
    <col min="14276" max="14276" width="4.19921875" style="1188" bestFit="1" customWidth="1"/>
    <col min="14277" max="14279" width="2.3984375" style="1188"/>
    <col min="14280" max="14282" width="2.8984375" style="1188" bestFit="1" customWidth="1"/>
    <col min="14283" max="14284" width="2.3984375" style="1188"/>
    <col min="14285" max="14285" width="4.19921875" style="1188" bestFit="1" customWidth="1"/>
    <col min="14286" max="14286" width="2.3984375" style="1188"/>
    <col min="14287" max="14287" width="4.19921875" style="1188" bestFit="1" customWidth="1"/>
    <col min="14288" max="14289" width="2.3984375" style="1188"/>
    <col min="14290" max="14290" width="4.19921875" style="1188" bestFit="1" customWidth="1"/>
    <col min="14291" max="14291" width="2.3984375" style="1188"/>
    <col min="14292" max="14292" width="4.19921875" style="1188" bestFit="1" customWidth="1"/>
    <col min="14293" max="14295" width="2.3984375" style="1188"/>
    <col min="14296" max="14298" width="2.8984375" style="1188" bestFit="1" customWidth="1"/>
    <col min="14299" max="14300" width="2.3984375" style="1188"/>
    <col min="14301" max="14301" width="4.19921875" style="1188" bestFit="1" customWidth="1"/>
    <col min="14302" max="14302" width="2.3984375" style="1188"/>
    <col min="14303" max="14303" width="4.19921875" style="1188" bestFit="1" customWidth="1"/>
    <col min="14304" max="14305" width="2.3984375" style="1188"/>
    <col min="14306" max="14306" width="4.19921875" style="1188" bestFit="1" customWidth="1"/>
    <col min="14307" max="14307" width="2.3984375" style="1188"/>
    <col min="14308" max="14308" width="4.19921875" style="1188" bestFit="1" customWidth="1"/>
    <col min="14309" max="14311" width="2.3984375" style="1188"/>
    <col min="14312" max="14314" width="2.8984375" style="1188" bestFit="1" customWidth="1"/>
    <col min="14315" max="14316" width="2.3984375" style="1188"/>
    <col min="14317" max="14317" width="4.19921875" style="1188" bestFit="1" customWidth="1"/>
    <col min="14318" max="14318" width="2.3984375" style="1188"/>
    <col min="14319" max="14319" width="4.19921875" style="1188" bestFit="1" customWidth="1"/>
    <col min="14320" max="14321" width="2.3984375" style="1188"/>
    <col min="14322" max="14322" width="4.19921875" style="1188" bestFit="1" customWidth="1"/>
    <col min="14323" max="14323" width="2.3984375" style="1188"/>
    <col min="14324" max="14324" width="4.19921875" style="1188" bestFit="1" customWidth="1"/>
    <col min="14325" max="14327" width="2.3984375" style="1188"/>
    <col min="14328" max="14330" width="2.8984375" style="1188" bestFit="1" customWidth="1"/>
    <col min="14331" max="14332" width="2.3984375" style="1188"/>
    <col min="14333" max="14333" width="4.19921875" style="1188" bestFit="1" customWidth="1"/>
    <col min="14334" max="14334" width="2.3984375" style="1188"/>
    <col min="14335" max="14335" width="4.19921875" style="1188" bestFit="1" customWidth="1"/>
    <col min="14336" max="14337" width="2.3984375" style="1188"/>
    <col min="14338" max="14338" width="4.19921875" style="1188" bestFit="1" customWidth="1"/>
    <col min="14339" max="14339" width="2.3984375" style="1188"/>
    <col min="14340" max="14340" width="4.19921875" style="1188" bestFit="1" customWidth="1"/>
    <col min="14341" max="14343" width="2.3984375" style="1188"/>
    <col min="14344" max="14346" width="2.8984375" style="1188" bestFit="1" customWidth="1"/>
    <col min="14347" max="14348" width="2.3984375" style="1188"/>
    <col min="14349" max="14349" width="4.19921875" style="1188" bestFit="1" customWidth="1"/>
    <col min="14350" max="14350" width="2.3984375" style="1188"/>
    <col min="14351" max="14351" width="4.19921875" style="1188" bestFit="1" customWidth="1"/>
    <col min="14352" max="14353" width="2.3984375" style="1188"/>
    <col min="14354" max="14354" width="4.19921875" style="1188" bestFit="1" customWidth="1"/>
    <col min="14355" max="14355" width="2.3984375" style="1188"/>
    <col min="14356" max="14356" width="4.19921875" style="1188" bestFit="1" customWidth="1"/>
    <col min="14357" max="14359" width="2.3984375" style="1188"/>
    <col min="14360" max="14362" width="2.8984375" style="1188" bestFit="1" customWidth="1"/>
    <col min="14363" max="14364" width="2.3984375" style="1188"/>
    <col min="14365" max="14365" width="4.19921875" style="1188" bestFit="1" customWidth="1"/>
    <col min="14366" max="14366" width="2.3984375" style="1188"/>
    <col min="14367" max="14367" width="4.19921875" style="1188" bestFit="1" customWidth="1"/>
    <col min="14368" max="14369" width="2.3984375" style="1188"/>
    <col min="14370" max="14370" width="4.19921875" style="1188" bestFit="1" customWidth="1"/>
    <col min="14371" max="14371" width="2.3984375" style="1188"/>
    <col min="14372" max="14372" width="4.19921875" style="1188" bestFit="1" customWidth="1"/>
    <col min="14373" max="14375" width="2.3984375" style="1188"/>
    <col min="14376" max="14378" width="2.8984375" style="1188" bestFit="1" customWidth="1"/>
    <col min="14379" max="14380" width="2.3984375" style="1188"/>
    <col min="14381" max="14381" width="4.19921875" style="1188" bestFit="1" customWidth="1"/>
    <col min="14382" max="14382" width="2.3984375" style="1188"/>
    <col min="14383" max="14383" width="4.19921875" style="1188" bestFit="1" customWidth="1"/>
    <col min="14384" max="14385" width="2.3984375" style="1188"/>
    <col min="14386" max="14386" width="4.19921875" style="1188" bestFit="1" customWidth="1"/>
    <col min="14387" max="14387" width="2.3984375" style="1188"/>
    <col min="14388" max="14388" width="4.19921875" style="1188" bestFit="1" customWidth="1"/>
    <col min="14389" max="14391" width="2.3984375" style="1188"/>
    <col min="14392" max="14394" width="2.8984375" style="1188" bestFit="1" customWidth="1"/>
    <col min="14395" max="14396" width="2.3984375" style="1188"/>
    <col min="14397" max="14397" width="4.19921875" style="1188" bestFit="1" customWidth="1"/>
    <col min="14398" max="14398" width="2.3984375" style="1188"/>
    <col min="14399" max="14399" width="4.19921875" style="1188" bestFit="1" customWidth="1"/>
    <col min="14400" max="14401" width="2.3984375" style="1188"/>
    <col min="14402" max="14402" width="4.19921875" style="1188" bestFit="1" customWidth="1"/>
    <col min="14403" max="14403" width="2.3984375" style="1188"/>
    <col min="14404" max="14404" width="4.19921875" style="1188" bestFit="1" customWidth="1"/>
    <col min="14405" max="14407" width="2.3984375" style="1188"/>
    <col min="14408" max="14410" width="2.8984375" style="1188" bestFit="1" customWidth="1"/>
    <col min="14411" max="14412" width="2.3984375" style="1188"/>
    <col min="14413" max="14413" width="4.19921875" style="1188" bestFit="1" customWidth="1"/>
    <col min="14414" max="14414" width="2.3984375" style="1188"/>
    <col min="14415" max="14415" width="4.19921875" style="1188" bestFit="1" customWidth="1"/>
    <col min="14416" max="14417" width="2.3984375" style="1188"/>
    <col min="14418" max="14418" width="4.19921875" style="1188" bestFit="1" customWidth="1"/>
    <col min="14419" max="14419" width="2.3984375" style="1188"/>
    <col min="14420" max="14420" width="4.19921875" style="1188" bestFit="1" customWidth="1"/>
    <col min="14421" max="14423" width="2.3984375" style="1188"/>
    <col min="14424" max="14426" width="2.8984375" style="1188" bestFit="1" customWidth="1"/>
    <col min="14427" max="14428" width="2.3984375" style="1188"/>
    <col min="14429" max="14429" width="4.19921875" style="1188" bestFit="1" customWidth="1"/>
    <col min="14430" max="14430" width="2.3984375" style="1188"/>
    <col min="14431" max="14431" width="4.19921875" style="1188" bestFit="1" customWidth="1"/>
    <col min="14432" max="14433" width="2.3984375" style="1188"/>
    <col min="14434" max="14434" width="4.19921875" style="1188" bestFit="1" customWidth="1"/>
    <col min="14435" max="14435" width="2.3984375" style="1188"/>
    <col min="14436" max="14436" width="4.19921875" style="1188" bestFit="1" customWidth="1"/>
    <col min="14437" max="14439" width="2.3984375" style="1188"/>
    <col min="14440" max="14442" width="2.8984375" style="1188" bestFit="1" customWidth="1"/>
    <col min="14443" max="14444" width="2.3984375" style="1188"/>
    <col min="14445" max="14445" width="4.19921875" style="1188" bestFit="1" customWidth="1"/>
    <col min="14446" max="14446" width="2.3984375" style="1188"/>
    <col min="14447" max="14447" width="4.19921875" style="1188" bestFit="1" customWidth="1"/>
    <col min="14448" max="14449" width="2.3984375" style="1188"/>
    <col min="14450" max="14450" width="4.19921875" style="1188" bestFit="1" customWidth="1"/>
    <col min="14451" max="14451" width="2.3984375" style="1188"/>
    <col min="14452" max="14452" width="4.19921875" style="1188" bestFit="1" customWidth="1"/>
    <col min="14453" max="14455" width="2.3984375" style="1188"/>
    <col min="14456" max="14458" width="2.8984375" style="1188" bestFit="1" customWidth="1"/>
    <col min="14459" max="14460" width="2.3984375" style="1188"/>
    <col min="14461" max="14461" width="4.19921875" style="1188" bestFit="1" customWidth="1"/>
    <col min="14462" max="14462" width="2.3984375" style="1188"/>
    <col min="14463" max="14463" width="4.19921875" style="1188" bestFit="1" customWidth="1"/>
    <col min="14464" max="14465" width="2.3984375" style="1188"/>
    <col min="14466" max="14466" width="4.19921875" style="1188" bestFit="1" customWidth="1"/>
    <col min="14467" max="14467" width="2.3984375" style="1188"/>
    <col min="14468" max="14468" width="4.19921875" style="1188" bestFit="1" customWidth="1"/>
    <col min="14469" max="14471" width="2.3984375" style="1188"/>
    <col min="14472" max="14474" width="2.8984375" style="1188" bestFit="1" customWidth="1"/>
    <col min="14475" max="14476" width="2.3984375" style="1188"/>
    <col min="14477" max="14477" width="4.19921875" style="1188" bestFit="1" customWidth="1"/>
    <col min="14478" max="14478" width="2.3984375" style="1188"/>
    <col min="14479" max="14479" width="4.19921875" style="1188" bestFit="1" customWidth="1"/>
    <col min="14480" max="14481" width="2.3984375" style="1188"/>
    <col min="14482" max="14482" width="4.19921875" style="1188" bestFit="1" customWidth="1"/>
    <col min="14483" max="14483" width="2.3984375" style="1188"/>
    <col min="14484" max="14484" width="4.19921875" style="1188" bestFit="1" customWidth="1"/>
    <col min="14485" max="14487" width="2.3984375" style="1188"/>
    <col min="14488" max="14490" width="2.8984375" style="1188" bestFit="1" customWidth="1"/>
    <col min="14491" max="14492" width="2.3984375" style="1188"/>
    <col min="14493" max="14493" width="4.19921875" style="1188" bestFit="1" customWidth="1"/>
    <col min="14494" max="14494" width="2.3984375" style="1188"/>
    <col min="14495" max="14495" width="4.19921875" style="1188" bestFit="1" customWidth="1"/>
    <col min="14496" max="14497" width="2.3984375" style="1188"/>
    <col min="14498" max="14498" width="4.19921875" style="1188" bestFit="1" customWidth="1"/>
    <col min="14499" max="14499" width="2.3984375" style="1188"/>
    <col min="14500" max="14500" width="4.19921875" style="1188" bestFit="1" customWidth="1"/>
    <col min="14501" max="14503" width="2.3984375" style="1188"/>
    <col min="14504" max="14506" width="2.8984375" style="1188" bestFit="1" customWidth="1"/>
    <col min="14507" max="14508" width="2.3984375" style="1188"/>
    <col min="14509" max="14509" width="4.19921875" style="1188" bestFit="1" customWidth="1"/>
    <col min="14510" max="14510" width="2.3984375" style="1188"/>
    <col min="14511" max="14511" width="4.19921875" style="1188" bestFit="1" customWidth="1"/>
    <col min="14512" max="14513" width="2.3984375" style="1188"/>
    <col min="14514" max="14514" width="4.19921875" style="1188" bestFit="1" customWidth="1"/>
    <col min="14515" max="14515" width="2.3984375" style="1188"/>
    <col min="14516" max="14516" width="4.19921875" style="1188" bestFit="1" customWidth="1"/>
    <col min="14517" max="14519" width="2.3984375" style="1188"/>
    <col min="14520" max="14522" width="2.8984375" style="1188" bestFit="1" customWidth="1"/>
    <col min="14523" max="14524" width="2.3984375" style="1188"/>
    <col min="14525" max="14525" width="4.19921875" style="1188" bestFit="1" customWidth="1"/>
    <col min="14526" max="14526" width="2.3984375" style="1188"/>
    <col min="14527" max="14527" width="4.19921875" style="1188" bestFit="1" customWidth="1"/>
    <col min="14528" max="14529" width="2.3984375" style="1188"/>
    <col min="14530" max="14530" width="4.19921875" style="1188" bestFit="1" customWidth="1"/>
    <col min="14531" max="14531" width="2.3984375" style="1188"/>
    <col min="14532" max="14532" width="4.19921875" style="1188" bestFit="1" customWidth="1"/>
    <col min="14533" max="14535" width="2.3984375" style="1188"/>
    <col min="14536" max="14538" width="2.8984375" style="1188" bestFit="1" customWidth="1"/>
    <col min="14539" max="14540" width="2.3984375" style="1188"/>
    <col min="14541" max="14541" width="4.19921875" style="1188" bestFit="1" customWidth="1"/>
    <col min="14542" max="14542" width="2.3984375" style="1188"/>
    <col min="14543" max="14543" width="4.19921875" style="1188" bestFit="1" customWidth="1"/>
    <col min="14544" max="14545" width="2.3984375" style="1188"/>
    <col min="14546" max="14546" width="4.19921875" style="1188" bestFit="1" customWidth="1"/>
    <col min="14547" max="14547" width="2.3984375" style="1188"/>
    <col min="14548" max="14548" width="4.19921875" style="1188" bestFit="1" customWidth="1"/>
    <col min="14549" max="14551" width="2.3984375" style="1188"/>
    <col min="14552" max="14554" width="2.8984375" style="1188" bestFit="1" customWidth="1"/>
    <col min="14555" max="14556" width="2.3984375" style="1188"/>
    <col min="14557" max="14557" width="4.19921875" style="1188" bestFit="1" customWidth="1"/>
    <col min="14558" max="14558" width="2.3984375" style="1188"/>
    <col min="14559" max="14559" width="4.19921875" style="1188" bestFit="1" customWidth="1"/>
    <col min="14560" max="14561" width="2.3984375" style="1188"/>
    <col min="14562" max="14562" width="4.19921875" style="1188" bestFit="1" customWidth="1"/>
    <col min="14563" max="14563" width="2.3984375" style="1188"/>
    <col min="14564" max="14564" width="4.19921875" style="1188" bestFit="1" customWidth="1"/>
    <col min="14565" max="14567" width="2.3984375" style="1188"/>
    <col min="14568" max="14570" width="2.8984375" style="1188" bestFit="1" customWidth="1"/>
    <col min="14571" max="14572" width="2.3984375" style="1188"/>
    <col min="14573" max="14573" width="4.19921875" style="1188" bestFit="1" customWidth="1"/>
    <col min="14574" max="14574" width="2.3984375" style="1188"/>
    <col min="14575" max="14575" width="4.19921875" style="1188" bestFit="1" customWidth="1"/>
    <col min="14576" max="14577" width="2.3984375" style="1188"/>
    <col min="14578" max="14578" width="4.19921875" style="1188" bestFit="1" customWidth="1"/>
    <col min="14579" max="14579" width="2.3984375" style="1188"/>
    <col min="14580" max="14580" width="4.19921875" style="1188" bestFit="1" customWidth="1"/>
    <col min="14581" max="14583" width="2.3984375" style="1188"/>
    <col min="14584" max="14586" width="2.8984375" style="1188" bestFit="1" customWidth="1"/>
    <col min="14587" max="14588" width="2.3984375" style="1188"/>
    <col min="14589" max="14589" width="4.19921875" style="1188" bestFit="1" customWidth="1"/>
    <col min="14590" max="14590" width="2.3984375" style="1188"/>
    <col min="14591" max="14591" width="4.19921875" style="1188" bestFit="1" customWidth="1"/>
    <col min="14592" max="14593" width="2.3984375" style="1188"/>
    <col min="14594" max="14594" width="4.19921875" style="1188" bestFit="1" customWidth="1"/>
    <col min="14595" max="14595" width="2.3984375" style="1188"/>
    <col min="14596" max="14596" width="4.19921875" style="1188" bestFit="1" customWidth="1"/>
    <col min="14597" max="14599" width="2.3984375" style="1188"/>
    <col min="14600" max="14602" width="2.8984375" style="1188" bestFit="1" customWidth="1"/>
    <col min="14603" max="14604" width="2.3984375" style="1188"/>
    <col min="14605" max="14605" width="4.19921875" style="1188" bestFit="1" customWidth="1"/>
    <col min="14606" max="14606" width="2.3984375" style="1188"/>
    <col min="14607" max="14607" width="4.19921875" style="1188" bestFit="1" customWidth="1"/>
    <col min="14608" max="14609" width="2.3984375" style="1188"/>
    <col min="14610" max="14610" width="4.19921875" style="1188" bestFit="1" customWidth="1"/>
    <col min="14611" max="14611" width="2.3984375" style="1188"/>
    <col min="14612" max="14612" width="4.19921875" style="1188" bestFit="1" customWidth="1"/>
    <col min="14613" max="14615" width="2.3984375" style="1188"/>
    <col min="14616" max="14618" width="2.8984375" style="1188" bestFit="1" customWidth="1"/>
    <col min="14619" max="14620" width="2.3984375" style="1188"/>
    <col min="14621" max="14621" width="4.19921875" style="1188" bestFit="1" customWidth="1"/>
    <col min="14622" max="14622" width="2.3984375" style="1188"/>
    <col min="14623" max="14623" width="4.19921875" style="1188" bestFit="1" customWidth="1"/>
    <col min="14624" max="14625" width="2.3984375" style="1188"/>
    <col min="14626" max="14626" width="4.19921875" style="1188" bestFit="1" customWidth="1"/>
    <col min="14627" max="14627" width="2.3984375" style="1188"/>
    <col min="14628" max="14628" width="4.19921875" style="1188" bestFit="1" customWidth="1"/>
    <col min="14629" max="14631" width="2.3984375" style="1188"/>
    <col min="14632" max="14634" width="2.8984375" style="1188" bestFit="1" customWidth="1"/>
    <col min="14635" max="14636" width="2.3984375" style="1188"/>
    <col min="14637" max="14637" width="4.19921875" style="1188" bestFit="1" customWidth="1"/>
    <col min="14638" max="14638" width="2.3984375" style="1188"/>
    <col min="14639" max="14639" width="4.19921875" style="1188" bestFit="1" customWidth="1"/>
    <col min="14640" max="14641" width="2.3984375" style="1188"/>
    <col min="14642" max="14642" width="4.19921875" style="1188" bestFit="1" customWidth="1"/>
    <col min="14643" max="14643" width="2.3984375" style="1188"/>
    <col min="14644" max="14644" width="4.19921875" style="1188" bestFit="1" customWidth="1"/>
    <col min="14645" max="14647" width="2.3984375" style="1188"/>
    <col min="14648" max="14650" width="2.8984375" style="1188" bestFit="1" customWidth="1"/>
    <col min="14651" max="14652" width="2.3984375" style="1188"/>
    <col min="14653" max="14653" width="4.19921875" style="1188" bestFit="1" customWidth="1"/>
    <col min="14654" max="14654" width="2.3984375" style="1188"/>
    <col min="14655" max="14655" width="4.19921875" style="1188" bestFit="1" customWidth="1"/>
    <col min="14656" max="14657" width="2.3984375" style="1188"/>
    <col min="14658" max="14658" width="4.19921875" style="1188" bestFit="1" customWidth="1"/>
    <col min="14659" max="14659" width="2.3984375" style="1188"/>
    <col min="14660" max="14660" width="4.19921875" style="1188" bestFit="1" customWidth="1"/>
    <col min="14661" max="14663" width="2.3984375" style="1188"/>
    <col min="14664" max="14666" width="2.8984375" style="1188" bestFit="1" customWidth="1"/>
    <col min="14667" max="14668" width="2.3984375" style="1188"/>
    <col min="14669" max="14669" width="4.19921875" style="1188" bestFit="1" customWidth="1"/>
    <col min="14670" max="14670" width="2.3984375" style="1188"/>
    <col min="14671" max="14671" width="4.19921875" style="1188" bestFit="1" customWidth="1"/>
    <col min="14672" max="14673" width="2.3984375" style="1188"/>
    <col min="14674" max="14674" width="4.19921875" style="1188" bestFit="1" customWidth="1"/>
    <col min="14675" max="14675" width="2.3984375" style="1188"/>
    <col min="14676" max="14676" width="4.19921875" style="1188" bestFit="1" customWidth="1"/>
    <col min="14677" max="14679" width="2.3984375" style="1188"/>
    <col min="14680" max="14682" width="2.8984375" style="1188" bestFit="1" customWidth="1"/>
    <col min="14683" max="14684" width="2.3984375" style="1188"/>
    <col min="14685" max="14685" width="4.19921875" style="1188" bestFit="1" customWidth="1"/>
    <col min="14686" max="14686" width="2.3984375" style="1188"/>
    <col min="14687" max="14687" width="4.19921875" style="1188" bestFit="1" customWidth="1"/>
    <col min="14688" max="14689" width="2.3984375" style="1188"/>
    <col min="14690" max="14690" width="4.19921875" style="1188" bestFit="1" customWidth="1"/>
    <col min="14691" max="14691" width="2.3984375" style="1188"/>
    <col min="14692" max="14692" width="4.19921875" style="1188" bestFit="1" customWidth="1"/>
    <col min="14693" max="14695" width="2.3984375" style="1188"/>
    <col min="14696" max="14698" width="2.8984375" style="1188" bestFit="1" customWidth="1"/>
    <col min="14699" max="14700" width="2.3984375" style="1188"/>
    <col min="14701" max="14701" width="4.19921875" style="1188" bestFit="1" customWidth="1"/>
    <col min="14702" max="14702" width="2.3984375" style="1188"/>
    <col min="14703" max="14703" width="4.19921875" style="1188" bestFit="1" customWidth="1"/>
    <col min="14704" max="14705" width="2.3984375" style="1188"/>
    <col min="14706" max="14706" width="4.19921875" style="1188" bestFit="1" customWidth="1"/>
    <col min="14707" max="14707" width="2.3984375" style="1188"/>
    <col min="14708" max="14708" width="4.19921875" style="1188" bestFit="1" customWidth="1"/>
    <col min="14709" max="14711" width="2.3984375" style="1188"/>
    <col min="14712" max="14714" width="2.8984375" style="1188" bestFit="1" customWidth="1"/>
    <col min="14715" max="14716" width="2.3984375" style="1188"/>
    <col min="14717" max="14717" width="4.19921875" style="1188" bestFit="1" customWidth="1"/>
    <col min="14718" max="14718" width="2.3984375" style="1188"/>
    <col min="14719" max="14719" width="4.19921875" style="1188" bestFit="1" customWidth="1"/>
    <col min="14720" max="14721" width="2.3984375" style="1188"/>
    <col min="14722" max="14722" width="4.19921875" style="1188" bestFit="1" customWidth="1"/>
    <col min="14723" max="14723" width="2.3984375" style="1188"/>
    <col min="14724" max="14724" width="4.19921875" style="1188" bestFit="1" customWidth="1"/>
    <col min="14725" max="14727" width="2.3984375" style="1188"/>
    <col min="14728" max="14730" width="2.8984375" style="1188" bestFit="1" customWidth="1"/>
    <col min="14731" max="14732" width="2.3984375" style="1188"/>
    <col min="14733" max="14733" width="4.19921875" style="1188" bestFit="1" customWidth="1"/>
    <col min="14734" max="14734" width="2.3984375" style="1188"/>
    <col min="14735" max="14735" width="4.19921875" style="1188" bestFit="1" customWidth="1"/>
    <col min="14736" max="14737" width="2.3984375" style="1188"/>
    <col min="14738" max="14738" width="4.19921875" style="1188" bestFit="1" customWidth="1"/>
    <col min="14739" max="14739" width="2.3984375" style="1188"/>
    <col min="14740" max="14740" width="4.19921875" style="1188" bestFit="1" customWidth="1"/>
    <col min="14741" max="14743" width="2.3984375" style="1188"/>
    <col min="14744" max="14746" width="2.8984375" style="1188" bestFit="1" customWidth="1"/>
    <col min="14747" max="14748" width="2.3984375" style="1188"/>
    <col min="14749" max="14749" width="4.19921875" style="1188" bestFit="1" customWidth="1"/>
    <col min="14750" max="14750" width="2.3984375" style="1188"/>
    <col min="14751" max="14751" width="4.19921875" style="1188" bestFit="1" customWidth="1"/>
    <col min="14752" max="14753" width="2.3984375" style="1188"/>
    <col min="14754" max="14754" width="4.19921875" style="1188" bestFit="1" customWidth="1"/>
    <col min="14755" max="14755" width="2.3984375" style="1188"/>
    <col min="14756" max="14756" width="4.19921875" style="1188" bestFit="1" customWidth="1"/>
    <col min="14757" max="14759" width="2.3984375" style="1188"/>
    <col min="14760" max="14762" width="2.8984375" style="1188" bestFit="1" customWidth="1"/>
    <col min="14763" max="14764" width="2.3984375" style="1188"/>
    <col min="14765" max="14765" width="4.19921875" style="1188" bestFit="1" customWidth="1"/>
    <col min="14766" max="14766" width="2.3984375" style="1188"/>
    <col min="14767" max="14767" width="4.19921875" style="1188" bestFit="1" customWidth="1"/>
    <col min="14768" max="14769" width="2.3984375" style="1188"/>
    <col min="14770" max="14770" width="4.19921875" style="1188" bestFit="1" customWidth="1"/>
    <col min="14771" max="14771" width="2.3984375" style="1188"/>
    <col min="14772" max="14772" width="4.19921875" style="1188" bestFit="1" customWidth="1"/>
    <col min="14773" max="14775" width="2.3984375" style="1188"/>
    <col min="14776" max="14778" width="2.8984375" style="1188" bestFit="1" customWidth="1"/>
    <col min="14779" max="14780" width="2.3984375" style="1188"/>
    <col min="14781" max="14781" width="4.19921875" style="1188" bestFit="1" customWidth="1"/>
    <col min="14782" max="14782" width="2.3984375" style="1188"/>
    <col min="14783" max="14783" width="4.19921875" style="1188" bestFit="1" customWidth="1"/>
    <col min="14784" max="14785" width="2.3984375" style="1188"/>
    <col min="14786" max="14786" width="4.19921875" style="1188" bestFit="1" customWidth="1"/>
    <col min="14787" max="14787" width="2.3984375" style="1188"/>
    <col min="14788" max="14788" width="4.19921875" style="1188" bestFit="1" customWidth="1"/>
    <col min="14789" max="14791" width="2.3984375" style="1188"/>
    <col min="14792" max="14794" width="2.8984375" style="1188" bestFit="1" customWidth="1"/>
    <col min="14795" max="14796" width="2.3984375" style="1188"/>
    <col min="14797" max="14797" width="4.19921875" style="1188" bestFit="1" customWidth="1"/>
    <col min="14798" max="14798" width="2.3984375" style="1188"/>
    <col min="14799" max="14799" width="4.19921875" style="1188" bestFit="1" customWidth="1"/>
    <col min="14800" max="14801" width="2.3984375" style="1188"/>
    <col min="14802" max="14802" width="4.19921875" style="1188" bestFit="1" customWidth="1"/>
    <col min="14803" max="14803" width="2.3984375" style="1188"/>
    <col min="14804" max="14804" width="4.19921875" style="1188" bestFit="1" customWidth="1"/>
    <col min="14805" max="14807" width="2.3984375" style="1188"/>
    <col min="14808" max="14810" width="2.8984375" style="1188" bestFit="1" customWidth="1"/>
    <col min="14811" max="14812" width="2.3984375" style="1188"/>
    <col min="14813" max="14813" width="4.19921875" style="1188" bestFit="1" customWidth="1"/>
    <col min="14814" max="14814" width="2.3984375" style="1188"/>
    <col min="14815" max="14815" width="4.19921875" style="1188" bestFit="1" customWidth="1"/>
    <col min="14816" max="14817" width="2.3984375" style="1188"/>
    <col min="14818" max="14818" width="4.19921875" style="1188" bestFit="1" customWidth="1"/>
    <col min="14819" max="14819" width="2.3984375" style="1188"/>
    <col min="14820" max="14820" width="4.19921875" style="1188" bestFit="1" customWidth="1"/>
    <col min="14821" max="14823" width="2.3984375" style="1188"/>
    <col min="14824" max="14826" width="2.8984375" style="1188" bestFit="1" customWidth="1"/>
    <col min="14827" max="14828" width="2.3984375" style="1188"/>
    <col min="14829" max="14829" width="4.19921875" style="1188" bestFit="1" customWidth="1"/>
    <col min="14830" max="14830" width="2.3984375" style="1188"/>
    <col min="14831" max="14831" width="4.19921875" style="1188" bestFit="1" customWidth="1"/>
    <col min="14832" max="14833" width="2.3984375" style="1188"/>
    <col min="14834" max="14834" width="4.19921875" style="1188" bestFit="1" customWidth="1"/>
    <col min="14835" max="14835" width="2.3984375" style="1188"/>
    <col min="14836" max="14836" width="4.19921875" style="1188" bestFit="1" customWidth="1"/>
    <col min="14837" max="14839" width="2.3984375" style="1188"/>
    <col min="14840" max="14842" width="2.8984375" style="1188" bestFit="1" customWidth="1"/>
    <col min="14843" max="14844" width="2.3984375" style="1188"/>
    <col min="14845" max="14845" width="4.19921875" style="1188" bestFit="1" customWidth="1"/>
    <col min="14846" max="14846" width="2.3984375" style="1188"/>
    <col min="14847" max="14847" width="4.19921875" style="1188" bestFit="1" customWidth="1"/>
    <col min="14848" max="14849" width="2.3984375" style="1188"/>
    <col min="14850" max="14850" width="4.19921875" style="1188" bestFit="1" customWidth="1"/>
    <col min="14851" max="14851" width="2.3984375" style="1188"/>
    <col min="14852" max="14852" width="4.19921875" style="1188" bestFit="1" customWidth="1"/>
    <col min="14853" max="14855" width="2.3984375" style="1188"/>
    <col min="14856" max="14858" width="2.8984375" style="1188" bestFit="1" customWidth="1"/>
    <col min="14859" max="14860" width="2.3984375" style="1188"/>
    <col min="14861" max="14861" width="4.19921875" style="1188" bestFit="1" customWidth="1"/>
    <col min="14862" max="14862" width="2.3984375" style="1188"/>
    <col min="14863" max="14863" width="4.19921875" style="1188" bestFit="1" customWidth="1"/>
    <col min="14864" max="14865" width="2.3984375" style="1188"/>
    <col min="14866" max="14866" width="4.19921875" style="1188" bestFit="1" customWidth="1"/>
    <col min="14867" max="14867" width="2.3984375" style="1188"/>
    <col min="14868" max="14868" width="4.19921875" style="1188" bestFit="1" customWidth="1"/>
    <col min="14869" max="14871" width="2.3984375" style="1188"/>
    <col min="14872" max="14874" width="2.8984375" style="1188" bestFit="1" customWidth="1"/>
    <col min="14875" max="14876" width="2.3984375" style="1188"/>
    <col min="14877" max="14877" width="4.19921875" style="1188" bestFit="1" customWidth="1"/>
    <col min="14878" max="14878" width="2.3984375" style="1188"/>
    <col min="14879" max="14879" width="4.19921875" style="1188" bestFit="1" customWidth="1"/>
    <col min="14880" max="14881" width="2.3984375" style="1188"/>
    <col min="14882" max="14882" width="4.19921875" style="1188" bestFit="1" customWidth="1"/>
    <col min="14883" max="14883" width="2.3984375" style="1188"/>
    <col min="14884" max="14884" width="4.19921875" style="1188" bestFit="1" customWidth="1"/>
    <col min="14885" max="14887" width="2.3984375" style="1188"/>
    <col min="14888" max="14890" width="2.8984375" style="1188" bestFit="1" customWidth="1"/>
    <col min="14891" max="14892" width="2.3984375" style="1188"/>
    <col min="14893" max="14893" width="4.19921875" style="1188" bestFit="1" customWidth="1"/>
    <col min="14894" max="14894" width="2.3984375" style="1188"/>
    <col min="14895" max="14895" width="4.19921875" style="1188" bestFit="1" customWidth="1"/>
    <col min="14896" max="14897" width="2.3984375" style="1188"/>
    <col min="14898" max="14898" width="4.19921875" style="1188" bestFit="1" customWidth="1"/>
    <col min="14899" max="14899" width="2.3984375" style="1188"/>
    <col min="14900" max="14900" width="4.19921875" style="1188" bestFit="1" customWidth="1"/>
    <col min="14901" max="14903" width="2.3984375" style="1188"/>
    <col min="14904" max="14906" width="2.8984375" style="1188" bestFit="1" customWidth="1"/>
    <col min="14907" max="14908" width="2.3984375" style="1188"/>
    <col min="14909" max="14909" width="4.19921875" style="1188" bestFit="1" customWidth="1"/>
    <col min="14910" max="14910" width="2.3984375" style="1188"/>
    <col min="14911" max="14911" width="4.19921875" style="1188" bestFit="1" customWidth="1"/>
    <col min="14912" max="14913" width="2.3984375" style="1188"/>
    <col min="14914" max="14914" width="4.19921875" style="1188" bestFit="1" customWidth="1"/>
    <col min="14915" max="14915" width="2.3984375" style="1188"/>
    <col min="14916" max="14916" width="4.19921875" style="1188" bestFit="1" customWidth="1"/>
    <col min="14917" max="14919" width="2.3984375" style="1188"/>
    <col min="14920" max="14922" width="2.8984375" style="1188" bestFit="1" customWidth="1"/>
    <col min="14923" max="14924" width="2.3984375" style="1188"/>
    <col min="14925" max="14925" width="4.19921875" style="1188" bestFit="1" customWidth="1"/>
    <col min="14926" max="14926" width="2.3984375" style="1188"/>
    <col min="14927" max="14927" width="4.19921875" style="1188" bestFit="1" customWidth="1"/>
    <col min="14928" max="14929" width="2.3984375" style="1188"/>
    <col min="14930" max="14930" width="4.19921875" style="1188" bestFit="1" customWidth="1"/>
    <col min="14931" max="14931" width="2.3984375" style="1188"/>
    <col min="14932" max="14932" width="4.19921875" style="1188" bestFit="1" customWidth="1"/>
    <col min="14933" max="14935" width="2.3984375" style="1188"/>
    <col min="14936" max="14938" width="2.8984375" style="1188" bestFit="1" customWidth="1"/>
    <col min="14939" max="14940" width="2.3984375" style="1188"/>
    <col min="14941" max="14941" width="4.19921875" style="1188" bestFit="1" customWidth="1"/>
    <col min="14942" max="14942" width="2.3984375" style="1188"/>
    <col min="14943" max="14943" width="4.19921875" style="1188" bestFit="1" customWidth="1"/>
    <col min="14944" max="14945" width="2.3984375" style="1188"/>
    <col min="14946" max="14946" width="4.19921875" style="1188" bestFit="1" customWidth="1"/>
    <col min="14947" max="14947" width="2.3984375" style="1188"/>
    <col min="14948" max="14948" width="4.19921875" style="1188" bestFit="1" customWidth="1"/>
    <col min="14949" max="14951" width="2.3984375" style="1188"/>
    <col min="14952" max="14954" width="2.8984375" style="1188" bestFit="1" customWidth="1"/>
    <col min="14955" max="14956" width="2.3984375" style="1188"/>
    <col min="14957" max="14957" width="4.19921875" style="1188" bestFit="1" customWidth="1"/>
    <col min="14958" max="14958" width="2.3984375" style="1188"/>
    <col min="14959" max="14959" width="4.19921875" style="1188" bestFit="1" customWidth="1"/>
    <col min="14960" max="14961" width="2.3984375" style="1188"/>
    <col min="14962" max="14962" width="4.19921875" style="1188" bestFit="1" customWidth="1"/>
    <col min="14963" max="14963" width="2.3984375" style="1188"/>
    <col min="14964" max="14964" width="4.19921875" style="1188" bestFit="1" customWidth="1"/>
    <col min="14965" max="14967" width="2.3984375" style="1188"/>
    <col min="14968" max="14970" width="2.8984375" style="1188" bestFit="1" customWidth="1"/>
    <col min="14971" max="14972" width="2.3984375" style="1188"/>
    <col min="14973" max="14973" width="4.19921875" style="1188" bestFit="1" customWidth="1"/>
    <col min="14974" max="14974" width="2.3984375" style="1188"/>
    <col min="14975" max="14975" width="4.19921875" style="1188" bestFit="1" customWidth="1"/>
    <col min="14976" max="14977" width="2.3984375" style="1188"/>
    <col min="14978" max="14978" width="4.19921875" style="1188" bestFit="1" customWidth="1"/>
    <col min="14979" max="14979" width="2.3984375" style="1188"/>
    <col min="14980" max="14980" width="4.19921875" style="1188" bestFit="1" customWidth="1"/>
    <col min="14981" max="14983" width="2.3984375" style="1188"/>
    <col min="14984" max="14986" width="2.8984375" style="1188" bestFit="1" customWidth="1"/>
    <col min="14987" max="14988" width="2.3984375" style="1188"/>
    <col min="14989" max="14989" width="4.19921875" style="1188" bestFit="1" customWidth="1"/>
    <col min="14990" max="14990" width="2.3984375" style="1188"/>
    <col min="14991" max="14991" width="4.19921875" style="1188" bestFit="1" customWidth="1"/>
    <col min="14992" max="14993" width="2.3984375" style="1188"/>
    <col min="14994" max="14994" width="4.19921875" style="1188" bestFit="1" customWidth="1"/>
    <col min="14995" max="14995" width="2.3984375" style="1188"/>
    <col min="14996" max="14996" width="4.19921875" style="1188" bestFit="1" customWidth="1"/>
    <col min="14997" max="14999" width="2.3984375" style="1188"/>
    <col min="15000" max="15002" width="2.8984375" style="1188" bestFit="1" customWidth="1"/>
    <col min="15003" max="15004" width="2.3984375" style="1188"/>
    <col min="15005" max="15005" width="4.19921875" style="1188" bestFit="1" customWidth="1"/>
    <col min="15006" max="15006" width="2.3984375" style="1188"/>
    <col min="15007" max="15007" width="4.19921875" style="1188" bestFit="1" customWidth="1"/>
    <col min="15008" max="15009" width="2.3984375" style="1188"/>
    <col min="15010" max="15010" width="4.19921875" style="1188" bestFit="1" customWidth="1"/>
    <col min="15011" max="15011" width="2.3984375" style="1188"/>
    <col min="15012" max="15012" width="4.19921875" style="1188" bestFit="1" customWidth="1"/>
    <col min="15013" max="15015" width="2.3984375" style="1188"/>
    <col min="15016" max="15018" width="2.8984375" style="1188" bestFit="1" customWidth="1"/>
    <col min="15019" max="15020" width="2.3984375" style="1188"/>
    <col min="15021" max="15021" width="4.19921875" style="1188" bestFit="1" customWidth="1"/>
    <col min="15022" max="15022" width="2.3984375" style="1188"/>
    <col min="15023" max="15023" width="4.19921875" style="1188" bestFit="1" customWidth="1"/>
    <col min="15024" max="15025" width="2.3984375" style="1188"/>
    <col min="15026" max="15026" width="4.19921875" style="1188" bestFit="1" customWidth="1"/>
    <col min="15027" max="15027" width="2.3984375" style="1188"/>
    <col min="15028" max="15028" width="4.19921875" style="1188" bestFit="1" customWidth="1"/>
    <col min="15029" max="15031" width="2.3984375" style="1188"/>
    <col min="15032" max="15034" width="2.8984375" style="1188" bestFit="1" customWidth="1"/>
    <col min="15035" max="15036" width="2.3984375" style="1188"/>
    <col min="15037" max="15037" width="4.19921875" style="1188" bestFit="1" customWidth="1"/>
    <col min="15038" max="15038" width="2.3984375" style="1188"/>
    <col min="15039" max="15039" width="4.19921875" style="1188" bestFit="1" customWidth="1"/>
    <col min="15040" max="15041" width="2.3984375" style="1188"/>
    <col min="15042" max="15042" width="4.19921875" style="1188" bestFit="1" customWidth="1"/>
    <col min="15043" max="15043" width="2.3984375" style="1188"/>
    <col min="15044" max="15044" width="4.19921875" style="1188" bestFit="1" customWidth="1"/>
    <col min="15045" max="15047" width="2.3984375" style="1188"/>
    <col min="15048" max="15050" width="2.8984375" style="1188" bestFit="1" customWidth="1"/>
    <col min="15051" max="15052" width="2.3984375" style="1188"/>
    <col min="15053" max="15053" width="4.19921875" style="1188" bestFit="1" customWidth="1"/>
    <col min="15054" max="15054" width="2.3984375" style="1188"/>
    <col min="15055" max="15055" width="4.19921875" style="1188" bestFit="1" customWidth="1"/>
    <col min="15056" max="15057" width="2.3984375" style="1188"/>
    <col min="15058" max="15058" width="4.19921875" style="1188" bestFit="1" customWidth="1"/>
    <col min="15059" max="15059" width="2.3984375" style="1188"/>
    <col min="15060" max="15060" width="4.19921875" style="1188" bestFit="1" customWidth="1"/>
    <col min="15061" max="15063" width="2.3984375" style="1188"/>
    <col min="15064" max="15066" width="2.8984375" style="1188" bestFit="1" customWidth="1"/>
    <col min="15067" max="15068" width="2.3984375" style="1188"/>
    <col min="15069" max="15069" width="4.19921875" style="1188" bestFit="1" customWidth="1"/>
    <col min="15070" max="15070" width="2.3984375" style="1188"/>
    <col min="15071" max="15071" width="4.19921875" style="1188" bestFit="1" customWidth="1"/>
    <col min="15072" max="15073" width="2.3984375" style="1188"/>
    <col min="15074" max="15074" width="4.19921875" style="1188" bestFit="1" customWidth="1"/>
    <col min="15075" max="15075" width="2.3984375" style="1188"/>
    <col min="15076" max="15076" width="4.19921875" style="1188" bestFit="1" customWidth="1"/>
    <col min="15077" max="15079" width="2.3984375" style="1188"/>
    <col min="15080" max="15082" width="2.8984375" style="1188" bestFit="1" customWidth="1"/>
    <col min="15083" max="15084" width="2.3984375" style="1188"/>
    <col min="15085" max="15085" width="4.19921875" style="1188" bestFit="1" customWidth="1"/>
    <col min="15086" max="15086" width="2.3984375" style="1188"/>
    <col min="15087" max="15087" width="4.19921875" style="1188" bestFit="1" customWidth="1"/>
    <col min="15088" max="15089" width="2.3984375" style="1188"/>
    <col min="15090" max="15090" width="4.19921875" style="1188" bestFit="1" customWidth="1"/>
    <col min="15091" max="15091" width="2.3984375" style="1188"/>
    <col min="15092" max="15092" width="4.19921875" style="1188" bestFit="1" customWidth="1"/>
    <col min="15093" max="15095" width="2.3984375" style="1188"/>
    <col min="15096" max="15098" width="2.8984375" style="1188" bestFit="1" customWidth="1"/>
    <col min="15099" max="15100" width="2.3984375" style="1188"/>
    <col min="15101" max="15101" width="4.19921875" style="1188" bestFit="1" customWidth="1"/>
    <col min="15102" max="15102" width="2.3984375" style="1188"/>
    <col min="15103" max="15103" width="4.19921875" style="1188" bestFit="1" customWidth="1"/>
    <col min="15104" max="15105" width="2.3984375" style="1188"/>
    <col min="15106" max="15106" width="4.19921875" style="1188" bestFit="1" customWidth="1"/>
    <col min="15107" max="15107" width="2.3984375" style="1188"/>
    <col min="15108" max="15108" width="4.19921875" style="1188" bestFit="1" customWidth="1"/>
    <col min="15109" max="15111" width="2.3984375" style="1188"/>
    <col min="15112" max="15114" width="2.8984375" style="1188" bestFit="1" customWidth="1"/>
    <col min="15115" max="15116" width="2.3984375" style="1188"/>
    <col min="15117" max="15117" width="4.19921875" style="1188" bestFit="1" customWidth="1"/>
    <col min="15118" max="15118" width="2.3984375" style="1188"/>
    <col min="15119" max="15119" width="4.19921875" style="1188" bestFit="1" customWidth="1"/>
    <col min="15120" max="15121" width="2.3984375" style="1188"/>
    <col min="15122" max="15122" width="4.19921875" style="1188" bestFit="1" customWidth="1"/>
    <col min="15123" max="15123" width="2.3984375" style="1188"/>
    <col min="15124" max="15124" width="4.19921875" style="1188" bestFit="1" customWidth="1"/>
    <col min="15125" max="15127" width="2.3984375" style="1188"/>
    <col min="15128" max="15130" width="2.8984375" style="1188" bestFit="1" customWidth="1"/>
    <col min="15131" max="15132" width="2.3984375" style="1188"/>
    <col min="15133" max="15133" width="4.19921875" style="1188" bestFit="1" customWidth="1"/>
    <col min="15134" max="15134" width="2.3984375" style="1188"/>
    <col min="15135" max="15135" width="4.19921875" style="1188" bestFit="1" customWidth="1"/>
    <col min="15136" max="15137" width="2.3984375" style="1188"/>
    <col min="15138" max="15138" width="4.19921875" style="1188" bestFit="1" customWidth="1"/>
    <col min="15139" max="15139" width="2.3984375" style="1188"/>
    <col min="15140" max="15140" width="4.19921875" style="1188" bestFit="1" customWidth="1"/>
    <col min="15141" max="15143" width="2.3984375" style="1188"/>
    <col min="15144" max="15146" width="2.8984375" style="1188" bestFit="1" customWidth="1"/>
    <col min="15147" max="15148" width="2.3984375" style="1188"/>
    <col min="15149" max="15149" width="4.19921875" style="1188" bestFit="1" customWidth="1"/>
    <col min="15150" max="15150" width="2.3984375" style="1188"/>
    <col min="15151" max="15151" width="4.19921875" style="1188" bestFit="1" customWidth="1"/>
    <col min="15152" max="15153" width="2.3984375" style="1188"/>
    <col min="15154" max="15154" width="4.19921875" style="1188" bestFit="1" customWidth="1"/>
    <col min="15155" max="15155" width="2.3984375" style="1188"/>
    <col min="15156" max="15156" width="4.19921875" style="1188" bestFit="1" customWidth="1"/>
    <col min="15157" max="15159" width="2.3984375" style="1188"/>
    <col min="15160" max="15162" width="2.8984375" style="1188" bestFit="1" customWidth="1"/>
    <col min="15163" max="15164" width="2.3984375" style="1188"/>
    <col min="15165" max="15165" width="4.19921875" style="1188" bestFit="1" customWidth="1"/>
    <col min="15166" max="15166" width="2.3984375" style="1188"/>
    <col min="15167" max="15167" width="4.19921875" style="1188" bestFit="1" customWidth="1"/>
    <col min="15168" max="15169" width="2.3984375" style="1188"/>
    <col min="15170" max="15170" width="4.19921875" style="1188" bestFit="1" customWidth="1"/>
    <col min="15171" max="15171" width="2.3984375" style="1188"/>
    <col min="15172" max="15172" width="4.19921875" style="1188" bestFit="1" customWidth="1"/>
    <col min="15173" max="15175" width="2.3984375" style="1188"/>
    <col min="15176" max="15178" width="2.8984375" style="1188" bestFit="1" customWidth="1"/>
    <col min="15179" max="15180" width="2.3984375" style="1188"/>
    <col min="15181" max="15181" width="4.19921875" style="1188" bestFit="1" customWidth="1"/>
    <col min="15182" max="15182" width="2.3984375" style="1188"/>
    <col min="15183" max="15183" width="4.19921875" style="1188" bestFit="1" customWidth="1"/>
    <col min="15184" max="15185" width="2.3984375" style="1188"/>
    <col min="15186" max="15186" width="4.19921875" style="1188" bestFit="1" customWidth="1"/>
    <col min="15187" max="15187" width="2.3984375" style="1188"/>
    <col min="15188" max="15188" width="4.19921875" style="1188" bestFit="1" customWidth="1"/>
    <col min="15189" max="15191" width="2.3984375" style="1188"/>
    <col min="15192" max="15194" width="2.8984375" style="1188" bestFit="1" customWidth="1"/>
    <col min="15195" max="15196" width="2.3984375" style="1188"/>
    <col min="15197" max="15197" width="4.19921875" style="1188" bestFit="1" customWidth="1"/>
    <col min="15198" max="15198" width="2.3984375" style="1188"/>
    <col min="15199" max="15199" width="4.19921875" style="1188" bestFit="1" customWidth="1"/>
    <col min="15200" max="15201" width="2.3984375" style="1188"/>
    <col min="15202" max="15202" width="4.19921875" style="1188" bestFit="1" customWidth="1"/>
    <col min="15203" max="15203" width="2.3984375" style="1188"/>
    <col min="15204" max="15204" width="4.19921875" style="1188" bestFit="1" customWidth="1"/>
    <col min="15205" max="15207" width="2.3984375" style="1188"/>
    <col min="15208" max="15210" width="2.8984375" style="1188" bestFit="1" customWidth="1"/>
    <col min="15211" max="15212" width="2.3984375" style="1188"/>
    <col min="15213" max="15213" width="4.19921875" style="1188" bestFit="1" customWidth="1"/>
    <col min="15214" max="15214" width="2.3984375" style="1188"/>
    <col min="15215" max="15215" width="4.19921875" style="1188" bestFit="1" customWidth="1"/>
    <col min="15216" max="15217" width="2.3984375" style="1188"/>
    <col min="15218" max="15218" width="4.19921875" style="1188" bestFit="1" customWidth="1"/>
    <col min="15219" max="15219" width="2.3984375" style="1188"/>
    <col min="15220" max="15220" width="4.19921875" style="1188" bestFit="1" customWidth="1"/>
    <col min="15221" max="15223" width="2.3984375" style="1188"/>
    <col min="15224" max="15226" width="2.8984375" style="1188" bestFit="1" customWidth="1"/>
    <col min="15227" max="15228" width="2.3984375" style="1188"/>
    <col min="15229" max="15229" width="4.19921875" style="1188" bestFit="1" customWidth="1"/>
    <col min="15230" max="15230" width="2.3984375" style="1188"/>
    <col min="15231" max="15231" width="4.19921875" style="1188" bestFit="1" customWidth="1"/>
    <col min="15232" max="15233" width="2.3984375" style="1188"/>
    <col min="15234" max="15234" width="4.19921875" style="1188" bestFit="1" customWidth="1"/>
    <col min="15235" max="15235" width="2.3984375" style="1188"/>
    <col min="15236" max="15236" width="4.19921875" style="1188" bestFit="1" customWidth="1"/>
    <col min="15237" max="15239" width="2.3984375" style="1188"/>
    <col min="15240" max="15242" width="2.8984375" style="1188" bestFit="1" customWidth="1"/>
    <col min="15243" max="15244" width="2.3984375" style="1188"/>
    <col min="15245" max="15245" width="4.19921875" style="1188" bestFit="1" customWidth="1"/>
    <col min="15246" max="15246" width="2.3984375" style="1188"/>
    <col min="15247" max="15247" width="4.19921875" style="1188" bestFit="1" customWidth="1"/>
    <col min="15248" max="15249" width="2.3984375" style="1188"/>
    <col min="15250" max="15250" width="4.19921875" style="1188" bestFit="1" customWidth="1"/>
    <col min="15251" max="15251" width="2.3984375" style="1188"/>
    <col min="15252" max="15252" width="4.19921875" style="1188" bestFit="1" customWidth="1"/>
    <col min="15253" max="15255" width="2.3984375" style="1188"/>
    <col min="15256" max="15258" width="2.8984375" style="1188" bestFit="1" customWidth="1"/>
    <col min="15259" max="15260" width="2.3984375" style="1188"/>
    <col min="15261" max="15261" width="4.19921875" style="1188" bestFit="1" customWidth="1"/>
    <col min="15262" max="15262" width="2.3984375" style="1188"/>
    <col min="15263" max="15263" width="4.19921875" style="1188" bestFit="1" customWidth="1"/>
    <col min="15264" max="15265" width="2.3984375" style="1188"/>
    <col min="15266" max="15266" width="4.19921875" style="1188" bestFit="1" customWidth="1"/>
    <col min="15267" max="15267" width="2.3984375" style="1188"/>
    <col min="15268" max="15268" width="4.19921875" style="1188" bestFit="1" customWidth="1"/>
    <col min="15269" max="15271" width="2.3984375" style="1188"/>
    <col min="15272" max="15274" width="2.8984375" style="1188" bestFit="1" customWidth="1"/>
    <col min="15275" max="15276" width="2.3984375" style="1188"/>
    <col min="15277" max="15277" width="4.19921875" style="1188" bestFit="1" customWidth="1"/>
    <col min="15278" max="15278" width="2.3984375" style="1188"/>
    <col min="15279" max="15279" width="4.19921875" style="1188" bestFit="1" customWidth="1"/>
    <col min="15280" max="15281" width="2.3984375" style="1188"/>
    <col min="15282" max="15282" width="4.19921875" style="1188" bestFit="1" customWidth="1"/>
    <col min="15283" max="15283" width="2.3984375" style="1188"/>
    <col min="15284" max="15284" width="4.19921875" style="1188" bestFit="1" customWidth="1"/>
    <col min="15285" max="15287" width="2.3984375" style="1188"/>
    <col min="15288" max="15290" width="2.8984375" style="1188" bestFit="1" customWidth="1"/>
    <col min="15291" max="15292" width="2.3984375" style="1188"/>
    <col min="15293" max="15293" width="4.19921875" style="1188" bestFit="1" customWidth="1"/>
    <col min="15294" max="15294" width="2.3984375" style="1188"/>
    <col min="15295" max="15295" width="4.19921875" style="1188" bestFit="1" customWidth="1"/>
    <col min="15296" max="15297" width="2.3984375" style="1188"/>
    <col min="15298" max="15298" width="4.19921875" style="1188" bestFit="1" customWidth="1"/>
    <col min="15299" max="15299" width="2.3984375" style="1188"/>
    <col min="15300" max="15300" width="4.19921875" style="1188" bestFit="1" customWidth="1"/>
    <col min="15301" max="15303" width="2.3984375" style="1188"/>
    <col min="15304" max="15306" width="2.8984375" style="1188" bestFit="1" customWidth="1"/>
    <col min="15307" max="15308" width="2.3984375" style="1188"/>
    <col min="15309" max="15309" width="4.19921875" style="1188" bestFit="1" customWidth="1"/>
    <col min="15310" max="15310" width="2.3984375" style="1188"/>
    <col min="15311" max="15311" width="4.19921875" style="1188" bestFit="1" customWidth="1"/>
    <col min="15312" max="15313" width="2.3984375" style="1188"/>
    <col min="15314" max="15314" width="4.19921875" style="1188" bestFit="1" customWidth="1"/>
    <col min="15315" max="15315" width="2.3984375" style="1188"/>
    <col min="15316" max="15316" width="4.19921875" style="1188" bestFit="1" customWidth="1"/>
    <col min="15317" max="15319" width="2.3984375" style="1188"/>
    <col min="15320" max="15322" width="2.8984375" style="1188" bestFit="1" customWidth="1"/>
    <col min="15323" max="15324" width="2.3984375" style="1188"/>
    <col min="15325" max="15325" width="4.19921875" style="1188" bestFit="1" customWidth="1"/>
    <col min="15326" max="15326" width="2.3984375" style="1188"/>
    <col min="15327" max="15327" width="4.19921875" style="1188" bestFit="1" customWidth="1"/>
    <col min="15328" max="15329" width="2.3984375" style="1188"/>
    <col min="15330" max="15330" width="4.19921875" style="1188" bestFit="1" customWidth="1"/>
    <col min="15331" max="15331" width="2.3984375" style="1188"/>
    <col min="15332" max="15332" width="4.19921875" style="1188" bestFit="1" customWidth="1"/>
    <col min="15333" max="15335" width="2.3984375" style="1188"/>
    <col min="15336" max="15338" width="2.8984375" style="1188" bestFit="1" customWidth="1"/>
    <col min="15339" max="15340" width="2.3984375" style="1188"/>
    <col min="15341" max="15341" width="4.19921875" style="1188" bestFit="1" customWidth="1"/>
    <col min="15342" max="15342" width="2.3984375" style="1188"/>
    <col min="15343" max="15343" width="4.19921875" style="1188" bestFit="1" customWidth="1"/>
    <col min="15344" max="15345" width="2.3984375" style="1188"/>
    <col min="15346" max="15346" width="4.19921875" style="1188" bestFit="1" customWidth="1"/>
    <col min="15347" max="15347" width="2.3984375" style="1188"/>
    <col min="15348" max="15348" width="4.19921875" style="1188" bestFit="1" customWidth="1"/>
    <col min="15349" max="15351" width="2.3984375" style="1188"/>
    <col min="15352" max="15354" width="2.8984375" style="1188" bestFit="1" customWidth="1"/>
    <col min="15355" max="15356" width="2.3984375" style="1188"/>
    <col min="15357" max="15357" width="4.19921875" style="1188" bestFit="1" customWidth="1"/>
    <col min="15358" max="15358" width="2.3984375" style="1188"/>
    <col min="15359" max="15359" width="4.19921875" style="1188" bestFit="1" customWidth="1"/>
    <col min="15360" max="15361" width="2.3984375" style="1188"/>
    <col min="15362" max="15362" width="4.19921875" style="1188" bestFit="1" customWidth="1"/>
    <col min="15363" max="15363" width="2.3984375" style="1188"/>
    <col min="15364" max="15364" width="4.19921875" style="1188" bestFit="1" customWidth="1"/>
    <col min="15365" max="15367" width="2.3984375" style="1188"/>
    <col min="15368" max="15370" width="2.8984375" style="1188" bestFit="1" customWidth="1"/>
    <col min="15371" max="15372" width="2.3984375" style="1188"/>
    <col min="15373" max="15373" width="4.19921875" style="1188" bestFit="1" customWidth="1"/>
    <col min="15374" max="15374" width="2.3984375" style="1188"/>
    <col min="15375" max="15375" width="4.19921875" style="1188" bestFit="1" customWidth="1"/>
    <col min="15376" max="15377" width="2.3984375" style="1188"/>
    <col min="15378" max="15378" width="4.19921875" style="1188" bestFit="1" customWidth="1"/>
    <col min="15379" max="15379" width="2.3984375" style="1188"/>
    <col min="15380" max="15380" width="4.19921875" style="1188" bestFit="1" customWidth="1"/>
    <col min="15381" max="15383" width="2.3984375" style="1188"/>
    <col min="15384" max="15386" width="2.8984375" style="1188" bestFit="1" customWidth="1"/>
    <col min="15387" max="15388" width="2.3984375" style="1188"/>
    <col min="15389" max="15389" width="4.19921875" style="1188" bestFit="1" customWidth="1"/>
    <col min="15390" max="15390" width="2.3984375" style="1188"/>
    <col min="15391" max="15391" width="4.19921875" style="1188" bestFit="1" customWidth="1"/>
    <col min="15392" max="15393" width="2.3984375" style="1188"/>
    <col min="15394" max="15394" width="4.19921875" style="1188" bestFit="1" customWidth="1"/>
    <col min="15395" max="15395" width="2.3984375" style="1188"/>
    <col min="15396" max="15396" width="4.19921875" style="1188" bestFit="1" customWidth="1"/>
    <col min="15397" max="15399" width="2.3984375" style="1188"/>
    <col min="15400" max="15402" width="2.8984375" style="1188" bestFit="1" customWidth="1"/>
    <col min="15403" max="15404" width="2.3984375" style="1188"/>
    <col min="15405" max="15405" width="4.19921875" style="1188" bestFit="1" customWidth="1"/>
    <col min="15406" max="15406" width="2.3984375" style="1188"/>
    <col min="15407" max="15407" width="4.19921875" style="1188" bestFit="1" customWidth="1"/>
    <col min="15408" max="15409" width="2.3984375" style="1188"/>
    <col min="15410" max="15410" width="4.19921875" style="1188" bestFit="1" customWidth="1"/>
    <col min="15411" max="15411" width="2.3984375" style="1188"/>
    <col min="15412" max="15412" width="4.19921875" style="1188" bestFit="1" customWidth="1"/>
    <col min="15413" max="15415" width="2.3984375" style="1188"/>
    <col min="15416" max="15418" width="2.8984375" style="1188" bestFit="1" customWidth="1"/>
    <col min="15419" max="15420" width="2.3984375" style="1188"/>
    <col min="15421" max="15421" width="4.19921875" style="1188" bestFit="1" customWidth="1"/>
    <col min="15422" max="15422" width="2.3984375" style="1188"/>
    <col min="15423" max="15423" width="4.19921875" style="1188" bestFit="1" customWidth="1"/>
    <col min="15424" max="15425" width="2.3984375" style="1188"/>
    <col min="15426" max="15426" width="4.19921875" style="1188" bestFit="1" customWidth="1"/>
    <col min="15427" max="15427" width="2.3984375" style="1188"/>
    <col min="15428" max="15428" width="4.19921875" style="1188" bestFit="1" customWidth="1"/>
    <col min="15429" max="15431" width="2.3984375" style="1188"/>
    <col min="15432" max="15434" width="2.8984375" style="1188" bestFit="1" customWidth="1"/>
    <col min="15435" max="15436" width="2.3984375" style="1188"/>
    <col min="15437" max="15437" width="4.19921875" style="1188" bestFit="1" customWidth="1"/>
    <col min="15438" max="15438" width="2.3984375" style="1188"/>
    <col min="15439" max="15439" width="4.19921875" style="1188" bestFit="1" customWidth="1"/>
    <col min="15440" max="15441" width="2.3984375" style="1188"/>
    <col min="15442" max="15442" width="4.19921875" style="1188" bestFit="1" customWidth="1"/>
    <col min="15443" max="15443" width="2.3984375" style="1188"/>
    <col min="15444" max="15444" width="4.19921875" style="1188" bestFit="1" customWidth="1"/>
    <col min="15445" max="15447" width="2.3984375" style="1188"/>
    <col min="15448" max="15450" width="2.8984375" style="1188" bestFit="1" customWidth="1"/>
    <col min="15451" max="15452" width="2.3984375" style="1188"/>
    <col min="15453" max="15453" width="4.19921875" style="1188" bestFit="1" customWidth="1"/>
    <col min="15454" max="15454" width="2.3984375" style="1188"/>
    <col min="15455" max="15455" width="4.19921875" style="1188" bestFit="1" customWidth="1"/>
    <col min="15456" max="15457" width="2.3984375" style="1188"/>
    <col min="15458" max="15458" width="4.19921875" style="1188" bestFit="1" customWidth="1"/>
    <col min="15459" max="15459" width="2.3984375" style="1188"/>
    <col min="15460" max="15460" width="4.19921875" style="1188" bestFit="1" customWidth="1"/>
    <col min="15461" max="15463" width="2.3984375" style="1188"/>
    <col min="15464" max="15466" width="2.8984375" style="1188" bestFit="1" customWidth="1"/>
    <col min="15467" max="15468" width="2.3984375" style="1188"/>
    <col min="15469" max="15469" width="4.19921875" style="1188" bestFit="1" customWidth="1"/>
    <col min="15470" max="15470" width="2.3984375" style="1188"/>
    <col min="15471" max="15471" width="4.19921875" style="1188" bestFit="1" customWidth="1"/>
    <col min="15472" max="15473" width="2.3984375" style="1188"/>
    <col min="15474" max="15474" width="4.19921875" style="1188" bestFit="1" customWidth="1"/>
    <col min="15475" max="15475" width="2.3984375" style="1188"/>
    <col min="15476" max="15476" width="4.19921875" style="1188" bestFit="1" customWidth="1"/>
    <col min="15477" max="15479" width="2.3984375" style="1188"/>
    <col min="15480" max="15482" width="2.8984375" style="1188" bestFit="1" customWidth="1"/>
    <col min="15483" max="15484" width="2.3984375" style="1188"/>
    <col min="15485" max="15485" width="4.19921875" style="1188" bestFit="1" customWidth="1"/>
    <col min="15486" max="15486" width="2.3984375" style="1188"/>
    <col min="15487" max="15487" width="4.19921875" style="1188" bestFit="1" customWidth="1"/>
    <col min="15488" max="15489" width="2.3984375" style="1188"/>
    <col min="15490" max="15490" width="4.19921875" style="1188" bestFit="1" customWidth="1"/>
    <col min="15491" max="15491" width="2.3984375" style="1188"/>
    <col min="15492" max="15492" width="4.19921875" style="1188" bestFit="1" customWidth="1"/>
    <col min="15493" max="15495" width="2.3984375" style="1188"/>
    <col min="15496" max="15498" width="2.8984375" style="1188" bestFit="1" customWidth="1"/>
    <col min="15499" max="15500" width="2.3984375" style="1188"/>
    <col min="15501" max="15501" width="4.19921875" style="1188" bestFit="1" customWidth="1"/>
    <col min="15502" max="15502" width="2.3984375" style="1188"/>
    <col min="15503" max="15503" width="4.19921875" style="1188" bestFit="1" customWidth="1"/>
    <col min="15504" max="15505" width="2.3984375" style="1188"/>
    <col min="15506" max="15506" width="4.19921875" style="1188" bestFit="1" customWidth="1"/>
    <col min="15507" max="15507" width="2.3984375" style="1188"/>
    <col min="15508" max="15508" width="4.19921875" style="1188" bestFit="1" customWidth="1"/>
    <col min="15509" max="15511" width="2.3984375" style="1188"/>
    <col min="15512" max="15514" width="2.8984375" style="1188" bestFit="1" customWidth="1"/>
    <col min="15515" max="15516" width="2.3984375" style="1188"/>
    <col min="15517" max="15517" width="4.19921875" style="1188" bestFit="1" customWidth="1"/>
    <col min="15518" max="15518" width="2.3984375" style="1188"/>
    <col min="15519" max="15519" width="4.19921875" style="1188" bestFit="1" customWidth="1"/>
    <col min="15520" max="15521" width="2.3984375" style="1188"/>
    <col min="15522" max="15522" width="4.19921875" style="1188" bestFit="1" customWidth="1"/>
    <col min="15523" max="15523" width="2.3984375" style="1188"/>
    <col min="15524" max="15524" width="4.19921875" style="1188" bestFit="1" customWidth="1"/>
    <col min="15525" max="15527" width="2.3984375" style="1188"/>
    <col min="15528" max="15530" width="2.8984375" style="1188" bestFit="1" customWidth="1"/>
    <col min="15531" max="15532" width="2.3984375" style="1188"/>
    <col min="15533" max="15533" width="4.19921875" style="1188" bestFit="1" customWidth="1"/>
    <col min="15534" max="15534" width="2.3984375" style="1188"/>
    <col min="15535" max="15535" width="4.19921875" style="1188" bestFit="1" customWidth="1"/>
    <col min="15536" max="15537" width="2.3984375" style="1188"/>
    <col min="15538" max="15538" width="4.19921875" style="1188" bestFit="1" customWidth="1"/>
    <col min="15539" max="15539" width="2.3984375" style="1188"/>
    <col min="15540" max="15540" width="4.19921875" style="1188" bestFit="1" customWidth="1"/>
    <col min="15541" max="15543" width="2.3984375" style="1188"/>
    <col min="15544" max="15546" width="2.8984375" style="1188" bestFit="1" customWidth="1"/>
    <col min="15547" max="15548" width="2.3984375" style="1188"/>
    <col min="15549" max="15549" width="4.19921875" style="1188" bestFit="1" customWidth="1"/>
    <col min="15550" max="15550" width="2.3984375" style="1188"/>
    <col min="15551" max="15551" width="4.19921875" style="1188" bestFit="1" customWidth="1"/>
    <col min="15552" max="15553" width="2.3984375" style="1188"/>
    <col min="15554" max="15554" width="4.19921875" style="1188" bestFit="1" customWidth="1"/>
    <col min="15555" max="15555" width="2.3984375" style="1188"/>
    <col min="15556" max="15556" width="4.19921875" style="1188" bestFit="1" customWidth="1"/>
    <col min="15557" max="15559" width="2.3984375" style="1188"/>
    <col min="15560" max="15562" width="2.8984375" style="1188" bestFit="1" customWidth="1"/>
    <col min="15563" max="15564" width="2.3984375" style="1188"/>
    <col min="15565" max="15565" width="4.19921875" style="1188" bestFit="1" customWidth="1"/>
    <col min="15566" max="15566" width="2.3984375" style="1188"/>
    <col min="15567" max="15567" width="4.19921875" style="1188" bestFit="1" customWidth="1"/>
    <col min="15568" max="15569" width="2.3984375" style="1188"/>
    <col min="15570" max="15570" width="4.19921875" style="1188" bestFit="1" customWidth="1"/>
    <col min="15571" max="15571" width="2.3984375" style="1188"/>
    <col min="15572" max="15572" width="4.19921875" style="1188" bestFit="1" customWidth="1"/>
    <col min="15573" max="15575" width="2.3984375" style="1188"/>
    <col min="15576" max="15578" width="2.8984375" style="1188" bestFit="1" customWidth="1"/>
    <col min="15579" max="15580" width="2.3984375" style="1188"/>
    <col min="15581" max="15581" width="4.19921875" style="1188" bestFit="1" customWidth="1"/>
    <col min="15582" max="15582" width="2.3984375" style="1188"/>
    <col min="15583" max="15583" width="4.19921875" style="1188" bestFit="1" customWidth="1"/>
    <col min="15584" max="15585" width="2.3984375" style="1188"/>
    <col min="15586" max="15586" width="4.19921875" style="1188" bestFit="1" customWidth="1"/>
    <col min="15587" max="15587" width="2.3984375" style="1188"/>
    <col min="15588" max="15588" width="4.19921875" style="1188" bestFit="1" customWidth="1"/>
    <col min="15589" max="15591" width="2.3984375" style="1188"/>
    <col min="15592" max="15594" width="2.8984375" style="1188" bestFit="1" customWidth="1"/>
    <col min="15595" max="15596" width="2.3984375" style="1188"/>
    <col min="15597" max="15597" width="4.19921875" style="1188" bestFit="1" customWidth="1"/>
    <col min="15598" max="15598" width="2.3984375" style="1188"/>
    <col min="15599" max="15599" width="4.19921875" style="1188" bestFit="1" customWidth="1"/>
    <col min="15600" max="15601" width="2.3984375" style="1188"/>
    <col min="15602" max="15602" width="4.19921875" style="1188" bestFit="1" customWidth="1"/>
    <col min="15603" max="15603" width="2.3984375" style="1188"/>
    <col min="15604" max="15604" width="4.19921875" style="1188" bestFit="1" customWidth="1"/>
    <col min="15605" max="15607" width="2.3984375" style="1188"/>
    <col min="15608" max="15610" width="2.8984375" style="1188" bestFit="1" customWidth="1"/>
    <col min="15611" max="15612" width="2.3984375" style="1188"/>
    <col min="15613" max="15613" width="4.19921875" style="1188" bestFit="1" customWidth="1"/>
    <col min="15614" max="15614" width="2.3984375" style="1188"/>
    <col min="15615" max="15615" width="4.19921875" style="1188" bestFit="1" customWidth="1"/>
    <col min="15616" max="15617" width="2.3984375" style="1188"/>
    <col min="15618" max="15618" width="4.19921875" style="1188" bestFit="1" customWidth="1"/>
    <col min="15619" max="15619" width="2.3984375" style="1188"/>
    <col min="15620" max="15620" width="4.19921875" style="1188" bestFit="1" customWidth="1"/>
    <col min="15621" max="15623" width="2.3984375" style="1188"/>
    <col min="15624" max="15626" width="2.8984375" style="1188" bestFit="1" customWidth="1"/>
    <col min="15627" max="15628" width="2.3984375" style="1188"/>
    <col min="15629" max="15629" width="4.19921875" style="1188" bestFit="1" customWidth="1"/>
    <col min="15630" max="15630" width="2.3984375" style="1188"/>
    <col min="15631" max="15631" width="4.19921875" style="1188" bestFit="1" customWidth="1"/>
    <col min="15632" max="15633" width="2.3984375" style="1188"/>
    <col min="15634" max="15634" width="4.19921875" style="1188" bestFit="1" customWidth="1"/>
    <col min="15635" max="15635" width="2.3984375" style="1188"/>
    <col min="15636" max="15636" width="4.19921875" style="1188" bestFit="1" customWidth="1"/>
    <col min="15637" max="15639" width="2.3984375" style="1188"/>
    <col min="15640" max="15642" width="2.8984375" style="1188" bestFit="1" customWidth="1"/>
    <col min="15643" max="15644" width="2.3984375" style="1188"/>
    <col min="15645" max="15645" width="4.19921875" style="1188" bestFit="1" customWidth="1"/>
    <col min="15646" max="15646" width="2.3984375" style="1188"/>
    <col min="15647" max="15647" width="4.19921875" style="1188" bestFit="1" customWidth="1"/>
    <col min="15648" max="15649" width="2.3984375" style="1188"/>
    <col min="15650" max="15650" width="4.19921875" style="1188" bestFit="1" customWidth="1"/>
    <col min="15651" max="15651" width="2.3984375" style="1188"/>
    <col min="15652" max="15652" width="4.19921875" style="1188" bestFit="1" customWidth="1"/>
    <col min="15653" max="15655" width="2.3984375" style="1188"/>
    <col min="15656" max="15658" width="2.8984375" style="1188" bestFit="1" customWidth="1"/>
    <col min="15659" max="15660" width="2.3984375" style="1188"/>
    <col min="15661" max="15661" width="4.19921875" style="1188" bestFit="1" customWidth="1"/>
    <col min="15662" max="15662" width="2.3984375" style="1188"/>
    <col min="15663" max="15663" width="4.19921875" style="1188" bestFit="1" customWidth="1"/>
    <col min="15664" max="15665" width="2.3984375" style="1188"/>
    <col min="15666" max="15666" width="4.19921875" style="1188" bestFit="1" customWidth="1"/>
    <col min="15667" max="15667" width="2.3984375" style="1188"/>
    <col min="15668" max="15668" width="4.19921875" style="1188" bestFit="1" customWidth="1"/>
    <col min="15669" max="15671" width="2.3984375" style="1188"/>
    <col min="15672" max="15674" width="2.8984375" style="1188" bestFit="1" customWidth="1"/>
    <col min="15675" max="15676" width="2.3984375" style="1188"/>
    <col min="15677" max="15677" width="4.19921875" style="1188" bestFit="1" customWidth="1"/>
    <col min="15678" max="15678" width="2.3984375" style="1188"/>
    <col min="15679" max="15679" width="4.19921875" style="1188" bestFit="1" customWidth="1"/>
    <col min="15680" max="15681" width="2.3984375" style="1188"/>
    <col min="15682" max="15682" width="4.19921875" style="1188" bestFit="1" customWidth="1"/>
    <col min="15683" max="15683" width="2.3984375" style="1188"/>
    <col min="15684" max="15684" width="4.19921875" style="1188" bestFit="1" customWidth="1"/>
    <col min="15685" max="15687" width="2.3984375" style="1188"/>
    <col min="15688" max="15690" width="2.8984375" style="1188" bestFit="1" customWidth="1"/>
    <col min="15691" max="15692" width="2.3984375" style="1188"/>
    <col min="15693" max="15693" width="4.19921875" style="1188" bestFit="1" customWidth="1"/>
    <col min="15694" max="15694" width="2.3984375" style="1188"/>
    <col min="15695" max="15695" width="4.19921875" style="1188" bestFit="1" customWidth="1"/>
    <col min="15696" max="15697" width="2.3984375" style="1188"/>
    <col min="15698" max="15698" width="4.19921875" style="1188" bestFit="1" customWidth="1"/>
    <col min="15699" max="15699" width="2.3984375" style="1188"/>
    <col min="15700" max="15700" width="4.19921875" style="1188" bestFit="1" customWidth="1"/>
    <col min="15701" max="15703" width="2.3984375" style="1188"/>
    <col min="15704" max="15706" width="2.8984375" style="1188" bestFit="1" customWidth="1"/>
    <col min="15707" max="15708" width="2.3984375" style="1188"/>
    <col min="15709" max="15709" width="4.19921875" style="1188" bestFit="1" customWidth="1"/>
    <col min="15710" max="15710" width="2.3984375" style="1188"/>
    <col min="15711" max="15711" width="4.19921875" style="1188" bestFit="1" customWidth="1"/>
    <col min="15712" max="15713" width="2.3984375" style="1188"/>
    <col min="15714" max="15714" width="4.19921875" style="1188" bestFit="1" customWidth="1"/>
    <col min="15715" max="15715" width="2.3984375" style="1188"/>
    <col min="15716" max="15716" width="4.19921875" style="1188" bestFit="1" customWidth="1"/>
    <col min="15717" max="15719" width="2.3984375" style="1188"/>
    <col min="15720" max="15722" width="2.8984375" style="1188" bestFit="1" customWidth="1"/>
    <col min="15723" max="15724" width="2.3984375" style="1188"/>
    <col min="15725" max="15725" width="4.19921875" style="1188" bestFit="1" customWidth="1"/>
    <col min="15726" max="15726" width="2.3984375" style="1188"/>
    <col min="15727" max="15727" width="4.19921875" style="1188" bestFit="1" customWidth="1"/>
    <col min="15728" max="15729" width="2.3984375" style="1188"/>
    <col min="15730" max="15730" width="4.19921875" style="1188" bestFit="1" customWidth="1"/>
    <col min="15731" max="15731" width="2.3984375" style="1188"/>
    <col min="15732" max="15732" width="4.19921875" style="1188" bestFit="1" customWidth="1"/>
    <col min="15733" max="15735" width="2.3984375" style="1188"/>
    <col min="15736" max="15738" width="2.8984375" style="1188" bestFit="1" customWidth="1"/>
    <col min="15739" max="15740" width="2.3984375" style="1188"/>
    <col min="15741" max="15741" width="4.19921875" style="1188" bestFit="1" customWidth="1"/>
    <col min="15742" max="15742" width="2.3984375" style="1188"/>
    <col min="15743" max="15743" width="4.19921875" style="1188" bestFit="1" customWidth="1"/>
    <col min="15744" max="15745" width="2.3984375" style="1188"/>
    <col min="15746" max="15746" width="4.19921875" style="1188" bestFit="1" customWidth="1"/>
    <col min="15747" max="15747" width="2.3984375" style="1188"/>
    <col min="15748" max="15748" width="4.19921875" style="1188" bestFit="1" customWidth="1"/>
    <col min="15749" max="15751" width="2.3984375" style="1188"/>
    <col min="15752" max="15754" width="2.8984375" style="1188" bestFit="1" customWidth="1"/>
    <col min="15755" max="15756" width="2.3984375" style="1188"/>
    <col min="15757" max="15757" width="4.19921875" style="1188" bestFit="1" customWidth="1"/>
    <col min="15758" max="15758" width="2.3984375" style="1188"/>
    <col min="15759" max="15759" width="4.19921875" style="1188" bestFit="1" customWidth="1"/>
    <col min="15760" max="15761" width="2.3984375" style="1188"/>
    <col min="15762" max="15762" width="4.19921875" style="1188" bestFit="1" customWidth="1"/>
    <col min="15763" max="15763" width="2.3984375" style="1188"/>
    <col min="15764" max="15764" width="4.19921875" style="1188" bestFit="1" customWidth="1"/>
    <col min="15765" max="15767" width="2.3984375" style="1188"/>
    <col min="15768" max="15770" width="2.8984375" style="1188" bestFit="1" customWidth="1"/>
    <col min="15771" max="15772" width="2.3984375" style="1188"/>
    <col min="15773" max="15773" width="4.19921875" style="1188" bestFit="1" customWidth="1"/>
    <col min="15774" max="15774" width="2.3984375" style="1188"/>
    <col min="15775" max="15775" width="4.19921875" style="1188" bestFit="1" customWidth="1"/>
    <col min="15776" max="15777" width="2.3984375" style="1188"/>
    <col min="15778" max="15778" width="4.19921875" style="1188" bestFit="1" customWidth="1"/>
    <col min="15779" max="15779" width="2.3984375" style="1188"/>
    <col min="15780" max="15780" width="4.19921875" style="1188" bestFit="1" customWidth="1"/>
    <col min="15781" max="15783" width="2.3984375" style="1188"/>
    <col min="15784" max="15786" width="2.8984375" style="1188" bestFit="1" customWidth="1"/>
    <col min="15787" max="15788" width="2.3984375" style="1188"/>
    <col min="15789" max="15789" width="4.19921875" style="1188" bestFit="1" customWidth="1"/>
    <col min="15790" max="15790" width="2.3984375" style="1188"/>
    <col min="15791" max="15791" width="4.19921875" style="1188" bestFit="1" customWidth="1"/>
    <col min="15792" max="15793" width="2.3984375" style="1188"/>
    <col min="15794" max="15794" width="4.19921875" style="1188" bestFit="1" customWidth="1"/>
    <col min="15795" max="15795" width="2.3984375" style="1188"/>
    <col min="15796" max="15796" width="4.19921875" style="1188" bestFit="1" customWidth="1"/>
    <col min="15797" max="15799" width="2.3984375" style="1188"/>
    <col min="15800" max="15802" width="2.8984375" style="1188" bestFit="1" customWidth="1"/>
    <col min="15803" max="15804" width="2.3984375" style="1188"/>
    <col min="15805" max="15805" width="4.19921875" style="1188" bestFit="1" customWidth="1"/>
    <col min="15806" max="15806" width="2.3984375" style="1188"/>
    <col min="15807" max="15807" width="4.19921875" style="1188" bestFit="1" customWidth="1"/>
    <col min="15808" max="15809" width="2.3984375" style="1188"/>
    <col min="15810" max="15810" width="4.19921875" style="1188" bestFit="1" customWidth="1"/>
    <col min="15811" max="15811" width="2.3984375" style="1188"/>
    <col min="15812" max="15812" width="4.19921875" style="1188" bestFit="1" customWidth="1"/>
    <col min="15813" max="15815" width="2.3984375" style="1188"/>
    <col min="15816" max="15818" width="2.8984375" style="1188" bestFit="1" customWidth="1"/>
    <col min="15819" max="15820" width="2.3984375" style="1188"/>
    <col min="15821" max="15821" width="4.19921875" style="1188" bestFit="1" customWidth="1"/>
    <col min="15822" max="15822" width="2.3984375" style="1188"/>
    <col min="15823" max="15823" width="4.19921875" style="1188" bestFit="1" customWidth="1"/>
    <col min="15824" max="15825" width="2.3984375" style="1188"/>
    <col min="15826" max="15826" width="4.19921875" style="1188" bestFit="1" customWidth="1"/>
    <col min="15827" max="15827" width="2.3984375" style="1188"/>
    <col min="15828" max="15828" width="4.19921875" style="1188" bestFit="1" customWidth="1"/>
    <col min="15829" max="15831" width="2.3984375" style="1188"/>
    <col min="15832" max="15834" width="2.8984375" style="1188" bestFit="1" customWidth="1"/>
    <col min="15835" max="15836" width="2.3984375" style="1188"/>
    <col min="15837" max="15837" width="4.19921875" style="1188" bestFit="1" customWidth="1"/>
    <col min="15838" max="15838" width="2.3984375" style="1188"/>
    <col min="15839" max="15839" width="4.19921875" style="1188" bestFit="1" customWidth="1"/>
    <col min="15840" max="15841" width="2.3984375" style="1188"/>
    <col min="15842" max="15842" width="4.19921875" style="1188" bestFit="1" customWidth="1"/>
    <col min="15843" max="15843" width="2.3984375" style="1188"/>
    <col min="15844" max="15844" width="4.19921875" style="1188" bestFit="1" customWidth="1"/>
    <col min="15845" max="15847" width="2.3984375" style="1188"/>
    <col min="15848" max="15850" width="2.8984375" style="1188" bestFit="1" customWidth="1"/>
    <col min="15851" max="15852" width="2.3984375" style="1188"/>
    <col min="15853" max="15853" width="4.19921875" style="1188" bestFit="1" customWidth="1"/>
    <col min="15854" max="15854" width="2.3984375" style="1188"/>
    <col min="15855" max="15855" width="4.19921875" style="1188" bestFit="1" customWidth="1"/>
    <col min="15856" max="15857" width="2.3984375" style="1188"/>
    <col min="15858" max="15858" width="4.19921875" style="1188" bestFit="1" customWidth="1"/>
    <col min="15859" max="15859" width="2.3984375" style="1188"/>
    <col min="15860" max="15860" width="4.19921875" style="1188" bestFit="1" customWidth="1"/>
    <col min="15861" max="15863" width="2.3984375" style="1188"/>
    <col min="15864" max="15866" width="2.8984375" style="1188" bestFit="1" customWidth="1"/>
    <col min="15867" max="15868" width="2.3984375" style="1188"/>
    <col min="15869" max="15869" width="4.19921875" style="1188" bestFit="1" customWidth="1"/>
    <col min="15870" max="15870" width="2.3984375" style="1188"/>
    <col min="15871" max="15871" width="4.19921875" style="1188" bestFit="1" customWidth="1"/>
    <col min="15872" max="15873" width="2.3984375" style="1188"/>
    <col min="15874" max="15874" width="4.19921875" style="1188" bestFit="1" customWidth="1"/>
    <col min="15875" max="15875" width="2.3984375" style="1188"/>
    <col min="15876" max="15876" width="4.19921875" style="1188" bestFit="1" customWidth="1"/>
    <col min="15877" max="15879" width="2.3984375" style="1188"/>
    <col min="15880" max="15882" width="2.8984375" style="1188" bestFit="1" customWidth="1"/>
    <col min="15883" max="15884" width="2.3984375" style="1188"/>
    <col min="15885" max="15885" width="4.19921875" style="1188" bestFit="1" customWidth="1"/>
    <col min="15886" max="15886" width="2.3984375" style="1188"/>
    <col min="15887" max="15887" width="4.19921875" style="1188" bestFit="1" customWidth="1"/>
    <col min="15888" max="15889" width="2.3984375" style="1188"/>
    <col min="15890" max="15890" width="4.19921875" style="1188" bestFit="1" customWidth="1"/>
    <col min="15891" max="15891" width="2.3984375" style="1188"/>
    <col min="15892" max="15892" width="4.19921875" style="1188" bestFit="1" customWidth="1"/>
    <col min="15893" max="15895" width="2.3984375" style="1188"/>
    <col min="15896" max="15898" width="2.8984375" style="1188" bestFit="1" customWidth="1"/>
    <col min="15899" max="15900" width="2.3984375" style="1188"/>
    <col min="15901" max="15901" width="4.19921875" style="1188" bestFit="1" customWidth="1"/>
    <col min="15902" max="15902" width="2.3984375" style="1188"/>
    <col min="15903" max="15903" width="4.19921875" style="1188" bestFit="1" customWidth="1"/>
    <col min="15904" max="15905" width="2.3984375" style="1188"/>
    <col min="15906" max="15906" width="4.19921875" style="1188" bestFit="1" customWidth="1"/>
    <col min="15907" max="15907" width="2.3984375" style="1188"/>
    <col min="15908" max="15908" width="4.19921875" style="1188" bestFit="1" customWidth="1"/>
    <col min="15909" max="15911" width="2.3984375" style="1188"/>
    <col min="15912" max="15914" width="2.8984375" style="1188" bestFit="1" customWidth="1"/>
    <col min="15915" max="15916" width="2.3984375" style="1188"/>
    <col min="15917" max="15917" width="4.19921875" style="1188" bestFit="1" customWidth="1"/>
    <col min="15918" max="15918" width="2.3984375" style="1188"/>
    <col min="15919" max="15919" width="4.19921875" style="1188" bestFit="1" customWidth="1"/>
    <col min="15920" max="15921" width="2.3984375" style="1188"/>
    <col min="15922" max="15922" width="4.19921875" style="1188" bestFit="1" customWidth="1"/>
    <col min="15923" max="15923" width="2.3984375" style="1188"/>
    <col min="15924" max="15924" width="4.19921875" style="1188" bestFit="1" customWidth="1"/>
    <col min="15925" max="15927" width="2.3984375" style="1188"/>
    <col min="15928" max="15930" width="2.8984375" style="1188" bestFit="1" customWidth="1"/>
    <col min="15931" max="15932" width="2.3984375" style="1188"/>
    <col min="15933" max="15933" width="4.19921875" style="1188" bestFit="1" customWidth="1"/>
    <col min="15934" max="15934" width="2.3984375" style="1188"/>
    <col min="15935" max="15935" width="4.19921875" style="1188" bestFit="1" customWidth="1"/>
    <col min="15936" max="15937" width="2.3984375" style="1188"/>
    <col min="15938" max="15938" width="4.19921875" style="1188" bestFit="1" customWidth="1"/>
    <col min="15939" max="15939" width="2.3984375" style="1188"/>
    <col min="15940" max="15940" width="4.19921875" style="1188" bestFit="1" customWidth="1"/>
    <col min="15941" max="15943" width="2.3984375" style="1188"/>
    <col min="15944" max="15946" width="2.8984375" style="1188" bestFit="1" customWidth="1"/>
    <col min="15947" max="15948" width="2.3984375" style="1188"/>
    <col min="15949" max="15949" width="4.19921875" style="1188" bestFit="1" customWidth="1"/>
    <col min="15950" max="15950" width="2.3984375" style="1188"/>
    <col min="15951" max="15951" width="4.19921875" style="1188" bestFit="1" customWidth="1"/>
    <col min="15952" max="15953" width="2.3984375" style="1188"/>
    <col min="15954" max="15954" width="4.19921875" style="1188" bestFit="1" customWidth="1"/>
    <col min="15955" max="15955" width="2.3984375" style="1188"/>
    <col min="15956" max="15956" width="4.19921875" style="1188" bestFit="1" customWidth="1"/>
    <col min="15957" max="15959" width="2.3984375" style="1188"/>
    <col min="15960" max="15962" width="2.8984375" style="1188" bestFit="1" customWidth="1"/>
    <col min="15963" max="15964" width="2.3984375" style="1188"/>
    <col min="15965" max="15965" width="4.19921875" style="1188" bestFit="1" customWidth="1"/>
    <col min="15966" max="15966" width="2.3984375" style="1188"/>
    <col min="15967" max="15967" width="4.19921875" style="1188" bestFit="1" customWidth="1"/>
    <col min="15968" max="15969" width="2.3984375" style="1188"/>
    <col min="15970" max="15970" width="4.19921875" style="1188" bestFit="1" customWidth="1"/>
    <col min="15971" max="15971" width="2.3984375" style="1188"/>
    <col min="15972" max="15972" width="4.19921875" style="1188" bestFit="1" customWidth="1"/>
    <col min="15973" max="15975" width="2.3984375" style="1188"/>
    <col min="15976" max="15978" width="2.8984375" style="1188" bestFit="1" customWidth="1"/>
    <col min="15979" max="15980" width="2.3984375" style="1188"/>
    <col min="15981" max="15981" width="4.19921875" style="1188" bestFit="1" customWidth="1"/>
    <col min="15982" max="15982" width="2.3984375" style="1188"/>
    <col min="15983" max="15983" width="4.19921875" style="1188" bestFit="1" customWidth="1"/>
    <col min="15984" max="15985" width="2.3984375" style="1188"/>
    <col min="15986" max="15986" width="4.19921875" style="1188" bestFit="1" customWidth="1"/>
    <col min="15987" max="15987" width="2.3984375" style="1188"/>
    <col min="15988" max="15988" width="4.19921875" style="1188" bestFit="1" customWidth="1"/>
    <col min="15989" max="15991" width="2.3984375" style="1188"/>
    <col min="15992" max="15994" width="2.8984375" style="1188" bestFit="1" customWidth="1"/>
    <col min="15995" max="15996" width="2.3984375" style="1188"/>
    <col min="15997" max="15997" width="4.19921875" style="1188" bestFit="1" customWidth="1"/>
    <col min="15998" max="15998" width="2.3984375" style="1188"/>
    <col min="15999" max="15999" width="4.19921875" style="1188" bestFit="1" customWidth="1"/>
    <col min="16000" max="16001" width="2.3984375" style="1188"/>
    <col min="16002" max="16002" width="4.19921875" style="1188" bestFit="1" customWidth="1"/>
    <col min="16003" max="16003" width="2.3984375" style="1188"/>
    <col min="16004" max="16004" width="4.19921875" style="1188" bestFit="1" customWidth="1"/>
    <col min="16005" max="16007" width="2.3984375" style="1188"/>
    <col min="16008" max="16010" width="2.8984375" style="1188" bestFit="1" customWidth="1"/>
    <col min="16011" max="16012" width="2.3984375" style="1188"/>
    <col min="16013" max="16013" width="4.19921875" style="1188" bestFit="1" customWidth="1"/>
    <col min="16014" max="16014" width="2.3984375" style="1188"/>
    <col min="16015" max="16015" width="4.19921875" style="1188" bestFit="1" customWidth="1"/>
    <col min="16016" max="16017" width="2.3984375" style="1188"/>
    <col min="16018" max="16018" width="4.19921875" style="1188" bestFit="1" customWidth="1"/>
    <col min="16019" max="16019" width="2.3984375" style="1188"/>
    <col min="16020" max="16020" width="4.19921875" style="1188" bestFit="1" customWidth="1"/>
    <col min="16021" max="16023" width="2.3984375" style="1188"/>
    <col min="16024" max="16026" width="2.8984375" style="1188" bestFit="1" customWidth="1"/>
    <col min="16027" max="16028" width="2.3984375" style="1188"/>
    <col min="16029" max="16029" width="4.19921875" style="1188" bestFit="1" customWidth="1"/>
    <col min="16030" max="16030" width="2.3984375" style="1188"/>
    <col min="16031" max="16031" width="4.19921875" style="1188" bestFit="1" customWidth="1"/>
    <col min="16032" max="16033" width="2.3984375" style="1188"/>
    <col min="16034" max="16034" width="4.19921875" style="1188" bestFit="1" customWidth="1"/>
    <col min="16035" max="16035" width="2.3984375" style="1188"/>
    <col min="16036" max="16036" width="4.19921875" style="1188" bestFit="1" customWidth="1"/>
    <col min="16037" max="16039" width="2.3984375" style="1188"/>
    <col min="16040" max="16042" width="2.8984375" style="1188" bestFit="1" customWidth="1"/>
    <col min="16043" max="16044" width="2.3984375" style="1188"/>
    <col min="16045" max="16045" width="4.19921875" style="1188" bestFit="1" customWidth="1"/>
    <col min="16046" max="16046" width="2.3984375" style="1188"/>
    <col min="16047" max="16047" width="4.19921875" style="1188" bestFit="1" customWidth="1"/>
    <col min="16048" max="16049" width="2.3984375" style="1188"/>
    <col min="16050" max="16050" width="4.19921875" style="1188" bestFit="1" customWidth="1"/>
    <col min="16051" max="16051" width="2.3984375" style="1188"/>
    <col min="16052" max="16052" width="4.19921875" style="1188" bestFit="1" customWidth="1"/>
    <col min="16053" max="16055" width="2.3984375" style="1188"/>
    <col min="16056" max="16058" width="2.8984375" style="1188" bestFit="1" customWidth="1"/>
    <col min="16059" max="16060" width="2.3984375" style="1188"/>
    <col min="16061" max="16061" width="4.19921875" style="1188" bestFit="1" customWidth="1"/>
    <col min="16062" max="16062" width="2.3984375" style="1188"/>
    <col min="16063" max="16063" width="4.19921875" style="1188" bestFit="1" customWidth="1"/>
    <col min="16064" max="16065" width="2.3984375" style="1188"/>
    <col min="16066" max="16066" width="4.19921875" style="1188" bestFit="1" customWidth="1"/>
    <col min="16067" max="16067" width="2.3984375" style="1188"/>
    <col min="16068" max="16068" width="4.19921875" style="1188" bestFit="1" customWidth="1"/>
    <col min="16069" max="16071" width="2.3984375" style="1188"/>
    <col min="16072" max="16074" width="2.8984375" style="1188" bestFit="1" customWidth="1"/>
    <col min="16075" max="16076" width="2.3984375" style="1188"/>
    <col min="16077" max="16077" width="4.19921875" style="1188" bestFit="1" customWidth="1"/>
    <col min="16078" max="16078" width="2.3984375" style="1188"/>
    <col min="16079" max="16079" width="4.19921875" style="1188" bestFit="1" customWidth="1"/>
    <col min="16080" max="16081" width="2.3984375" style="1188"/>
    <col min="16082" max="16082" width="4.19921875" style="1188" bestFit="1" customWidth="1"/>
    <col min="16083" max="16083" width="2.3984375" style="1188"/>
    <col min="16084" max="16084" width="4.19921875" style="1188" bestFit="1" customWidth="1"/>
    <col min="16085" max="16087" width="2.3984375" style="1188"/>
    <col min="16088" max="16090" width="2.8984375" style="1188" bestFit="1" customWidth="1"/>
    <col min="16091" max="16092" width="2.3984375" style="1188"/>
    <col min="16093" max="16093" width="4.19921875" style="1188" bestFit="1" customWidth="1"/>
    <col min="16094" max="16094" width="2.3984375" style="1188"/>
    <col min="16095" max="16095" width="4.19921875" style="1188" bestFit="1" customWidth="1"/>
    <col min="16096" max="16097" width="2.3984375" style="1188"/>
    <col min="16098" max="16098" width="4.19921875" style="1188" bestFit="1" customWidth="1"/>
    <col min="16099" max="16099" width="2.3984375" style="1188"/>
    <col min="16100" max="16100" width="4.19921875" style="1188" bestFit="1" customWidth="1"/>
    <col min="16101" max="16103" width="2.3984375" style="1188"/>
    <col min="16104" max="16106" width="2.8984375" style="1188" bestFit="1" customWidth="1"/>
    <col min="16107" max="16108" width="2.3984375" style="1188"/>
    <col min="16109" max="16109" width="4.19921875" style="1188" bestFit="1" customWidth="1"/>
    <col min="16110" max="16110" width="2.3984375" style="1188"/>
    <col min="16111" max="16111" width="4.19921875" style="1188" bestFit="1" customWidth="1"/>
    <col min="16112" max="16113" width="2.3984375" style="1188"/>
    <col min="16114" max="16114" width="4.19921875" style="1188" bestFit="1" customWidth="1"/>
    <col min="16115" max="16115" width="2.3984375" style="1188"/>
    <col min="16116" max="16116" width="4.19921875" style="1188" bestFit="1" customWidth="1"/>
    <col min="16117" max="16119" width="2.3984375" style="1188"/>
    <col min="16120" max="16122" width="2.8984375" style="1188" bestFit="1" customWidth="1"/>
    <col min="16123" max="16124" width="2.3984375" style="1188"/>
    <col min="16125" max="16125" width="4.19921875" style="1188" bestFit="1" customWidth="1"/>
    <col min="16126" max="16126" width="2.3984375" style="1188"/>
    <col min="16127" max="16127" width="4.19921875" style="1188" bestFit="1" customWidth="1"/>
    <col min="16128" max="16129" width="2.3984375" style="1188"/>
    <col min="16130" max="16130" width="4.19921875" style="1188" bestFit="1" customWidth="1"/>
    <col min="16131" max="16131" width="2.3984375" style="1188"/>
    <col min="16132" max="16132" width="4.19921875" style="1188" bestFit="1" customWidth="1"/>
    <col min="16133" max="16135" width="2.3984375" style="1188"/>
    <col min="16136" max="16138" width="2.8984375" style="1188" bestFit="1" customWidth="1"/>
    <col min="16139" max="16140" width="2.3984375" style="1188"/>
    <col min="16141" max="16141" width="4.19921875" style="1188" bestFit="1" customWidth="1"/>
    <col min="16142" max="16142" width="2.3984375" style="1188"/>
    <col min="16143" max="16143" width="4.19921875" style="1188" bestFit="1" customWidth="1"/>
    <col min="16144" max="16145" width="2.3984375" style="1188"/>
    <col min="16146" max="16146" width="4.19921875" style="1188" bestFit="1" customWidth="1"/>
    <col min="16147" max="16147" width="2.3984375" style="1188"/>
    <col min="16148" max="16148" width="4.19921875" style="1188" bestFit="1" customWidth="1"/>
    <col min="16149" max="16151" width="2.3984375" style="1188"/>
    <col min="16152" max="16154" width="2.8984375" style="1188" bestFit="1" customWidth="1"/>
    <col min="16155" max="16156" width="2.3984375" style="1188"/>
    <col min="16157" max="16157" width="4.19921875" style="1188" bestFit="1" customWidth="1"/>
    <col min="16158" max="16158" width="2.3984375" style="1188"/>
    <col min="16159" max="16159" width="4.19921875" style="1188" bestFit="1" customWidth="1"/>
    <col min="16160" max="16161" width="2.3984375" style="1188"/>
    <col min="16162" max="16162" width="4.19921875" style="1188" bestFit="1" customWidth="1"/>
    <col min="16163" max="16163" width="2.3984375" style="1188"/>
    <col min="16164" max="16164" width="4.19921875" style="1188" bestFit="1" customWidth="1"/>
    <col min="16165" max="16167" width="2.3984375" style="1188"/>
    <col min="16168" max="16170" width="2.8984375" style="1188" bestFit="1" customWidth="1"/>
    <col min="16171" max="16172" width="2.3984375" style="1188"/>
    <col min="16173" max="16173" width="4.19921875" style="1188" bestFit="1" customWidth="1"/>
    <col min="16174" max="16174" width="2.3984375" style="1188"/>
    <col min="16175" max="16175" width="4.19921875" style="1188" bestFit="1" customWidth="1"/>
    <col min="16176" max="16177" width="2.3984375" style="1188"/>
    <col min="16178" max="16178" width="4.19921875" style="1188" bestFit="1" customWidth="1"/>
    <col min="16179" max="16179" width="2.3984375" style="1188"/>
    <col min="16180" max="16180" width="4.19921875" style="1188" bestFit="1" customWidth="1"/>
    <col min="16181" max="16183" width="2.3984375" style="1188"/>
    <col min="16184" max="16186" width="2.8984375" style="1188" bestFit="1" customWidth="1"/>
    <col min="16187" max="16188" width="2.3984375" style="1188"/>
    <col min="16189" max="16189" width="4.19921875" style="1188" bestFit="1" customWidth="1"/>
    <col min="16190" max="16190" width="2.3984375" style="1188"/>
    <col min="16191" max="16191" width="4.19921875" style="1188" bestFit="1" customWidth="1"/>
    <col min="16192" max="16193" width="2.3984375" style="1188"/>
    <col min="16194" max="16194" width="4.19921875" style="1188" bestFit="1" customWidth="1"/>
    <col min="16195" max="16195" width="2.3984375" style="1188"/>
    <col min="16196" max="16196" width="4.19921875" style="1188" bestFit="1" customWidth="1"/>
    <col min="16197" max="16199" width="2.3984375" style="1188"/>
    <col min="16200" max="16202" width="2.8984375" style="1188" bestFit="1" customWidth="1"/>
    <col min="16203" max="16204" width="2.3984375" style="1188"/>
    <col min="16205" max="16205" width="4.19921875" style="1188" bestFit="1" customWidth="1"/>
    <col min="16206" max="16206" width="2.3984375" style="1188"/>
    <col min="16207" max="16207" width="4.19921875" style="1188" bestFit="1" customWidth="1"/>
    <col min="16208" max="16209" width="2.3984375" style="1188"/>
    <col min="16210" max="16210" width="4.19921875" style="1188" bestFit="1" customWidth="1"/>
    <col min="16211" max="16211" width="2.3984375" style="1188"/>
    <col min="16212" max="16212" width="4.19921875" style="1188" bestFit="1" customWidth="1"/>
    <col min="16213" max="16215" width="2.3984375" style="1188"/>
    <col min="16216" max="16218" width="2.8984375" style="1188" bestFit="1" customWidth="1"/>
    <col min="16219" max="16220" width="2.3984375" style="1188"/>
    <col min="16221" max="16221" width="4.19921875" style="1188" bestFit="1" customWidth="1"/>
    <col min="16222" max="16222" width="2.3984375" style="1188"/>
    <col min="16223" max="16223" width="4.19921875" style="1188" bestFit="1" customWidth="1"/>
    <col min="16224" max="16225" width="2.3984375" style="1188"/>
    <col min="16226" max="16226" width="4.19921875" style="1188" bestFit="1" customWidth="1"/>
    <col min="16227" max="16227" width="2.3984375" style="1188"/>
    <col min="16228" max="16228" width="4.19921875" style="1188" bestFit="1" customWidth="1"/>
    <col min="16229" max="16231" width="2.3984375" style="1188"/>
    <col min="16232" max="16234" width="2.8984375" style="1188" bestFit="1" customWidth="1"/>
    <col min="16235" max="16236" width="2.3984375" style="1188"/>
    <col min="16237" max="16237" width="4.19921875" style="1188" bestFit="1" customWidth="1"/>
    <col min="16238" max="16238" width="2.3984375" style="1188"/>
    <col min="16239" max="16239" width="4.19921875" style="1188" bestFit="1" customWidth="1"/>
    <col min="16240" max="16241" width="2.3984375" style="1188"/>
    <col min="16242" max="16242" width="4.19921875" style="1188" bestFit="1" customWidth="1"/>
    <col min="16243" max="16243" width="2.3984375" style="1188"/>
    <col min="16244" max="16244" width="4.19921875" style="1188" bestFit="1" customWidth="1"/>
    <col min="16245" max="16247" width="2.3984375" style="1188"/>
    <col min="16248" max="16250" width="2.8984375" style="1188" bestFit="1" customWidth="1"/>
    <col min="16251" max="16252" width="2.3984375" style="1188"/>
    <col min="16253" max="16253" width="4.19921875" style="1188" bestFit="1" customWidth="1"/>
    <col min="16254" max="16254" width="2.3984375" style="1188"/>
    <col min="16255" max="16255" width="4.19921875" style="1188" bestFit="1" customWidth="1"/>
    <col min="16256" max="16257" width="2.3984375" style="1188"/>
    <col min="16258" max="16258" width="4.19921875" style="1188" bestFit="1" customWidth="1"/>
    <col min="16259" max="16259" width="2.3984375" style="1188"/>
    <col min="16260" max="16260" width="4.19921875" style="1188" bestFit="1" customWidth="1"/>
    <col min="16261" max="16263" width="2.3984375" style="1188"/>
    <col min="16264" max="16266" width="2.8984375" style="1188" bestFit="1" customWidth="1"/>
    <col min="16267" max="16268" width="2.3984375" style="1188"/>
    <col min="16269" max="16269" width="4.19921875" style="1188" bestFit="1" customWidth="1"/>
    <col min="16270" max="16270" width="2.3984375" style="1188"/>
    <col min="16271" max="16271" width="4.19921875" style="1188" bestFit="1" customWidth="1"/>
    <col min="16272" max="16273" width="2.3984375" style="1188"/>
    <col min="16274" max="16274" width="4.19921875" style="1188" bestFit="1" customWidth="1"/>
    <col min="16275" max="16275" width="2.3984375" style="1188"/>
    <col min="16276" max="16276" width="4.19921875" style="1188" bestFit="1" customWidth="1"/>
    <col min="16277" max="16279" width="2.3984375" style="1188"/>
    <col min="16280" max="16282" width="2.8984375" style="1188" bestFit="1" customWidth="1"/>
    <col min="16283" max="16284" width="2.3984375" style="1188"/>
    <col min="16285" max="16285" width="4.19921875" style="1188" bestFit="1" customWidth="1"/>
    <col min="16286" max="16286" width="2.3984375" style="1188"/>
    <col min="16287" max="16287" width="4.19921875" style="1188" bestFit="1" customWidth="1"/>
    <col min="16288" max="16289" width="2.3984375" style="1188"/>
    <col min="16290" max="16290" width="4.19921875" style="1188" bestFit="1" customWidth="1"/>
    <col min="16291" max="16291" width="2.3984375" style="1188"/>
    <col min="16292" max="16292" width="4.19921875" style="1188" bestFit="1" customWidth="1"/>
    <col min="16293" max="16295" width="2.3984375" style="1188"/>
    <col min="16296" max="16298" width="2.8984375" style="1188" bestFit="1" customWidth="1"/>
    <col min="16299" max="16300" width="2.3984375" style="1188"/>
    <col min="16301" max="16301" width="4.19921875" style="1188" bestFit="1" customWidth="1"/>
    <col min="16302" max="16302" width="2.3984375" style="1188"/>
    <col min="16303" max="16303" width="4.19921875" style="1188" bestFit="1" customWidth="1"/>
    <col min="16304" max="16305" width="2.3984375" style="1188"/>
    <col min="16306" max="16306" width="4.19921875" style="1188" bestFit="1" customWidth="1"/>
    <col min="16307" max="16307" width="2.3984375" style="1188"/>
    <col min="16308" max="16308" width="4.19921875" style="1188" bestFit="1" customWidth="1"/>
    <col min="16309" max="16311" width="2.3984375" style="1188"/>
    <col min="16312" max="16314" width="2.8984375" style="1188" bestFit="1" customWidth="1"/>
    <col min="16315" max="16316" width="2.3984375" style="1188"/>
    <col min="16317" max="16317" width="4.19921875" style="1188" bestFit="1" customWidth="1"/>
    <col min="16318" max="16318" width="2.3984375" style="1188"/>
    <col min="16319" max="16319" width="4.19921875" style="1188" bestFit="1" customWidth="1"/>
    <col min="16320" max="16321" width="2.3984375" style="1188"/>
    <col min="16322" max="16322" width="4.19921875" style="1188" bestFit="1" customWidth="1"/>
    <col min="16323" max="16323" width="2.3984375" style="1188"/>
    <col min="16324" max="16324" width="4.19921875" style="1188" bestFit="1" customWidth="1"/>
    <col min="16325" max="16327" width="2.3984375" style="1188"/>
    <col min="16328" max="16330" width="2.8984375" style="1188" bestFit="1" customWidth="1"/>
    <col min="16331" max="16332" width="2.3984375" style="1188"/>
    <col min="16333" max="16333" width="4.19921875" style="1188" bestFit="1" customWidth="1"/>
    <col min="16334" max="16334" width="2.3984375" style="1188"/>
    <col min="16335" max="16335" width="4.19921875" style="1188" bestFit="1" customWidth="1"/>
    <col min="16336" max="16337" width="2.3984375" style="1188"/>
    <col min="16338" max="16338" width="4.19921875" style="1188" bestFit="1" customWidth="1"/>
    <col min="16339" max="16339" width="2.3984375" style="1188"/>
    <col min="16340" max="16340" width="4.19921875" style="1188" bestFit="1" customWidth="1"/>
    <col min="16341" max="16343" width="2.3984375" style="1188"/>
    <col min="16344" max="16346" width="2.8984375" style="1188" bestFit="1" customWidth="1"/>
    <col min="16347" max="16348" width="2.3984375" style="1188"/>
    <col min="16349" max="16349" width="4.19921875" style="1188" bestFit="1" customWidth="1"/>
    <col min="16350" max="16350" width="2.3984375" style="1188"/>
    <col min="16351" max="16351" width="4.19921875" style="1188" bestFit="1" customWidth="1"/>
    <col min="16352" max="16353" width="2.3984375" style="1188"/>
    <col min="16354" max="16354" width="4.19921875" style="1188" bestFit="1" customWidth="1"/>
    <col min="16355" max="16355" width="2.3984375" style="1188"/>
    <col min="16356" max="16356" width="4.19921875" style="1188" bestFit="1" customWidth="1"/>
    <col min="16357" max="16359" width="2.3984375" style="1188"/>
    <col min="16360" max="16363" width="7.796875" style="1188" bestFit="1" customWidth="1"/>
    <col min="16364" max="16364" width="2.3984375" style="1188"/>
    <col min="16365" max="16365" width="4.19921875" style="1188" bestFit="1" customWidth="1"/>
    <col min="16366" max="16366" width="2.3984375" style="1188"/>
    <col min="16367" max="16367" width="4.19921875" style="1188" bestFit="1" customWidth="1"/>
    <col min="16368" max="16369" width="2.3984375" style="1188"/>
    <col min="16370" max="16370" width="4.19921875" style="1188" bestFit="1" customWidth="1"/>
    <col min="16371" max="16371" width="2.3984375" style="1188"/>
    <col min="16372" max="16372" width="4.19921875" style="1188" bestFit="1" customWidth="1"/>
    <col min="16373" max="16375" width="2.3984375" style="1188"/>
    <col min="16376" max="16379" width="7.796875" style="1188" bestFit="1" customWidth="1"/>
    <col min="16380" max="16380" width="2.3984375" style="1188"/>
    <col min="16381" max="16381" width="4.19921875" style="1188" bestFit="1" customWidth="1"/>
    <col min="16382" max="16384" width="4.19921875" style="1188" customWidth="1"/>
  </cols>
  <sheetData>
    <row r="1" spans="1:24" ht="21" thickBot="1" x14ac:dyDescent="0.5">
      <c r="A1" s="1321" t="s">
        <v>1752</v>
      </c>
      <c r="B1" s="374" t="s">
        <v>2646</v>
      </c>
      <c r="C1" s="375" t="s">
        <v>1217</v>
      </c>
      <c r="D1" s="375"/>
      <c r="E1" s="375" t="s">
        <v>1742</v>
      </c>
      <c r="F1" s="375"/>
      <c r="G1" s="375" t="s">
        <v>1744</v>
      </c>
      <c r="H1" s="374" t="s">
        <v>1673</v>
      </c>
      <c r="I1" s="375" t="s">
        <v>3528</v>
      </c>
      <c r="J1" s="374" t="s">
        <v>1217</v>
      </c>
      <c r="K1" s="374" t="s">
        <v>1675</v>
      </c>
      <c r="L1" s="374" t="s">
        <v>1036</v>
      </c>
      <c r="M1" s="374" t="s">
        <v>1066</v>
      </c>
      <c r="N1" s="374" t="s">
        <v>1674</v>
      </c>
      <c r="O1" s="374" t="s">
        <v>1985</v>
      </c>
      <c r="P1" s="376" t="s">
        <v>1986</v>
      </c>
    </row>
    <row r="2" spans="1:24" ht="19.8" thickTop="1" x14ac:dyDescent="0.45">
      <c r="A2" s="1357" t="s">
        <v>1751</v>
      </c>
      <c r="B2" s="1358">
        <f t="shared" ref="B2:B48" si="0">ROW()-1</f>
        <v>1</v>
      </c>
      <c r="C2" s="1359" t="s">
        <v>1694</v>
      </c>
      <c r="D2" s="1359" t="s">
        <v>1003</v>
      </c>
      <c r="E2" s="1359" t="s">
        <v>1709</v>
      </c>
      <c r="F2" s="1359" t="s">
        <v>1003</v>
      </c>
      <c r="G2" s="1360" t="s">
        <v>1700</v>
      </c>
      <c r="H2" s="1360" t="str">
        <f t="shared" ref="H2:H11" si="1">CONCATENATE(C2,D2,E2,F2,G2)</f>
        <v>CZ-2F-24</v>
      </c>
      <c r="I2" s="1360" t="str">
        <f t="shared" ref="I2:I31" si="2">CONCATENATE(IF(RIGHT(G2,1)="S","固体","液体"),LEFT(G2,1),IF(MID(G2,2,1)&lt;&gt;"0",".5",""),"级(",MID(G2,2,1),"助推器)")</f>
        <v>液体2.5级(4助推器)</v>
      </c>
      <c r="J2" s="1359" t="s">
        <v>138</v>
      </c>
      <c r="K2" s="1361">
        <f ca="1">N2/火箭年間統計!$B$9</f>
        <v>3.7179487179487179E-2</v>
      </c>
      <c r="L2" s="1362">
        <f t="shared" ref="L2:L7" si="3">M2/N2</f>
        <v>1</v>
      </c>
      <c r="M2" s="1358">
        <f>火箭年間統計!J8</f>
        <v>29</v>
      </c>
      <c r="N2" s="1358">
        <f>火箭年間統計!J9</f>
        <v>29</v>
      </c>
      <c r="O2" s="1358">
        <v>8.8000000000000007</v>
      </c>
      <c r="P2" s="1363" t="s">
        <v>1003</v>
      </c>
      <c r="Q2" s="77" t="str">
        <f t="shared" ref="Q2:Q10" si="4">IF(L2&lt;L3,"×","〇")</f>
        <v>〇</v>
      </c>
      <c r="R2" s="472" t="s">
        <v>2663</v>
      </c>
      <c r="S2" s="472"/>
      <c r="T2" s="472"/>
      <c r="U2" s="472"/>
      <c r="V2" s="472"/>
      <c r="W2" s="472"/>
      <c r="X2" s="472"/>
    </row>
    <row r="3" spans="1:24" x14ac:dyDescent="0.45">
      <c r="A3" s="1364" t="s">
        <v>1751</v>
      </c>
      <c r="B3" s="1365">
        <f t="shared" si="0"/>
        <v>2</v>
      </c>
      <c r="C3" s="1366" t="s">
        <v>1694</v>
      </c>
      <c r="D3" s="1366" t="s">
        <v>1003</v>
      </c>
      <c r="E3" s="1366" t="s">
        <v>1719</v>
      </c>
      <c r="F3" s="1366" t="s">
        <v>1003</v>
      </c>
      <c r="G3" s="1367" t="s">
        <v>1700</v>
      </c>
      <c r="H3" s="1367" t="str">
        <f>CONCATENATE(C3,D3,E3,F3,G3)</f>
        <v>CZ-6A-24</v>
      </c>
      <c r="I3" s="1367" t="str">
        <f t="shared" si="2"/>
        <v>液体2.5级(4助推器)</v>
      </c>
      <c r="J3" s="1366" t="s">
        <v>670</v>
      </c>
      <c r="K3" s="1368">
        <f ca="1">N3/火箭年間統計!$B$9</f>
        <v>3.2051282051282048E-2</v>
      </c>
      <c r="L3" s="1369">
        <f t="shared" si="3"/>
        <v>1</v>
      </c>
      <c r="M3" s="1365">
        <f>火箭年間統計!U8</f>
        <v>25</v>
      </c>
      <c r="N3" s="1365">
        <f>火箭年間統計!U9</f>
        <v>25</v>
      </c>
      <c r="O3" s="1365">
        <v>8</v>
      </c>
      <c r="P3" s="1370">
        <v>6.5</v>
      </c>
      <c r="Q3" s="77" t="str">
        <f t="shared" si="4"/>
        <v>〇</v>
      </c>
      <c r="R3" s="471" t="s">
        <v>2664</v>
      </c>
      <c r="S3" s="471"/>
      <c r="T3" s="471"/>
      <c r="U3" s="471"/>
      <c r="V3" s="471"/>
      <c r="W3" s="471"/>
      <c r="X3" s="471"/>
    </row>
    <row r="4" spans="1:24" x14ac:dyDescent="0.45">
      <c r="A4" s="1364" t="s">
        <v>1751</v>
      </c>
      <c r="B4" s="1365">
        <f t="shared" si="0"/>
        <v>3</v>
      </c>
      <c r="C4" s="1366" t="s">
        <v>1694</v>
      </c>
      <c r="D4" s="1366" t="s">
        <v>3</v>
      </c>
      <c r="E4" s="1366" t="s">
        <v>1731</v>
      </c>
      <c r="F4" s="1366" t="s">
        <v>3</v>
      </c>
      <c r="G4" s="1367" t="s">
        <v>2801</v>
      </c>
      <c r="H4" s="1366" t="s">
        <v>2802</v>
      </c>
      <c r="I4" s="1366" t="str">
        <f t="shared" si="2"/>
        <v>液体3.5级(2助推器)</v>
      </c>
      <c r="J4" s="1366" t="s">
        <v>203</v>
      </c>
      <c r="K4" s="1368">
        <f ca="1">N4/火箭年間統計!$B$9</f>
        <v>2.564102564102564E-2</v>
      </c>
      <c r="L4" s="1369">
        <f t="shared" si="3"/>
        <v>1</v>
      </c>
      <c r="M4" s="1365">
        <f>火箭年間統計!N8</f>
        <v>20</v>
      </c>
      <c r="N4" s="1365">
        <f>火箭年間統計!N9</f>
        <v>20</v>
      </c>
      <c r="O4" s="1365">
        <v>7</v>
      </c>
      <c r="P4" s="1370">
        <v>3.94</v>
      </c>
      <c r="Q4" s="77" t="str">
        <f t="shared" si="4"/>
        <v>〇</v>
      </c>
      <c r="R4" s="473" t="s">
        <v>2912</v>
      </c>
      <c r="S4" s="473"/>
      <c r="T4" s="473"/>
      <c r="U4" s="473"/>
      <c r="V4" s="473"/>
      <c r="W4" s="473"/>
      <c r="X4" s="473"/>
    </row>
    <row r="5" spans="1:24" x14ac:dyDescent="0.45">
      <c r="A5" s="1364" t="s">
        <v>1751</v>
      </c>
      <c r="B5" s="1365">
        <f t="shared" si="0"/>
        <v>4</v>
      </c>
      <c r="C5" s="1366" t="s">
        <v>1694</v>
      </c>
      <c r="D5" s="1366" t="s">
        <v>1003</v>
      </c>
      <c r="E5" s="1366" t="s">
        <v>1710</v>
      </c>
      <c r="F5" s="1366" t="s">
        <v>1003</v>
      </c>
      <c r="G5" s="1367" t="s">
        <v>1699</v>
      </c>
      <c r="H5" s="1367" t="str">
        <f t="shared" si="1"/>
        <v>CZ-11-40S</v>
      </c>
      <c r="I5" s="1367" t="str">
        <f t="shared" si="2"/>
        <v>固体4级(0助推器)</v>
      </c>
      <c r="J5" s="1366" t="s">
        <v>357</v>
      </c>
      <c r="K5" s="1368">
        <f ca="1">N5/火箭年間統計!$B$9</f>
        <v>1.5384615384615385E-2</v>
      </c>
      <c r="L5" s="1369">
        <f t="shared" si="3"/>
        <v>1</v>
      </c>
      <c r="M5" s="1365">
        <f>火箭年間統計!AD8</f>
        <v>12</v>
      </c>
      <c r="N5" s="1365">
        <f>火箭年間統計!AD9</f>
        <v>12</v>
      </c>
      <c r="O5" s="1365">
        <v>0.7</v>
      </c>
      <c r="P5" s="1370">
        <v>0.5</v>
      </c>
      <c r="Q5" s="77" t="str">
        <f t="shared" ca="1" si="4"/>
        <v>〇</v>
      </c>
      <c r="R5" s="474" t="s">
        <v>2913</v>
      </c>
      <c r="S5" s="474"/>
      <c r="T5" s="474"/>
      <c r="U5" s="474"/>
      <c r="V5" s="474"/>
      <c r="W5" s="474"/>
      <c r="X5" s="474"/>
    </row>
    <row r="6" spans="1:24" x14ac:dyDescent="0.45">
      <c r="A6" s="1364" t="s">
        <v>1751</v>
      </c>
      <c r="B6" s="1365">
        <f t="shared" si="0"/>
        <v>5</v>
      </c>
      <c r="C6" s="1366" t="s">
        <v>1722</v>
      </c>
      <c r="D6" s="1366" t="s">
        <v>1003</v>
      </c>
      <c r="E6" s="1366" t="s">
        <v>1723</v>
      </c>
      <c r="F6" s="1366" t="s">
        <v>1003</v>
      </c>
      <c r="G6" s="1367" t="s">
        <v>1699</v>
      </c>
      <c r="H6" s="1367" t="str">
        <f>CONCATENATE(C6,D6,E6,F6,G6)</f>
        <v>SD-3-40S</v>
      </c>
      <c r="I6" s="1367" t="str">
        <f t="shared" si="2"/>
        <v>固体4级(0助推器)</v>
      </c>
      <c r="J6" s="1366" t="s">
        <v>1679</v>
      </c>
      <c r="K6" s="1368">
        <f ca="1">N6/火箭年間統計!$B$9</f>
        <v>1.4102564102564103E-2</v>
      </c>
      <c r="L6" s="1369">
        <f t="shared" ca="1" si="3"/>
        <v>1</v>
      </c>
      <c r="M6" s="1365">
        <f ca="1">火箭年間統計!AX8</f>
        <v>11</v>
      </c>
      <c r="N6" s="1365">
        <f ca="1">火箭年間統計!AX9</f>
        <v>11</v>
      </c>
      <c r="O6" s="1365">
        <v>1.6</v>
      </c>
      <c r="P6" s="1370">
        <v>1.5</v>
      </c>
      <c r="Q6" s="77" t="str">
        <f t="shared" ca="1" si="4"/>
        <v>〇</v>
      </c>
      <c r="R6" s="1188" t="s">
        <v>3510</v>
      </c>
    </row>
    <row r="7" spans="1:24" x14ac:dyDescent="0.45">
      <c r="A7" s="1364" t="s">
        <v>1751</v>
      </c>
      <c r="B7" s="1365">
        <f t="shared" si="0"/>
        <v>6</v>
      </c>
      <c r="C7" s="1366" t="s">
        <v>1694</v>
      </c>
      <c r="D7" s="1366" t="s">
        <v>1003</v>
      </c>
      <c r="E7" s="1366" t="s">
        <v>1714</v>
      </c>
      <c r="F7" s="1366" t="s">
        <v>1003</v>
      </c>
      <c r="G7" s="1367" t="s">
        <v>1700</v>
      </c>
      <c r="H7" s="1367" t="str">
        <f t="shared" si="1"/>
        <v>CZ-7-24</v>
      </c>
      <c r="I7" s="1367" t="str">
        <f t="shared" si="2"/>
        <v>液体2.5级(4助推器)</v>
      </c>
      <c r="J7" s="1366" t="s">
        <v>1676</v>
      </c>
      <c r="K7" s="1368">
        <f ca="1">N7/火箭年間統計!$B$9</f>
        <v>1.4102564102564103E-2</v>
      </c>
      <c r="L7" s="1369">
        <f t="shared" si="3"/>
        <v>1</v>
      </c>
      <c r="M7" s="1365">
        <f>火箭年間統計!W8</f>
        <v>11</v>
      </c>
      <c r="N7" s="1365">
        <f>火箭年間統計!W9</f>
        <v>11</v>
      </c>
      <c r="O7" s="1365">
        <v>14</v>
      </c>
      <c r="P7" s="1370">
        <v>5.5</v>
      </c>
      <c r="Q7" s="77" t="str">
        <f t="shared" si="4"/>
        <v>〇</v>
      </c>
      <c r="R7" s="475" t="s">
        <v>1218</v>
      </c>
      <c r="S7" s="475"/>
      <c r="T7" s="475"/>
      <c r="U7" s="475"/>
      <c r="V7" s="475"/>
      <c r="W7" s="475"/>
      <c r="X7" s="475"/>
    </row>
    <row r="8" spans="1:24" x14ac:dyDescent="0.4">
      <c r="A8" s="1364" t="s">
        <v>1922</v>
      </c>
      <c r="B8" s="1371">
        <f t="shared" si="0"/>
        <v>7</v>
      </c>
      <c r="C8" s="1372" t="s">
        <v>1694</v>
      </c>
      <c r="D8" s="1372" t="s">
        <v>3</v>
      </c>
      <c r="E8" s="1372" t="s">
        <v>1741</v>
      </c>
      <c r="F8" s="1372" t="s">
        <v>3</v>
      </c>
      <c r="G8" s="1373" t="s">
        <v>1743</v>
      </c>
      <c r="H8" s="1372" t="str">
        <f>CONCATENATE(C8,D8,E8,F8,G8)</f>
        <v>CZ-8A-22</v>
      </c>
      <c r="I8" s="1373" t="str">
        <f t="shared" si="2"/>
        <v>液体2.5级(2助推器)</v>
      </c>
      <c r="J8" s="1366" t="s">
        <v>1753</v>
      </c>
      <c r="K8" s="1368">
        <f ca="1">N8/火箭年間統計!$B$9</f>
        <v>1.1538461538461539E-2</v>
      </c>
      <c r="L8" s="1369">
        <f>IF(N8&gt;0,M8/N8,"-")</f>
        <v>1</v>
      </c>
      <c r="M8" s="1365">
        <f>火箭年間統計!Z8</f>
        <v>9</v>
      </c>
      <c r="N8" s="1365">
        <f>火箭年間統計!Z9</f>
        <v>9</v>
      </c>
      <c r="O8" s="1365">
        <v>10</v>
      </c>
      <c r="P8" s="1370">
        <v>7</v>
      </c>
      <c r="Q8" s="77" t="str">
        <f t="shared" si="4"/>
        <v>〇</v>
      </c>
    </row>
    <row r="9" spans="1:24" x14ac:dyDescent="0.45">
      <c r="A9" s="1364" t="s">
        <v>1751</v>
      </c>
      <c r="B9" s="1365">
        <f t="shared" si="0"/>
        <v>8</v>
      </c>
      <c r="C9" s="1366" t="s">
        <v>1694</v>
      </c>
      <c r="D9" s="1366" t="s">
        <v>1003</v>
      </c>
      <c r="E9" s="1366" t="s">
        <v>1720</v>
      </c>
      <c r="F9" s="1366" t="s">
        <v>1003</v>
      </c>
      <c r="G9" s="1367" t="s">
        <v>1701</v>
      </c>
      <c r="H9" s="1367" t="str">
        <f>CONCATENATE(C9,D9,E9,F9,G9)</f>
        <v>CZ-5B-14</v>
      </c>
      <c r="I9" s="1367" t="str">
        <f t="shared" si="2"/>
        <v>液体1.5级(4助推器)</v>
      </c>
      <c r="J9" s="1366" t="s">
        <v>548</v>
      </c>
      <c r="K9" s="1368">
        <f ca="1">N9/火箭年間統計!$B$9</f>
        <v>8.9743589743589737E-3</v>
      </c>
      <c r="L9" s="1369">
        <f>M9/N9</f>
        <v>1</v>
      </c>
      <c r="M9" s="1365">
        <f>火箭年間統計!S8</f>
        <v>7</v>
      </c>
      <c r="N9" s="1365">
        <f>火箭年間統計!S9</f>
        <v>7</v>
      </c>
      <c r="O9" s="1365">
        <v>25</v>
      </c>
      <c r="P9" s="1370" t="s">
        <v>1003</v>
      </c>
      <c r="Q9" s="77" t="str">
        <f>IF(L9&lt;L10,"×","〇")</f>
        <v>〇</v>
      </c>
    </row>
    <row r="10" spans="1:24" x14ac:dyDescent="0.45">
      <c r="A10" s="1364" t="s">
        <v>1751</v>
      </c>
      <c r="B10" s="1365">
        <f t="shared" si="0"/>
        <v>9</v>
      </c>
      <c r="C10" s="1366" t="s">
        <v>1694</v>
      </c>
      <c r="D10" s="1366" t="s">
        <v>1003</v>
      </c>
      <c r="E10" s="1366" t="s">
        <v>1718</v>
      </c>
      <c r="F10" s="1366" t="s">
        <v>1003</v>
      </c>
      <c r="G10" s="1367" t="s">
        <v>1699</v>
      </c>
      <c r="H10" s="1367" t="str">
        <f>CONCATENATE(C10,D10,E10,F10,G10)</f>
        <v>CZ-11H-40S</v>
      </c>
      <c r="I10" s="1367" t="str">
        <f t="shared" si="2"/>
        <v>固体4级(0助推器)</v>
      </c>
      <c r="J10" s="1366" t="s">
        <v>1693</v>
      </c>
      <c r="K10" s="1368">
        <f ca="1">N10/火箭年間統計!$B$9</f>
        <v>7.6923076923076927E-3</v>
      </c>
      <c r="L10" s="1369">
        <f>M10/N10</f>
        <v>1</v>
      </c>
      <c r="M10" s="1365">
        <f>火箭年間統計!AE8</f>
        <v>6</v>
      </c>
      <c r="N10" s="1365">
        <f>火箭年間統計!AE9</f>
        <v>6</v>
      </c>
      <c r="O10" s="1365">
        <v>0.7</v>
      </c>
      <c r="P10" s="1370">
        <v>0.5</v>
      </c>
      <c r="Q10" s="77" t="str">
        <f t="shared" ca="1" si="4"/>
        <v>〇</v>
      </c>
    </row>
    <row r="11" spans="1:24" x14ac:dyDescent="0.45">
      <c r="A11" s="1364" t="s">
        <v>1751</v>
      </c>
      <c r="B11" s="1365">
        <f t="shared" si="0"/>
        <v>10</v>
      </c>
      <c r="C11" s="1366" t="s">
        <v>1712</v>
      </c>
      <c r="D11" s="1366" t="s">
        <v>1003</v>
      </c>
      <c r="E11" s="1366" t="s">
        <v>1728</v>
      </c>
      <c r="F11" s="1366" t="s">
        <v>1003</v>
      </c>
      <c r="G11" s="1367" t="s">
        <v>1699</v>
      </c>
      <c r="H11" s="1367" t="str">
        <f t="shared" si="1"/>
        <v>GSX-1S-40S</v>
      </c>
      <c r="I11" s="1367" t="str">
        <f t="shared" si="2"/>
        <v>固体4级(0助推器)</v>
      </c>
      <c r="J11" s="1366" t="s">
        <v>1206</v>
      </c>
      <c r="K11" s="1368">
        <f ca="1">N11/火箭年間統計!$B$9</f>
        <v>7.6923076923076927E-3</v>
      </c>
      <c r="L11" s="1369">
        <f ca="1">IF(N11&gt;0,M11/N11,"-")</f>
        <v>1</v>
      </c>
      <c r="M11" s="1365">
        <f ca="1">火箭年間統計!AZ8</f>
        <v>6</v>
      </c>
      <c r="N11" s="1365">
        <f ca="1">火箭年間統計!AZ9</f>
        <v>6</v>
      </c>
      <c r="O11" s="1365">
        <v>0.4</v>
      </c>
      <c r="P11" s="1370">
        <v>0.3</v>
      </c>
      <c r="Q11" s="77" t="str">
        <f ca="1">IF(L11&lt;L49+L50,"×","〇")</f>
        <v>〇</v>
      </c>
    </row>
    <row r="12" spans="1:24" x14ac:dyDescent="0.4">
      <c r="A12" s="1364" t="s">
        <v>1922</v>
      </c>
      <c r="B12" s="1371">
        <f t="shared" si="0"/>
        <v>11</v>
      </c>
      <c r="C12" s="1372" t="s">
        <v>1694</v>
      </c>
      <c r="D12" s="1372" t="s">
        <v>3</v>
      </c>
      <c r="E12" s="1372" t="s">
        <v>1755</v>
      </c>
      <c r="F12" s="1372" t="s">
        <v>3</v>
      </c>
      <c r="G12" s="1373" t="s">
        <v>1750</v>
      </c>
      <c r="H12" s="1372" t="str">
        <f>CONCATENATE(C12,D12,E12,F12,G12)</f>
        <v>CZ-12-20</v>
      </c>
      <c r="I12" s="1373" t="str">
        <f t="shared" si="2"/>
        <v>液体2级(0助推器)</v>
      </c>
      <c r="J12" s="1366" t="s">
        <v>1754</v>
      </c>
      <c r="K12" s="1368">
        <f ca="1">N12/火箭年間統計!$B$9</f>
        <v>7.6923076923076927E-3</v>
      </c>
      <c r="L12" s="1369">
        <f t="shared" ref="L12:L17" si="5">IF(N12&gt;0,M12/N12,"-")</f>
        <v>1</v>
      </c>
      <c r="M12" s="1365">
        <f>火箭年間統計!AF8</f>
        <v>6</v>
      </c>
      <c r="N12" s="1365">
        <f>火箭年間統計!AF9</f>
        <v>6</v>
      </c>
      <c r="O12" s="1365">
        <v>12</v>
      </c>
      <c r="P12" s="1370">
        <v>6</v>
      </c>
      <c r="Q12" s="77" t="str">
        <f t="shared" ref="Q12:Q16" ca="1" si="6">IF(L12&lt;L13,"×","〇")</f>
        <v>〇</v>
      </c>
    </row>
    <row r="13" spans="1:24" x14ac:dyDescent="0.45">
      <c r="A13" s="1364" t="s">
        <v>1751</v>
      </c>
      <c r="B13" s="1365">
        <f t="shared" si="0"/>
        <v>12</v>
      </c>
      <c r="C13" s="1366" t="s">
        <v>1729</v>
      </c>
      <c r="D13" s="1366" t="s">
        <v>1003</v>
      </c>
      <c r="E13" s="1366" t="s">
        <v>1713</v>
      </c>
      <c r="F13" s="1366" t="s">
        <v>1003</v>
      </c>
      <c r="G13" s="1367" t="s">
        <v>1702</v>
      </c>
      <c r="H13" s="1367" t="str">
        <f t="shared" ref="H13:H17" si="7">CONCATENATE(C13,D13,E13,F13,G13)</f>
        <v>YL-1-34S</v>
      </c>
      <c r="I13" s="1367" t="str">
        <f t="shared" si="2"/>
        <v>固体3.5级(4助推器)</v>
      </c>
      <c r="J13" s="1366" t="s">
        <v>1683</v>
      </c>
      <c r="K13" s="1368">
        <f ca="1">N13/火箭年間統計!$B$9</f>
        <v>2.5641025641025641E-3</v>
      </c>
      <c r="L13" s="1369">
        <f t="shared" ca="1" si="5"/>
        <v>1</v>
      </c>
      <c r="M13" s="1365">
        <f ca="1">火箭年間統計!BG8</f>
        <v>2</v>
      </c>
      <c r="N13" s="1365">
        <f ca="1">火箭年間統計!BG9</f>
        <v>2</v>
      </c>
      <c r="O13" s="1365">
        <v>6.5</v>
      </c>
      <c r="P13" s="1370">
        <v>4.2</v>
      </c>
      <c r="Q13" s="77" t="str">
        <f t="shared" ca="1" si="6"/>
        <v>〇</v>
      </c>
    </row>
    <row r="14" spans="1:24" x14ac:dyDescent="0.4">
      <c r="A14" s="1374" t="s">
        <v>1922</v>
      </c>
      <c r="B14" s="1375">
        <f t="shared" si="0"/>
        <v>13</v>
      </c>
      <c r="C14" s="1376" t="s">
        <v>1694</v>
      </c>
      <c r="D14" s="1376" t="s">
        <v>3</v>
      </c>
      <c r="E14" s="1376" t="s">
        <v>1740</v>
      </c>
      <c r="F14" s="1376" t="s">
        <v>3</v>
      </c>
      <c r="G14" s="1377" t="s">
        <v>1750</v>
      </c>
      <c r="H14" s="1376" t="str">
        <f t="shared" si="7"/>
        <v>CZ-6C-20</v>
      </c>
      <c r="I14" s="1377" t="str">
        <f t="shared" si="2"/>
        <v>液体2级(0助推器)</v>
      </c>
      <c r="J14" s="480" t="s">
        <v>1201</v>
      </c>
      <c r="K14" s="1378">
        <f ca="1">N14/火箭年間統計!$B$9</f>
        <v>1.2820512820512821E-3</v>
      </c>
      <c r="L14" s="1379">
        <f t="shared" si="5"/>
        <v>1</v>
      </c>
      <c r="M14" s="1356">
        <f>火箭年間統計!V9</f>
        <v>1</v>
      </c>
      <c r="N14" s="1356">
        <f>火箭年間統計!V8</f>
        <v>1</v>
      </c>
      <c r="O14" s="1356">
        <v>4.5</v>
      </c>
      <c r="P14" s="1380">
        <v>2.4</v>
      </c>
      <c r="Q14" s="77" t="str">
        <f t="shared" ca="1" si="6"/>
        <v>〇</v>
      </c>
    </row>
    <row r="15" spans="1:24" x14ac:dyDescent="0.4">
      <c r="A15" s="1374" t="s">
        <v>1922</v>
      </c>
      <c r="B15" s="1375">
        <f t="shared" si="0"/>
        <v>14</v>
      </c>
      <c r="C15" s="1376" t="s">
        <v>1929</v>
      </c>
      <c r="D15" s="1376" t="s">
        <v>3</v>
      </c>
      <c r="E15" s="1381" t="s">
        <v>1659</v>
      </c>
      <c r="F15" s="1376" t="s">
        <v>3</v>
      </c>
      <c r="G15" s="1377">
        <v>20</v>
      </c>
      <c r="H15" s="1376" t="str">
        <f t="shared" si="7"/>
        <v>ZQ-3-20</v>
      </c>
      <c r="I15" s="1377" t="str">
        <f t="shared" si="2"/>
        <v>液体2级(0助推器)</v>
      </c>
      <c r="J15" s="480" t="s">
        <v>3318</v>
      </c>
      <c r="K15" s="1378">
        <f ca="1">N15/火箭年間統計!$B$9</f>
        <v>1.2820512820512821E-3</v>
      </c>
      <c r="L15" s="1379">
        <f t="shared" ca="1" si="5"/>
        <v>1</v>
      </c>
      <c r="M15" s="1356">
        <f ca="1">火箭年間統計!AT$8</f>
        <v>1</v>
      </c>
      <c r="N15" s="1356">
        <f ca="1">火箭年間統計!AT$9</f>
        <v>1</v>
      </c>
      <c r="O15" s="1356">
        <v>21</v>
      </c>
      <c r="P15" s="1380">
        <v>18</v>
      </c>
      <c r="Q15" s="77" t="str">
        <f t="shared" ca="1" si="6"/>
        <v>〇</v>
      </c>
    </row>
    <row r="16" spans="1:24" x14ac:dyDescent="0.4">
      <c r="A16" s="1374" t="s">
        <v>1751</v>
      </c>
      <c r="B16" s="1375">
        <f t="shared" si="0"/>
        <v>15</v>
      </c>
      <c r="C16" s="1376" t="s">
        <v>1639</v>
      </c>
      <c r="D16" s="1376" t="s">
        <v>3</v>
      </c>
      <c r="E16" s="1381" t="s">
        <v>3503</v>
      </c>
      <c r="F16" s="1376" t="s">
        <v>3</v>
      </c>
      <c r="G16" s="1377">
        <v>20</v>
      </c>
      <c r="H16" s="1376" t="str">
        <f t="shared" si="7"/>
        <v>CZ-12A-20</v>
      </c>
      <c r="I16" s="1377" t="str">
        <f t="shared" si="2"/>
        <v>液体2级(0助推器)</v>
      </c>
      <c r="J16" s="480" t="s">
        <v>3317</v>
      </c>
      <c r="K16" s="1378">
        <f ca="1">N16/火箭年間統計!$B$9</f>
        <v>1.2820512820512821E-3</v>
      </c>
      <c r="L16" s="1379">
        <f t="shared" si="5"/>
        <v>1</v>
      </c>
      <c r="M16" s="1356">
        <f>火箭年間統計!AG$8</f>
        <v>1</v>
      </c>
      <c r="N16" s="1356">
        <f>火箭年間統計!AG$9</f>
        <v>1</v>
      </c>
      <c r="O16" s="1356">
        <v>10</v>
      </c>
      <c r="P16" s="1380">
        <v>6</v>
      </c>
      <c r="Q16" s="77" t="str">
        <f t="shared" ca="1" si="6"/>
        <v>〇</v>
      </c>
      <c r="R16" s="1165"/>
    </row>
    <row r="17" spans="1:20" x14ac:dyDescent="0.45">
      <c r="A17" s="1382" t="s">
        <v>1922</v>
      </c>
      <c r="B17" s="1356">
        <f t="shared" si="0"/>
        <v>16</v>
      </c>
      <c r="C17" s="480" t="s">
        <v>2461</v>
      </c>
      <c r="D17" s="480" t="s">
        <v>3</v>
      </c>
      <c r="E17" s="1383" t="s">
        <v>1641</v>
      </c>
      <c r="F17" s="480" t="s">
        <v>3</v>
      </c>
      <c r="G17" s="1383" t="s">
        <v>1743</v>
      </c>
      <c r="H17" s="480" t="str">
        <f t="shared" si="7"/>
        <v>LJ-2-22</v>
      </c>
      <c r="I17" s="480" t="str">
        <f t="shared" si="2"/>
        <v>液体2.5级(2助推器)</v>
      </c>
      <c r="J17" s="480" t="s">
        <v>1460</v>
      </c>
      <c r="K17" s="1378">
        <f ca="1">N17/火箭年間統計!$B$9</f>
        <v>1.2820512820512821E-3</v>
      </c>
      <c r="L17" s="1379">
        <f t="shared" ca="1" si="5"/>
        <v>1</v>
      </c>
      <c r="M17" s="1356">
        <f ca="1">火箭年間統計!BD8</f>
        <v>1</v>
      </c>
      <c r="N17" s="1356">
        <f ca="1">火箭年間統計!BD$9</f>
        <v>1</v>
      </c>
      <c r="O17" s="1356">
        <v>12</v>
      </c>
      <c r="P17" s="1380">
        <v>8</v>
      </c>
      <c r="Q17" s="77" t="str">
        <f ca="1">IF(L17&lt;L19,"×","〇")</f>
        <v>〇</v>
      </c>
    </row>
    <row r="18" spans="1:20" x14ac:dyDescent="0.45">
      <c r="A18" s="1382" t="s">
        <v>1922</v>
      </c>
      <c r="B18" s="1356">
        <f t="shared" si="0"/>
        <v>17</v>
      </c>
      <c r="C18" s="480" t="s">
        <v>1639</v>
      </c>
      <c r="D18" s="480" t="s">
        <v>3</v>
      </c>
      <c r="E18" s="1383" t="s">
        <v>3532</v>
      </c>
      <c r="F18" s="480" t="s">
        <v>3</v>
      </c>
      <c r="G18" s="1383" t="s">
        <v>1750</v>
      </c>
      <c r="H18" s="480" t="str">
        <f>CONCATENATE(C18,D18,E18,F18,G18)</f>
        <v>CZ-12B-20</v>
      </c>
      <c r="I18" s="480" t="str">
        <f>CONCATENATE(IF(RIGHT(G18,1)="S","固体","液体"),LEFT(G18,1),IF(MID(G18,2,1)&lt;&gt;"0",".5",""),"级(",MID(G18,2,1),"助推器)")</f>
        <v>液体2级(0助推器)</v>
      </c>
      <c r="J18" s="480" t="s">
        <v>3502</v>
      </c>
      <c r="K18" s="1378">
        <f ca="1">N18/火箭年間統計!$B$9</f>
        <v>1.2820512820512821E-3</v>
      </c>
      <c r="L18" s="1379">
        <f>IF(N18&gt;0,M18/N18,"-")</f>
        <v>1</v>
      </c>
      <c r="M18" s="1356">
        <f>火箭年間統計!AH$8</f>
        <v>1</v>
      </c>
      <c r="N18" s="1356">
        <f>火箭年間統計!AH$9</f>
        <v>1</v>
      </c>
      <c r="O18" s="1356">
        <v>20</v>
      </c>
      <c r="P18" s="1380">
        <v>12</v>
      </c>
      <c r="Q18" s="77" t="str">
        <f>IF(L18&lt;L20,"×","〇")</f>
        <v>〇</v>
      </c>
    </row>
    <row r="19" spans="1:20" x14ac:dyDescent="0.45">
      <c r="A19" s="1384" t="s">
        <v>1751</v>
      </c>
      <c r="B19" s="1385">
        <f t="shared" si="0"/>
        <v>18</v>
      </c>
      <c r="C19" s="1386" t="s">
        <v>1694</v>
      </c>
      <c r="D19" s="1386" t="s">
        <v>1003</v>
      </c>
      <c r="E19" s="1386" t="s">
        <v>1703</v>
      </c>
      <c r="F19" s="1386" t="s">
        <v>1003</v>
      </c>
      <c r="G19" s="1387" t="s">
        <v>1697</v>
      </c>
      <c r="H19" s="1387" t="str">
        <f t="shared" ref="H19:H21" si="8">CONCATENATE(C19,D19,E19,F19,G19)</f>
        <v>CZ-2D-20</v>
      </c>
      <c r="I19" s="1387" t="str">
        <f t="shared" si="2"/>
        <v>液体2级(0助推器)</v>
      </c>
      <c r="J19" s="1386" t="s">
        <v>83</v>
      </c>
      <c r="K19" s="1388">
        <f ca="1">N19/火箭年間統計!$B$9</f>
        <v>0.13461538461538461</v>
      </c>
      <c r="L19" s="1389">
        <f t="shared" ref="L19:L29" si="9">M19/N19</f>
        <v>0.99047619047619051</v>
      </c>
      <c r="M19" s="1385">
        <f>火箭年間統計!H8</f>
        <v>104</v>
      </c>
      <c r="N19" s="1385">
        <f>火箭年間統計!H9</f>
        <v>105</v>
      </c>
      <c r="O19" s="1385">
        <v>4</v>
      </c>
      <c r="P19" s="1390">
        <v>1.9</v>
      </c>
      <c r="Q19" s="77" t="str">
        <f>IF(L19&lt;L20,"×","〇")</f>
        <v>〇</v>
      </c>
    </row>
    <row r="20" spans="1:20" x14ac:dyDescent="0.45">
      <c r="A20" s="1384" t="s">
        <v>1751</v>
      </c>
      <c r="B20" s="1385">
        <f t="shared" si="0"/>
        <v>19</v>
      </c>
      <c r="C20" s="1386" t="s">
        <v>1694</v>
      </c>
      <c r="D20" s="1386" t="s">
        <v>1003</v>
      </c>
      <c r="E20" s="1386" t="s">
        <v>1706</v>
      </c>
      <c r="F20" s="1386" t="s">
        <v>1003</v>
      </c>
      <c r="G20" s="1387" t="s">
        <v>1698</v>
      </c>
      <c r="H20" s="1387" t="str">
        <f t="shared" si="8"/>
        <v>CZ-4B-30</v>
      </c>
      <c r="I20" s="1387" t="str">
        <f t="shared" si="2"/>
        <v>液体3级(0助推器)</v>
      </c>
      <c r="J20" s="1386" t="s">
        <v>132</v>
      </c>
      <c r="K20" s="1388">
        <f ca="1">N20/火箭年間統計!$B$9</f>
        <v>7.3076923076923081E-2</v>
      </c>
      <c r="L20" s="1389">
        <f t="shared" si="9"/>
        <v>0.98245614035087714</v>
      </c>
      <c r="M20" s="1385">
        <f>火箭年間統計!P8</f>
        <v>56</v>
      </c>
      <c r="N20" s="1385">
        <f>火箭年間統計!P9</f>
        <v>57</v>
      </c>
      <c r="O20" s="1385" t="s">
        <v>1003</v>
      </c>
      <c r="P20" s="1390">
        <v>2.5</v>
      </c>
      <c r="Q20" s="77" t="str">
        <f t="shared" ref="Q20:Q30" si="10">IF(L20&lt;L21,"×","〇")</f>
        <v>〇</v>
      </c>
      <c r="S20" s="490"/>
    </row>
    <row r="21" spans="1:20" x14ac:dyDescent="0.45">
      <c r="A21" s="1384" t="s">
        <v>1751</v>
      </c>
      <c r="B21" s="1385">
        <f t="shared" si="0"/>
        <v>20</v>
      </c>
      <c r="C21" s="1386" t="s">
        <v>1694</v>
      </c>
      <c r="D21" s="1386" t="s">
        <v>1003</v>
      </c>
      <c r="E21" s="1386" t="s">
        <v>1704</v>
      </c>
      <c r="F21" s="1386" t="s">
        <v>1003</v>
      </c>
      <c r="G21" s="1387" t="s">
        <v>1697</v>
      </c>
      <c r="H21" s="1387" t="str">
        <f t="shared" si="8"/>
        <v>CZ-2C-20</v>
      </c>
      <c r="I21" s="1387" t="str">
        <f t="shared" si="2"/>
        <v>液体2级(0助推器)</v>
      </c>
      <c r="J21" s="1386" t="s">
        <v>41</v>
      </c>
      <c r="K21" s="1388">
        <f ca="1">N21/火箭年間統計!$B$9</f>
        <v>0.11153846153846154</v>
      </c>
      <c r="L21" s="1389">
        <f t="shared" si="9"/>
        <v>0.97701149425287359</v>
      </c>
      <c r="M21" s="1385">
        <f>火箭年間統計!G8</f>
        <v>85</v>
      </c>
      <c r="N21" s="1385">
        <f>火箭年間統計!G9</f>
        <v>87</v>
      </c>
      <c r="O21" s="1385">
        <v>4.7</v>
      </c>
      <c r="P21" s="1390">
        <v>2.1</v>
      </c>
      <c r="Q21" s="77" t="str">
        <f t="shared" si="10"/>
        <v>〇</v>
      </c>
    </row>
    <row r="22" spans="1:20" x14ac:dyDescent="0.45">
      <c r="A22" s="1384" t="s">
        <v>1751</v>
      </c>
      <c r="B22" s="1385">
        <f t="shared" si="0"/>
        <v>21</v>
      </c>
      <c r="C22" s="1386" t="s">
        <v>1694</v>
      </c>
      <c r="D22" s="1386" t="s">
        <v>1003</v>
      </c>
      <c r="E22" s="1386" t="s">
        <v>1705</v>
      </c>
      <c r="F22" s="1386" t="s">
        <v>1003</v>
      </c>
      <c r="G22" s="1387" t="s">
        <v>1698</v>
      </c>
      <c r="H22" s="1387" t="str">
        <f>CONCATENATE(C22,D22,E22,F22,G22)</f>
        <v>CZ-4C-30</v>
      </c>
      <c r="I22" s="1387" t="str">
        <f t="shared" si="2"/>
        <v>液体3级(0助推器)</v>
      </c>
      <c r="J22" s="1386" t="s">
        <v>182</v>
      </c>
      <c r="K22" s="1388">
        <f ca="1">N22/火箭年間統計!$B$9</f>
        <v>7.5641025641025636E-2</v>
      </c>
      <c r="L22" s="1389">
        <f t="shared" si="9"/>
        <v>0.96610169491525422</v>
      </c>
      <c r="M22" s="1385">
        <f>火箭年間統計!Q8</f>
        <v>57</v>
      </c>
      <c r="N22" s="1385">
        <f>火箭年間統計!Q9</f>
        <v>59</v>
      </c>
      <c r="O22" s="1385" t="s">
        <v>1003</v>
      </c>
      <c r="P22" s="1390">
        <v>3</v>
      </c>
      <c r="Q22" s="77" t="str">
        <f t="shared" si="10"/>
        <v>〇</v>
      </c>
    </row>
    <row r="23" spans="1:20" x14ac:dyDescent="0.45">
      <c r="A23" s="1384" t="s">
        <v>1751</v>
      </c>
      <c r="B23" s="1385">
        <f t="shared" si="0"/>
        <v>22</v>
      </c>
      <c r="C23" s="1386" t="s">
        <v>1639</v>
      </c>
      <c r="D23" s="1386" t="s">
        <v>1003</v>
      </c>
      <c r="E23" s="1386" t="s">
        <v>1695</v>
      </c>
      <c r="F23" s="1386" t="s">
        <v>1003</v>
      </c>
      <c r="G23" s="1387" t="s">
        <v>1696</v>
      </c>
      <c r="H23" s="1387" t="str">
        <f>CONCATENATE(C23,D23,E23,F23,G23)</f>
        <v>CZ-3B-34</v>
      </c>
      <c r="I23" s="1387" t="str">
        <f t="shared" si="2"/>
        <v>液体3.5级(4助推器)</v>
      </c>
      <c r="J23" s="1386" t="s">
        <v>990</v>
      </c>
      <c r="K23" s="1391">
        <f ca="1">N23/火箭年間統計!$B$9</f>
        <v>0.14871794871794872</v>
      </c>
      <c r="L23" s="1389">
        <f t="shared" si="9"/>
        <v>0.9568965517241379</v>
      </c>
      <c r="M23" s="1385">
        <f>火箭年間統計!M8</f>
        <v>111</v>
      </c>
      <c r="N23" s="1385">
        <f>火箭年間統計!M9</f>
        <v>116</v>
      </c>
      <c r="O23" s="1385">
        <v>11.5</v>
      </c>
      <c r="P23" s="1390">
        <v>5.55</v>
      </c>
      <c r="Q23" s="77" t="str">
        <f ca="1">IF(L23&lt;L25,"×","〇")</f>
        <v>〇</v>
      </c>
    </row>
    <row r="24" spans="1:20" x14ac:dyDescent="0.45">
      <c r="A24" s="1384" t="s">
        <v>1751</v>
      </c>
      <c r="B24" s="1385">
        <f t="shared" si="0"/>
        <v>23</v>
      </c>
      <c r="C24" s="1386" t="s">
        <v>1694</v>
      </c>
      <c r="D24" s="1386" t="s">
        <v>1003</v>
      </c>
      <c r="E24" s="1386" t="s">
        <v>1716</v>
      </c>
      <c r="F24" s="1386" t="s">
        <v>1003</v>
      </c>
      <c r="G24" s="1387" t="s">
        <v>1696</v>
      </c>
      <c r="H24" s="1387" t="str">
        <f>CONCATENATE(C24,D24,E24,F24,G24)</f>
        <v>CZ-7A-34</v>
      </c>
      <c r="I24" s="1387" t="str">
        <f>CONCATENATE(IF(RIGHT(G24,1)="S","固体","液体"),LEFT(G24,1),IF(MID(G24,2,1)&lt;&gt;"0",".5",""),"级(",MID(G24,2,1),"助推器)")</f>
        <v>液体3.5级(4助推器)</v>
      </c>
      <c r="J24" s="1386" t="s">
        <v>543</v>
      </c>
      <c r="K24" s="1388">
        <f ca="1">N24/火箭年間統計!$B$9</f>
        <v>2.0512820512820513E-2</v>
      </c>
      <c r="L24" s="1389">
        <f>M24/N24</f>
        <v>0.9375</v>
      </c>
      <c r="M24" s="1385">
        <f>火箭年間統計!X8</f>
        <v>15</v>
      </c>
      <c r="N24" s="1385">
        <f>火箭年間統計!X9</f>
        <v>16</v>
      </c>
      <c r="O24" s="1385" t="s">
        <v>1003</v>
      </c>
      <c r="P24" s="1390">
        <v>8</v>
      </c>
      <c r="Q24" s="77" t="str">
        <f ca="1">IF(L24&lt;L26,"×","〇")</f>
        <v>〇</v>
      </c>
    </row>
    <row r="25" spans="1:20" x14ac:dyDescent="0.45">
      <c r="A25" s="1384" t="s">
        <v>1751</v>
      </c>
      <c r="B25" s="1385">
        <f t="shared" si="0"/>
        <v>24</v>
      </c>
      <c r="C25" s="1386" t="s">
        <v>1707</v>
      </c>
      <c r="D25" s="1386" t="s">
        <v>1003</v>
      </c>
      <c r="E25" s="1386" t="s">
        <v>1708</v>
      </c>
      <c r="F25" s="1386" t="s">
        <v>1003</v>
      </c>
      <c r="G25" s="1387" t="s">
        <v>1699</v>
      </c>
      <c r="H25" s="1387" t="str">
        <f t="shared" ref="H25:H29" si="11">CONCATENATE(C25,D25,E25,F25,G25)</f>
        <v>KZ-1A-40S</v>
      </c>
      <c r="I25" s="1387" t="str">
        <f t="shared" si="2"/>
        <v>固体4级(0助推器)</v>
      </c>
      <c r="J25" s="1386" t="s">
        <v>409</v>
      </c>
      <c r="K25" s="1388">
        <f ca="1">N25/火箭年間統計!$B$9</f>
        <v>3.8461538461538464E-2</v>
      </c>
      <c r="L25" s="1389">
        <f t="shared" ca="1" si="9"/>
        <v>0.93333333333333335</v>
      </c>
      <c r="M25" s="1385">
        <f ca="1">火箭年間統計!AO8</f>
        <v>28</v>
      </c>
      <c r="N25" s="1385">
        <f ca="1">火箭年間統計!AO9</f>
        <v>30</v>
      </c>
      <c r="O25" s="1385">
        <v>1.5</v>
      </c>
      <c r="P25" s="1392" t="s">
        <v>3000</v>
      </c>
      <c r="Q25" s="77" t="str">
        <f ca="1">IF(L25&lt;L27,"×","〇")</f>
        <v>〇</v>
      </c>
    </row>
    <row r="26" spans="1:20" x14ac:dyDescent="0.45">
      <c r="A26" s="1384" t="s">
        <v>1751</v>
      </c>
      <c r="B26" s="1385">
        <f t="shared" si="0"/>
        <v>25</v>
      </c>
      <c r="C26" s="1386" t="s">
        <v>1721</v>
      </c>
      <c r="D26" s="1386" t="s">
        <v>1003</v>
      </c>
      <c r="E26" s="1386" t="s">
        <v>1713</v>
      </c>
      <c r="F26" s="1386" t="s">
        <v>1003</v>
      </c>
      <c r="G26" s="1387" t="s">
        <v>1699</v>
      </c>
      <c r="H26" s="1387" t="str">
        <f>CONCATENATE(C26,D26,E26,F26,G26)</f>
        <v>LJ-1-40S</v>
      </c>
      <c r="I26" s="1387" t="str">
        <f t="shared" si="2"/>
        <v>固体4级(0助推器)</v>
      </c>
      <c r="J26" s="1386" t="s">
        <v>1678</v>
      </c>
      <c r="K26" s="1388">
        <f ca="1">N26/火箭年間統計!$B$9</f>
        <v>1.7948717948717947E-2</v>
      </c>
      <c r="L26" s="1389">
        <f t="shared" ca="1" si="9"/>
        <v>0.9285714285714286</v>
      </c>
      <c r="M26" s="1385">
        <f ca="1">火箭年間統計!BC8</f>
        <v>13</v>
      </c>
      <c r="N26" s="1385">
        <f ca="1">火箭年間統計!BC9</f>
        <v>14</v>
      </c>
      <c r="O26" s="1385">
        <v>2</v>
      </c>
      <c r="P26" s="1390">
        <v>1.5</v>
      </c>
      <c r="Q26" s="77" t="str">
        <f t="shared" ca="1" si="10"/>
        <v>〇</v>
      </c>
    </row>
    <row r="27" spans="1:20" x14ac:dyDescent="0.45">
      <c r="A27" s="1384" t="s">
        <v>1751</v>
      </c>
      <c r="B27" s="1385">
        <f t="shared" si="0"/>
        <v>26</v>
      </c>
      <c r="C27" s="1386" t="s">
        <v>1694</v>
      </c>
      <c r="D27" s="1386" t="s">
        <v>1003</v>
      </c>
      <c r="E27" s="1386" t="s">
        <v>1715</v>
      </c>
      <c r="F27" s="1386" t="s">
        <v>1003</v>
      </c>
      <c r="G27" s="1387" t="s">
        <v>1700</v>
      </c>
      <c r="H27" s="1387" t="str">
        <f t="shared" si="11"/>
        <v>CZ-5-24</v>
      </c>
      <c r="I27" s="1387" t="str">
        <f t="shared" si="2"/>
        <v>液体2.5级(4助推器)</v>
      </c>
      <c r="J27" s="1386" t="s">
        <v>1677</v>
      </c>
      <c r="K27" s="1388">
        <f ca="1">N27/火箭年間統計!$B$9</f>
        <v>1.4102564102564103E-2</v>
      </c>
      <c r="L27" s="1389">
        <f t="shared" si="9"/>
        <v>0.90909090909090906</v>
      </c>
      <c r="M27" s="1385">
        <f>火箭年間統計!R8</f>
        <v>10</v>
      </c>
      <c r="N27" s="1385">
        <f>火箭年間統計!R9</f>
        <v>11</v>
      </c>
      <c r="O27" s="1385" t="s">
        <v>1003</v>
      </c>
      <c r="P27" s="1390">
        <v>15</v>
      </c>
      <c r="Q27" s="77" t="str">
        <f t="shared" ca="1" si="10"/>
        <v>〇</v>
      </c>
    </row>
    <row r="28" spans="1:20" x14ac:dyDescent="0.45">
      <c r="A28" s="1384" t="s">
        <v>1751</v>
      </c>
      <c r="B28" s="1385">
        <f t="shared" si="0"/>
        <v>27</v>
      </c>
      <c r="C28" s="1386" t="s">
        <v>1712</v>
      </c>
      <c r="D28" s="1386" t="s">
        <v>1003</v>
      </c>
      <c r="E28" s="1386" t="s">
        <v>1713</v>
      </c>
      <c r="F28" s="1386" t="s">
        <v>1003</v>
      </c>
      <c r="G28" s="1387" t="s">
        <v>1699</v>
      </c>
      <c r="H28" s="1387" t="str">
        <f>CONCATENATE(C28,D28,E28,F28,G28)</f>
        <v>GSX-1-40S</v>
      </c>
      <c r="I28" s="1387" t="str">
        <f t="shared" si="2"/>
        <v>固体4级(0助推器)</v>
      </c>
      <c r="J28" s="1386" t="s">
        <v>579</v>
      </c>
      <c r="K28" s="1388">
        <f ca="1">N28/火箭年間統計!$B$9</f>
        <v>2.1794871794871794E-2</v>
      </c>
      <c r="L28" s="1389">
        <f t="shared" ca="1" si="9"/>
        <v>0.88235294117647056</v>
      </c>
      <c r="M28" s="1385">
        <f ca="1">火箭年間統計!AY8</f>
        <v>15</v>
      </c>
      <c r="N28" s="1385">
        <f ca="1">火箭年間統計!AY9</f>
        <v>17</v>
      </c>
      <c r="O28" s="1385">
        <v>0.4</v>
      </c>
      <c r="P28" s="1390">
        <v>0.3</v>
      </c>
      <c r="Q28" s="77" t="str">
        <f t="shared" ca="1" si="10"/>
        <v>〇</v>
      </c>
    </row>
    <row r="29" spans="1:20" x14ac:dyDescent="0.45">
      <c r="A29" s="1384" t="s">
        <v>1751</v>
      </c>
      <c r="B29" s="1385">
        <f t="shared" si="0"/>
        <v>28</v>
      </c>
      <c r="C29" s="1386" t="s">
        <v>1707</v>
      </c>
      <c r="D29" s="1386" t="s">
        <v>1003</v>
      </c>
      <c r="E29" s="1386" t="s">
        <v>1710</v>
      </c>
      <c r="F29" s="1386" t="s">
        <v>1003</v>
      </c>
      <c r="G29" s="1387" t="s">
        <v>1699</v>
      </c>
      <c r="H29" s="1387" t="str">
        <f t="shared" si="11"/>
        <v>KZ-11-40S</v>
      </c>
      <c r="I29" s="1387" t="str">
        <f t="shared" si="2"/>
        <v>固体4级(0助推器)</v>
      </c>
      <c r="J29" s="1386" t="s">
        <v>562</v>
      </c>
      <c r="K29" s="1388">
        <f ca="1">N29/火箭年間統計!$B$9</f>
        <v>7.6923076923076927E-3</v>
      </c>
      <c r="L29" s="1389">
        <f t="shared" ca="1" si="9"/>
        <v>0.83333333333333337</v>
      </c>
      <c r="M29" s="1385">
        <f ca="1">火箭年間統計!AP8</f>
        <v>5</v>
      </c>
      <c r="N29" s="1385">
        <f ca="1">火箭年間統計!AP9</f>
        <v>6</v>
      </c>
      <c r="O29" s="1385">
        <v>1.5</v>
      </c>
      <c r="P29" s="1390">
        <v>1</v>
      </c>
      <c r="Q29" s="77" t="str">
        <f t="shared" ca="1" si="10"/>
        <v>〇</v>
      </c>
      <c r="S29" s="1188" t="str" cm="1">
        <f t="array" ref="S29">_xlfn.TEXTJOIN(",",TRUE,IF(ISNA(MATCH("遥"&amp;_xlfn.SEQUENCE(MAX(VALUE(MID(发射纪录!E1:E999,2,LEN(发射纪录!E1:E999)))),1,1),IF(发射纪录!D1:D999="长征三号乙",发射纪录!E1:E999),0)),_xlfn.SEQUENCE(MAX(VALUE(MID(发射纪录!D1:D999,2,LEN(发射纪录!D1:D999)))),1,1),""))</f>
        <v/>
      </c>
      <c r="T29" s="1188" t="str">
        <f>IF(ROW()-ROW(T29)+1&lt;=S29,IF(COUNTIFS(发射纪录!D:D,"长征三号乙",发射纪录!E:E,"遥" &amp; (ROW()-ROW(T29)+1))=0,ROW()-ROW(T29)+1,""),"")</f>
        <v/>
      </c>
    </row>
    <row r="30" spans="1:20" x14ac:dyDescent="0.4">
      <c r="A30" s="1384" t="s">
        <v>1922</v>
      </c>
      <c r="B30" s="1393">
        <f t="shared" si="0"/>
        <v>29</v>
      </c>
      <c r="C30" s="1394" t="s">
        <v>1929</v>
      </c>
      <c r="D30" s="1394" t="s">
        <v>3</v>
      </c>
      <c r="E30" s="1395" t="s">
        <v>2284</v>
      </c>
      <c r="F30" s="1394" t="s">
        <v>3</v>
      </c>
      <c r="G30" s="1396">
        <v>20</v>
      </c>
      <c r="H30" s="1394" t="str">
        <f>CONCATENATE(C30,D30,E30,F30,G30)</f>
        <v>ZQ-2E-20</v>
      </c>
      <c r="I30" s="1396" t="str">
        <f t="shared" si="2"/>
        <v>液体2级(0助推器)</v>
      </c>
      <c r="J30" s="1386" t="s">
        <v>2452</v>
      </c>
      <c r="K30" s="1388">
        <f ca="1">N30/火箭年間統計!$B$9</f>
        <v>6.41025641025641E-3</v>
      </c>
      <c r="L30" s="1389">
        <f ca="1">IF(N30&gt;0,M30/N30,"-")</f>
        <v>0.8</v>
      </c>
      <c r="M30" s="1385">
        <f ca="1">火箭年間統計!AS8</f>
        <v>4</v>
      </c>
      <c r="N30" s="1385">
        <f ca="1">火箭年間統計!AS9</f>
        <v>5</v>
      </c>
      <c r="O30" s="1385">
        <v>6</v>
      </c>
      <c r="P30" s="1390">
        <v>4</v>
      </c>
      <c r="Q30" s="77" t="str">
        <f t="shared" ca="1" si="10"/>
        <v>〇</v>
      </c>
    </row>
    <row r="31" spans="1:20" x14ac:dyDescent="0.45">
      <c r="A31" s="1397" t="s">
        <v>1751</v>
      </c>
      <c r="B31" s="1398">
        <f t="shared" si="0"/>
        <v>30</v>
      </c>
      <c r="C31" s="1399" t="s">
        <v>1717</v>
      </c>
      <c r="D31" s="1399" t="s">
        <v>1003</v>
      </c>
      <c r="E31" s="1399" t="s">
        <v>1713</v>
      </c>
      <c r="F31" s="1399" t="s">
        <v>1003</v>
      </c>
      <c r="G31" s="1400" t="s">
        <v>1699</v>
      </c>
      <c r="H31" s="1400" t="str">
        <f t="shared" ref="H31:H46" si="12">CONCATENATE(C31,D31,E31,F31,G31)</f>
        <v>SQX-1-40S</v>
      </c>
      <c r="I31" s="1400" t="str">
        <f t="shared" si="2"/>
        <v>固体4级(0助推器)</v>
      </c>
      <c r="J31" s="1399" t="s">
        <v>506</v>
      </c>
      <c r="K31" s="1401">
        <f ca="1">N31/火箭年間統計!$B$9</f>
        <v>1.0256410256410256E-2</v>
      </c>
      <c r="L31" s="1402">
        <f ca="1">M31/N31</f>
        <v>0.5</v>
      </c>
      <c r="M31" s="1398">
        <f ca="1">火箭年間統計!AV8</f>
        <v>4</v>
      </c>
      <c r="N31" s="1398">
        <f ca="1">火箭年間統計!AV9</f>
        <v>8</v>
      </c>
      <c r="O31" s="1398">
        <v>0.52</v>
      </c>
      <c r="P31" s="1403">
        <v>0.3</v>
      </c>
      <c r="Q31" s="77" t="str">
        <f t="shared" ref="Q31:Q32" ca="1" si="13">IF(AND(L31&lt;L32,L31="-"),"×","〇")</f>
        <v>〇</v>
      </c>
    </row>
    <row r="32" spans="1:20" x14ac:dyDescent="0.45">
      <c r="A32" s="1397" t="s">
        <v>1751</v>
      </c>
      <c r="B32" s="1398">
        <f t="shared" si="0"/>
        <v>31</v>
      </c>
      <c r="C32" s="1399" t="s">
        <v>2458</v>
      </c>
      <c r="D32" s="1399" t="s">
        <v>1003</v>
      </c>
      <c r="E32" s="1399" t="s">
        <v>1641</v>
      </c>
      <c r="F32" s="1399" t="s">
        <v>1003</v>
      </c>
      <c r="G32" s="1400" t="s">
        <v>2460</v>
      </c>
      <c r="H32" s="1400" t="str">
        <f>CONCATENATE(C32,D32,E32,F32,G32)</f>
        <v>GSX-2-40S</v>
      </c>
      <c r="I32" s="1400" t="str">
        <f t="shared" ref="I32:I65" si="14">CONCATENATE(IF(RIGHT(G32,1)="S","固体","液体"),LEFT(G32,1),IF(MID(G32,2,1)&lt;&gt;"0",".5",""),"级(",MID(G32,2,1),"助推器)")</f>
        <v>固体4级(0助推器)</v>
      </c>
      <c r="J32" s="1399" t="s">
        <v>2459</v>
      </c>
      <c r="K32" s="1401">
        <f ca="1">N32/火箭年間統計!$B$9</f>
        <v>1.2820512820512821E-3</v>
      </c>
      <c r="L32" s="1402">
        <f t="shared" ref="L32:L46" ca="1" si="15">IF(N32&gt;0,M32/N32,"-")</f>
        <v>0</v>
      </c>
      <c r="M32" s="1398">
        <f ca="1">火箭年間統計!BA$8</f>
        <v>0</v>
      </c>
      <c r="N32" s="1398">
        <f ca="1">火箭年間統計!BA$9</f>
        <v>1</v>
      </c>
      <c r="O32" s="1398">
        <v>1.6</v>
      </c>
      <c r="P32" s="1403">
        <v>1.3</v>
      </c>
      <c r="Q32" s="77" t="str">
        <f t="shared" ca="1" si="13"/>
        <v>〇</v>
      </c>
    </row>
    <row r="33" spans="1:17" ht="19.8" thickBot="1" x14ac:dyDescent="0.45">
      <c r="A33" s="1404" t="s">
        <v>1922</v>
      </c>
      <c r="B33" s="1405">
        <f t="shared" si="0"/>
        <v>32</v>
      </c>
      <c r="C33" s="1406" t="s">
        <v>1756</v>
      </c>
      <c r="D33" s="1406" t="s">
        <v>3</v>
      </c>
      <c r="E33" s="1407" t="s">
        <v>1659</v>
      </c>
      <c r="F33" s="1406" t="s">
        <v>3</v>
      </c>
      <c r="G33" s="1408" t="s">
        <v>1750</v>
      </c>
      <c r="H33" s="1406" t="str">
        <f>CONCATENATE(C33,D33,E33,F33,G33)</f>
        <v>TL-3-20</v>
      </c>
      <c r="I33" s="1408" t="str">
        <f t="shared" si="14"/>
        <v>液体2级(0助推器)</v>
      </c>
      <c r="J33" s="1409" t="s">
        <v>3499</v>
      </c>
      <c r="K33" s="1410">
        <f ca="1">N33/火箭年間統計!$B$9</f>
        <v>1.2820512820512821E-3</v>
      </c>
      <c r="L33" s="1411">
        <f t="shared" ca="1" si="15"/>
        <v>0</v>
      </c>
      <c r="M33" s="1412">
        <f ca="1">火箭年間統計!BF$8</f>
        <v>0</v>
      </c>
      <c r="N33" s="1412">
        <f ca="1">火箭年間統計!BF$9</f>
        <v>1</v>
      </c>
      <c r="O33" s="1412">
        <v>17</v>
      </c>
      <c r="P33" s="1413">
        <v>10</v>
      </c>
      <c r="Q33" s="77" t="str">
        <f ca="1">IF(AND(L33&lt;L34,L33="-"),"×","〇")</f>
        <v>〇</v>
      </c>
    </row>
    <row r="34" spans="1:17" ht="19.8" thickTop="1" x14ac:dyDescent="0.4">
      <c r="A34" s="451" t="s">
        <v>1749</v>
      </c>
      <c r="B34" s="417">
        <f t="shared" si="0"/>
        <v>33</v>
      </c>
      <c r="C34" s="418" t="s">
        <v>1757</v>
      </c>
      <c r="D34" s="418" t="s">
        <v>3</v>
      </c>
      <c r="E34" s="420" t="s">
        <v>1758</v>
      </c>
      <c r="F34" s="418" t="s">
        <v>3</v>
      </c>
      <c r="G34" s="419" t="s">
        <v>1750</v>
      </c>
      <c r="H34" s="418" t="str">
        <f>CONCATENATE(C34,D34,E34,F34,G34)</f>
        <v>ZSX-1-20</v>
      </c>
      <c r="I34" s="419" t="str">
        <f>CONCATENATE(IF(RIGHT(G34,1)="S","固体","液体"),LEFT(G34,1),IF(MID(G34,2,1)&lt;&gt;"0",".5",""),"级(",MID(G34,2,1),"助推器)")</f>
        <v>液体2级(0助推器)</v>
      </c>
      <c r="J34" s="452" t="s">
        <v>1759</v>
      </c>
      <c r="K34" s="467">
        <f ca="1">N34/火箭年間統計!$B$9</f>
        <v>0</v>
      </c>
      <c r="L34" s="449" t="str">
        <f ca="1">IF(N34&gt;0,M34/N34,"-")</f>
        <v>-</v>
      </c>
      <c r="M34" s="414">
        <f ca="1">火箭年間統計!BB$8</f>
        <v>0</v>
      </c>
      <c r="N34" s="414">
        <f ca="1">火箭年間統計!BB$9</f>
        <v>0</v>
      </c>
      <c r="O34" s="449">
        <v>7</v>
      </c>
      <c r="P34" s="450">
        <v>3</v>
      </c>
    </row>
    <row r="35" spans="1:17" x14ac:dyDescent="0.4">
      <c r="A35" s="1208" t="s">
        <v>1749</v>
      </c>
      <c r="B35" s="1209">
        <f t="shared" si="0"/>
        <v>34</v>
      </c>
      <c r="C35" s="1210" t="s">
        <v>1639</v>
      </c>
      <c r="D35" s="1210" t="s">
        <v>3</v>
      </c>
      <c r="E35" s="1211" t="s">
        <v>3530</v>
      </c>
      <c r="F35" s="1210" t="s">
        <v>3</v>
      </c>
      <c r="G35" s="1211">
        <v>32</v>
      </c>
      <c r="H35" s="1210" t="str">
        <f t="shared" ref="H35" si="16">CONCATENATE(C35,D35,E35,F35,G35)</f>
        <v>CZ-10-32</v>
      </c>
      <c r="I35" s="1211" t="str">
        <f t="shared" si="14"/>
        <v>液体3.5级(2助推器)</v>
      </c>
      <c r="J35" s="1212" t="s">
        <v>1987</v>
      </c>
      <c r="K35" s="1213">
        <f ca="1">N35/火箭年間統計!$B$9</f>
        <v>0</v>
      </c>
      <c r="L35" s="1307" t="str">
        <f t="shared" si="15"/>
        <v>-</v>
      </c>
      <c r="M35" s="1307">
        <f>火箭年間統計!AC$8</f>
        <v>0</v>
      </c>
      <c r="N35" s="1307">
        <f>火箭年間統計!AC$9</f>
        <v>0</v>
      </c>
      <c r="O35" s="1307">
        <v>27</v>
      </c>
      <c r="P35" s="1214">
        <v>11</v>
      </c>
    </row>
    <row r="36" spans="1:17" x14ac:dyDescent="0.4">
      <c r="A36" s="409" t="s">
        <v>1749</v>
      </c>
      <c r="B36" s="410">
        <f t="shared" si="0"/>
        <v>35</v>
      </c>
      <c r="C36" s="411" t="s">
        <v>1639</v>
      </c>
      <c r="D36" s="411" t="s">
        <v>3</v>
      </c>
      <c r="E36" s="412" t="s">
        <v>3531</v>
      </c>
      <c r="F36" s="411" t="s">
        <v>3</v>
      </c>
      <c r="G36" s="412">
        <v>20</v>
      </c>
      <c r="H36" s="411" t="str">
        <f t="shared" ref="H36" si="17">CONCATENATE(C36,D36,E36,F36,G36)</f>
        <v>CZ-10A-20</v>
      </c>
      <c r="I36" s="412" t="str">
        <f t="shared" si="14"/>
        <v>液体2级(0助推器)</v>
      </c>
      <c r="J36" s="413" t="s">
        <v>3493</v>
      </c>
      <c r="K36" s="468">
        <f ca="1">N36/火箭年間統計!$B$9</f>
        <v>0</v>
      </c>
      <c r="L36" s="414" t="str">
        <f t="shared" si="15"/>
        <v>-</v>
      </c>
      <c r="M36" s="414">
        <f>火箭年間統計!AC$8</f>
        <v>0</v>
      </c>
      <c r="N36" s="414">
        <f>火箭年間統計!AC$9</f>
        <v>0</v>
      </c>
      <c r="O36" s="414">
        <v>14</v>
      </c>
      <c r="P36" s="415">
        <v>11</v>
      </c>
    </row>
    <row r="37" spans="1:17" x14ac:dyDescent="0.4">
      <c r="A37" s="409" t="s">
        <v>1749</v>
      </c>
      <c r="B37" s="410">
        <f t="shared" si="0"/>
        <v>36</v>
      </c>
      <c r="C37" s="411" t="s">
        <v>1639</v>
      </c>
      <c r="D37" s="411" t="s">
        <v>3</v>
      </c>
      <c r="E37" s="412" t="s">
        <v>3492</v>
      </c>
      <c r="F37" s="411" t="s">
        <v>3</v>
      </c>
      <c r="G37" s="412">
        <v>20</v>
      </c>
      <c r="H37" s="411" t="str">
        <f t="shared" ref="H37" si="18">CONCATENATE(C37,D37,E37,F37,G37)</f>
        <v>CZ-10B-20</v>
      </c>
      <c r="I37" s="412" t="str">
        <f t="shared" si="14"/>
        <v>液体2级(0助推器)</v>
      </c>
      <c r="J37" s="413" t="s">
        <v>3491</v>
      </c>
      <c r="K37" s="468">
        <f ca="1">N37/火箭年間統計!$B$9</f>
        <v>0</v>
      </c>
      <c r="L37" s="414" t="str">
        <f t="shared" si="15"/>
        <v>-</v>
      </c>
      <c r="M37" s="414">
        <f>火箭年間統計!AC$8</f>
        <v>0</v>
      </c>
      <c r="N37" s="414">
        <f>火箭年間統計!AC$9</f>
        <v>0</v>
      </c>
      <c r="O37" s="414">
        <v>16</v>
      </c>
      <c r="P37" s="415">
        <v>11</v>
      </c>
    </row>
    <row r="38" spans="1:17" x14ac:dyDescent="0.4">
      <c r="A38" s="409" t="s">
        <v>1749</v>
      </c>
      <c r="B38" s="410">
        <f t="shared" si="0"/>
        <v>37</v>
      </c>
      <c r="C38" s="411" t="s">
        <v>1639</v>
      </c>
      <c r="D38" s="411" t="s">
        <v>3</v>
      </c>
      <c r="E38" s="412" t="s">
        <v>3555</v>
      </c>
      <c r="F38" s="411" t="s">
        <v>3</v>
      </c>
      <c r="G38" s="412">
        <v>20</v>
      </c>
      <c r="H38" s="411" t="str">
        <f t="shared" ref="H38" si="19">CONCATENATE(C38,D38,E38,F38,G38)</f>
        <v>CZ-10C-20</v>
      </c>
      <c r="I38" s="412" t="str">
        <f t="shared" ref="I38" si="20">CONCATENATE(IF(RIGHT(G38,1)="S","固体","液体"),LEFT(G38,1),IF(MID(G38,2,1)&lt;&gt;"0",".5",""),"级(",MID(G38,2,1),"助推器)")</f>
        <v>液体2级(0助推器)</v>
      </c>
      <c r="J38" s="413" t="s">
        <v>3554</v>
      </c>
      <c r="K38" s="468">
        <f ca="1">N38/火箭年間統計!$B$9</f>
        <v>0</v>
      </c>
      <c r="L38" s="414" t="str">
        <f t="shared" ref="L38" si="21">IF(N38&gt;0,M38/N38,"-")</f>
        <v>-</v>
      </c>
      <c r="M38" s="414">
        <f>火箭年間統計!AC$8</f>
        <v>0</v>
      </c>
      <c r="N38" s="414">
        <f>火箭年間統計!AC$9</f>
        <v>0</v>
      </c>
      <c r="O38" s="414">
        <v>16</v>
      </c>
      <c r="P38" s="415">
        <v>11</v>
      </c>
    </row>
    <row r="39" spans="1:17" x14ac:dyDescent="0.4">
      <c r="A39" s="409" t="s">
        <v>1749</v>
      </c>
      <c r="B39" s="410">
        <f t="shared" si="0"/>
        <v>38</v>
      </c>
      <c r="C39" s="411" t="s">
        <v>1639</v>
      </c>
      <c r="D39" s="411" t="s">
        <v>3</v>
      </c>
      <c r="E39" s="412" t="s">
        <v>3556</v>
      </c>
      <c r="F39" s="411" t="s">
        <v>3</v>
      </c>
      <c r="G39" s="412">
        <v>20</v>
      </c>
      <c r="H39" s="411" t="str">
        <f t="shared" ref="H39:H41" si="22">CONCATENATE(C39,D39,E39,F39,G39)</f>
        <v>CZ-12H-20</v>
      </c>
      <c r="I39" s="412" t="str">
        <f t="shared" si="14"/>
        <v>液体2级(0助推器)</v>
      </c>
      <c r="J39" s="413" t="s">
        <v>3108</v>
      </c>
      <c r="K39" s="468">
        <f ca="1">N39/火箭年間統計!$B$9</f>
        <v>0</v>
      </c>
      <c r="L39" s="414" t="str">
        <f t="shared" si="15"/>
        <v>-</v>
      </c>
      <c r="M39" s="414">
        <f>火箭年間統計!AC$8</f>
        <v>0</v>
      </c>
      <c r="N39" s="414">
        <f>火箭年間統計!AC$9</f>
        <v>0</v>
      </c>
      <c r="O39" s="414">
        <v>20</v>
      </c>
      <c r="P39" s="415">
        <v>12</v>
      </c>
    </row>
    <row r="40" spans="1:17" x14ac:dyDescent="0.4">
      <c r="A40" s="1208" t="s">
        <v>1749</v>
      </c>
      <c r="B40" s="1209">
        <f t="shared" si="0"/>
        <v>39</v>
      </c>
      <c r="C40" s="1210" t="s">
        <v>1639</v>
      </c>
      <c r="D40" s="1210" t="s">
        <v>3</v>
      </c>
      <c r="E40" s="1211" t="s">
        <v>2030</v>
      </c>
      <c r="F40" s="1210" t="s">
        <v>3</v>
      </c>
      <c r="G40" s="1211">
        <v>20</v>
      </c>
      <c r="H40" s="1210" t="str">
        <f t="shared" si="22"/>
        <v>CZ-9-20</v>
      </c>
      <c r="I40" s="1211" t="str">
        <f t="shared" ref="I40" si="23">CONCATENATE(IF(RIGHT(G40,1)="S","固体","液体"),LEFT(G40,1),IF(MID(G40,2,1)&lt;&gt;"0",".5",""),"级(",MID(G40,2,1),"助推器)")</f>
        <v>液体2级(0助推器)</v>
      </c>
      <c r="J40" s="1212" t="s">
        <v>3703</v>
      </c>
      <c r="K40" s="1213">
        <f ca="1">N40/火箭年間統計!$B$9</f>
        <v>0</v>
      </c>
      <c r="L40" s="1307" t="str">
        <f t="shared" ref="L40" si="24">IF(N40&gt;0,M40/N40,"-")</f>
        <v>-</v>
      </c>
      <c r="M40" s="1307">
        <f>火箭年間統計!AC$8</f>
        <v>0</v>
      </c>
      <c r="N40" s="1307">
        <f>火箭年間統計!AC$9</f>
        <v>0</v>
      </c>
      <c r="O40" s="1307">
        <v>50</v>
      </c>
      <c r="P40" s="1214">
        <v>44</v>
      </c>
    </row>
    <row r="41" spans="1:17" x14ac:dyDescent="0.4">
      <c r="A41" s="409" t="s">
        <v>1749</v>
      </c>
      <c r="B41" s="410">
        <f t="shared" si="0"/>
        <v>40</v>
      </c>
      <c r="C41" s="411" t="s">
        <v>1721</v>
      </c>
      <c r="D41" s="411" t="s">
        <v>3</v>
      </c>
      <c r="E41" s="412" t="s">
        <v>3558</v>
      </c>
      <c r="F41" s="411" t="s">
        <v>3</v>
      </c>
      <c r="G41" s="412" t="s">
        <v>1699</v>
      </c>
      <c r="H41" s="411" t="str">
        <f t="shared" si="22"/>
        <v>LJ-1H-40S</v>
      </c>
      <c r="I41" s="412" t="s">
        <v>3557</v>
      </c>
      <c r="J41" s="413" t="s">
        <v>3559</v>
      </c>
      <c r="K41" s="468">
        <v>1.5789473684210527E-2</v>
      </c>
      <c r="L41" s="414" t="str">
        <f t="shared" ref="L41" si="25">IF(N41&gt;0,M41/N41,"-")</f>
        <v>-</v>
      </c>
      <c r="M41" s="414">
        <f>火箭年間統計!AC$8</f>
        <v>0</v>
      </c>
      <c r="N41" s="414">
        <f>火箭年間統計!AC$9</f>
        <v>0</v>
      </c>
      <c r="O41" s="414">
        <v>2</v>
      </c>
      <c r="P41" s="415">
        <v>1.5</v>
      </c>
    </row>
    <row r="42" spans="1:17" x14ac:dyDescent="0.4">
      <c r="A42" s="451" t="s">
        <v>1749</v>
      </c>
      <c r="B42" s="417">
        <f t="shared" si="0"/>
        <v>41</v>
      </c>
      <c r="C42" s="418" t="s">
        <v>3429</v>
      </c>
      <c r="D42" s="418" t="s">
        <v>3</v>
      </c>
      <c r="E42" s="420" t="s">
        <v>1758</v>
      </c>
      <c r="F42" s="418" t="s">
        <v>3</v>
      </c>
      <c r="G42" s="419" t="s">
        <v>1750</v>
      </c>
      <c r="H42" s="418" t="str">
        <f t="shared" ref="H42" si="26">CONCATENATE(C42,D42,E42,F42,G42)</f>
        <v>ZH-1-20</v>
      </c>
      <c r="I42" s="419" t="str">
        <f t="shared" si="14"/>
        <v>液体2级(0助推器)</v>
      </c>
      <c r="J42" s="452" t="s">
        <v>3411</v>
      </c>
      <c r="K42" s="467">
        <f ca="1">N42/火箭年間統計!$B$9</f>
        <v>0</v>
      </c>
      <c r="L42" s="449" t="str">
        <f t="shared" si="15"/>
        <v>-</v>
      </c>
      <c r="M42" s="414">
        <f>火箭年間統計!AC$8</f>
        <v>0</v>
      </c>
      <c r="N42" s="414">
        <f>火箭年間統計!AC$9</f>
        <v>0</v>
      </c>
      <c r="O42" s="449">
        <v>8</v>
      </c>
      <c r="P42" s="450">
        <v>4</v>
      </c>
    </row>
    <row r="43" spans="1:17" x14ac:dyDescent="0.4">
      <c r="A43" s="421" t="s">
        <v>2454</v>
      </c>
      <c r="B43" s="422">
        <f t="shared" si="0"/>
        <v>42</v>
      </c>
      <c r="C43" s="423" t="s">
        <v>2463</v>
      </c>
      <c r="D43" s="423" t="s">
        <v>3</v>
      </c>
      <c r="E43" s="424" t="s">
        <v>1758</v>
      </c>
      <c r="F43" s="423" t="s">
        <v>3</v>
      </c>
      <c r="G43" s="424" t="s">
        <v>1750</v>
      </c>
      <c r="H43" s="425" t="str">
        <f t="shared" si="12"/>
        <v>XY-1-20</v>
      </c>
      <c r="I43" s="426" t="str">
        <f t="shared" si="14"/>
        <v>液体2级(0助推器)</v>
      </c>
      <c r="J43" s="423" t="s">
        <v>2453</v>
      </c>
      <c r="K43" s="468">
        <f ca="1">N43/火箭年間統計!$B$9</f>
        <v>0</v>
      </c>
      <c r="L43" s="408" t="str">
        <f t="shared" si="15"/>
        <v>-</v>
      </c>
      <c r="M43" s="414">
        <f>火箭年間統計!AC$8</f>
        <v>0</v>
      </c>
      <c r="N43" s="414">
        <f>火箭年間統計!AC$9</f>
        <v>0</v>
      </c>
      <c r="O43" s="408">
        <v>2</v>
      </c>
      <c r="P43" s="427">
        <v>1</v>
      </c>
    </row>
    <row r="44" spans="1:17" x14ac:dyDescent="0.45">
      <c r="A44" s="1308" t="s">
        <v>2454</v>
      </c>
      <c r="B44" s="408">
        <f t="shared" si="0"/>
        <v>43</v>
      </c>
      <c r="C44" s="423" t="s">
        <v>2462</v>
      </c>
      <c r="D44" s="423" t="s">
        <v>3</v>
      </c>
      <c r="E44" s="424" t="s">
        <v>1641</v>
      </c>
      <c r="F44" s="423" t="s">
        <v>3</v>
      </c>
      <c r="G44" s="424" t="s">
        <v>1750</v>
      </c>
      <c r="H44" s="423" t="str">
        <f t="shared" si="12"/>
        <v>YL-2-20</v>
      </c>
      <c r="I44" s="423" t="str">
        <f t="shared" si="14"/>
        <v>液体2级(0助推器)</v>
      </c>
      <c r="J44" s="423" t="s">
        <v>2457</v>
      </c>
      <c r="K44" s="468">
        <f ca="1">N44/火箭年間統計!$B$9</f>
        <v>0</v>
      </c>
      <c r="L44" s="408" t="str">
        <f t="shared" si="15"/>
        <v>-</v>
      </c>
      <c r="M44" s="414">
        <f>火箭年間統計!AC$8</f>
        <v>0</v>
      </c>
      <c r="N44" s="414">
        <f>火箭年間統計!AC$9</f>
        <v>0</v>
      </c>
      <c r="O44" s="408">
        <v>21</v>
      </c>
      <c r="P44" s="427">
        <v>15</v>
      </c>
    </row>
    <row r="45" spans="1:17" x14ac:dyDescent="0.45">
      <c r="A45" s="1308" t="s">
        <v>2454</v>
      </c>
      <c r="B45" s="408">
        <f t="shared" si="0"/>
        <v>44</v>
      </c>
      <c r="C45" s="423" t="s">
        <v>2455</v>
      </c>
      <c r="D45" s="423" t="s">
        <v>3</v>
      </c>
      <c r="E45" s="424" t="s">
        <v>1659</v>
      </c>
      <c r="F45" s="423" t="s">
        <v>3</v>
      </c>
      <c r="G45" s="424" t="s">
        <v>1750</v>
      </c>
      <c r="H45" s="423" t="str">
        <f t="shared" si="12"/>
        <v>SQX-3-20</v>
      </c>
      <c r="I45" s="423" t="str">
        <f t="shared" si="14"/>
        <v>液体2级(0助推器)</v>
      </c>
      <c r="J45" s="423" t="s">
        <v>2456</v>
      </c>
      <c r="K45" s="468">
        <f ca="1">N45/火箭年間統計!$B$9</f>
        <v>0</v>
      </c>
      <c r="L45" s="408" t="str">
        <f t="shared" si="15"/>
        <v>-</v>
      </c>
      <c r="M45" s="414">
        <f>火箭年間統計!AC$8</f>
        <v>0</v>
      </c>
      <c r="N45" s="414">
        <f>火箭年間統計!AC$9</f>
        <v>0</v>
      </c>
      <c r="O45" s="408">
        <v>13.7</v>
      </c>
      <c r="P45" s="427">
        <v>6.2</v>
      </c>
    </row>
    <row r="46" spans="1:17" ht="19.8" thickBot="1" x14ac:dyDescent="0.45">
      <c r="A46" s="1200" t="s">
        <v>1749</v>
      </c>
      <c r="B46" s="1201">
        <f t="shared" si="0"/>
        <v>45</v>
      </c>
      <c r="C46" s="1202" t="s">
        <v>2833</v>
      </c>
      <c r="D46" s="1202" t="s">
        <v>1003</v>
      </c>
      <c r="E46" s="1203">
        <v>1</v>
      </c>
      <c r="F46" s="1202" t="s">
        <v>1003</v>
      </c>
      <c r="G46" s="1203">
        <v>20</v>
      </c>
      <c r="H46" s="1202" t="str">
        <f t="shared" si="12"/>
        <v>YQ-1-20</v>
      </c>
      <c r="I46" s="1203" t="str">
        <f t="shared" si="14"/>
        <v>液体2级(0助推器)</v>
      </c>
      <c r="J46" s="1204" t="s">
        <v>2832</v>
      </c>
      <c r="K46" s="1205">
        <f ca="1">N46/火箭年間統計!$B$9</f>
        <v>0</v>
      </c>
      <c r="L46" s="1206" t="str">
        <f t="shared" si="15"/>
        <v>-</v>
      </c>
      <c r="M46" s="1206">
        <f>火箭年間統計!AC$8</f>
        <v>0</v>
      </c>
      <c r="N46" s="1206">
        <f>火箭年間統計!AC$9</f>
        <v>0</v>
      </c>
      <c r="O46" s="1206">
        <v>12</v>
      </c>
      <c r="P46" s="1207"/>
    </row>
    <row r="47" spans="1:17" ht="19.8" thickTop="1" x14ac:dyDescent="0.45">
      <c r="A47" s="1414" t="s">
        <v>1218</v>
      </c>
      <c r="B47" s="1353">
        <f t="shared" si="0"/>
        <v>46</v>
      </c>
      <c r="C47" s="134" t="s">
        <v>1694</v>
      </c>
      <c r="D47" s="134" t="s">
        <v>3</v>
      </c>
      <c r="E47" s="134" t="s">
        <v>1730</v>
      </c>
      <c r="F47" s="134" t="s">
        <v>3</v>
      </c>
      <c r="G47" s="134" t="s">
        <v>1698</v>
      </c>
      <c r="H47" s="134" t="s">
        <v>2593</v>
      </c>
      <c r="I47" s="134" t="str">
        <f t="shared" si="14"/>
        <v>液体3级(0助推器)</v>
      </c>
      <c r="J47" s="134" t="s">
        <v>3527</v>
      </c>
      <c r="K47" s="1415">
        <f ca="1">N47/火箭年間統計!$B$9</f>
        <v>3.4615384615384617E-2</v>
      </c>
      <c r="L47" s="1416">
        <v>1</v>
      </c>
      <c r="M47" s="1353">
        <v>27</v>
      </c>
      <c r="N47" s="1353">
        <v>27</v>
      </c>
      <c r="O47" s="1353" t="s">
        <v>1003</v>
      </c>
      <c r="P47" s="1352">
        <v>2.65</v>
      </c>
    </row>
    <row r="48" spans="1:17" x14ac:dyDescent="0.45">
      <c r="A48" s="1417" t="s">
        <v>868</v>
      </c>
      <c r="B48" s="1354">
        <f t="shared" si="0"/>
        <v>47</v>
      </c>
      <c r="C48" s="91" t="s">
        <v>1694</v>
      </c>
      <c r="D48" s="91" t="s">
        <v>1003</v>
      </c>
      <c r="E48" s="91" t="s">
        <v>1711</v>
      </c>
      <c r="F48" s="91" t="s">
        <v>1003</v>
      </c>
      <c r="G48" s="91" t="s">
        <v>1698</v>
      </c>
      <c r="H48" s="91" t="str">
        <f>CONCATENATE(C48,D48,E48,F48,G48)</f>
        <v>CZ-6-30</v>
      </c>
      <c r="I48" s="91" t="str">
        <f>CONCATENATE(IF(RIGHT(G48,1)="S","固体","液体"),LEFT(G48,1),IF(MID(G48,2,1)&lt;&gt;"0",".5",""),"级(",MID(G48,2,1),"助推器)")</f>
        <v>液体3级(0助推器)</v>
      </c>
      <c r="J48" s="91" t="s">
        <v>3534</v>
      </c>
      <c r="K48" s="1418">
        <f ca="1">N48/火箭年間統計!$B$9</f>
        <v>1.9230769230769232E-2</v>
      </c>
      <c r="L48" s="1419">
        <f>M48/N48</f>
        <v>1</v>
      </c>
      <c r="M48" s="1354">
        <f>火箭年間統計!T8</f>
        <v>15</v>
      </c>
      <c r="N48" s="1354">
        <f>火箭年間統計!T9</f>
        <v>15</v>
      </c>
      <c r="O48" s="1354">
        <v>1.5</v>
      </c>
      <c r="P48" s="1355">
        <v>1.08</v>
      </c>
    </row>
    <row r="49" spans="1:17" x14ac:dyDescent="0.45">
      <c r="A49" s="1802" t="s">
        <v>1218</v>
      </c>
      <c r="B49" s="1699">
        <f>ROW()-1</f>
        <v>48</v>
      </c>
      <c r="C49" s="1801" t="s">
        <v>1694</v>
      </c>
      <c r="D49" s="1699" t="s">
        <v>1003</v>
      </c>
      <c r="E49" s="1801" t="s">
        <v>1726</v>
      </c>
      <c r="F49" s="1699" t="s">
        <v>1003</v>
      </c>
      <c r="G49" s="1420" t="s">
        <v>1743</v>
      </c>
      <c r="H49" s="1420" t="str">
        <f>CONCATENATE($C$49,$D$49,$E$49,$F$49,$G49)</f>
        <v>CZ-8-22</v>
      </c>
      <c r="I49" s="1420" t="str">
        <f>CONCATENATE(IF(RIGHT(G49,1)="S","固体","液体"),LEFT(G49,1),IF(MID(G49,2,1)&lt;&gt;"0",".5",""),"级(",MID(G49,2,1),"助推器)")</f>
        <v>液体2.5级(2助推器)</v>
      </c>
      <c r="J49" s="1801" t="s">
        <v>1681</v>
      </c>
      <c r="K49" s="1799">
        <f ca="1">(N49+N50)/火箭年間統計!$B$9</f>
        <v>8.9743589743589737E-3</v>
      </c>
      <c r="L49" s="1800">
        <f>(M49+M50)/(N49+N50)</f>
        <v>1</v>
      </c>
      <c r="M49" s="1354">
        <f>火箭年間統計!Y8-M50</f>
        <v>6</v>
      </c>
      <c r="N49" s="1354">
        <f>火箭年間統計!Y9-N50</f>
        <v>6</v>
      </c>
      <c r="O49" s="1354">
        <v>8.1</v>
      </c>
      <c r="P49" s="1355">
        <v>5.5</v>
      </c>
      <c r="Q49" s="1798"/>
    </row>
    <row r="50" spans="1:17" x14ac:dyDescent="0.45">
      <c r="A50" s="1802"/>
      <c r="B50" s="1699"/>
      <c r="C50" s="1801"/>
      <c r="D50" s="1699"/>
      <c r="E50" s="1801"/>
      <c r="F50" s="1699"/>
      <c r="G50" s="1420" t="s">
        <v>1750</v>
      </c>
      <c r="H50" s="1420" t="str">
        <f>CONCATENATE($C$49,$D$49,$E$49,$F$49,$G50)</f>
        <v>CZ-8-20</v>
      </c>
      <c r="I50" s="1420" t="str">
        <f>CONCATENATE(IF(RIGHT(G50,1)="S","固体","液体"),LEFT(G50,1),IF(MID(G50,2,1)&lt;&gt;"0",".5",""),"级(",MID(G50,2,1),"助推器)")</f>
        <v>液体2级(0助推器)</v>
      </c>
      <c r="J50" s="1801"/>
      <c r="K50" s="1799">
        <f ca="1">N50/火箭年間統計!$B$9</f>
        <v>1.2820512820512821E-3</v>
      </c>
      <c r="L50" s="1800"/>
      <c r="M50" s="1354">
        <v>1</v>
      </c>
      <c r="N50" s="1354">
        <v>1</v>
      </c>
      <c r="O50" s="1354">
        <v>6</v>
      </c>
      <c r="P50" s="1355">
        <v>3</v>
      </c>
      <c r="Q50" s="1798"/>
    </row>
    <row r="51" spans="1:17" x14ac:dyDescent="0.45">
      <c r="A51" s="1417" t="s">
        <v>1218</v>
      </c>
      <c r="B51" s="1354">
        <f t="shared" ref="B51:B65" si="27">ROW()-2</f>
        <v>49</v>
      </c>
      <c r="C51" s="91" t="s">
        <v>1694</v>
      </c>
      <c r="D51" s="91" t="s">
        <v>3</v>
      </c>
      <c r="E51" s="91" t="s">
        <v>1734</v>
      </c>
      <c r="F51" s="91" t="s">
        <v>3</v>
      </c>
      <c r="G51" s="91" t="s">
        <v>1697</v>
      </c>
      <c r="H51" s="91" t="s">
        <v>2594</v>
      </c>
      <c r="I51" s="91" t="str">
        <f t="shared" si="14"/>
        <v>液体2级(0助推器)</v>
      </c>
      <c r="J51" s="91" t="s">
        <v>1686</v>
      </c>
      <c r="K51" s="1418">
        <f ca="1">N51/火箭年間統計!$B$9</f>
        <v>3.8461538461538464E-3</v>
      </c>
      <c r="L51" s="1419">
        <v>1</v>
      </c>
      <c r="M51" s="280">
        <v>3</v>
      </c>
      <c r="N51" s="1354">
        <v>3</v>
      </c>
      <c r="O51" s="1354">
        <v>1.8</v>
      </c>
      <c r="P51" s="1355" t="s">
        <v>1003</v>
      </c>
    </row>
    <row r="52" spans="1:17" x14ac:dyDescent="0.45">
      <c r="A52" s="1417" t="s">
        <v>1218</v>
      </c>
      <c r="B52" s="1354">
        <f t="shared" si="27"/>
        <v>50</v>
      </c>
      <c r="C52" s="91" t="s">
        <v>1694</v>
      </c>
      <c r="D52" s="91" t="s">
        <v>3</v>
      </c>
      <c r="E52" s="91" t="s">
        <v>1713</v>
      </c>
      <c r="F52" s="91" t="s">
        <v>3</v>
      </c>
      <c r="G52" s="1420" t="s">
        <v>1698</v>
      </c>
      <c r="H52" s="1420" t="s">
        <v>2595</v>
      </c>
      <c r="I52" s="1420" t="str">
        <f t="shared" si="14"/>
        <v>液体3级(0助推器)</v>
      </c>
      <c r="J52" s="91" t="s">
        <v>1687</v>
      </c>
      <c r="K52" s="1418">
        <f ca="1">N52/火箭年間統計!$B$9</f>
        <v>2.5641025641025641E-3</v>
      </c>
      <c r="L52" s="1419">
        <v>1</v>
      </c>
      <c r="M52" s="1354">
        <v>2</v>
      </c>
      <c r="N52" s="1354">
        <v>2</v>
      </c>
      <c r="O52" s="1354">
        <v>0.3</v>
      </c>
      <c r="P52" s="1355" t="s">
        <v>1003</v>
      </c>
    </row>
    <row r="53" spans="1:17" x14ac:dyDescent="0.45">
      <c r="A53" s="1417" t="s">
        <v>1218</v>
      </c>
      <c r="B53" s="1354">
        <f t="shared" si="27"/>
        <v>51</v>
      </c>
      <c r="C53" s="91" t="s">
        <v>1694</v>
      </c>
      <c r="D53" s="91" t="s">
        <v>3</v>
      </c>
      <c r="E53" s="91" t="s">
        <v>1736</v>
      </c>
      <c r="F53" s="91" t="s">
        <v>3</v>
      </c>
      <c r="G53" s="91" t="s">
        <v>1698</v>
      </c>
      <c r="H53" s="91" t="s">
        <v>2596</v>
      </c>
      <c r="I53" s="91" t="str">
        <f t="shared" si="14"/>
        <v>液体3级(0助推器)</v>
      </c>
      <c r="J53" s="91" t="s">
        <v>69</v>
      </c>
      <c r="K53" s="1418">
        <f ca="1">N53/火箭年間統計!$B$9</f>
        <v>2.5641025641025641E-3</v>
      </c>
      <c r="L53" s="1419">
        <v>1</v>
      </c>
      <c r="M53" s="1354">
        <v>2</v>
      </c>
      <c r="N53" s="1354">
        <v>2</v>
      </c>
      <c r="O53" s="1354" t="s">
        <v>1003</v>
      </c>
      <c r="P53" s="1355">
        <v>1.5</v>
      </c>
    </row>
    <row r="54" spans="1:17" x14ac:dyDescent="0.45">
      <c r="A54" s="1417" t="s">
        <v>1218</v>
      </c>
      <c r="B54" s="1354">
        <f t="shared" si="27"/>
        <v>52</v>
      </c>
      <c r="C54" s="91" t="s">
        <v>1707</v>
      </c>
      <c r="D54" s="91" t="s">
        <v>3</v>
      </c>
      <c r="E54" s="91" t="s">
        <v>1713</v>
      </c>
      <c r="F54" s="91" t="s">
        <v>3</v>
      </c>
      <c r="G54" s="1420" t="s">
        <v>1737</v>
      </c>
      <c r="H54" s="1420" t="s">
        <v>2597</v>
      </c>
      <c r="I54" s="1420" t="str">
        <f t="shared" si="14"/>
        <v>固体3级(0助推器)</v>
      </c>
      <c r="J54" s="91" t="s">
        <v>1688</v>
      </c>
      <c r="K54" s="1418">
        <f ca="1">N54/火箭年間統計!$B$9</f>
        <v>2.5641025641025641E-3</v>
      </c>
      <c r="L54" s="1419">
        <v>1</v>
      </c>
      <c r="M54" s="1354">
        <v>2</v>
      </c>
      <c r="N54" s="1354">
        <v>2</v>
      </c>
      <c r="O54" s="1354" t="s">
        <v>1003</v>
      </c>
      <c r="P54" s="1355">
        <v>0.2</v>
      </c>
    </row>
    <row r="55" spans="1:17" x14ac:dyDescent="0.45">
      <c r="A55" s="1417" t="s">
        <v>1751</v>
      </c>
      <c r="B55" s="1354">
        <f t="shared" si="27"/>
        <v>53</v>
      </c>
      <c r="C55" s="91" t="s">
        <v>1727</v>
      </c>
      <c r="D55" s="91" t="s">
        <v>1003</v>
      </c>
      <c r="E55" s="91" t="s">
        <v>1725</v>
      </c>
      <c r="F55" s="91" t="s">
        <v>1003</v>
      </c>
      <c r="G55" s="1420" t="s">
        <v>1698</v>
      </c>
      <c r="H55" s="1420" t="str">
        <f>CONCATENATE(C55,D55,E55,F55,G55)</f>
        <v>TL-2-30</v>
      </c>
      <c r="I55" s="1420" t="str">
        <f t="shared" si="14"/>
        <v>液体3级(0助推器)</v>
      </c>
      <c r="J55" s="91" t="s">
        <v>1682</v>
      </c>
      <c r="K55" s="1418">
        <f ca="1">N55/火箭年間統計!$B$9</f>
        <v>1.2820512820512821E-3</v>
      </c>
      <c r="L55" s="1419">
        <v>1</v>
      </c>
      <c r="M55" s="1354">
        <f ca="1">火箭年間統計!BE9</f>
        <v>1</v>
      </c>
      <c r="N55" s="280">
        <f ca="1">火箭年間統計!BE7</f>
        <v>1</v>
      </c>
      <c r="O55" s="1354">
        <v>2</v>
      </c>
      <c r="P55" s="1355">
        <v>1.5</v>
      </c>
    </row>
    <row r="56" spans="1:17" x14ac:dyDescent="0.45">
      <c r="A56" s="1417" t="s">
        <v>1218</v>
      </c>
      <c r="B56" s="1354">
        <f t="shared" si="27"/>
        <v>54</v>
      </c>
      <c r="C56" s="91" t="s">
        <v>1735</v>
      </c>
      <c r="D56" s="91" t="s">
        <v>3</v>
      </c>
      <c r="E56" s="91" t="s">
        <v>1725</v>
      </c>
      <c r="F56" s="91" t="s">
        <v>3</v>
      </c>
      <c r="G56" s="91" t="s">
        <v>1699</v>
      </c>
      <c r="H56" s="91" t="s">
        <v>2598</v>
      </c>
      <c r="I56" s="91" t="str">
        <f t="shared" si="14"/>
        <v>固体4级(0助推器)</v>
      </c>
      <c r="J56" s="91" t="s">
        <v>411</v>
      </c>
      <c r="K56" s="1418">
        <f ca="1">N56/火箭年間統計!$B$9</f>
        <v>1.2820512820512821E-3</v>
      </c>
      <c r="L56" s="1419">
        <v>1</v>
      </c>
      <c r="M56" s="1354">
        <v>1</v>
      </c>
      <c r="N56" s="1354">
        <v>1</v>
      </c>
      <c r="O56" s="1354">
        <v>0.35</v>
      </c>
      <c r="P56" s="1421">
        <v>0.25</v>
      </c>
    </row>
    <row r="57" spans="1:17" x14ac:dyDescent="0.45">
      <c r="A57" s="1417" t="s">
        <v>1218</v>
      </c>
      <c r="B57" s="1354">
        <f t="shared" si="27"/>
        <v>55</v>
      </c>
      <c r="C57" s="91" t="s">
        <v>1722</v>
      </c>
      <c r="D57" s="91" t="s">
        <v>3</v>
      </c>
      <c r="E57" s="91" t="s">
        <v>1713</v>
      </c>
      <c r="F57" s="91" t="s">
        <v>3</v>
      </c>
      <c r="G57" s="1420" t="s">
        <v>1699</v>
      </c>
      <c r="H57" s="1420" t="s">
        <v>2599</v>
      </c>
      <c r="I57" s="1420" t="str">
        <f t="shared" si="14"/>
        <v>固体4级(0助推器)</v>
      </c>
      <c r="J57" s="91" t="s">
        <v>1689</v>
      </c>
      <c r="K57" s="1418">
        <f ca="1">N57/火箭年間統計!$B$9</f>
        <v>1.2820512820512821E-3</v>
      </c>
      <c r="L57" s="1419">
        <v>1</v>
      </c>
      <c r="M57" s="1354">
        <v>1</v>
      </c>
      <c r="N57" s="1354">
        <v>1</v>
      </c>
      <c r="O57" s="1354" t="s">
        <v>1003</v>
      </c>
      <c r="P57" s="1355">
        <v>0.2</v>
      </c>
    </row>
    <row r="58" spans="1:17" x14ac:dyDescent="0.45">
      <c r="A58" s="1417" t="s">
        <v>1218</v>
      </c>
      <c r="B58" s="1354">
        <f t="shared" si="27"/>
        <v>56</v>
      </c>
      <c r="C58" s="91" t="s">
        <v>1694</v>
      </c>
      <c r="D58" s="91" t="s">
        <v>3</v>
      </c>
      <c r="E58" s="91" t="s">
        <v>1723</v>
      </c>
      <c r="F58" s="91" t="s">
        <v>3</v>
      </c>
      <c r="G58" s="1420" t="s">
        <v>1698</v>
      </c>
      <c r="H58" s="1420" t="s">
        <v>2600</v>
      </c>
      <c r="I58" s="1420" t="str">
        <f t="shared" si="14"/>
        <v>液体3级(0助推器)</v>
      </c>
      <c r="J58" s="91" t="s">
        <v>1684</v>
      </c>
      <c r="K58" s="1418">
        <f ca="1">N58/火箭年間統計!$B$9</f>
        <v>1.6666666666666666E-2</v>
      </c>
      <c r="L58" s="1419">
        <v>0.76923076923076927</v>
      </c>
      <c r="M58" s="1354">
        <v>10</v>
      </c>
      <c r="N58" s="1354">
        <v>13</v>
      </c>
      <c r="O58" s="1354" t="s">
        <v>1003</v>
      </c>
      <c r="P58" s="1355">
        <v>1.45</v>
      </c>
    </row>
    <row r="59" spans="1:17" x14ac:dyDescent="0.45">
      <c r="A59" s="1417" t="s">
        <v>1218</v>
      </c>
      <c r="B59" s="1354">
        <f t="shared" si="27"/>
        <v>57</v>
      </c>
      <c r="C59" s="91" t="s">
        <v>1694</v>
      </c>
      <c r="D59" s="91" t="s">
        <v>3</v>
      </c>
      <c r="E59" s="91" t="s">
        <v>1733</v>
      </c>
      <c r="F59" s="91" t="s">
        <v>3</v>
      </c>
      <c r="G59" s="91" t="s">
        <v>1700</v>
      </c>
      <c r="H59" s="91" t="s">
        <v>2602</v>
      </c>
      <c r="I59" s="91" t="str">
        <f t="shared" si="14"/>
        <v>液体2.5级(4助推器)</v>
      </c>
      <c r="J59" s="91" t="s">
        <v>76</v>
      </c>
      <c r="K59" s="1418">
        <f ca="1">N59/火箭年間統計!$B$9</f>
        <v>8.9743589743589737E-3</v>
      </c>
      <c r="L59" s="1419">
        <v>0.7142857142857143</v>
      </c>
      <c r="M59" s="1354">
        <v>5</v>
      </c>
      <c r="N59" s="1354">
        <v>7</v>
      </c>
      <c r="O59" s="1354">
        <v>9.1999999999999993</v>
      </c>
      <c r="P59" s="1355" t="s">
        <v>1003</v>
      </c>
    </row>
    <row r="60" spans="1:17" x14ac:dyDescent="0.45">
      <c r="A60" s="1417" t="s">
        <v>1751</v>
      </c>
      <c r="B60" s="1354">
        <f t="shared" si="27"/>
        <v>58</v>
      </c>
      <c r="C60" s="91" t="s">
        <v>1724</v>
      </c>
      <c r="D60" s="91" t="s">
        <v>1003</v>
      </c>
      <c r="E60" s="91" t="s">
        <v>1725</v>
      </c>
      <c r="F60" s="91" t="s">
        <v>1003</v>
      </c>
      <c r="G60" s="1420" t="s">
        <v>1697</v>
      </c>
      <c r="H60" s="1420" t="str">
        <f>CONCATENATE(C60,D60,E60,F60,G60)</f>
        <v>ZQ-2-20</v>
      </c>
      <c r="I60" s="1420" t="str">
        <f t="shared" si="14"/>
        <v>液体2级(0助推器)</v>
      </c>
      <c r="J60" s="91" t="s">
        <v>1680</v>
      </c>
      <c r="K60" s="1418">
        <f ca="1">N60/火箭年間統計!$B$9</f>
        <v>3.8461538461538464E-3</v>
      </c>
      <c r="L60" s="1419">
        <f ca="1">M60/N60</f>
        <v>0.66666666666666663</v>
      </c>
      <c r="M60" s="1354">
        <f ca="1">火箭年間統計!AR8</f>
        <v>2</v>
      </c>
      <c r="N60" s="1354">
        <f ca="1">火箭年間統計!AR9</f>
        <v>3</v>
      </c>
      <c r="O60" s="1354">
        <v>4</v>
      </c>
      <c r="P60" s="1355">
        <v>1.5</v>
      </c>
    </row>
    <row r="61" spans="1:17" x14ac:dyDescent="0.45">
      <c r="A61" s="1417" t="s">
        <v>1218</v>
      </c>
      <c r="B61" s="1354">
        <f t="shared" si="27"/>
        <v>59</v>
      </c>
      <c r="C61" s="91" t="s">
        <v>1732</v>
      </c>
      <c r="D61" s="91" t="s">
        <v>3</v>
      </c>
      <c r="E61" s="91" t="s">
        <v>1713</v>
      </c>
      <c r="F61" s="91" t="s">
        <v>3</v>
      </c>
      <c r="G61" s="1420" t="s">
        <v>1697</v>
      </c>
      <c r="H61" s="1420" t="s">
        <v>2601</v>
      </c>
      <c r="I61" s="1420" t="str">
        <f t="shared" si="14"/>
        <v>液体2级(0助推器)</v>
      </c>
      <c r="J61" s="91" t="s">
        <v>1685</v>
      </c>
      <c r="K61" s="1418">
        <f ca="1">N61/火箭年間統計!$B$9</f>
        <v>1.0256410256410256E-2</v>
      </c>
      <c r="L61" s="1419">
        <v>0.5</v>
      </c>
      <c r="M61" s="1354">
        <v>4</v>
      </c>
      <c r="N61" s="1354">
        <v>8</v>
      </c>
      <c r="O61" s="1354">
        <v>1.5</v>
      </c>
      <c r="P61" s="1355" t="s">
        <v>1003</v>
      </c>
    </row>
    <row r="62" spans="1:17" x14ac:dyDescent="0.45">
      <c r="A62" s="1417" t="s">
        <v>1218</v>
      </c>
      <c r="B62" s="1354">
        <f t="shared" si="27"/>
        <v>60</v>
      </c>
      <c r="C62" s="91" t="s">
        <v>1735</v>
      </c>
      <c r="D62" s="91" t="s">
        <v>3</v>
      </c>
      <c r="E62" s="91" t="s">
        <v>1713</v>
      </c>
      <c r="F62" s="91" t="s">
        <v>3</v>
      </c>
      <c r="G62" s="91" t="s">
        <v>1699</v>
      </c>
      <c r="H62" s="91" t="s">
        <v>2603</v>
      </c>
      <c r="I62" s="91" t="str">
        <f t="shared" si="14"/>
        <v>固体4级(0助推器)</v>
      </c>
      <c r="J62" s="91" t="s">
        <v>151</v>
      </c>
      <c r="K62" s="1418">
        <f ca="1">N62/火箭年間統計!$B$9</f>
        <v>3.8461538461538464E-3</v>
      </c>
      <c r="L62" s="1419">
        <v>0</v>
      </c>
      <c r="M62" s="1354">
        <v>0</v>
      </c>
      <c r="N62" s="1354">
        <v>3</v>
      </c>
      <c r="O62" s="1354">
        <v>0.1</v>
      </c>
      <c r="P62" s="1421">
        <v>0.05</v>
      </c>
    </row>
    <row r="63" spans="1:17" x14ac:dyDescent="0.45">
      <c r="A63" s="1417" t="s">
        <v>1218</v>
      </c>
      <c r="B63" s="1354">
        <f t="shared" si="27"/>
        <v>61</v>
      </c>
      <c r="C63" s="91" t="s">
        <v>1694</v>
      </c>
      <c r="D63" s="91" t="s">
        <v>3</v>
      </c>
      <c r="E63" s="91" t="s">
        <v>1725</v>
      </c>
      <c r="F63" s="91" t="s">
        <v>3</v>
      </c>
      <c r="G63" s="1420" t="s">
        <v>1697</v>
      </c>
      <c r="H63" s="1420" t="s">
        <v>2604</v>
      </c>
      <c r="I63" s="1420" t="str">
        <f t="shared" si="14"/>
        <v>液体2级(0助推器)</v>
      </c>
      <c r="J63" s="91" t="s">
        <v>1690</v>
      </c>
      <c r="K63" s="1418">
        <f ca="1">N63/火箭年間統計!$B$9</f>
        <v>1.2820512820512821E-3</v>
      </c>
      <c r="L63" s="1419">
        <v>0</v>
      </c>
      <c r="M63" s="1354">
        <v>0</v>
      </c>
      <c r="N63" s="1354">
        <v>1</v>
      </c>
      <c r="O63" s="1354">
        <v>1.8</v>
      </c>
      <c r="P63" s="1355" t="s">
        <v>1003</v>
      </c>
    </row>
    <row r="64" spans="1:17" x14ac:dyDescent="0.45">
      <c r="A64" s="1417" t="s">
        <v>1218</v>
      </c>
      <c r="B64" s="1354">
        <f t="shared" si="27"/>
        <v>62</v>
      </c>
      <c r="C64" s="91" t="s">
        <v>1724</v>
      </c>
      <c r="D64" s="91" t="s">
        <v>3</v>
      </c>
      <c r="E64" s="91" t="s">
        <v>1713</v>
      </c>
      <c r="F64" s="91" t="s">
        <v>3</v>
      </c>
      <c r="G64" s="1420" t="s">
        <v>1737</v>
      </c>
      <c r="H64" s="1420" t="s">
        <v>2605</v>
      </c>
      <c r="I64" s="1420" t="str">
        <f t="shared" si="14"/>
        <v>固体3级(0助推器)</v>
      </c>
      <c r="J64" s="91" t="s">
        <v>1691</v>
      </c>
      <c r="K64" s="1418">
        <f ca="1">N64/火箭年間統計!$B$9</f>
        <v>1.2820512820512821E-3</v>
      </c>
      <c r="L64" s="1419">
        <v>0</v>
      </c>
      <c r="M64" s="1354">
        <v>0</v>
      </c>
      <c r="N64" s="1354">
        <v>1</v>
      </c>
      <c r="O64" s="1354">
        <v>0.3</v>
      </c>
      <c r="P64" s="1355">
        <v>0.2</v>
      </c>
    </row>
    <row r="65" spans="1:16" ht="19.8" thickBot="1" x14ac:dyDescent="0.5">
      <c r="A65" s="1422" t="s">
        <v>1218</v>
      </c>
      <c r="B65" s="1423">
        <f t="shared" si="27"/>
        <v>63</v>
      </c>
      <c r="C65" s="1424" t="s">
        <v>1738</v>
      </c>
      <c r="D65" s="1424" t="s">
        <v>3</v>
      </c>
      <c r="E65" s="1424" t="s">
        <v>1739</v>
      </c>
      <c r="F65" s="1424" t="s">
        <v>3</v>
      </c>
      <c r="G65" s="1425" t="s">
        <v>1699</v>
      </c>
      <c r="H65" s="1425" t="s">
        <v>2606</v>
      </c>
      <c r="I65" s="1425" t="str">
        <f t="shared" si="14"/>
        <v>固体4级(0助推器)</v>
      </c>
      <c r="J65" s="1424" t="s">
        <v>1692</v>
      </c>
      <c r="K65" s="1426">
        <f ca="1">N65/火箭年間統計!$B$9</f>
        <v>1.2820512820512821E-3</v>
      </c>
      <c r="L65" s="1427">
        <v>0</v>
      </c>
      <c r="M65" s="1423">
        <v>0</v>
      </c>
      <c r="N65" s="1423">
        <v>1</v>
      </c>
      <c r="O65" s="1423">
        <v>0.16900000000000001</v>
      </c>
      <c r="P65" s="1428">
        <v>0.112</v>
      </c>
    </row>
  </sheetData>
  <mergeCells count="10">
    <mergeCell ref="A49:A50"/>
    <mergeCell ref="B49:B50"/>
    <mergeCell ref="C49:C50"/>
    <mergeCell ref="D49:D50"/>
    <mergeCell ref="E49:E50"/>
    <mergeCell ref="Q49:Q50"/>
    <mergeCell ref="F49:F50"/>
    <mergeCell ref="K49:K50"/>
    <mergeCell ref="L49:L50"/>
    <mergeCell ref="J49:J50"/>
  </mergeCells>
  <phoneticPr fontId="2"/>
  <conditionalFormatting sqref="J55:K55 J26:K26 J60:K60 J30:K30 J19:K24 J3:K4 J6:K6 J8:K15 J49:K49">
    <cfRule type="expression" dxfId="85" priority="101">
      <formula>YEAR(#REF!)=YEAR(TODAY())</formula>
    </cfRule>
  </conditionalFormatting>
  <conditionalFormatting sqref="J19:K24 J3:K4 I30 I8 B16:H17 J13:K15 M15:N17 I15:I17 M30:N30 M12:N12 M8:N8 B28:N28 J16:L17 J43:K47 B42:L42 B32:N35 K42:K46 I42:I46 M42:N46 I12:K12 J51:K63 J26:K31 B22:N24 J6:K11 J49:K49">
    <cfRule type="expression" dxfId="84" priority="102">
      <formula>YEAR(#REF!)=YEAR(TODAY())</formula>
    </cfRule>
  </conditionalFormatting>
  <conditionalFormatting sqref="J28:K28">
    <cfRule type="expression" dxfId="83" priority="106">
      <formula>YEAR(#REF!)=YEAR(TODAY())</formula>
    </cfRule>
  </conditionalFormatting>
  <conditionalFormatting sqref="J60:K60">
    <cfRule type="expression" dxfId="82" priority="107">
      <formula>YEAR(#REF!)=YEAR(TODAY())</formula>
    </cfRule>
  </conditionalFormatting>
  <conditionalFormatting sqref="A1:P1">
    <cfRule type="expression" dxfId="81" priority="98">
      <formula>YEAR($B1)=YEAR(TODAY())</formula>
    </cfRule>
  </conditionalFormatting>
  <conditionalFormatting sqref="L50 B50:I50 B17:N17 B33:N34 B43:N47 B51:N65 B19:N31 M49:N50 B2:N15 B49:L49">
    <cfRule type="expression" dxfId="80" priority="109">
      <formula>YEAR(#REF!)=YEAR(TODAY())</formula>
    </cfRule>
  </conditionalFormatting>
  <conditionalFormatting sqref="J55:K55">
    <cfRule type="expression" dxfId="79" priority="110">
      <formula>YEAR(#REF!)=YEAR(TODAY())</formula>
    </cfRule>
  </conditionalFormatting>
  <conditionalFormatting sqref="J60:K60 J63:K63">
    <cfRule type="expression" dxfId="78" priority="112">
      <formula>YEAR(#REF!)=YEAR(TODAY())</formula>
    </cfRule>
  </conditionalFormatting>
  <conditionalFormatting sqref="J47:K47 J54:K54">
    <cfRule type="expression" dxfId="77" priority="114">
      <formula>YEAR(#REF!)=YEAR(TODAY())</formula>
    </cfRule>
  </conditionalFormatting>
  <conditionalFormatting sqref="J52:K52">
    <cfRule type="expression" dxfId="76" priority="117">
      <formula>YEAR(#REF!)=YEAR(TODAY())</formula>
    </cfRule>
  </conditionalFormatting>
  <conditionalFormatting sqref="J60:K60 J63:K63">
    <cfRule type="expression" dxfId="75" priority="119">
      <formula>YEAR(#REF!)=YEAR(TODAY())</formula>
    </cfRule>
  </conditionalFormatting>
  <conditionalFormatting sqref="J28:K28">
    <cfRule type="expression" dxfId="74" priority="120">
      <formula>YEAR(#REF!)=YEAR(TODAY())</formula>
    </cfRule>
  </conditionalFormatting>
  <conditionalFormatting sqref="J63:K63 J53:K54">
    <cfRule type="expression" dxfId="73" priority="123">
      <formula>YEAR(#REF!)=YEAR(TODAY())</formula>
    </cfRule>
  </conditionalFormatting>
  <conditionalFormatting sqref="J26:K26">
    <cfRule type="expression" dxfId="72" priority="125">
      <formula>YEAR(#REF!)=YEAR(TODAY())</formula>
    </cfRule>
  </conditionalFormatting>
  <conditionalFormatting sqref="J63:K63">
    <cfRule type="expression" dxfId="71" priority="126">
      <formula>YEAR(#REF!)=YEAR(TODAY())</formula>
    </cfRule>
  </conditionalFormatting>
  <conditionalFormatting sqref="J57:K57">
    <cfRule type="expression" dxfId="70" priority="131">
      <formula>YEAR(#REF!)=YEAR(TODAY())</formula>
    </cfRule>
  </conditionalFormatting>
  <conditionalFormatting sqref="J60:K60">
    <cfRule type="expression" dxfId="69" priority="383">
      <formula>YEAR($B14)=YEAR(TODAY())</formula>
    </cfRule>
  </conditionalFormatting>
  <conditionalFormatting sqref="J22:K24 J28:K28">
    <cfRule type="expression" dxfId="68" priority="40">
      <formula>YEAR(#REF!)=YEAR(TODAY())</formula>
    </cfRule>
  </conditionalFormatting>
  <conditionalFormatting sqref="J42:K42">
    <cfRule type="expression" dxfId="67" priority="24">
      <formula>YEAR(#REF!)=YEAR(TODAY())</formula>
    </cfRule>
  </conditionalFormatting>
  <conditionalFormatting sqref="J34:K35">
    <cfRule type="expression" dxfId="66" priority="22">
      <formula>YEAR(#REF!)=YEAR(TODAY())</formula>
    </cfRule>
  </conditionalFormatting>
  <conditionalFormatting sqref="B36:N36">
    <cfRule type="expression" dxfId="65" priority="19">
      <formula>YEAR(#REF!)=YEAR(TODAY())</formula>
    </cfRule>
  </conditionalFormatting>
  <conditionalFormatting sqref="J36:K36">
    <cfRule type="expression" dxfId="64" priority="18">
      <formula>YEAR(#REF!)=YEAR(TODAY())</formula>
    </cfRule>
  </conditionalFormatting>
  <conditionalFormatting sqref="B37:N37">
    <cfRule type="expression" dxfId="63" priority="17">
      <formula>YEAR(#REF!)=YEAR(TODAY())</formula>
    </cfRule>
  </conditionalFormatting>
  <conditionalFormatting sqref="J37:K37">
    <cfRule type="expression" dxfId="62" priority="16">
      <formula>YEAR(#REF!)=YEAR(TODAY())</formula>
    </cfRule>
  </conditionalFormatting>
  <conditionalFormatting sqref="B39:N39">
    <cfRule type="expression" dxfId="61" priority="15">
      <formula>YEAR(#REF!)=YEAR(TODAY())</formula>
    </cfRule>
  </conditionalFormatting>
  <conditionalFormatting sqref="J39:K39">
    <cfRule type="expression" dxfId="60" priority="14">
      <formula>YEAR(#REF!)=YEAR(TODAY())</formula>
    </cfRule>
  </conditionalFormatting>
  <conditionalFormatting sqref="J48:K50">
    <cfRule type="expression" dxfId="59" priority="11">
      <formula>YEAR(#REF!)=YEAR(TODAY())</formula>
    </cfRule>
  </conditionalFormatting>
  <conditionalFormatting sqref="B48:N50">
    <cfRule type="expression" dxfId="58" priority="12">
      <formula>YEAR(#REF!)=YEAR(TODAY())</formula>
    </cfRule>
  </conditionalFormatting>
  <conditionalFormatting sqref="J48:K50">
    <cfRule type="expression" dxfId="57" priority="13">
      <formula>YEAR(#REF!)=YEAR(TODAY())</formula>
    </cfRule>
  </conditionalFormatting>
  <conditionalFormatting sqref="B38:N38">
    <cfRule type="expression" dxfId="56" priority="10">
      <formula>YEAR(#REF!)=YEAR(TODAY())</formula>
    </cfRule>
  </conditionalFormatting>
  <conditionalFormatting sqref="J38:K38">
    <cfRule type="expression" dxfId="55" priority="9">
      <formula>YEAR(#REF!)=YEAR(TODAY())</formula>
    </cfRule>
  </conditionalFormatting>
  <conditionalFormatting sqref="B41:N41">
    <cfRule type="expression" dxfId="54" priority="6">
      <formula>YEAR(#REF!)=YEAR(TODAY())</formula>
    </cfRule>
  </conditionalFormatting>
  <conditionalFormatting sqref="J41:K41">
    <cfRule type="expression" dxfId="53" priority="5">
      <formula>YEAR(#REF!)=YEAR(TODAY())</formula>
    </cfRule>
  </conditionalFormatting>
  <conditionalFormatting sqref="B18:N18">
    <cfRule type="expression" dxfId="52" priority="3">
      <formula>YEAR(#REF!)=YEAR(TODAY())</formula>
    </cfRule>
  </conditionalFormatting>
  <conditionalFormatting sqref="B18:N18">
    <cfRule type="expression" dxfId="51" priority="4">
      <formula>YEAR(#REF!)=YEAR(TODAY())</formula>
    </cfRule>
  </conditionalFormatting>
  <conditionalFormatting sqref="B40:N40">
    <cfRule type="expression" dxfId="50" priority="2">
      <formula>YEAR(#REF!)=YEAR(TODAY())</formula>
    </cfRule>
  </conditionalFormatting>
  <conditionalFormatting sqref="J40:K40">
    <cfRule type="expression" dxfId="49" priority="1">
      <formula>YEAR(#REF!)=YEAR(TODAY())</formula>
    </cfRule>
  </conditionalFormatting>
  <pageMargins left="0.7" right="0.7" top="0.75" bottom="0.75" header="0.3" footer="0.3"/>
  <pageSetup paperSize="0" orientation="portrait" horizontalDpi="0" verticalDpi="0" copies="0"/>
  <ignoredErrors>
    <ignoredError sqref="E25:G25 E56 E61:E64 G61:G63 E52:E54 E55:G55 G8:G9 E7:G7 G22:G24 P25 E19:G21 G51:G54 G56 E60:G60 E27:G27 E29:G29 E26 E28 E13:G14 E31:G31 E43:G45 E12:G12 G2:G4 E42 G42 E32 E15 G17:G18 E5:G5 E6 E17 E35 G47 E33:G34 E11:G11 E40 E57:E58 G57:G59 E49:G50" numberStoredAsText="1"/>
    <ignoredError sqref="L30:L31 L10 L8 C48:D48 Q11" formula="1"/>
    <ignoredError sqref="E48:G48" numberStoredAsText="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082D-6F4D-4512-AC28-D4AB0EED0B61}">
  <dimension ref="A1:AA4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ColWidth="16.09765625" defaultRowHeight="15.6" x14ac:dyDescent="0.45"/>
  <cols>
    <col min="1" max="1" width="5.59765625" style="254" bestFit="1" customWidth="1"/>
    <col min="2" max="2" width="13.69921875" style="256" bestFit="1" customWidth="1"/>
    <col min="3" max="3" width="25.69921875" style="256" bestFit="1" customWidth="1"/>
    <col min="4" max="6" width="5.59765625" style="254" bestFit="1" customWidth="1"/>
    <col min="7" max="7" width="7.3984375" style="254" bestFit="1" customWidth="1"/>
    <col min="8" max="9" width="7.69921875" style="254" bestFit="1" customWidth="1"/>
    <col min="10" max="10" width="5.59765625" style="254" bestFit="1" customWidth="1"/>
    <col min="11" max="11" width="18.09765625" style="256" bestFit="1" customWidth="1"/>
    <col min="12" max="12" width="15.8984375" style="255" hidden="1" customWidth="1"/>
    <col min="13" max="13" width="12.59765625" style="254" hidden="1" customWidth="1"/>
    <col min="14" max="14" width="1.296875" style="254" customWidth="1"/>
    <col min="15" max="15" width="5.59765625" style="254" bestFit="1" customWidth="1"/>
    <col min="16" max="16" width="5.3984375" style="254" bestFit="1" customWidth="1"/>
    <col min="17" max="17" width="1.296875" style="254" customWidth="1"/>
    <col min="18" max="18" width="5.59765625" style="254" bestFit="1" customWidth="1"/>
    <col min="19" max="19" width="5.3984375" style="256" customWidth="1"/>
    <col min="20" max="20" width="1.296875" style="254" customWidth="1"/>
    <col min="21" max="21" width="7.3984375" style="254" bestFit="1" customWidth="1"/>
    <col min="22" max="22" width="5.3984375" style="254" customWidth="1"/>
    <col min="23" max="23" width="4.3984375" style="254" customWidth="1"/>
    <col min="24" max="24" width="3.59765625" style="254" bestFit="1" customWidth="1"/>
    <col min="25" max="25" width="4.3984375" style="254" customWidth="1"/>
    <col min="26" max="26" width="5.59765625" style="254" bestFit="1" customWidth="1"/>
    <col min="27" max="27" width="72" style="254" customWidth="1"/>
    <col min="28" max="28" width="76.796875" style="254" bestFit="1" customWidth="1"/>
    <col min="29" max="16384" width="16.09765625" style="254"/>
  </cols>
  <sheetData>
    <row r="1" spans="1:27" ht="16.2" thickBot="1" x14ac:dyDescent="0.5">
      <c r="A1" s="1333" t="s">
        <v>2235</v>
      </c>
      <c r="B1" s="1219" t="s">
        <v>1859</v>
      </c>
      <c r="C1" s="1220" t="s">
        <v>2234</v>
      </c>
      <c r="D1" s="1221" t="s">
        <v>1856</v>
      </c>
      <c r="E1" s="1221" t="s">
        <v>2252</v>
      </c>
      <c r="F1" s="1221" t="s">
        <v>1857</v>
      </c>
      <c r="G1" s="1222" t="s">
        <v>3546</v>
      </c>
      <c r="H1" s="1221" t="s">
        <v>3662</v>
      </c>
      <c r="I1" s="1221" t="s">
        <v>3663</v>
      </c>
      <c r="J1" s="1221" t="s">
        <v>2696</v>
      </c>
      <c r="K1" s="1223" t="s">
        <v>3618</v>
      </c>
      <c r="L1" s="1298"/>
      <c r="M1" s="1223"/>
      <c r="O1" s="1333" t="s">
        <v>2253</v>
      </c>
      <c r="P1" s="1334">
        <f>SUM(P2:P5)</f>
        <v>30</v>
      </c>
      <c r="R1" s="1333" t="s">
        <v>2253</v>
      </c>
      <c r="S1" s="1322" t="s">
        <v>1859</v>
      </c>
      <c r="T1" s="1324"/>
      <c r="U1" s="1324"/>
      <c r="V1" s="1324"/>
      <c r="W1" s="1331"/>
      <c r="X1" s="1330">
        <f ca="1">SUM(X2:X24)</f>
        <v>30</v>
      </c>
      <c r="Z1" s="1280" t="s">
        <v>2253</v>
      </c>
      <c r="AA1" s="1229" t="s">
        <v>3652</v>
      </c>
    </row>
    <row r="2" spans="1:27" x14ac:dyDescent="0.45">
      <c r="A2" s="1309">
        <v>1</v>
      </c>
      <c r="B2" s="1310" t="s">
        <v>1823</v>
      </c>
      <c r="C2" s="1310" t="s">
        <v>1849</v>
      </c>
      <c r="D2" s="1311">
        <f t="shared" ref="D2:D31" ca="1" si="0">DATEDIF(L2,TODAY(),"Y")</f>
        <v>61</v>
      </c>
      <c r="E2" s="1312">
        <v>1998</v>
      </c>
      <c r="F2" s="1313">
        <v>1</v>
      </c>
      <c r="G2" s="1313" t="s">
        <v>3548</v>
      </c>
      <c r="H2" s="1311">
        <f>IF(SUMIF(乘组!G:G,航天员!B2,乘组!D:D)&lt;0,"",SUMIF(乘组!G:G,航天员!B2,乘组!D:D))</f>
        <v>1</v>
      </c>
      <c r="I2" s="1311">
        <f>COUNTIF(乘组!G:G,B2)</f>
        <v>1</v>
      </c>
      <c r="J2" s="1311">
        <f>SUMIF(出舱!D:D,航天员!B2,出舱!E:E)</f>
        <v>0</v>
      </c>
      <c r="K2" s="1314" t="s">
        <v>3620</v>
      </c>
      <c r="L2" s="1299">
        <v>23914</v>
      </c>
      <c r="M2" s="1218"/>
      <c r="O2" s="1291" cm="1">
        <f t="array" ref="O2:O5">_xlfn.SORTBY(_xlfn.UNIQUE($I$2:$I$31),_xlfn.UNIQUE($I$2:$I$31),-1)</f>
        <v>4</v>
      </c>
      <c r="P2" s="1292">
        <f>COUNTIF($I$2:$I$31,O2)</f>
        <v>1</v>
      </c>
      <c r="R2" s="1291" cm="1">
        <f t="array" aca="1" ref="R2:R23" ca="1">_xlfn.SORTBY(_xlfn.UNIQUE($H$2:$H$31),_xlfn.UNIQUE($H$2:$H$31),-1)</f>
        <v>418</v>
      </c>
      <c r="S2" s="1297" t="str" cm="1">
        <f t="array" aca="1" ref="S2" ca="1">_xlfn.TEXTJOIN(",",TRUE,_xlfn._xlws.FILTER($B$2:$B$31,$H$2:$H$31=R2))</f>
        <v>陈冬</v>
      </c>
      <c r="T2" s="1294"/>
      <c r="U2" s="1294"/>
      <c r="V2" s="1294"/>
      <c r="W2" s="1325"/>
      <c r="X2" s="1295">
        <f ca="1">LEN(S2)-LEN(SUBSTITUTE(S2,",",""))+1</f>
        <v>1</v>
      </c>
      <c r="Z2" s="254" cm="1">
        <f t="array" aca="1" ref="Z2:Z17" ca="1">_xlfn.SORTBY(_xlfn.UNIQUE(_xlfn._xlws.FILTER(乘组!$D$2:$D$86,(乘组!$G$2:$G$86&lt;&gt;"-")*(乘组!$G$2:$G$86&lt;&gt;"")*(乘组!$G$2:$G$86&lt;&gt;"无人")*(乘组!$D$2:$D$86&gt;0))),_xlfn.UNIQUE(_xlfn._xlws.FILTER(乘组!$D$2:$D$86,(乘组!$G$2:$G$86&lt;&gt;"-")*(乘组!$G$2:$G$86&lt;&gt;"")*(乘组!$G$2:$G$86&lt;&gt;"无人")*(乘组!$D$2:$D$86&gt;0))),-1)</f>
        <v>204</v>
      </c>
      <c r="AA2" s="256" t="str" cm="1">
        <f t="array" aca="1" ref="AA2" ca="1">_xlfn.TEXTJOIN(",",TRUE,_xlfn._xlws.FILTER(乘组!$G$2:$G$86,乘组!$D$2:$D$86=Z2))</f>
        <v>陈冬,陈中瑞,王杰</v>
      </c>
    </row>
    <row r="3" spans="1:27" x14ac:dyDescent="0.45">
      <c r="A3" s="1315">
        <v>2</v>
      </c>
      <c r="B3" s="1316" t="s">
        <v>1891</v>
      </c>
      <c r="C3" s="1316" t="s">
        <v>1850</v>
      </c>
      <c r="D3" s="1317">
        <f t="shared" ca="1" si="0"/>
        <v>61</v>
      </c>
      <c r="E3" s="1318">
        <v>1998</v>
      </c>
      <c r="F3" s="1319">
        <v>1</v>
      </c>
      <c r="G3" s="1319" t="s">
        <v>3547</v>
      </c>
      <c r="H3" s="1317">
        <f>IF(SUMIF(乘组!G:G,航天员!B3,乘组!D:D)&lt;0,"",SUMIF(乘组!G:G,航天员!B3,乘组!D:D))</f>
        <v>192</v>
      </c>
      <c r="I3" s="1317">
        <f>COUNTIF(乘组!G:G,B3)</f>
        <v>2</v>
      </c>
      <c r="J3" s="1317">
        <f>SUMIF(出舱!D:D,航天员!B3,出舱!E:E)</f>
        <v>4</v>
      </c>
      <c r="K3" s="1320" t="s">
        <v>3621</v>
      </c>
      <c r="L3" s="1300">
        <v>23867</v>
      </c>
      <c r="M3" s="1191"/>
      <c r="O3" s="1225">
        <v>3</v>
      </c>
      <c r="P3" s="1226">
        <f t="shared" ref="P3:P5" si="1">COUNTIF($I$2:$I$31,O3)</f>
        <v>2</v>
      </c>
      <c r="R3" s="1225">
        <f ca="1"/>
        <v>397</v>
      </c>
      <c r="S3" s="1281" t="str" cm="1">
        <f t="array" aca="1" ref="S3" ca="1">_xlfn.TEXTJOIN(",",TRUE,_xlfn._xlws.FILTER($B$2:$B$31,$H$2:$H$31=R3))</f>
        <v>张陆</v>
      </c>
      <c r="T3" s="1282"/>
      <c r="U3" s="1282"/>
      <c r="V3" s="1282"/>
      <c r="W3" s="1326"/>
      <c r="X3" s="1283">
        <f t="shared" ref="X3:X23" ca="1" si="2">LEN(S3)-LEN(SUBSTITUTE(S3,",",""))+1</f>
        <v>1</v>
      </c>
      <c r="Z3" s="254">
        <f ca="1"/>
        <v>193</v>
      </c>
      <c r="AA3" s="256" t="str" cm="1">
        <f t="array" aca="1" ref="AA3" ca="1">_xlfn.TEXTJOIN(",",TRUE,_xlfn._xlws.FILTER(乘组!$G$2:$G$86,乘组!$D$2:$D$86=Z3))</f>
        <v>叶光富,李聪,李广苏</v>
      </c>
    </row>
    <row r="4" spans="1:27" x14ac:dyDescent="0.45">
      <c r="A4" s="1315">
        <v>3</v>
      </c>
      <c r="B4" s="1316" t="s">
        <v>1825</v>
      </c>
      <c r="C4" s="1316" t="s">
        <v>1851</v>
      </c>
      <c r="D4" s="1317">
        <f t="shared" ca="1" si="0"/>
        <v>61</v>
      </c>
      <c r="E4" s="1318">
        <v>1998</v>
      </c>
      <c r="F4" s="1319">
        <v>1</v>
      </c>
      <c r="G4" s="1319" t="s">
        <v>3547</v>
      </c>
      <c r="H4" s="1317">
        <f>IF(SUMIF(乘组!G:G,航天员!B4,乘组!D:D)&lt;0,"",SUMIF(乘组!G:G,航天员!B4,乘组!D:D))</f>
        <v>112</v>
      </c>
      <c r="I4" s="1317">
        <f>COUNTIF(乘组!G:G,B4)</f>
        <v>3</v>
      </c>
      <c r="J4" s="1317">
        <f>SUMIF(出舱!D:D,航天员!B4,出舱!E:E)</f>
        <v>1</v>
      </c>
      <c r="K4" s="1320" t="s">
        <v>3619</v>
      </c>
      <c r="L4" s="1300">
        <v>23664</v>
      </c>
      <c r="M4" s="1191"/>
      <c r="O4" s="1225">
        <v>2</v>
      </c>
      <c r="P4" s="1226">
        <f t="shared" si="1"/>
        <v>10</v>
      </c>
      <c r="R4" s="1225">
        <f ca="1"/>
        <v>375</v>
      </c>
      <c r="S4" s="1281" t="str" cm="1">
        <f t="array" aca="1" ref="S4" ca="1">_xlfn.TEXTJOIN(",",TRUE,_xlfn._xlws.FILTER($B$2:$B$31,$H$2:$H$31=R4))</f>
        <v>叶光富</v>
      </c>
      <c r="T4" s="1282"/>
      <c r="U4" s="1282"/>
      <c r="V4" s="1282"/>
      <c r="W4" s="1326"/>
      <c r="X4" s="1283">
        <f t="shared" ca="1" si="2"/>
        <v>1</v>
      </c>
      <c r="Z4" s="254">
        <f ca="1"/>
        <v>187</v>
      </c>
      <c r="AA4" s="256" t="str" cm="1">
        <f t="array" aca="1" ref="AA4" ca="1">_xlfn.TEXTJOIN(",",TRUE,_xlfn._xlws.FILTER(乘组!$G$2:$G$86,乘组!$D$2:$D$86=Z4))</f>
        <v>费俊龙,邓清明,张陆,汤洪波,唐胜杰,江新林</v>
      </c>
    </row>
    <row r="5" spans="1:27" ht="16.2" thickBot="1" x14ac:dyDescent="0.5">
      <c r="A5" s="1315">
        <v>4</v>
      </c>
      <c r="B5" s="1316" t="s">
        <v>1826</v>
      </c>
      <c r="C5" s="1316" t="s">
        <v>1874</v>
      </c>
      <c r="D5" s="1317">
        <f t="shared" ca="1" si="0"/>
        <v>59</v>
      </c>
      <c r="E5" s="1318">
        <v>1998</v>
      </c>
      <c r="F5" s="1319">
        <v>1</v>
      </c>
      <c r="G5" s="1319" t="s">
        <v>3547</v>
      </c>
      <c r="H5" s="1317">
        <f>IF(SUMIF(乘组!G:G,航天员!B5,乘组!D:D)&lt;0,"",SUMIF(乘组!G:G,航天员!B5,乘组!D:D))</f>
        <v>185</v>
      </c>
      <c r="I5" s="1317">
        <f>COUNTIF(乘组!G:G,B5)</f>
        <v>2</v>
      </c>
      <c r="J5" s="1317">
        <f>SUMIF(出舱!D:D,航天员!B5,出舱!E:E)</f>
        <v>3</v>
      </c>
      <c r="K5" s="1320" t="s">
        <v>3622</v>
      </c>
      <c r="L5" s="1300">
        <v>24390</v>
      </c>
      <c r="M5" s="1191"/>
      <c r="O5" s="1227">
        <v>1</v>
      </c>
      <c r="P5" s="1228">
        <f t="shared" si="1"/>
        <v>17</v>
      </c>
      <c r="R5" s="1225">
        <f ca="1"/>
        <v>364</v>
      </c>
      <c r="S5" s="1281" t="str" cm="1">
        <f t="array" aca="1" ref="S5" ca="1">_xlfn.TEXTJOIN(",",TRUE,_xlfn._xlws.FILTER($B$2:$B$31,$H$2:$H$31=R5))</f>
        <v>蔡旭哲</v>
      </c>
      <c r="T5" s="1282"/>
      <c r="U5" s="1282"/>
      <c r="V5" s="1282"/>
      <c r="W5" s="1326"/>
      <c r="X5" s="1283">
        <f t="shared" ca="1" si="2"/>
        <v>1</v>
      </c>
      <c r="Z5" s="254">
        <f ca="1"/>
        <v>185</v>
      </c>
      <c r="AA5" s="256" t="str" cm="1">
        <f t="array" aca="1" ref="AA5" ca="1">_xlfn.TEXTJOIN(",",TRUE,_xlfn._xlws.FILTER(乘组!$G$2:$G$86,乘组!$D$2:$D$86=Z5))</f>
        <v>张陆,武飞,张洪章</v>
      </c>
    </row>
    <row r="6" spans="1:27" ht="16.2" thickBot="1" x14ac:dyDescent="0.5">
      <c r="A6" s="1315">
        <v>5</v>
      </c>
      <c r="B6" s="1316" t="s">
        <v>1827</v>
      </c>
      <c r="C6" s="1316" t="s">
        <v>1852</v>
      </c>
      <c r="D6" s="1317">
        <f t="shared" ca="1" si="0"/>
        <v>59</v>
      </c>
      <c r="E6" s="1318">
        <v>1998</v>
      </c>
      <c r="F6" s="1319">
        <v>1</v>
      </c>
      <c r="G6" s="1319" t="s">
        <v>3547</v>
      </c>
      <c r="H6" s="1317">
        <f>IF(SUMIF(乘组!G:G,航天员!B6,乘组!D:D)&lt;0,"",SUMIF(乘组!G:G,航天员!B6,乘组!D:D))</f>
        <v>95</v>
      </c>
      <c r="I6" s="1317">
        <f>COUNTIF(乘组!G:G,B6)</f>
        <v>2</v>
      </c>
      <c r="J6" s="1317">
        <f>SUMIF(出舱!D:D,航天员!B6,出舱!E:E)</f>
        <v>3</v>
      </c>
      <c r="K6" s="1320" t="s">
        <v>3622</v>
      </c>
      <c r="L6" s="1300">
        <v>24367</v>
      </c>
      <c r="M6" s="1191"/>
      <c r="R6" s="1225">
        <f ca="1"/>
        <v>279</v>
      </c>
      <c r="S6" s="1281" t="str" cm="1">
        <f t="array" aca="1" ref="S6" ca="1">_xlfn.TEXTJOIN(",",TRUE,_xlfn._xlws.FILTER($B$2:$B$31,$H$2:$H$31=R6))</f>
        <v>汤洪波</v>
      </c>
      <c r="T6" s="1282"/>
      <c r="U6" s="1282"/>
      <c r="V6" s="1282"/>
      <c r="W6" s="1326"/>
      <c r="X6" s="1283">
        <f t="shared" ca="1" si="2"/>
        <v>1</v>
      </c>
      <c r="Z6" s="254">
        <f ca="1"/>
        <v>182</v>
      </c>
      <c r="AA6" s="256" t="str" cm="1">
        <f t="array" aca="1" ref="AA6" ca="1">_xlfn.TEXTJOIN(",",TRUE,_xlfn._xlws.FILTER(乘组!$G$2:$G$86,乘组!$D$2:$D$86=Z6))</f>
        <v>翟志刚,王亚平(女),叶光富,陈冬,刘洋(女),蔡旭哲,蔡旭哲,宋令东,王浩泽(女)</v>
      </c>
    </row>
    <row r="7" spans="1:27" ht="16.2" thickBot="1" x14ac:dyDescent="0.5">
      <c r="A7" s="1315">
        <v>6</v>
      </c>
      <c r="B7" s="1316" t="s">
        <v>1965</v>
      </c>
      <c r="C7" s="1316" t="s">
        <v>1853</v>
      </c>
      <c r="D7" s="1317">
        <f t="shared" ca="1" si="0"/>
        <v>59</v>
      </c>
      <c r="E7" s="1318">
        <v>1998</v>
      </c>
      <c r="F7" s="1319">
        <v>1</v>
      </c>
      <c r="G7" s="1319" t="s">
        <v>3547</v>
      </c>
      <c r="H7" s="1317">
        <f>IF(SUMIF(乘组!G:G,航天员!B7,乘组!D:D)&lt;0,"",SUMIF(乘组!G:G,航天员!B7,乘组!D:D))</f>
        <v>202</v>
      </c>
      <c r="I7" s="1317">
        <f>COUNTIF(乘组!G:G,B7)</f>
        <v>4</v>
      </c>
      <c r="J7" s="1317">
        <f>SUMIF(出舱!D:D,航天员!B7,出舱!E:E)</f>
        <v>1</v>
      </c>
      <c r="K7" s="1320" t="s">
        <v>3623</v>
      </c>
      <c r="L7" s="1300">
        <v>24404</v>
      </c>
      <c r="M7" s="1191"/>
      <c r="O7" s="1333" t="s">
        <v>2696</v>
      </c>
      <c r="P7" s="1334">
        <f>SUM(P8:P15)</f>
        <v>30</v>
      </c>
      <c r="R7" s="1225">
        <f ca="1"/>
        <v>210</v>
      </c>
      <c r="S7" s="1281" t="str" cm="1">
        <f t="array" aca="1" ref="S7" ca="1">_xlfn.TEXTJOIN(",",TRUE,_xlfn._xlws.FILTER($B$2:$B$31,$H$2:$H$31=R7))</f>
        <v>武飞,张洪章</v>
      </c>
      <c r="T7" s="1282"/>
      <c r="U7" s="1282"/>
      <c r="V7" s="1282"/>
      <c r="W7" s="1326"/>
      <c r="X7" s="1283">
        <f t="shared" ca="1" si="2"/>
        <v>2</v>
      </c>
      <c r="Z7" s="254">
        <f ca="1"/>
        <v>154</v>
      </c>
      <c r="AA7" s="256" t="str" cm="1">
        <f t="array" aca="1" ref="AA7" ca="1">_xlfn.TEXTJOIN(",",TRUE,_xlfn._xlws.FILTER(乘组!$G$2:$G$86,乘组!$D$2:$D$86=Z7))</f>
        <v>景海鹏,朱杨柱,桂海潮</v>
      </c>
    </row>
    <row r="8" spans="1:27" x14ac:dyDescent="0.45">
      <c r="A8" s="1315">
        <v>7</v>
      </c>
      <c r="B8" s="1316" t="s">
        <v>1829</v>
      </c>
      <c r="C8" s="1316" t="s">
        <v>1854</v>
      </c>
      <c r="D8" s="1317">
        <f t="shared" ca="1" si="0"/>
        <v>57</v>
      </c>
      <c r="E8" s="1318">
        <v>1998</v>
      </c>
      <c r="F8" s="1319">
        <v>1</v>
      </c>
      <c r="G8" s="1319" t="s">
        <v>3547</v>
      </c>
      <c r="H8" s="1317">
        <f>IF(SUMIF(乘组!G:G,航天员!B8,乘组!D:D)&lt;0,"",SUMIF(乘组!G:G,航天员!B8,乘组!D:D))</f>
        <v>13</v>
      </c>
      <c r="I8" s="1317">
        <f>COUNTIF(乘组!G:G,B8)</f>
        <v>1</v>
      </c>
      <c r="J8" s="1317">
        <f>SUMIF(出舱!D:D,航天员!B8,出舱!E:E)</f>
        <v>0</v>
      </c>
      <c r="K8" s="1320" t="s">
        <v>3624</v>
      </c>
      <c r="L8" s="1300">
        <v>25287</v>
      </c>
      <c r="M8" s="1191"/>
      <c r="O8" s="1291" cm="1">
        <f t="array" ref="O8:O15">_xlfn.SORTBY(_xlfn.UNIQUE($J$2:$J$31),_xlfn.UNIQUE($J$2:$J$31),-1)</f>
        <v>7</v>
      </c>
      <c r="P8" s="1292">
        <f>COUNTIF($J$2:$J$31,O8)</f>
        <v>1</v>
      </c>
      <c r="R8" s="1225">
        <f ca="1"/>
        <v>204</v>
      </c>
      <c r="S8" s="1281" t="str" cm="1">
        <f t="array" aca="1" ref="S8" ca="1">_xlfn.TEXTJOIN(",",TRUE,_xlfn._xlws.FILTER($B$2:$B$31,$H$2:$H$31=R8))</f>
        <v>陈中瑞,王杰</v>
      </c>
      <c r="T8" s="1282"/>
      <c r="U8" s="1282"/>
      <c r="V8" s="1282"/>
      <c r="W8" s="1326"/>
      <c r="X8" s="1283">
        <f t="shared" ca="1" si="2"/>
        <v>2</v>
      </c>
      <c r="Z8" s="254">
        <f ca="1"/>
        <v>92</v>
      </c>
      <c r="AA8" s="256" t="str" cm="1">
        <f t="array" aca="1" ref="AA8" ca="1">_xlfn.TEXTJOIN(",",TRUE,_xlfn._xlws.FILTER(乘组!$G$2:$G$86,乘组!$D$2:$D$86=Z8))</f>
        <v>聂海胜,刘伯明,汤洪波</v>
      </c>
    </row>
    <row r="9" spans="1:27" x14ac:dyDescent="0.45">
      <c r="A9" s="1225">
        <v>8</v>
      </c>
      <c r="B9" s="1192" t="s">
        <v>1897</v>
      </c>
      <c r="C9" s="1192" t="s">
        <v>1911</v>
      </c>
      <c r="D9" s="1194">
        <f t="shared" ca="1" si="0"/>
        <v>47</v>
      </c>
      <c r="E9" s="1193">
        <v>2010</v>
      </c>
      <c r="F9" s="1191">
        <v>2</v>
      </c>
      <c r="G9" s="1191" t="s">
        <v>3547</v>
      </c>
      <c r="H9" s="1194">
        <f>IF(SUMIF(乘组!G:G,航天员!B9,乘组!D:D)&lt;0,"",SUMIF(乘组!G:G,航天员!B9,乘组!D:D))</f>
        <v>195</v>
      </c>
      <c r="I9" s="1194">
        <f>COUNTIF(乘组!G:G,B9)</f>
        <v>2</v>
      </c>
      <c r="J9" s="1194">
        <f>SUMIF(出舱!D:D,航天员!B9,出舱!E:E)</f>
        <v>1</v>
      </c>
      <c r="K9" s="1301" t="s">
        <v>3625</v>
      </c>
      <c r="L9" s="1300">
        <v>28769</v>
      </c>
      <c r="M9" s="1191"/>
      <c r="O9" s="1225">
        <v>6</v>
      </c>
      <c r="P9" s="1226">
        <f t="shared" ref="P9:P15" si="3">COUNTIF($J$2:$J$31,O9)</f>
        <v>1</v>
      </c>
      <c r="R9" s="1225">
        <f ca="1"/>
        <v>202</v>
      </c>
      <c r="S9" s="1281" t="str" cm="1">
        <f t="array" aca="1" ref="S9" ca="1">_xlfn.TEXTJOIN(",",TRUE,_xlfn._xlws.FILTER($B$2:$B$31,$H$2:$H$31=R9))</f>
        <v>景海鹏</v>
      </c>
      <c r="T9" s="1282"/>
      <c r="U9" s="1282"/>
      <c r="V9" s="1282"/>
      <c r="W9" s="1326"/>
      <c r="X9" s="1283">
        <f t="shared" ca="1" si="2"/>
        <v>1</v>
      </c>
      <c r="Z9" s="254">
        <f ca="1"/>
        <v>43</v>
      </c>
      <c r="AA9" s="256" t="str" cm="1">
        <f t="array" aca="1" ref="AA9" ca="1">_xlfn.TEXTJOIN(",",TRUE,_xlfn._xlws.FILTER(乘组!$G$2:$G$86,乘组!$D$2:$D$86=Z9))</f>
        <v>朱杨柱,张志远,黎家盈(女)</v>
      </c>
    </row>
    <row r="10" spans="1:27" x14ac:dyDescent="0.45">
      <c r="A10" s="1315">
        <v>9</v>
      </c>
      <c r="B10" s="1316" t="s">
        <v>1830</v>
      </c>
      <c r="C10" s="1316" t="s">
        <v>1855</v>
      </c>
      <c r="D10" s="1317">
        <f t="shared" ca="1" si="0"/>
        <v>60</v>
      </c>
      <c r="E10" s="1318">
        <v>1998</v>
      </c>
      <c r="F10" s="1319">
        <v>1</v>
      </c>
      <c r="G10" s="1319" t="s">
        <v>3547</v>
      </c>
      <c r="H10" s="1317">
        <f>IF(SUMIF(乘组!G:G,航天员!B10,乘组!D:D)&lt;0,"",SUMIF(乘组!G:G,航天员!B10,乘组!D:D))</f>
        <v>15</v>
      </c>
      <c r="I10" s="1317">
        <f>COUNTIF(乘组!G:G,B10)</f>
        <v>1</v>
      </c>
      <c r="J10" s="1317">
        <f>SUMIF(出舱!D:D,航天员!B10,出舱!E:E)</f>
        <v>0</v>
      </c>
      <c r="K10" s="1320" t="s">
        <v>3626</v>
      </c>
      <c r="L10" s="1300">
        <v>24228</v>
      </c>
      <c r="M10" s="1191" t="s">
        <v>1951</v>
      </c>
      <c r="O10" s="1225">
        <v>5</v>
      </c>
      <c r="P10" s="1226">
        <f t="shared" si="3"/>
        <v>1</v>
      </c>
      <c r="R10" s="1225">
        <f ca="1"/>
        <v>197</v>
      </c>
      <c r="S10" s="1281" t="str" cm="1">
        <f t="array" aca="1" ref="S10" ca="1">_xlfn.TEXTJOIN(",",TRUE,_xlfn._xlws.FILTER($B$2:$B$31,$H$2:$H$31=R10))</f>
        <v>王亚平(女),朱杨柱</v>
      </c>
      <c r="T10" s="1282"/>
      <c r="U10" s="1282"/>
      <c r="V10" s="1282"/>
      <c r="W10" s="1326"/>
      <c r="X10" s="1283">
        <f t="shared" ca="1" si="2"/>
        <v>2</v>
      </c>
      <c r="Z10" s="254">
        <f ca="1"/>
        <v>32</v>
      </c>
      <c r="AA10" s="256" t="str" cm="1">
        <f t="array" aca="1" ref="AA10" ca="1">_xlfn.TEXTJOIN(",",TRUE,_xlfn._xlws.FILTER(乘组!$G$2:$G$86,乘组!$D$2:$D$86=Z10))</f>
        <v>景海鹏,陈冬</v>
      </c>
    </row>
    <row r="11" spans="1:27" x14ac:dyDescent="0.45">
      <c r="A11" s="1225">
        <v>10</v>
      </c>
      <c r="B11" s="1192" t="s">
        <v>1862</v>
      </c>
      <c r="C11" s="1192" t="s">
        <v>1912</v>
      </c>
      <c r="D11" s="1194">
        <f t="shared" ca="1" si="0"/>
        <v>46</v>
      </c>
      <c r="E11" s="1193">
        <v>2010</v>
      </c>
      <c r="F11" s="1191">
        <v>2</v>
      </c>
      <c r="G11" s="1191" t="s">
        <v>3547</v>
      </c>
      <c r="H11" s="1194">
        <f>IF(SUMIF(乘组!G:G,航天员!B11,乘组!D:D)&lt;0,"",SUMIF(乘组!G:G,航天员!B11,乘组!D:D))</f>
        <v>197</v>
      </c>
      <c r="I11" s="1194">
        <f>COUNTIF(乘组!G:G,B11)</f>
        <v>2</v>
      </c>
      <c r="J11" s="1194">
        <f>SUMIF(出舱!D:D,航天员!B11,出舱!E:E)</f>
        <v>1</v>
      </c>
      <c r="K11" s="1301" t="s">
        <v>3627</v>
      </c>
      <c r="L11" s="1300">
        <v>29247</v>
      </c>
      <c r="M11" s="1191"/>
      <c r="O11" s="1225">
        <v>4</v>
      </c>
      <c r="P11" s="1226">
        <f t="shared" si="3"/>
        <v>1</v>
      </c>
      <c r="R11" s="1225">
        <f ca="1"/>
        <v>195</v>
      </c>
      <c r="S11" s="1281" t="str" cm="1">
        <f t="array" aca="1" ref="S11" ca="1">_xlfn.TEXTJOIN(",",TRUE,_xlfn._xlws.FILTER($B$2:$B$31,$H$2:$H$31=R11))</f>
        <v>刘洋(女)</v>
      </c>
      <c r="T11" s="1282"/>
      <c r="U11" s="1282"/>
      <c r="V11" s="1282"/>
      <c r="W11" s="1326"/>
      <c r="X11" s="1283">
        <f t="shared" ca="1" si="2"/>
        <v>1</v>
      </c>
      <c r="Z11" s="254">
        <f ca="1"/>
        <v>15</v>
      </c>
      <c r="AA11" s="256" t="str" cm="1">
        <f t="array" aca="1" ref="AA11" ca="1">_xlfn.TEXTJOIN(",",TRUE,_xlfn._xlws.FILTER(乘组!$G$2:$G$86,乘组!$D$2:$D$86=Z11))</f>
        <v>聂海胜,张晓光,王亚平(女)</v>
      </c>
    </row>
    <row r="12" spans="1:27" x14ac:dyDescent="0.45">
      <c r="A12" s="1225">
        <v>11</v>
      </c>
      <c r="B12" s="1192" t="s">
        <v>1831</v>
      </c>
      <c r="C12" s="1192" t="s">
        <v>1863</v>
      </c>
      <c r="D12" s="1194">
        <f t="shared" ca="1" si="0"/>
        <v>47</v>
      </c>
      <c r="E12" s="1193">
        <v>2010</v>
      </c>
      <c r="F12" s="1191">
        <v>2</v>
      </c>
      <c r="G12" s="1191" t="s">
        <v>3547</v>
      </c>
      <c r="H12" s="1194">
        <f ca="1">IF(SUMIF(乘组!G:G,航天员!B12,乘组!D:D)&lt;0,"",SUMIF(乘组!G:G,航天员!B12,乘组!D:D))</f>
        <v>418</v>
      </c>
      <c r="I12" s="1194">
        <f>COUNTIF(乘组!G:G,B12)-1</f>
        <v>3</v>
      </c>
      <c r="J12" s="1194">
        <f>SUMIF(出舱!D:D,航天员!B12,出舱!E:E)</f>
        <v>6</v>
      </c>
      <c r="K12" s="1301" t="s">
        <v>3628</v>
      </c>
      <c r="L12" s="1300">
        <v>28836</v>
      </c>
      <c r="M12" s="1191"/>
      <c r="O12" s="1225">
        <v>3</v>
      </c>
      <c r="P12" s="1226">
        <f t="shared" si="3"/>
        <v>7</v>
      </c>
      <c r="R12" s="1225">
        <f ca="1"/>
        <v>193</v>
      </c>
      <c r="S12" s="1281" t="str" cm="1">
        <f t="array" aca="1" ref="S12" ca="1">_xlfn.TEXTJOIN(",",TRUE,_xlfn._xlws.FILTER($B$2:$B$31,$H$2:$H$31=R12))</f>
        <v>李聪,李广苏</v>
      </c>
      <c r="T12" s="1282"/>
      <c r="U12" s="1282"/>
      <c r="V12" s="1282"/>
      <c r="W12" s="1326"/>
      <c r="X12" s="1283">
        <f t="shared" ca="1" si="2"/>
        <v>2</v>
      </c>
      <c r="Z12" s="254">
        <f ca="1"/>
        <v>14</v>
      </c>
      <c r="AA12" s="256" t="str" cm="1">
        <f t="array" aca="1" ref="AA12" ca="1">_xlfn.TEXTJOIN(",",TRUE,_xlfn._xlws.FILTER(乘组!$G$2:$G$86,乘组!$D$2:$D$86=Z12))</f>
        <v>张陆,武飞,张洪章</v>
      </c>
    </row>
    <row r="13" spans="1:27" x14ac:dyDescent="0.45">
      <c r="A13" s="1225">
        <v>12</v>
      </c>
      <c r="B13" s="1192" t="s">
        <v>1902</v>
      </c>
      <c r="C13" s="1192" t="s">
        <v>1869</v>
      </c>
      <c r="D13" s="1194">
        <f t="shared" ca="1" si="0"/>
        <v>50</v>
      </c>
      <c r="E13" s="1193">
        <v>2010</v>
      </c>
      <c r="F13" s="1191">
        <v>2</v>
      </c>
      <c r="G13" s="1191" t="s">
        <v>3547</v>
      </c>
      <c r="H13" s="1194">
        <f>IF(SUMIF(乘组!G:G,航天员!B13,乘组!D:D)&lt;0,"",SUMIF(乘组!G:G,航天员!B13,乘组!D:D))</f>
        <v>279</v>
      </c>
      <c r="I13" s="1194">
        <f>COUNTIF(乘组!G:G,B13)</f>
        <v>2</v>
      </c>
      <c r="J13" s="1194">
        <f>SUMIF(出舱!D:D,航天员!B13,出舱!E:E)</f>
        <v>3</v>
      </c>
      <c r="K13" s="1301" t="s">
        <v>3629</v>
      </c>
      <c r="L13" s="1300">
        <v>27668</v>
      </c>
      <c r="M13" s="1191" t="s">
        <v>1951</v>
      </c>
      <c r="O13" s="1225">
        <v>2</v>
      </c>
      <c r="P13" s="1226">
        <f t="shared" si="3"/>
        <v>1</v>
      </c>
      <c r="R13" s="1225">
        <f ca="1"/>
        <v>192</v>
      </c>
      <c r="S13" s="1281" t="str" cm="1">
        <f t="array" aca="1" ref="S13" ca="1">_xlfn.TEXTJOIN(",",TRUE,_xlfn._xlws.FILTER($B$2:$B$31,$H$2:$H$31=R13))</f>
        <v>费俊龙</v>
      </c>
      <c r="T13" s="1282"/>
      <c r="U13" s="1282"/>
      <c r="V13" s="1282"/>
      <c r="W13" s="1326"/>
      <c r="X13" s="1283">
        <f t="shared" ca="1" si="2"/>
        <v>1</v>
      </c>
      <c r="Z13" s="254">
        <f ca="1"/>
        <v>13</v>
      </c>
      <c r="AA13" s="256" t="str" cm="1">
        <f t="array" aca="1" ref="AA13" ca="1">_xlfn.TEXTJOIN(",",TRUE,_xlfn._xlws.FILTER(乘组!$G$2:$G$86,乘组!$D$2:$D$86=Z13))</f>
        <v>景海鹏,刘旺,刘洋(女)</v>
      </c>
    </row>
    <row r="14" spans="1:27" x14ac:dyDescent="0.45">
      <c r="A14" s="1225">
        <v>13</v>
      </c>
      <c r="B14" s="1192" t="s">
        <v>1877</v>
      </c>
      <c r="C14" s="1192" t="s">
        <v>1864</v>
      </c>
      <c r="D14" s="1194">
        <f t="shared" ca="1" si="0"/>
        <v>45</v>
      </c>
      <c r="E14" s="1193">
        <v>2010</v>
      </c>
      <c r="F14" s="1191">
        <v>2</v>
      </c>
      <c r="G14" s="1191" t="s">
        <v>3547</v>
      </c>
      <c r="H14" s="1194">
        <f>IF(SUMIF(乘组!G:G,航天员!B14,乘组!D:D)&lt;0,"",SUMIF(乘组!G:G,航天员!B14,乘组!D:D))</f>
        <v>375</v>
      </c>
      <c r="I14" s="1194">
        <f>COUNTIF(乘组!G:G,B14)</f>
        <v>2</v>
      </c>
      <c r="J14" s="1194">
        <f>SUMIF(出舱!D:D,航天员!B14,出舱!E:E)</f>
        <v>3</v>
      </c>
      <c r="K14" s="1301" t="s">
        <v>3630</v>
      </c>
      <c r="L14" s="1300">
        <v>29465</v>
      </c>
      <c r="M14" s="1191"/>
      <c r="O14" s="1225">
        <v>1</v>
      </c>
      <c r="P14" s="1226">
        <f t="shared" si="3"/>
        <v>9</v>
      </c>
      <c r="R14" s="1225">
        <f ca="1"/>
        <v>187</v>
      </c>
      <c r="S14" s="1281" t="str" cm="1">
        <f t="array" aca="1" ref="S14" ca="1">_xlfn.TEXTJOIN(",",TRUE,_xlfn._xlws.FILTER($B$2:$B$31,$H$2:$H$31=R14))</f>
        <v>邓清明,唐胜杰,江新林</v>
      </c>
      <c r="T14" s="1282"/>
      <c r="U14" s="1282"/>
      <c r="V14" s="1282"/>
      <c r="W14" s="1326"/>
      <c r="X14" s="1283">
        <f t="shared" ca="1" si="2"/>
        <v>3</v>
      </c>
      <c r="Z14" s="254">
        <f ca="1"/>
        <v>11</v>
      </c>
      <c r="AA14" s="256" t="str" cm="1">
        <f t="array" aca="1" ref="AA14" ca="1">_xlfn.TEXTJOIN(",",TRUE,_xlfn._xlws.FILTER(乘组!$G$2:$G$86,乘组!$D$2:$D$86=Z14))</f>
        <v>张陆,武飞,张洪章</v>
      </c>
    </row>
    <row r="15" spans="1:27" ht="16.2" thickBot="1" x14ac:dyDescent="0.5">
      <c r="A15" s="1225">
        <v>14</v>
      </c>
      <c r="B15" s="1192" t="s">
        <v>1952</v>
      </c>
      <c r="C15" s="1192" t="s">
        <v>1865</v>
      </c>
      <c r="D15" s="1194">
        <f t="shared" ca="1" si="0"/>
        <v>50</v>
      </c>
      <c r="E15" s="1193">
        <v>2010</v>
      </c>
      <c r="F15" s="1191">
        <v>2</v>
      </c>
      <c r="G15" s="1191" t="s">
        <v>3547</v>
      </c>
      <c r="H15" s="1194">
        <f ca="1">IF(SUMIF(乘组!G:G,航天员!B15,乘组!D:D)&lt;0,"",SUMIF(乘组!G:G,航天员!B15,乘组!D:D))</f>
        <v>364</v>
      </c>
      <c r="I15" s="1194">
        <f>COUNTIF(乘组!G:G,B15)</f>
        <v>2</v>
      </c>
      <c r="J15" s="1194">
        <f>SUMIF(出舱!D:D,航天员!B15,出舱!E:E)</f>
        <v>5</v>
      </c>
      <c r="K15" s="1301" t="s">
        <v>3631</v>
      </c>
      <c r="L15" s="1300">
        <v>27881</v>
      </c>
      <c r="M15" s="1191" t="s">
        <v>1951</v>
      </c>
      <c r="O15" s="1227">
        <v>0</v>
      </c>
      <c r="P15" s="1228">
        <f t="shared" si="3"/>
        <v>9</v>
      </c>
      <c r="R15" s="1225">
        <f ca="1"/>
        <v>185</v>
      </c>
      <c r="S15" s="1281" t="str" cm="1">
        <f t="array" aca="1" ref="S15" ca="1">_xlfn.TEXTJOIN(",",TRUE,_xlfn._xlws.FILTER($B$2:$B$31,$H$2:$H$31=R15))</f>
        <v>翟志刚</v>
      </c>
      <c r="T15" s="1282"/>
      <c r="U15" s="1282"/>
      <c r="V15" s="1282"/>
      <c r="W15" s="1326"/>
      <c r="X15" s="1283">
        <f t="shared" ca="1" si="2"/>
        <v>1</v>
      </c>
      <c r="Z15" s="254">
        <f ca="1"/>
        <v>5</v>
      </c>
      <c r="AA15" s="256" t="str" cm="1">
        <f t="array" aca="1" ref="AA15" ca="1">_xlfn.TEXTJOIN(",",TRUE,_xlfn._xlws.FILTER(乘组!$G$2:$G$86,乘组!$D$2:$D$86=Z15))</f>
        <v>费俊龙,聂海胜</v>
      </c>
    </row>
    <row r="16" spans="1:27" ht="16.2" thickBot="1" x14ac:dyDescent="0.5">
      <c r="A16" s="1315">
        <v>15</v>
      </c>
      <c r="B16" s="1316" t="s">
        <v>1892</v>
      </c>
      <c r="C16" s="1316" t="s">
        <v>3680</v>
      </c>
      <c r="D16" s="1317">
        <f t="shared" ca="1" si="0"/>
        <v>60</v>
      </c>
      <c r="E16" s="1318">
        <v>1998</v>
      </c>
      <c r="F16" s="1319">
        <v>1</v>
      </c>
      <c r="G16" s="1319" t="s">
        <v>3547</v>
      </c>
      <c r="H16" s="1317">
        <f>IF(SUMIF(乘组!G:G,航天员!B16,乘组!D:D)&lt;0,"",SUMIF(乘组!G:G,航天员!B16,乘组!D:D))</f>
        <v>187</v>
      </c>
      <c r="I16" s="1317">
        <f>COUNTIF(乘组!G:G,B16)</f>
        <v>1</v>
      </c>
      <c r="J16" s="1317">
        <f>SUMIF(出舱!D:D,航天员!B16,出舱!E:E)</f>
        <v>0</v>
      </c>
      <c r="K16" s="1320" t="s">
        <v>3632</v>
      </c>
      <c r="L16" s="1300">
        <v>24182</v>
      </c>
      <c r="M16" s="1191"/>
      <c r="R16" s="1225">
        <f ca="1"/>
        <v>182</v>
      </c>
      <c r="S16" s="1281" t="str" cm="1">
        <f t="array" aca="1" ref="S16" ca="1">_xlfn.TEXTJOIN(",",TRUE,_xlfn._xlws.FILTER($B$2:$B$31,$H$2:$H$31=R16))</f>
        <v>宋令东,王浩泽(女)</v>
      </c>
      <c r="T16" s="1282"/>
      <c r="U16" s="1282"/>
      <c r="V16" s="1282"/>
      <c r="W16" s="1326"/>
      <c r="X16" s="1283">
        <f t="shared" ca="1" si="2"/>
        <v>2</v>
      </c>
      <c r="Z16" s="254">
        <f ca="1"/>
        <v>3</v>
      </c>
      <c r="AA16" s="256" t="str" cm="1">
        <f t="array" aca="1" ref="AA16" ca="1">_xlfn.TEXTJOIN(",",TRUE,_xlfn._xlws.FILTER(乘组!$G$2:$G$86,乘组!$D$2:$D$86=Z16))</f>
        <v>翟志刚,刘伯明,景海鹏</v>
      </c>
    </row>
    <row r="17" spans="1:27" ht="16.2" thickBot="1" x14ac:dyDescent="0.5">
      <c r="A17" s="1225">
        <v>16</v>
      </c>
      <c r="B17" s="1192" t="s">
        <v>1893</v>
      </c>
      <c r="C17" s="1192" t="s">
        <v>1866</v>
      </c>
      <c r="D17" s="1194">
        <f t="shared" ca="1" si="0"/>
        <v>49</v>
      </c>
      <c r="E17" s="1193">
        <v>2010</v>
      </c>
      <c r="F17" s="1191">
        <v>2</v>
      </c>
      <c r="G17" s="1191" t="s">
        <v>3547</v>
      </c>
      <c r="H17" s="1194">
        <f ca="1">IF(SUMIF(乘组!G:G,航天员!B17,乘组!D:D)&lt;0,"",SUMIF(乘组!G:G,航天员!B17,乘组!D:D))</f>
        <v>397</v>
      </c>
      <c r="I17" s="1194">
        <f>COUNTIF(乘组!G:G,B17)-2</f>
        <v>2</v>
      </c>
      <c r="J17" s="1194">
        <f>SUMIF(出舱!D:D,航天员!B17,出舱!E:E)</f>
        <v>7</v>
      </c>
      <c r="K17" s="1301" t="s">
        <v>3633</v>
      </c>
      <c r="L17" s="1300">
        <v>28065</v>
      </c>
      <c r="M17" s="1191" t="s">
        <v>1951</v>
      </c>
      <c r="O17" s="1333" t="s">
        <v>3659</v>
      </c>
      <c r="P17" s="1334">
        <f ca="1">SUM(P18:P19)</f>
        <v>30</v>
      </c>
      <c r="R17" s="1225">
        <f ca="1"/>
        <v>154</v>
      </c>
      <c r="S17" s="1281" t="str" cm="1">
        <f t="array" aca="1" ref="S17" ca="1">_xlfn.TEXTJOIN(",",TRUE,_xlfn._xlws.FILTER($B$2:$B$31,$H$2:$H$31=R17))</f>
        <v>桂海潮</v>
      </c>
      <c r="T17" s="1282"/>
      <c r="U17" s="1282"/>
      <c r="V17" s="1282"/>
      <c r="W17" s="1326"/>
      <c r="X17" s="1283">
        <f t="shared" ca="1" si="2"/>
        <v>1</v>
      </c>
      <c r="Z17" s="254">
        <f ca="1"/>
        <v>1</v>
      </c>
      <c r="AA17" s="256" t="str" cm="1">
        <f t="array" aca="1" ref="AA17" ca="1">_xlfn.TEXTJOIN(",",TRUE,_xlfn._xlws.FILTER(乘组!$G$2:$G$86,乘组!$D$2:$D$86=Z17))</f>
        <v>无人,杨利伟</v>
      </c>
    </row>
    <row r="18" spans="1:27" x14ac:dyDescent="0.45">
      <c r="A18" s="1225">
        <v>17</v>
      </c>
      <c r="B18" s="1192" t="s">
        <v>1896</v>
      </c>
      <c r="C18" s="1192" t="s">
        <v>1867</v>
      </c>
      <c r="D18" s="1194">
        <f t="shared" ca="1" si="0"/>
        <v>39</v>
      </c>
      <c r="E18" s="1193">
        <v>2020</v>
      </c>
      <c r="F18" s="1191">
        <v>3</v>
      </c>
      <c r="G18" s="1191" t="s">
        <v>3550</v>
      </c>
      <c r="H18" s="1194">
        <f ca="1">IF(SUMIF(乘组!G:G,航天员!B18,乘组!D:D)&lt;0,"",SUMIF(乘组!G:G,航天员!B18,乘组!D:D))</f>
        <v>197</v>
      </c>
      <c r="I18" s="1194">
        <f>COUNTIF(乘组!G:G,B18)</f>
        <v>2</v>
      </c>
      <c r="J18" s="1194">
        <f>SUMIF(出舱!D:D,航天员!B18,出舱!E:E)</f>
        <v>1</v>
      </c>
      <c r="K18" s="1301" t="s">
        <v>3634</v>
      </c>
      <c r="L18" s="1300">
        <v>31656</v>
      </c>
      <c r="M18" s="1191" t="s">
        <v>3647</v>
      </c>
      <c r="O18" s="1291" t="s">
        <v>3660</v>
      </c>
      <c r="P18" s="1292">
        <f ca="1">COUNT($D$2:$D$31)-P19</f>
        <v>26</v>
      </c>
      <c r="R18" s="1225">
        <f ca="1"/>
        <v>112</v>
      </c>
      <c r="S18" s="1281" t="str" cm="1">
        <f t="array" aca="1" ref="S18" ca="1">_xlfn.TEXTJOIN(",",TRUE,_xlfn._xlws.FILTER($B$2:$B$31,$H$2:$H$31=R18))</f>
        <v>聂海胜</v>
      </c>
      <c r="T18" s="1282"/>
      <c r="U18" s="1282"/>
      <c r="V18" s="1282"/>
      <c r="W18" s="1326"/>
      <c r="X18" s="1283">
        <f t="shared" ca="1" si="2"/>
        <v>1</v>
      </c>
    </row>
    <row r="19" spans="1:27" ht="16.2" thickBot="1" x14ac:dyDescent="0.5">
      <c r="A19" s="1225">
        <v>18</v>
      </c>
      <c r="B19" s="1192" t="s">
        <v>1894</v>
      </c>
      <c r="C19" s="1192" t="s">
        <v>1868</v>
      </c>
      <c r="D19" s="1194">
        <f t="shared" ca="1" si="0"/>
        <v>39</v>
      </c>
      <c r="E19" s="1193">
        <v>2020</v>
      </c>
      <c r="F19" s="1191">
        <v>3</v>
      </c>
      <c r="G19" s="1191" t="s">
        <v>3553</v>
      </c>
      <c r="H19" s="1194">
        <f>IF(SUMIF(乘组!G:G,航天员!B19,乘组!D:D)&lt;0,"",SUMIF(乘组!G:G,航天员!B19,乘组!D:D))</f>
        <v>154</v>
      </c>
      <c r="I19" s="1194">
        <f>COUNTIF(乘组!G:G,B19)</f>
        <v>1</v>
      </c>
      <c r="J19" s="1194">
        <f>SUMIF(出舱!D:D,航天员!B19,出舱!E:E)</f>
        <v>0</v>
      </c>
      <c r="K19" s="1301" t="s">
        <v>3635</v>
      </c>
      <c r="L19" s="1300">
        <v>31717</v>
      </c>
      <c r="M19" s="1191" t="s">
        <v>1951</v>
      </c>
      <c r="O19" s="1227" t="s">
        <v>3661</v>
      </c>
      <c r="P19" s="1228">
        <f>COUNTIF($B$2:$B$31,"*(女)")</f>
        <v>4</v>
      </c>
      <c r="R19" s="1225">
        <f ca="1"/>
        <v>95</v>
      </c>
      <c r="S19" s="1281" t="str" cm="1">
        <f t="array" aca="1" ref="S19" ca="1">_xlfn.TEXTJOIN(",",TRUE,_xlfn._xlws.FILTER($B$2:$B$31,$H$2:$H$31=R19))</f>
        <v>刘伯明</v>
      </c>
      <c r="T19" s="1282"/>
      <c r="U19" s="1282"/>
      <c r="V19" s="1282"/>
      <c r="W19" s="1326"/>
      <c r="X19" s="1283">
        <f t="shared" ca="1" si="2"/>
        <v>1</v>
      </c>
    </row>
    <row r="20" spans="1:27" ht="16.2" thickBot="1" x14ac:dyDescent="0.5">
      <c r="A20" s="1225">
        <v>19</v>
      </c>
      <c r="B20" s="1192" t="s">
        <v>2647</v>
      </c>
      <c r="C20" s="1192" t="s">
        <v>1870</v>
      </c>
      <c r="D20" s="1194">
        <f t="shared" ca="1" si="0"/>
        <v>36</v>
      </c>
      <c r="E20" s="1193">
        <v>2020</v>
      </c>
      <c r="F20" s="1191">
        <v>3</v>
      </c>
      <c r="G20" s="1191" t="s">
        <v>3547</v>
      </c>
      <c r="H20" s="1194">
        <f>IF(SUMIF(乘组!G:G,航天员!B20,乘组!D:D)&lt;0,"",SUMIF(乘组!G:G,航天员!B20,乘组!D:D))</f>
        <v>187</v>
      </c>
      <c r="I20" s="1194">
        <f>COUNTIF(乘组!G:G,B20)</f>
        <v>1</v>
      </c>
      <c r="J20" s="1194">
        <f>SUMIF(出舱!D:D,航天员!B20,出舱!E:E)</f>
        <v>1</v>
      </c>
      <c r="K20" s="1301" t="s">
        <v>3636</v>
      </c>
      <c r="L20" s="1300">
        <v>32843</v>
      </c>
      <c r="M20" s="1191" t="s">
        <v>1951</v>
      </c>
      <c r="R20" s="1225">
        <f ca="1"/>
        <v>43</v>
      </c>
      <c r="S20" s="1281" t="str" cm="1">
        <f t="array" aca="1" ref="S20" ca="1">_xlfn.TEXTJOIN(",",TRUE,_xlfn._xlws.FILTER($B$2:$B$31,$H$2:$H$31=R20))</f>
        <v>张志远,黎家盈(女)</v>
      </c>
      <c r="T20" s="1282"/>
      <c r="U20" s="1282"/>
      <c r="V20" s="1282"/>
      <c r="W20" s="1326"/>
      <c r="X20" s="1283">
        <f t="shared" ca="1" si="2"/>
        <v>2</v>
      </c>
    </row>
    <row r="21" spans="1:27" ht="16.2" thickBot="1" x14ac:dyDescent="0.5">
      <c r="A21" s="1225">
        <v>20</v>
      </c>
      <c r="B21" s="1192" t="s">
        <v>1895</v>
      </c>
      <c r="C21" s="1192" t="s">
        <v>1871</v>
      </c>
      <c r="D21" s="1194">
        <f t="shared" ca="1" si="0"/>
        <v>38</v>
      </c>
      <c r="E21" s="1193">
        <v>2020</v>
      </c>
      <c r="F21" s="1191">
        <v>3</v>
      </c>
      <c r="G21" s="1191" t="s">
        <v>3547</v>
      </c>
      <c r="H21" s="1194">
        <f>IF(SUMIF(乘组!G:G,航天员!B21,乘组!D:D)&lt;0,"",SUMIF(乘组!G:G,航天员!B21,乘组!D:D))</f>
        <v>187</v>
      </c>
      <c r="I21" s="1194">
        <f>COUNTIF(乘组!G:G,B21)</f>
        <v>1</v>
      </c>
      <c r="J21" s="1194">
        <f>SUMIF(出舱!D:D,航天员!B21,出舱!E:E)</f>
        <v>1</v>
      </c>
      <c r="K21" s="1301" t="s">
        <v>3637</v>
      </c>
      <c r="L21" s="1300">
        <v>32174</v>
      </c>
      <c r="M21" s="1191" t="s">
        <v>1951</v>
      </c>
      <c r="O21" s="1333" t="s">
        <v>3769</v>
      </c>
      <c r="P21" s="1334">
        <f>SUM(_xlfn.ANCHORARRAY(P22))</f>
        <v>30</v>
      </c>
      <c r="R21" s="1225">
        <f ca="1"/>
        <v>15</v>
      </c>
      <c r="S21" s="1281" t="str" cm="1">
        <f t="array" aca="1" ref="S21" ca="1">_xlfn.TEXTJOIN(",",TRUE,_xlfn._xlws.FILTER($B$2:$B$31,$H$2:$H$31=R21))</f>
        <v>张晓光</v>
      </c>
      <c r="T21" s="1282"/>
      <c r="U21" s="1282"/>
      <c r="V21" s="1282"/>
      <c r="W21" s="1326"/>
      <c r="X21" s="1283">
        <f t="shared" ca="1" si="2"/>
        <v>1</v>
      </c>
    </row>
    <row r="22" spans="1:27" x14ac:dyDescent="0.45">
      <c r="A22" s="1225">
        <v>21</v>
      </c>
      <c r="B22" s="1192" t="s">
        <v>2648</v>
      </c>
      <c r="C22" s="1192" t="s">
        <v>1872</v>
      </c>
      <c r="D22" s="1194">
        <f t="shared" ca="1" si="0"/>
        <v>36</v>
      </c>
      <c r="E22" s="1193">
        <v>2020</v>
      </c>
      <c r="F22" s="1191">
        <v>3</v>
      </c>
      <c r="G22" s="1191" t="s">
        <v>3547</v>
      </c>
      <c r="H22" s="1194">
        <f>IF(SUMIF(乘组!G:G,航天员!B22,乘组!D:D)&lt;0,"",SUMIF(乘组!G:G,航天员!B22,乘组!D:D))</f>
        <v>193</v>
      </c>
      <c r="I22" s="1194">
        <f>COUNTIF(乘组!G:G,B22)</f>
        <v>1</v>
      </c>
      <c r="J22" s="1194">
        <f>SUMIF(出舱!D:D,航天员!B22,出舱!E:E)</f>
        <v>1</v>
      </c>
      <c r="K22" s="1301" t="s">
        <v>3638</v>
      </c>
      <c r="L22" s="1300">
        <v>32782</v>
      </c>
      <c r="M22" s="1191" t="s">
        <v>1951</v>
      </c>
      <c r="O22" s="1291" t="str" cm="1">
        <f t="array" ref="O22:O42">_xlfn.SORTBY(_xlfn.UNIQUE(LEFT($B$2:$B$31,1)),COUNTIF($B$2:$B$31,_xlfn.UNIQUE(LEFT($B$2:$B$31,1))&amp;"*"),-1)</f>
        <v>张</v>
      </c>
      <c r="P22" s="1292" cm="1">
        <f t="array" ref="P22:P42">COUNTIF($B$2:$B$31,_xlfn.ANCHORARRAY(O22)&amp;"*")</f>
        <v>4</v>
      </c>
      <c r="R22" s="1225">
        <f ca="1"/>
        <v>13</v>
      </c>
      <c r="S22" s="1281" t="str" cm="1">
        <f t="array" aca="1" ref="S22" ca="1">_xlfn.TEXTJOIN(",",TRUE,_xlfn._xlws.FILTER($B$2:$B$31,$H$2:$H$31=R22))</f>
        <v>刘旺</v>
      </c>
      <c r="T22" s="1282"/>
      <c r="U22" s="1282"/>
      <c r="V22" s="1282"/>
      <c r="W22" s="1326"/>
      <c r="X22" s="1283">
        <f t="shared" ca="1" si="2"/>
        <v>1</v>
      </c>
    </row>
    <row r="23" spans="1:27" x14ac:dyDescent="0.45">
      <c r="A23" s="1225">
        <v>22</v>
      </c>
      <c r="B23" s="1192" t="s">
        <v>1964</v>
      </c>
      <c r="C23" s="1192" t="s">
        <v>1873</v>
      </c>
      <c r="D23" s="1194">
        <f t="shared" ca="1" si="0"/>
        <v>39</v>
      </c>
      <c r="E23" s="1193">
        <v>2020</v>
      </c>
      <c r="F23" s="1191">
        <v>3</v>
      </c>
      <c r="G23" s="1191" t="s">
        <v>3547</v>
      </c>
      <c r="H23" s="1194">
        <f>IF(SUMIF(乘组!G:G,航天员!B23,乘组!D:D)&lt;0,"",SUMIF(乘组!G:G,航天员!B23,乘组!D:D))</f>
        <v>193</v>
      </c>
      <c r="I23" s="1194">
        <f>COUNTIF(乘组!G:G,B23)</f>
        <v>1</v>
      </c>
      <c r="J23" s="1194">
        <f>SUMIF(出舱!D:D,航天员!B23,出舱!E:E)</f>
        <v>1</v>
      </c>
      <c r="K23" s="1301" t="s">
        <v>3634</v>
      </c>
      <c r="L23" s="1300">
        <v>31959</v>
      </c>
      <c r="M23" s="1191" t="s">
        <v>1951</v>
      </c>
      <c r="O23" s="1225" t="str">
        <v>刘</v>
      </c>
      <c r="P23" s="1226">
        <v>3</v>
      </c>
      <c r="R23" s="1225">
        <f ca="1"/>
        <v>1</v>
      </c>
      <c r="S23" s="1281" t="str" cm="1">
        <f t="array" aca="1" ref="S23" ca="1">_xlfn.TEXTJOIN(",",TRUE,_xlfn._xlws.FILTER($B$2:$B$31,$H$2:$H$31=R23))</f>
        <v>杨利伟</v>
      </c>
      <c r="T23" s="1282"/>
      <c r="U23" s="1282"/>
      <c r="V23" s="1282"/>
      <c r="W23" s="1326"/>
      <c r="X23" s="1283">
        <f t="shared" ca="1" si="2"/>
        <v>1</v>
      </c>
    </row>
    <row r="24" spans="1:27" ht="16.2" thickBot="1" x14ac:dyDescent="0.5">
      <c r="A24" s="1225">
        <v>23</v>
      </c>
      <c r="B24" s="1192" t="s">
        <v>2209</v>
      </c>
      <c r="C24" s="1192" t="s">
        <v>2210</v>
      </c>
      <c r="D24" s="1194">
        <f t="shared" ca="1" si="0"/>
        <v>35</v>
      </c>
      <c r="E24" s="1193">
        <v>2020</v>
      </c>
      <c r="F24" s="1191">
        <v>3</v>
      </c>
      <c r="G24" s="1191" t="s">
        <v>3548</v>
      </c>
      <c r="H24" s="1194">
        <f ca="1">IF(SUMIF(乘组!G:G,航天员!B24,乘组!D:D)&lt;0,"",SUMIF(乘组!G:G,航天员!B24,乘组!D:D))</f>
        <v>182</v>
      </c>
      <c r="I24" s="1194">
        <f>COUNTIF(乘组!G:G,B24)</f>
        <v>1</v>
      </c>
      <c r="J24" s="1194">
        <f>SUMIF(出舱!D:D,航天员!B24,出舱!E:E)</f>
        <v>3</v>
      </c>
      <c r="K24" s="1301" t="s">
        <v>3639</v>
      </c>
      <c r="L24" s="1300">
        <v>33086</v>
      </c>
      <c r="M24" s="1191" t="s">
        <v>2213</v>
      </c>
      <c r="O24" s="1225" t="str">
        <v>王</v>
      </c>
      <c r="P24" s="1226">
        <v>3</v>
      </c>
      <c r="R24" s="1227"/>
      <c r="S24" s="1285" t="str" cm="1">
        <f t="array" ref="S24">IF(R24="","",_xlfn.TEXTJOIN(",",TRUE,_xlfn._xlws.FILTER($B$2:$B$31,$H$2:$H$31=R24)))</f>
        <v/>
      </c>
      <c r="T24" s="1286"/>
      <c r="U24" s="1286"/>
      <c r="V24" s="1286"/>
      <c r="W24" s="1327"/>
      <c r="X24" s="1287" t="str">
        <f>IF(R24="","",LEN(S24)-LEN(SUBSTITUTE(S24,",",""))+1)</f>
        <v/>
      </c>
    </row>
    <row r="25" spans="1:27" ht="16.2" thickBot="1" x14ac:dyDescent="0.5">
      <c r="A25" s="1225">
        <v>24</v>
      </c>
      <c r="B25" s="1192" t="s">
        <v>2211</v>
      </c>
      <c r="C25" s="1192" t="s">
        <v>2212</v>
      </c>
      <c r="D25" s="1194">
        <f t="shared" ca="1" si="0"/>
        <v>36</v>
      </c>
      <c r="E25" s="1193">
        <v>2020</v>
      </c>
      <c r="F25" s="1191">
        <v>3</v>
      </c>
      <c r="G25" s="1191" t="s">
        <v>3549</v>
      </c>
      <c r="H25" s="1194">
        <f ca="1">IF(SUMIF(乘组!G:G,航天员!B25,乘组!D:D)&lt;0,"",SUMIF(乘组!G:G,航天员!B25,乘组!D:D))</f>
        <v>182</v>
      </c>
      <c r="I25" s="1194">
        <f>COUNTIF(乘组!G:G,B25)</f>
        <v>1</v>
      </c>
      <c r="J25" s="1194">
        <f>SUMIF(出舱!D:D,航天员!B25,出舱!E:E)</f>
        <v>0</v>
      </c>
      <c r="K25" s="1301" t="s">
        <v>3640</v>
      </c>
      <c r="L25" s="1300">
        <v>32933</v>
      </c>
      <c r="M25" s="1191" t="s">
        <v>2213</v>
      </c>
      <c r="O25" s="1225" t="str">
        <v>陈</v>
      </c>
      <c r="P25" s="1226">
        <v>2</v>
      </c>
    </row>
    <row r="26" spans="1:27" ht="16.2" thickBot="1" x14ac:dyDescent="0.5">
      <c r="A26" s="1225">
        <v>25</v>
      </c>
      <c r="B26" s="1192" t="s">
        <v>2758</v>
      </c>
      <c r="C26" s="1192" t="s">
        <v>2760</v>
      </c>
      <c r="D26" s="1194">
        <f t="shared" ca="1" si="0"/>
        <v>41</v>
      </c>
      <c r="E26" s="1193">
        <v>2020</v>
      </c>
      <c r="F26" s="1191">
        <v>3</v>
      </c>
      <c r="G26" s="1191" t="s">
        <v>3547</v>
      </c>
      <c r="H26" s="1194">
        <f ca="1">IF(SUMIF(乘组!G:G,航天员!B26,乘组!D:D)&lt;0,"",SUMIF(乘组!G:G,航天员!B26,乘组!D:D))</f>
        <v>204</v>
      </c>
      <c r="I26" s="1194">
        <f>COUNTIF(乘组!G:G,B26)-1</f>
        <v>1</v>
      </c>
      <c r="J26" s="1194">
        <f>SUMIF(出舱!D:D,航天员!B26,出舱!E:E)</f>
        <v>3</v>
      </c>
      <c r="K26" s="1301" t="s">
        <v>3641</v>
      </c>
      <c r="L26" s="1300">
        <v>30956</v>
      </c>
      <c r="M26" s="1191" t="s">
        <v>2213</v>
      </c>
      <c r="O26" s="1225" t="str">
        <v>李</v>
      </c>
      <c r="P26" s="1226">
        <v>2</v>
      </c>
      <c r="R26" s="1293" t="s">
        <v>3658</v>
      </c>
      <c r="S26" s="1334">
        <f>SUM(_xlfn.ANCHORARRAY(S27))</f>
        <v>30</v>
      </c>
      <c r="U26" s="1293" t="s">
        <v>1857</v>
      </c>
      <c r="V26" s="1334">
        <f>SUM(V27:V30)</f>
        <v>30</v>
      </c>
    </row>
    <row r="27" spans="1:27" x14ac:dyDescent="0.45">
      <c r="A27" s="1225">
        <v>26</v>
      </c>
      <c r="B27" s="1192" t="s">
        <v>2759</v>
      </c>
      <c r="C27" s="1192" t="s">
        <v>2761</v>
      </c>
      <c r="D27" s="1194">
        <f t="shared" ca="1" si="0"/>
        <v>36</v>
      </c>
      <c r="E27" s="1193">
        <v>2020</v>
      </c>
      <c r="F27" s="1191">
        <v>3</v>
      </c>
      <c r="G27" s="1191" t="s">
        <v>3549</v>
      </c>
      <c r="H27" s="1194">
        <f ca="1">IF(SUMIF(乘组!G:G,航天员!B27,乘组!D:D)&lt;0,"",SUMIF(乘组!G:G,航天员!B27,乘组!D:D))</f>
        <v>204</v>
      </c>
      <c r="I27" s="1194">
        <f>COUNTIF(乘组!G:G,B27)-1</f>
        <v>1</v>
      </c>
      <c r="J27" s="1194">
        <f>SUMIF(出舱!D:D,航天员!B27,出舱!E:E)</f>
        <v>2</v>
      </c>
      <c r="K27" s="1301" t="s">
        <v>3642</v>
      </c>
      <c r="L27" s="1300">
        <v>32752</v>
      </c>
      <c r="M27" s="1191" t="s">
        <v>2213</v>
      </c>
      <c r="O27" s="1225" t="str">
        <v>杨</v>
      </c>
      <c r="P27" s="1226">
        <v>1</v>
      </c>
      <c r="R27" s="1291" t="str" cm="1">
        <f t="array" ref="R27:R41">_xlfn.SORTBY(_xlfn.UNIQUE(LEFT($K$2:$K$31,2)),COUNTIF($K$2:$K$31,_xlfn.UNIQUE(LEFT($K$2:$K$31,2))&amp;"*"),-1)</f>
        <v>河南</v>
      </c>
      <c r="S27" s="1292" cm="1">
        <f t="array" ref="S27:S41">COUNTIF($K$2:$K$31,_xlfn.ANCHORARRAY(R27)&amp;"*")</f>
        <v>4</v>
      </c>
      <c r="U27" s="1291" cm="1">
        <f t="array" ref="U27:U30">_xlfn.UNIQUE($F$2:$F$31)</f>
        <v>1</v>
      </c>
      <c r="V27" s="1292">
        <f>COUNTIF($F$2:$F$31,U27)</f>
        <v>9</v>
      </c>
    </row>
    <row r="28" spans="1:27" x14ac:dyDescent="0.45">
      <c r="A28" s="1225">
        <v>27</v>
      </c>
      <c r="B28" s="1192" t="s">
        <v>3110</v>
      </c>
      <c r="C28" s="1192" t="s">
        <v>3112</v>
      </c>
      <c r="D28" s="1194">
        <f t="shared" ca="1" si="0"/>
        <v>32</v>
      </c>
      <c r="E28" s="1193">
        <v>2020</v>
      </c>
      <c r="F28" s="1191">
        <v>3</v>
      </c>
      <c r="G28" s="1191" t="s">
        <v>3550</v>
      </c>
      <c r="H28" s="1194">
        <f ca="1">IF(SUMIF(乘组!G:G,航天员!B28,乘组!D:D)&lt;0,"",SUMIF(乘组!G:G,航天员!B28,乘组!D:D))</f>
        <v>210</v>
      </c>
      <c r="I28" s="1194">
        <f>COUNTIF(乘组!G:G,B28)-2</f>
        <v>1</v>
      </c>
      <c r="J28" s="1194">
        <f>SUMIF(出舱!D:D,航天员!B28,出舱!E:E)</f>
        <v>3</v>
      </c>
      <c r="K28" s="1301" t="s">
        <v>3645</v>
      </c>
      <c r="L28" s="1300">
        <v>34243</v>
      </c>
      <c r="M28" s="1191" t="s">
        <v>1951</v>
      </c>
      <c r="O28" s="1225" t="str">
        <v>费</v>
      </c>
      <c r="P28" s="1226">
        <v>1</v>
      </c>
      <c r="R28" s="1225" t="str">
        <v>江苏</v>
      </c>
      <c r="S28" s="1226">
        <v>3</v>
      </c>
      <c r="U28" s="1225">
        <v>2</v>
      </c>
      <c r="V28" s="1226">
        <f t="shared" ref="V28:V30" si="4">COUNTIF($F$2:$F$31,U28)</f>
        <v>7</v>
      </c>
    </row>
    <row r="29" spans="1:27" x14ac:dyDescent="0.45">
      <c r="A29" s="1225">
        <v>28</v>
      </c>
      <c r="B29" s="1192" t="s">
        <v>3111</v>
      </c>
      <c r="C29" s="1192" t="s">
        <v>3113</v>
      </c>
      <c r="D29" s="1194">
        <f t="shared" ca="1" si="0"/>
        <v>40</v>
      </c>
      <c r="E29" s="1193">
        <v>2020</v>
      </c>
      <c r="F29" s="1191">
        <v>3</v>
      </c>
      <c r="G29" s="1191" t="s">
        <v>3553</v>
      </c>
      <c r="H29" s="1194">
        <f ca="1">IF(SUMIF(乘组!G:G,航天员!B29,乘组!D:D)&lt;0,"",SUMIF(乘组!G:G,航天员!B29,乘组!D:D))</f>
        <v>210</v>
      </c>
      <c r="I29" s="1194">
        <f>COUNTIF(乘组!G:G,B29)-2</f>
        <v>1</v>
      </c>
      <c r="J29" s="1194">
        <f>SUMIF(出舱!D:D,航天员!B29,出舱!E:E)</f>
        <v>0</v>
      </c>
      <c r="K29" s="1301" t="s">
        <v>3643</v>
      </c>
      <c r="L29" s="1300">
        <v>31503</v>
      </c>
      <c r="M29" s="1191" t="s">
        <v>1951</v>
      </c>
      <c r="O29" s="1225" t="str">
        <v>聂</v>
      </c>
      <c r="P29" s="1226">
        <v>1</v>
      </c>
      <c r="R29" s="1225" t="str">
        <v>山东</v>
      </c>
      <c r="S29" s="1226">
        <v>3</v>
      </c>
      <c r="U29" s="1225">
        <v>3</v>
      </c>
      <c r="V29" s="1226">
        <f t="shared" si="4"/>
        <v>13</v>
      </c>
    </row>
    <row r="30" spans="1:27" ht="16.2" thickBot="1" x14ac:dyDescent="0.5">
      <c r="A30" s="1225">
        <v>29</v>
      </c>
      <c r="B30" s="1192" t="s">
        <v>3616</v>
      </c>
      <c r="C30" s="1192" t="s">
        <v>3617</v>
      </c>
      <c r="D30" s="1194">
        <f t="shared" ca="1" si="0"/>
        <v>40</v>
      </c>
      <c r="E30" s="1193">
        <v>2020</v>
      </c>
      <c r="F30" s="1191">
        <v>3</v>
      </c>
      <c r="G30" s="1191" t="s">
        <v>3548</v>
      </c>
      <c r="H30" s="1194">
        <f ca="1">IF(SUMIF(乘组!G:G,航天员!B30,乘组!D:D)&lt;0,"0",SUMIF(乘组!G:G,航天员!B30,乘组!D:D))</f>
        <v>43</v>
      </c>
      <c r="I30" s="1194">
        <f>COUNTIF(乘组!G:G,B30)</f>
        <v>1</v>
      </c>
      <c r="J30" s="1194">
        <f>SUMIF(出舱!D:D,航天员!B30,出舱!E:E)</f>
        <v>0</v>
      </c>
      <c r="K30" s="1301" t="s">
        <v>3646</v>
      </c>
      <c r="L30" s="1300">
        <v>31564</v>
      </c>
      <c r="M30" s="1191" t="s">
        <v>3647</v>
      </c>
      <c r="O30" s="1225" t="str">
        <v>翟</v>
      </c>
      <c r="P30" s="1226">
        <v>1</v>
      </c>
      <c r="R30" s="1225" t="str">
        <v>河北</v>
      </c>
      <c r="S30" s="1226">
        <v>3</v>
      </c>
      <c r="U30" s="1227">
        <v>4</v>
      </c>
      <c r="V30" s="1228">
        <f t="shared" si="4"/>
        <v>1</v>
      </c>
    </row>
    <row r="31" spans="1:27" ht="16.2" thickBot="1" x14ac:dyDescent="0.5">
      <c r="A31" s="1225">
        <v>30</v>
      </c>
      <c r="B31" s="1192" t="s">
        <v>3595</v>
      </c>
      <c r="C31" s="1192" t="s">
        <v>3576</v>
      </c>
      <c r="D31" s="1194">
        <f t="shared" ca="1" si="0"/>
        <v>43</v>
      </c>
      <c r="E31" s="1193">
        <v>2024</v>
      </c>
      <c r="F31" s="1191">
        <v>4</v>
      </c>
      <c r="G31" s="1191" t="s">
        <v>3553</v>
      </c>
      <c r="H31" s="1194">
        <f ca="1">IF(SUMIF(乘组!G:G,航天员!B31,乘组!D:D)&lt;0,"0",SUMIF(乘组!G:G,航天员!B31,乘组!D:D))</f>
        <v>43</v>
      </c>
      <c r="I31" s="1194">
        <f>COUNTIF(乘组!G:G,B31)</f>
        <v>1</v>
      </c>
      <c r="J31" s="1194">
        <f>SUMIF(出舱!D:D,航天员!B31,出舱!E:E)</f>
        <v>0</v>
      </c>
      <c r="K31" s="1301" t="s">
        <v>3644</v>
      </c>
      <c r="L31" s="1300">
        <v>30256</v>
      </c>
      <c r="M31" s="1191" t="s">
        <v>3647</v>
      </c>
      <c r="O31" s="1225" t="str">
        <v>景</v>
      </c>
      <c r="P31" s="1226">
        <v>1</v>
      </c>
      <c r="R31" s="1225" t="str">
        <v>辽宁</v>
      </c>
      <c r="S31" s="1226">
        <v>2</v>
      </c>
    </row>
    <row r="32" spans="1:27" ht="16.2" thickBot="1" x14ac:dyDescent="0.5">
      <c r="A32" s="1225">
        <v>31</v>
      </c>
      <c r="B32" s="1192" t="s">
        <v>3243</v>
      </c>
      <c r="C32" s="1192"/>
      <c r="D32" s="1194"/>
      <c r="E32" s="1193">
        <v>2020</v>
      </c>
      <c r="F32" s="1191">
        <v>3</v>
      </c>
      <c r="G32" s="1191" t="s">
        <v>3547</v>
      </c>
      <c r="H32" s="1194"/>
      <c r="I32" s="1194"/>
      <c r="J32" s="1194"/>
      <c r="K32" s="1301"/>
      <c r="L32" s="1300"/>
      <c r="M32" s="1191"/>
      <c r="O32" s="1225" t="str">
        <v>汤</v>
      </c>
      <c r="P32" s="1226">
        <v>1</v>
      </c>
      <c r="R32" s="1225" t="str">
        <v>黑龙</v>
      </c>
      <c r="S32" s="1226">
        <v>2</v>
      </c>
      <c r="U32" s="1296" t="s">
        <v>1856</v>
      </c>
      <c r="V32" s="1335">
        <f ca="1">SUM(V33:V36)</f>
        <v>30</v>
      </c>
    </row>
    <row r="33" spans="1:22" ht="16.2" thickTop="1" x14ac:dyDescent="0.45">
      <c r="A33" s="1225">
        <v>32</v>
      </c>
      <c r="B33" s="1192" t="s">
        <v>3551</v>
      </c>
      <c r="C33" s="1192" t="s">
        <v>3578</v>
      </c>
      <c r="D33" s="1194"/>
      <c r="E33" s="1193">
        <v>2026</v>
      </c>
      <c r="F33" s="1191">
        <v>5</v>
      </c>
      <c r="G33" s="1191" t="s">
        <v>3553</v>
      </c>
      <c r="H33" s="1194"/>
      <c r="I33" s="1194"/>
      <c r="J33" s="1194"/>
      <c r="K33" s="1301" t="s">
        <v>3657</v>
      </c>
      <c r="L33" s="1300"/>
      <c r="M33" s="1191"/>
      <c r="O33" s="1225" t="str">
        <v>叶</v>
      </c>
      <c r="P33" s="1226">
        <v>1</v>
      </c>
      <c r="R33" s="1225" t="str">
        <v>山西</v>
      </c>
      <c r="S33" s="1226">
        <v>2</v>
      </c>
      <c r="U33" s="1291" t="s">
        <v>3655</v>
      </c>
      <c r="V33" s="1292">
        <f ca="1">COUNTIF($D$2:$D$31,"&gt;=60")</f>
        <v>5</v>
      </c>
    </row>
    <row r="34" spans="1:22" ht="16.2" thickBot="1" x14ac:dyDescent="0.5">
      <c r="A34" s="1227">
        <v>33</v>
      </c>
      <c r="B34" s="1302" t="s">
        <v>3552</v>
      </c>
      <c r="C34" s="1302" t="s">
        <v>3577</v>
      </c>
      <c r="D34" s="1303"/>
      <c r="E34" s="1304">
        <v>2026</v>
      </c>
      <c r="F34" s="1305">
        <v>5</v>
      </c>
      <c r="G34" s="1305" t="s">
        <v>3553</v>
      </c>
      <c r="H34" s="1303"/>
      <c r="I34" s="1303"/>
      <c r="J34" s="1303"/>
      <c r="K34" s="1306" t="s">
        <v>3657</v>
      </c>
      <c r="L34" s="1300"/>
      <c r="M34" s="1191"/>
      <c r="O34" s="1225" t="str">
        <v>蔡</v>
      </c>
      <c r="P34" s="1226">
        <v>1</v>
      </c>
      <c r="R34" s="1225" t="str">
        <v>湖南</v>
      </c>
      <c r="S34" s="1226">
        <v>2</v>
      </c>
      <c r="U34" s="1225" t="s">
        <v>3653</v>
      </c>
      <c r="V34" s="1226">
        <f ca="1">COUNTIFS($D$2:$D$31,"&gt;=50",$D$2:$D$31,"&lt;60")</f>
        <v>6</v>
      </c>
    </row>
    <row r="35" spans="1:22" ht="16.2" thickBot="1" x14ac:dyDescent="0.5">
      <c r="L35" s="254"/>
      <c r="O35" s="1225" t="str">
        <v>邓</v>
      </c>
      <c r="P35" s="1226">
        <v>1</v>
      </c>
      <c r="R35" s="1225" t="str">
        <v>甘肃</v>
      </c>
      <c r="S35" s="1226">
        <v>2</v>
      </c>
      <c r="U35" s="1225" t="s">
        <v>3654</v>
      </c>
      <c r="V35" s="1226">
        <f ca="1">COUNTIFS($D$2:$D$31,"&gt;=40",$D$2:$D$31,"&lt;50")</f>
        <v>9</v>
      </c>
    </row>
    <row r="36" spans="1:22" ht="16.2" thickBot="1" x14ac:dyDescent="0.5">
      <c r="B36" s="1293" t="s">
        <v>3704</v>
      </c>
      <c r="C36" s="1322" t="str">
        <f ca="1">_xlfn.CONCAT("航天员（截止",TEXT(TODAY(),"YYYY年MM月DD日"),"）")</f>
        <v>航天员（截止2026年07月06日）</v>
      </c>
      <c r="D36" s="1323"/>
      <c r="E36" s="1323"/>
      <c r="F36" s="1323"/>
      <c r="G36" s="1323"/>
      <c r="H36" s="1298"/>
      <c r="I36" s="1329">
        <f>SUM(I37:I48)</f>
        <v>30</v>
      </c>
      <c r="L36" s="254"/>
      <c r="O36" s="1225" t="str">
        <v>朱</v>
      </c>
      <c r="P36" s="1226">
        <v>1</v>
      </c>
      <c r="R36" s="1225" t="str">
        <v>内蒙</v>
      </c>
      <c r="S36" s="1226">
        <v>2</v>
      </c>
      <c r="U36" s="1227" t="s">
        <v>3656</v>
      </c>
      <c r="V36" s="1228">
        <f ca="1">COUNTIF($D$2:$D$31,"&lt;40")</f>
        <v>10</v>
      </c>
    </row>
    <row r="37" spans="1:22" ht="16.2" thickBot="1" x14ac:dyDescent="0.5">
      <c r="B37" s="1291">
        <v>210</v>
      </c>
      <c r="C37" s="1297" t="s">
        <v>3676</v>
      </c>
      <c r="D37" s="1294"/>
      <c r="E37" s="1294"/>
      <c r="F37" s="1294"/>
      <c r="G37" s="1294"/>
      <c r="H37" s="1325"/>
      <c r="I37" s="1295">
        <f t="shared" ref="I37:I48" si="5">LEN(C37)-LEN(SUBSTITUTE(C37,",",""))+1</f>
        <v>3</v>
      </c>
      <c r="L37" s="254"/>
      <c r="O37" s="1225" t="str">
        <v>桂</v>
      </c>
      <c r="P37" s="1226">
        <v>1</v>
      </c>
      <c r="R37" s="1225" t="str">
        <v>湖北</v>
      </c>
      <c r="S37" s="1226">
        <v>1</v>
      </c>
    </row>
    <row r="38" spans="1:22" x14ac:dyDescent="0.45">
      <c r="B38" s="1225">
        <v>204</v>
      </c>
      <c r="C38" s="1281" t="s">
        <v>3681</v>
      </c>
      <c r="D38" s="1282"/>
      <c r="E38" s="1282"/>
      <c r="F38" s="1282"/>
      <c r="G38" s="1282"/>
      <c r="H38" s="1326"/>
      <c r="I38" s="1283">
        <f t="shared" si="5"/>
        <v>3</v>
      </c>
      <c r="L38" s="254"/>
      <c r="O38" s="1225" t="str">
        <v>唐</v>
      </c>
      <c r="P38" s="1226">
        <v>1</v>
      </c>
      <c r="R38" s="1225" t="str">
        <v>四川</v>
      </c>
      <c r="S38" s="1226">
        <v>1</v>
      </c>
      <c r="U38" s="1224" t="s">
        <v>3546</v>
      </c>
      <c r="V38" s="1336">
        <f>SUM(V39:V41)</f>
        <v>30</v>
      </c>
    </row>
    <row r="39" spans="1:22" x14ac:dyDescent="0.45">
      <c r="B39" s="1225">
        <v>193</v>
      </c>
      <c r="C39" s="1281" t="s">
        <v>3682</v>
      </c>
      <c r="D39" s="1282"/>
      <c r="E39" s="1282"/>
      <c r="F39" s="1282"/>
      <c r="G39" s="1282"/>
      <c r="H39" s="1326"/>
      <c r="I39" s="1283">
        <f t="shared" si="5"/>
        <v>3</v>
      </c>
      <c r="L39" s="254"/>
      <c r="O39" s="1225" t="str">
        <v>江</v>
      </c>
      <c r="P39" s="1226">
        <v>1</v>
      </c>
      <c r="R39" s="1225" t="str">
        <v>江西</v>
      </c>
      <c r="S39" s="1226">
        <v>1</v>
      </c>
      <c r="U39" s="1225" t="str" cm="1">
        <f t="array" ref="U39:U41">_xlfn.SORTBY(_xlfn.UNIQUE($G$2:$G$31),COUNTIF($G$2:$G$31,_xlfn.UNIQUE($G$2:$G$31)&amp;"*"),-1)</f>
        <v>驾驶员</v>
      </c>
      <c r="V39" s="1226" cm="1">
        <f t="array" ref="V39:V41">COUNTIF($G$2:$G$31,_xlfn.ANCHORARRAY(U39)&amp;"*")</f>
        <v>23</v>
      </c>
    </row>
    <row r="40" spans="1:22" x14ac:dyDescent="0.45">
      <c r="B40" s="1225">
        <v>187</v>
      </c>
      <c r="C40" s="1281" t="s">
        <v>3734</v>
      </c>
      <c r="D40" s="1282"/>
      <c r="E40" s="1282"/>
      <c r="F40" s="1282"/>
      <c r="G40" s="1282"/>
      <c r="H40" s="1326"/>
      <c r="I40" s="1283">
        <f t="shared" si="5"/>
        <v>5</v>
      </c>
      <c r="L40" s="254"/>
      <c r="O40" s="1225" t="str">
        <v>宋</v>
      </c>
      <c r="P40" s="1226">
        <v>1</v>
      </c>
      <c r="R40" s="1225" t="str">
        <v>云南</v>
      </c>
      <c r="S40" s="1226">
        <v>1</v>
      </c>
      <c r="U40" s="1225" t="str">
        <v>工程师</v>
      </c>
      <c r="V40" s="1226">
        <v>4</v>
      </c>
    </row>
    <row r="41" spans="1:22" ht="16.2" thickBot="1" x14ac:dyDescent="0.5">
      <c r="B41" s="1225">
        <v>182</v>
      </c>
      <c r="C41" s="1281" t="s">
        <v>3678</v>
      </c>
      <c r="D41" s="1282"/>
      <c r="E41" s="1282"/>
      <c r="F41" s="1282"/>
      <c r="G41" s="1282"/>
      <c r="H41" s="1326"/>
      <c r="I41" s="1283">
        <f t="shared" si="5"/>
        <v>6</v>
      </c>
      <c r="L41" s="254"/>
      <c r="O41" s="1225" t="str">
        <v>武</v>
      </c>
      <c r="P41" s="1226">
        <v>1</v>
      </c>
      <c r="R41" s="1227" t="str">
        <v>香港</v>
      </c>
      <c r="S41" s="1228">
        <v>1</v>
      </c>
      <c r="U41" s="1227" t="str">
        <v>载荷家</v>
      </c>
      <c r="V41" s="1228">
        <v>3</v>
      </c>
    </row>
    <row r="42" spans="1:22" ht="16.2" thickBot="1" x14ac:dyDescent="0.5">
      <c r="B42" s="1225" t="str">
        <f ca="1">IF(H18-2*B43&gt;0,H18-B43,_xlfn.CONCAT(B43,"(",H18-B43,")"))</f>
        <v>154(43)</v>
      </c>
      <c r="C42" s="1281" t="s">
        <v>2703</v>
      </c>
      <c r="D42" s="1282"/>
      <c r="E42" s="1282"/>
      <c r="F42" s="1282"/>
      <c r="G42" s="1284"/>
      <c r="H42" s="1328"/>
      <c r="I42" s="1283">
        <f t="shared" si="5"/>
        <v>1</v>
      </c>
      <c r="J42" s="256"/>
      <c r="L42" s="254"/>
      <c r="M42" s="388"/>
      <c r="O42" s="1227" t="str">
        <v>黎</v>
      </c>
      <c r="P42" s="1228">
        <v>1</v>
      </c>
      <c r="S42" s="254"/>
      <c r="V42" s="256"/>
    </row>
    <row r="43" spans="1:22" x14ac:dyDescent="0.45">
      <c r="B43" s="1225">
        <v>154</v>
      </c>
      <c r="C43" s="1281" t="s">
        <v>3735</v>
      </c>
      <c r="D43" s="1282"/>
      <c r="E43" s="1282"/>
      <c r="F43" s="1282"/>
      <c r="G43" s="1282"/>
      <c r="H43" s="1326"/>
      <c r="I43" s="1283">
        <f t="shared" si="5"/>
        <v>2</v>
      </c>
      <c r="S43" s="254"/>
      <c r="V43" s="256"/>
    </row>
    <row r="44" spans="1:22" x14ac:dyDescent="0.45">
      <c r="B44" s="1225">
        <v>92</v>
      </c>
      <c r="C44" s="1281" t="s">
        <v>3677</v>
      </c>
      <c r="D44" s="1282"/>
      <c r="E44" s="1282"/>
      <c r="F44" s="1282"/>
      <c r="G44" s="1282"/>
      <c r="H44" s="1326"/>
      <c r="I44" s="1283">
        <f t="shared" si="5"/>
        <v>2</v>
      </c>
      <c r="S44" s="254"/>
      <c r="V44" s="256"/>
    </row>
    <row r="45" spans="1:22" x14ac:dyDescent="0.45">
      <c r="B45" s="1225">
        <f ca="1">H30</f>
        <v>43</v>
      </c>
      <c r="C45" s="1281" t="s">
        <v>3679</v>
      </c>
      <c r="D45" s="1282"/>
      <c r="E45" s="1282"/>
      <c r="F45" s="1282"/>
      <c r="G45" s="1282"/>
      <c r="H45" s="1326"/>
      <c r="I45" s="1283">
        <f t="shared" si="5"/>
        <v>2</v>
      </c>
      <c r="S45" s="254"/>
      <c r="V45" s="256"/>
    </row>
    <row r="46" spans="1:22" x14ac:dyDescent="0.45">
      <c r="B46" s="1225">
        <v>15</v>
      </c>
      <c r="C46" s="1281" t="s">
        <v>1830</v>
      </c>
      <c r="D46" s="1282"/>
      <c r="E46" s="1282"/>
      <c r="F46" s="1282"/>
      <c r="G46" s="1282"/>
      <c r="H46" s="1326"/>
      <c r="I46" s="1283">
        <f t="shared" si="5"/>
        <v>1</v>
      </c>
      <c r="S46" s="254"/>
      <c r="V46" s="256"/>
    </row>
    <row r="47" spans="1:22" x14ac:dyDescent="0.45">
      <c r="B47" s="1225">
        <v>13</v>
      </c>
      <c r="C47" s="1281" t="s">
        <v>1829</v>
      </c>
      <c r="D47" s="1282"/>
      <c r="E47" s="1282"/>
      <c r="F47" s="1282"/>
      <c r="G47" s="1282"/>
      <c r="H47" s="1326"/>
      <c r="I47" s="1283">
        <f t="shared" si="5"/>
        <v>1</v>
      </c>
      <c r="S47" s="254"/>
      <c r="V47" s="256"/>
    </row>
    <row r="48" spans="1:22" ht="16.2" thickBot="1" x14ac:dyDescent="0.5">
      <c r="B48" s="1227">
        <v>1</v>
      </c>
      <c r="C48" s="1285" t="s">
        <v>1823</v>
      </c>
      <c r="D48" s="1286"/>
      <c r="E48" s="1286"/>
      <c r="F48" s="1286"/>
      <c r="G48" s="1286"/>
      <c r="H48" s="1327"/>
      <c r="I48" s="1287">
        <f t="shared" si="5"/>
        <v>1</v>
      </c>
    </row>
  </sheetData>
  <phoneticPr fontId="2"/>
  <conditionalFormatting sqref="H1:H1048576">
    <cfRule type="top10" dxfId="48" priority="22" rank="3"/>
  </conditionalFormatting>
  <conditionalFormatting sqref="I1:I35">
    <cfRule type="top10" dxfId="47" priority="23" rank="2"/>
  </conditionalFormatting>
  <conditionalFormatting sqref="J1:J1048576">
    <cfRule type="top10" dxfId="46" priority="24" rank="3"/>
  </conditionalFormatting>
  <conditionalFormatting sqref="A1:K35">
    <cfRule type="expression" dxfId="45" priority="32">
      <formula>RIGHT($M1,1)="*"</formula>
    </cfRule>
  </conditionalFormatting>
  <conditionalFormatting sqref="D1:D1048576">
    <cfRule type="top10" dxfId="44" priority="5" rank="1"/>
    <cfRule type="top10" dxfId="43" priority="6" bottom="1" rank="1"/>
  </conditionalFormatting>
  <conditionalFormatting sqref="R2:X24">
    <cfRule type="expression" dxfId="42" priority="403">
      <formula>OR(ISNUMBER(SEARCH("朱杨柱", $S2)),ISNUMBER(SEARCH("张志远,黎家盈(女)", $S2)))</formula>
    </cfRule>
  </conditionalFormatting>
  <conditionalFormatting sqref="B37:I48">
    <cfRule type="expression" dxfId="41" priority="416">
      <formula>OR(ISNUMBER(SEARCH("朱杨柱", $C37)),ISNUMBER(SEARCH("张志远,黎家盈(女)", $C37)))</formula>
    </cfRule>
  </conditionalFormatting>
  <conditionalFormatting sqref="K2:K31">
    <cfRule type="expression" dxfId="40" priority="30">
      <formula>ISNUMBER(SEARCH($R$27, $K2))</formula>
    </cfRule>
  </conditionalFormatting>
  <conditionalFormatting sqref="B2:C31">
    <cfRule type="expression" dxfId="39" priority="31">
      <formula>ISNUMBER(SEARCH($O$22, $B2))</formula>
    </cfRule>
  </conditionalFormatting>
  <pageMargins left="0.7" right="0.7" top="0.75" bottom="0.75" header="0.3" footer="0.3"/>
  <pageSetup paperSize="0" orientation="portrait" horizontalDpi="0" verticalDpi="0" copies="0"/>
  <ignoredErrors>
    <ignoredError sqref="I12:I16 I17 I19:I2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21E9-9F40-406A-9BD9-29432098A40F}">
  <dimension ref="A1:AJ146"/>
  <sheetViews>
    <sheetView topLeftCell="D114" zoomScale="85" zoomScaleNormal="85" workbookViewId="0">
      <selection activeCell="AA123" sqref="AA123"/>
    </sheetView>
  </sheetViews>
  <sheetFormatPr defaultColWidth="9" defaultRowHeight="22.2" customHeight="1" x14ac:dyDescent="0.45"/>
  <cols>
    <col min="1" max="1" width="21.09765625" style="1188" bestFit="1" customWidth="1"/>
    <col min="2" max="2" width="27.69921875" style="1188" bestFit="1" customWidth="1"/>
    <col min="3" max="3" width="12.296875" style="1188" bestFit="1" customWidth="1"/>
    <col min="4" max="4" width="8.69921875" style="77" bestFit="1" customWidth="1"/>
    <col min="5" max="5" width="2.69921875" style="1188" customWidth="1"/>
    <col min="6" max="6" width="13.59765625" style="1188" bestFit="1" customWidth="1"/>
    <col min="7" max="7" width="15.5" style="77" bestFit="1" customWidth="1"/>
    <col min="8" max="8" width="15.5" style="1188" bestFit="1" customWidth="1"/>
    <col min="9" max="9" width="11.19921875" style="1188" bestFit="1" customWidth="1"/>
    <col min="10" max="10" width="4.5" style="1188" bestFit="1" customWidth="1"/>
    <col min="11" max="11" width="3" style="1188" customWidth="1"/>
    <col min="12" max="25" width="5.8984375" style="1188" customWidth="1"/>
    <col min="26" max="26" width="2.19921875" style="1188" customWidth="1"/>
    <col min="27" max="27" width="11" style="77" customWidth="1"/>
    <col min="28" max="28" width="13.3984375" style="77" bestFit="1" customWidth="1"/>
    <col min="29" max="29" width="16.19921875" style="77" bestFit="1" customWidth="1"/>
    <col min="30" max="30" width="15.5" style="106" bestFit="1" customWidth="1"/>
    <col min="31" max="31" width="8.59765625" style="77" bestFit="1" customWidth="1"/>
    <col min="32" max="32" width="8.59765625" style="1188" bestFit="1" customWidth="1"/>
    <col min="33" max="33" width="10.19921875" style="77" bestFit="1" customWidth="1"/>
    <col min="34" max="34" width="0" style="1188" hidden="1" customWidth="1"/>
    <col min="35" max="35" width="53.5" style="1188" hidden="1" customWidth="1"/>
    <col min="36" max="36" width="6.59765625" style="1188" bestFit="1" customWidth="1"/>
    <col min="37" max="16384" width="9" style="1188"/>
  </cols>
  <sheetData>
    <row r="1" spans="1:33" s="77" customFormat="1" ht="41.4" thickBot="1" x14ac:dyDescent="0.5">
      <c r="A1" s="136" t="s">
        <v>1</v>
      </c>
      <c r="B1" s="137" t="s">
        <v>0</v>
      </c>
      <c r="C1" s="137" t="s">
        <v>2</v>
      </c>
      <c r="D1" s="151" t="s">
        <v>1428</v>
      </c>
      <c r="F1" s="1188"/>
    </row>
    <row r="2" spans="1:33" ht="22.2" customHeight="1" thickTop="1" x14ac:dyDescent="0.45">
      <c r="A2" s="133">
        <v>36551</v>
      </c>
      <c r="B2" s="134" t="s">
        <v>91</v>
      </c>
      <c r="C2" s="1232" t="s">
        <v>52</v>
      </c>
      <c r="D2" s="1232">
        <f>A3-A2</f>
        <v>10</v>
      </c>
      <c r="G2" s="1188"/>
      <c r="AA2" s="1188"/>
      <c r="AB2" s="1188"/>
      <c r="AC2" s="1188"/>
      <c r="AD2" s="1188"/>
      <c r="AE2" s="1188"/>
      <c r="AG2" s="1188"/>
    </row>
    <row r="3" spans="1:33" ht="22.2" customHeight="1" x14ac:dyDescent="0.45">
      <c r="A3" s="143">
        <v>36561</v>
      </c>
      <c r="B3" s="1854" t="s">
        <v>805</v>
      </c>
      <c r="C3" s="1855"/>
      <c r="D3" s="1856"/>
      <c r="G3" s="1188"/>
      <c r="AA3" s="1188"/>
      <c r="AB3" s="1188"/>
      <c r="AC3" s="1188"/>
      <c r="AD3" s="1188"/>
      <c r="AE3" s="1188"/>
      <c r="AG3" s="1188"/>
    </row>
    <row r="4" spans="1:33" ht="22.2" customHeight="1" thickBot="1" x14ac:dyDescent="0.5">
      <c r="A4" s="118">
        <v>36702</v>
      </c>
      <c r="B4" s="317" t="s">
        <v>48</v>
      </c>
      <c r="C4" s="1230" t="s">
        <v>52</v>
      </c>
      <c r="D4" s="1230">
        <f>A4-A3</f>
        <v>141</v>
      </c>
    </row>
    <row r="5" spans="1:33" ht="22.2" customHeight="1" thickTop="1" x14ac:dyDescent="0.45">
      <c r="A5" s="133">
        <v>36901</v>
      </c>
      <c r="B5" s="134" t="s">
        <v>138</v>
      </c>
      <c r="C5" s="1232" t="s">
        <v>9</v>
      </c>
      <c r="D5" s="1232">
        <f>A6-A5</f>
        <v>14</v>
      </c>
    </row>
    <row r="6" spans="1:33" ht="22.2" customHeight="1" thickBot="1" x14ac:dyDescent="0.5">
      <c r="A6" s="144">
        <v>36915</v>
      </c>
      <c r="B6" s="1864" t="s">
        <v>805</v>
      </c>
      <c r="C6" s="1865"/>
      <c r="D6" s="1866"/>
    </row>
    <row r="7" spans="1:33" ht="22.2" customHeight="1" thickTop="1" thickBot="1" x14ac:dyDescent="0.5">
      <c r="A7" s="145">
        <v>37299</v>
      </c>
      <c r="B7" s="1857" t="s">
        <v>805</v>
      </c>
      <c r="C7" s="1858"/>
      <c r="D7" s="1859"/>
    </row>
    <row r="8" spans="1:33" ht="22.2" customHeight="1" thickTop="1" thickBot="1" x14ac:dyDescent="0.5">
      <c r="A8" s="145">
        <v>37340</v>
      </c>
      <c r="B8" s="1870" t="s">
        <v>138</v>
      </c>
      <c r="C8" s="1871" t="s">
        <v>9</v>
      </c>
      <c r="D8" s="1872">
        <f>A8-A7</f>
        <v>41</v>
      </c>
    </row>
    <row r="9" spans="1:33" ht="22.2" customHeight="1" thickTop="1" thickBot="1" x14ac:dyDescent="0.5">
      <c r="A9" s="145">
        <v>37620</v>
      </c>
      <c r="B9" s="1870" t="s">
        <v>138</v>
      </c>
      <c r="C9" s="1871" t="s">
        <v>9</v>
      </c>
      <c r="D9" s="1872">
        <f>A10-A9</f>
        <v>33</v>
      </c>
    </row>
    <row r="10" spans="1:33" ht="22.2" customHeight="1" thickTop="1" thickBot="1" x14ac:dyDescent="0.5">
      <c r="A10" s="145">
        <v>37653</v>
      </c>
      <c r="B10" s="1857" t="s">
        <v>805</v>
      </c>
      <c r="C10" s="1858"/>
      <c r="D10" s="1859"/>
    </row>
    <row r="11" spans="1:33" ht="22.2" customHeight="1" thickTop="1" thickBot="1" x14ac:dyDescent="0.5">
      <c r="A11" s="145">
        <v>37766</v>
      </c>
      <c r="B11" s="1870" t="s">
        <v>91</v>
      </c>
      <c r="C11" s="1871" t="s">
        <v>52</v>
      </c>
      <c r="D11" s="1872">
        <f>A11-A10</f>
        <v>113</v>
      </c>
    </row>
    <row r="12" spans="1:33" ht="22.2" customHeight="1" thickTop="1" thickBot="1" x14ac:dyDescent="0.5">
      <c r="A12" s="145">
        <v>37985</v>
      </c>
      <c r="B12" s="1870" t="s">
        <v>41</v>
      </c>
      <c r="C12" s="1871" t="s">
        <v>52</v>
      </c>
      <c r="D12" s="1872">
        <f>A13-A12</f>
        <v>23</v>
      </c>
    </row>
    <row r="13" spans="1:33" ht="22.2" customHeight="1" thickTop="1" thickBot="1" x14ac:dyDescent="0.5">
      <c r="A13" s="145">
        <v>38008</v>
      </c>
      <c r="B13" s="1857" t="s">
        <v>805</v>
      </c>
      <c r="C13" s="1858"/>
      <c r="D13" s="1859"/>
    </row>
    <row r="14" spans="1:33" ht="22.2" customHeight="1" thickTop="1" thickBot="1" x14ac:dyDescent="0.5">
      <c r="A14" s="145">
        <v>38095</v>
      </c>
      <c r="B14" s="1870" t="s">
        <v>41</v>
      </c>
      <c r="C14" s="1871" t="s">
        <v>52</v>
      </c>
      <c r="D14" s="1872">
        <f>A14-A13</f>
        <v>87</v>
      </c>
    </row>
    <row r="15" spans="1:33" ht="22.2" customHeight="1" thickTop="1" thickBot="1" x14ac:dyDescent="0.5">
      <c r="A15" s="145">
        <v>38309</v>
      </c>
      <c r="B15" s="1870" t="s">
        <v>41</v>
      </c>
      <c r="C15" s="1871" t="s">
        <v>52</v>
      </c>
      <c r="D15" s="1872">
        <f>A16-A15</f>
        <v>83</v>
      </c>
    </row>
    <row r="16" spans="1:33" ht="22.2" customHeight="1" thickTop="1" thickBot="1" x14ac:dyDescent="0.5">
      <c r="A16" s="145">
        <v>38392</v>
      </c>
      <c r="B16" s="1857" t="s">
        <v>805</v>
      </c>
      <c r="C16" s="1858"/>
      <c r="D16" s="1859"/>
    </row>
    <row r="17" spans="1:4" ht="22.2" customHeight="1" thickTop="1" thickBot="1" x14ac:dyDescent="0.5">
      <c r="A17" s="145">
        <v>38454</v>
      </c>
      <c r="B17" s="1870" t="s">
        <v>105</v>
      </c>
      <c r="C17" s="1871" t="s">
        <v>52</v>
      </c>
      <c r="D17" s="1872">
        <f>A17-A16</f>
        <v>62</v>
      </c>
    </row>
    <row r="18" spans="1:4" ht="22.2" customHeight="1" thickTop="1" thickBot="1" x14ac:dyDescent="0.5">
      <c r="A18" s="145">
        <v>38637</v>
      </c>
      <c r="B18" s="1870" t="s">
        <v>138</v>
      </c>
      <c r="C18" s="1871" t="s">
        <v>9</v>
      </c>
      <c r="D18" s="1872">
        <f>A19-A18</f>
        <v>109</v>
      </c>
    </row>
    <row r="19" spans="1:4" ht="22.2" customHeight="1" thickTop="1" x14ac:dyDescent="0.45">
      <c r="A19" s="146">
        <v>38746</v>
      </c>
      <c r="B19" s="1867" t="s">
        <v>805</v>
      </c>
      <c r="C19" s="1868"/>
      <c r="D19" s="1869"/>
    </row>
    <row r="20" spans="1:4" ht="22.2" customHeight="1" thickBot="1" x14ac:dyDescent="0.5">
      <c r="A20" s="118">
        <v>38834</v>
      </c>
      <c r="B20" s="317" t="s">
        <v>182</v>
      </c>
      <c r="C20" s="1230" t="s">
        <v>71</v>
      </c>
      <c r="D20" s="1230">
        <f>A20-A19</f>
        <v>88</v>
      </c>
    </row>
    <row r="21" spans="1:4" ht="22.2" customHeight="1" thickTop="1" x14ac:dyDescent="0.45">
      <c r="A21" s="133">
        <v>39116</v>
      </c>
      <c r="B21" s="134" t="s">
        <v>91</v>
      </c>
      <c r="C21" s="1232" t="s">
        <v>52</v>
      </c>
      <c r="D21" s="1232">
        <f>A22-A21</f>
        <v>15</v>
      </c>
    </row>
    <row r="22" spans="1:4" ht="22.2" customHeight="1" thickBot="1" x14ac:dyDescent="0.5">
      <c r="A22" s="144">
        <v>39131</v>
      </c>
      <c r="B22" s="1864" t="s">
        <v>805</v>
      </c>
      <c r="C22" s="1865"/>
      <c r="D22" s="1866"/>
    </row>
    <row r="23" spans="1:4" ht="22.2" customHeight="1" thickTop="1" thickBot="1" x14ac:dyDescent="0.5">
      <c r="A23" s="145">
        <v>39183</v>
      </c>
      <c r="B23" s="1870" t="s">
        <v>41</v>
      </c>
      <c r="C23" s="1871" t="s">
        <v>71</v>
      </c>
      <c r="D23" s="1872">
        <f>A23-A22</f>
        <v>52</v>
      </c>
    </row>
    <row r="24" spans="1:4" ht="22.2" customHeight="1" thickTop="1" thickBot="1" x14ac:dyDescent="0.5">
      <c r="A24" s="145">
        <v>39398</v>
      </c>
      <c r="B24" s="1870" t="s">
        <v>182</v>
      </c>
      <c r="C24" s="1871" t="s">
        <v>71</v>
      </c>
      <c r="D24" s="1872">
        <f>A25-A24</f>
        <v>87</v>
      </c>
    </row>
    <row r="25" spans="1:4" ht="22.2" customHeight="1" thickTop="1" thickBot="1" x14ac:dyDescent="0.5">
      <c r="A25" s="145">
        <v>39485</v>
      </c>
      <c r="B25" s="1857" t="s">
        <v>805</v>
      </c>
      <c r="C25" s="1858"/>
      <c r="D25" s="1859"/>
    </row>
    <row r="26" spans="1:4" ht="22.2" customHeight="1" thickTop="1" thickBot="1" x14ac:dyDescent="0.5">
      <c r="A26" s="145">
        <v>39563</v>
      </c>
      <c r="B26" s="1870" t="s">
        <v>203</v>
      </c>
      <c r="C26" s="1871" t="s">
        <v>52</v>
      </c>
      <c r="D26" s="1872">
        <f>A26-A25</f>
        <v>78</v>
      </c>
    </row>
    <row r="27" spans="1:4" ht="22.2" customHeight="1" thickTop="1" thickBot="1" x14ac:dyDescent="0.5">
      <c r="A27" s="145">
        <v>39805</v>
      </c>
      <c r="B27" s="1870" t="s">
        <v>91</v>
      </c>
      <c r="C27" s="1871" t="s">
        <v>52</v>
      </c>
      <c r="D27" s="1872">
        <f>A28-A27</f>
        <v>33</v>
      </c>
    </row>
    <row r="28" spans="1:4" ht="22.2" customHeight="1" thickTop="1" x14ac:dyDescent="0.45">
      <c r="A28" s="146">
        <v>39838</v>
      </c>
      <c r="B28" s="1867" t="s">
        <v>805</v>
      </c>
      <c r="C28" s="1868"/>
      <c r="D28" s="1869"/>
    </row>
    <row r="29" spans="1:4" ht="22.2" customHeight="1" thickBot="1" x14ac:dyDescent="0.5">
      <c r="A29" s="117">
        <v>39918</v>
      </c>
      <c r="B29" s="318" t="s">
        <v>203</v>
      </c>
      <c r="C29" s="1231" t="s">
        <v>52</v>
      </c>
      <c r="D29" s="1231">
        <f>A29-A28</f>
        <v>80</v>
      </c>
    </row>
    <row r="30" spans="1:4" ht="22.2" customHeight="1" thickTop="1" x14ac:dyDescent="0.45">
      <c r="A30" s="133">
        <v>40195</v>
      </c>
      <c r="B30" s="134" t="s">
        <v>203</v>
      </c>
      <c r="C30" s="142" t="s">
        <v>52</v>
      </c>
      <c r="D30" s="1232">
        <f>A31-A30</f>
        <v>28</v>
      </c>
    </row>
    <row r="31" spans="1:4" ht="22.2" customHeight="1" thickBot="1" x14ac:dyDescent="0.5">
      <c r="A31" s="144">
        <v>40223</v>
      </c>
      <c r="B31" s="1864" t="s">
        <v>805</v>
      </c>
      <c r="C31" s="1865"/>
      <c r="D31" s="1866"/>
    </row>
    <row r="32" spans="1:4" ht="22.2" customHeight="1" thickTop="1" x14ac:dyDescent="0.45">
      <c r="A32" s="147">
        <v>40242</v>
      </c>
      <c r="B32" s="1860" t="s">
        <v>182</v>
      </c>
      <c r="C32" s="1861" t="s">
        <v>9</v>
      </c>
      <c r="D32" s="1862">
        <f>A32-A31</f>
        <v>19</v>
      </c>
    </row>
    <row r="33" spans="1:4" ht="22.2" customHeight="1" x14ac:dyDescent="0.45">
      <c r="A33" s="143">
        <v>40530</v>
      </c>
      <c r="B33" s="1863" t="s">
        <v>91</v>
      </c>
      <c r="C33" s="1824" t="s">
        <v>52</v>
      </c>
      <c r="D33" s="1825">
        <f>A34-A33</f>
        <v>47</v>
      </c>
    </row>
    <row r="34" spans="1:4" ht="22.2" customHeight="1" x14ac:dyDescent="0.45">
      <c r="A34" s="143">
        <v>40577</v>
      </c>
      <c r="B34" s="1854" t="s">
        <v>805</v>
      </c>
      <c r="C34" s="1855"/>
      <c r="D34" s="1856"/>
    </row>
    <row r="35" spans="1:4" ht="22.2" customHeight="1" thickBot="1" x14ac:dyDescent="0.5">
      <c r="A35" s="118">
        <v>40643</v>
      </c>
      <c r="B35" s="317" t="s">
        <v>91</v>
      </c>
      <c r="C35" s="1230" t="s">
        <v>52</v>
      </c>
      <c r="D35" s="1230">
        <f>A35-A34</f>
        <v>66</v>
      </c>
    </row>
    <row r="36" spans="1:4" ht="22.2" customHeight="1" thickTop="1" x14ac:dyDescent="0.45">
      <c r="A36" s="133">
        <v>40921</v>
      </c>
      <c r="B36" s="134" t="s">
        <v>91</v>
      </c>
      <c r="C36" s="1232" t="s">
        <v>52</v>
      </c>
      <c r="D36" s="1232">
        <f>A37-A36</f>
        <v>10</v>
      </c>
    </row>
    <row r="37" spans="1:4" ht="22.2" customHeight="1" x14ac:dyDescent="0.45">
      <c r="A37" s="143">
        <v>40931</v>
      </c>
      <c r="B37" s="1854" t="s">
        <v>805</v>
      </c>
      <c r="C37" s="1855"/>
      <c r="D37" s="1856"/>
    </row>
    <row r="38" spans="1:4" ht="22.2" customHeight="1" thickBot="1" x14ac:dyDescent="0.5">
      <c r="A38" s="124">
        <v>40964</v>
      </c>
      <c r="B38" s="125" t="s">
        <v>203</v>
      </c>
      <c r="C38" s="110" t="s">
        <v>52</v>
      </c>
      <c r="D38" s="1234">
        <f>A38-A37</f>
        <v>33</v>
      </c>
    </row>
    <row r="39" spans="1:4" ht="22.2" customHeight="1" thickTop="1" thickBot="1" x14ac:dyDescent="0.5">
      <c r="A39" s="118">
        <v>41262</v>
      </c>
      <c r="B39" s="317" t="s">
        <v>83</v>
      </c>
      <c r="C39" s="1230" t="s">
        <v>9</v>
      </c>
      <c r="D39" s="1230">
        <f>A40-A39</f>
        <v>53</v>
      </c>
    </row>
    <row r="40" spans="1:4" ht="22.2" customHeight="1" thickTop="1" thickBot="1" x14ac:dyDescent="0.5">
      <c r="A40" s="145">
        <v>41315</v>
      </c>
      <c r="B40" s="1857" t="s">
        <v>805</v>
      </c>
      <c r="C40" s="1858"/>
      <c r="D40" s="1859"/>
    </row>
    <row r="41" spans="1:4" ht="22.2" customHeight="1" thickTop="1" thickBot="1" x14ac:dyDescent="0.5">
      <c r="A41" s="145">
        <v>41390</v>
      </c>
      <c r="B41" s="1870" t="s">
        <v>83</v>
      </c>
      <c r="C41" s="1871" t="s">
        <v>9</v>
      </c>
      <c r="D41" s="1872">
        <f>A41-A40</f>
        <v>75</v>
      </c>
    </row>
    <row r="42" spans="1:4" ht="22.2" customHeight="1" thickTop="1" thickBot="1" x14ac:dyDescent="0.5">
      <c r="A42" s="145">
        <v>41629</v>
      </c>
      <c r="B42" s="1870" t="s">
        <v>105</v>
      </c>
      <c r="C42" s="1871" t="s">
        <v>52</v>
      </c>
      <c r="D42" s="1872">
        <f>A43-A42</f>
        <v>41</v>
      </c>
    </row>
    <row r="43" spans="1:4" ht="22.2" customHeight="1" thickTop="1" thickBot="1" x14ac:dyDescent="0.5">
      <c r="A43" s="145">
        <v>41670</v>
      </c>
      <c r="B43" s="1857" t="s">
        <v>805</v>
      </c>
      <c r="C43" s="1858"/>
      <c r="D43" s="1859"/>
    </row>
    <row r="44" spans="1:4" ht="22.2" customHeight="1" thickTop="1" thickBot="1" x14ac:dyDescent="0.5">
      <c r="A44" s="145">
        <v>41729</v>
      </c>
      <c r="B44" s="1870" t="s">
        <v>41</v>
      </c>
      <c r="C44" s="1871" t="s">
        <v>9</v>
      </c>
      <c r="D44" s="1872">
        <f>A44-A43</f>
        <v>59</v>
      </c>
    </row>
    <row r="45" spans="1:4" ht="22.2" customHeight="1" thickTop="1" thickBot="1" x14ac:dyDescent="0.5">
      <c r="A45" s="145">
        <v>42004</v>
      </c>
      <c r="B45" s="1870" t="s">
        <v>91</v>
      </c>
      <c r="C45" s="1871" t="s">
        <v>52</v>
      </c>
      <c r="D45" s="1872">
        <f>A46-A45</f>
        <v>50</v>
      </c>
    </row>
    <row r="46" spans="1:4" ht="22.2" customHeight="1" thickTop="1" x14ac:dyDescent="0.45">
      <c r="A46" s="146">
        <v>42054</v>
      </c>
      <c r="B46" s="1867" t="s">
        <v>805</v>
      </c>
      <c r="C46" s="1868"/>
      <c r="D46" s="1869"/>
    </row>
    <row r="47" spans="1:4" ht="22.2" customHeight="1" thickBot="1" x14ac:dyDescent="0.5">
      <c r="A47" s="118">
        <v>42093</v>
      </c>
      <c r="B47" s="317" t="s">
        <v>808</v>
      </c>
      <c r="C47" s="1230" t="s">
        <v>52</v>
      </c>
      <c r="D47" s="1230">
        <f>A47-A46</f>
        <v>39</v>
      </c>
    </row>
    <row r="48" spans="1:4" ht="22.2" customHeight="1" thickTop="1" x14ac:dyDescent="0.45">
      <c r="A48" s="133">
        <v>42385</v>
      </c>
      <c r="B48" s="134" t="s">
        <v>105</v>
      </c>
      <c r="C48" s="1232" t="s">
        <v>52</v>
      </c>
      <c r="D48" s="1232">
        <f>A50-A48</f>
        <v>23</v>
      </c>
    </row>
    <row r="49" spans="1:4" ht="22.2" customHeight="1" x14ac:dyDescent="0.45">
      <c r="A49" s="135">
        <v>42401</v>
      </c>
      <c r="B49" s="91" t="s">
        <v>808</v>
      </c>
      <c r="C49" s="1235" t="s">
        <v>52</v>
      </c>
      <c r="D49" s="1235">
        <f>A50-A49</f>
        <v>7</v>
      </c>
    </row>
    <row r="50" spans="1:4" ht="22.2" customHeight="1" thickBot="1" x14ac:dyDescent="0.5">
      <c r="A50" s="144">
        <v>42408</v>
      </c>
      <c r="B50" s="1864" t="s">
        <v>805</v>
      </c>
      <c r="C50" s="1865"/>
      <c r="D50" s="1866"/>
    </row>
    <row r="51" spans="1:4" ht="22.2" customHeight="1" thickTop="1" thickBot="1" x14ac:dyDescent="0.5">
      <c r="A51" s="118">
        <v>42459</v>
      </c>
      <c r="B51" s="317" t="s">
        <v>91</v>
      </c>
      <c r="C51" s="1230" t="s">
        <v>52</v>
      </c>
      <c r="D51" s="1230">
        <f>A51-A50</f>
        <v>51</v>
      </c>
    </row>
    <row r="52" spans="1:4" ht="22.2" customHeight="1" thickTop="1" x14ac:dyDescent="0.45">
      <c r="A52" s="119">
        <v>42740</v>
      </c>
      <c r="B52" s="120" t="s">
        <v>105</v>
      </c>
      <c r="C52" s="121" t="s">
        <v>52</v>
      </c>
      <c r="D52" s="121">
        <f>A54-A52</f>
        <v>23</v>
      </c>
    </row>
    <row r="53" spans="1:4" ht="22.2" customHeight="1" x14ac:dyDescent="0.45">
      <c r="A53" s="135">
        <v>42744</v>
      </c>
      <c r="B53" s="91" t="s">
        <v>409</v>
      </c>
      <c r="C53" s="470" t="s">
        <v>9</v>
      </c>
      <c r="D53" s="1235">
        <f>A54-A53</f>
        <v>19</v>
      </c>
    </row>
    <row r="54" spans="1:4" ht="22.2" customHeight="1" thickBot="1" x14ac:dyDescent="0.5">
      <c r="A54" s="144">
        <v>42763</v>
      </c>
      <c r="B54" s="1864" t="s">
        <v>805</v>
      </c>
      <c r="C54" s="1865"/>
      <c r="D54" s="1866"/>
    </row>
    <row r="55" spans="1:4" ht="22.2" customHeight="1" thickTop="1" thickBot="1" x14ac:dyDescent="0.5">
      <c r="A55" s="118">
        <v>42797</v>
      </c>
      <c r="B55" s="317" t="s">
        <v>809</v>
      </c>
      <c r="C55" s="1230" t="s">
        <v>9</v>
      </c>
      <c r="D55" s="1230">
        <f>A55-A54</f>
        <v>34</v>
      </c>
    </row>
    <row r="56" spans="1:4" ht="22.2" customHeight="1" thickTop="1" x14ac:dyDescent="0.45">
      <c r="A56" s="119">
        <v>43109</v>
      </c>
      <c r="B56" s="120" t="s">
        <v>83</v>
      </c>
      <c r="C56" s="121" t="s">
        <v>71</v>
      </c>
      <c r="D56" s="121">
        <f>A63-A56</f>
        <v>38</v>
      </c>
    </row>
    <row r="57" spans="1:4" ht="22.2" customHeight="1" x14ac:dyDescent="0.45">
      <c r="A57" s="122">
        <v>43112</v>
      </c>
      <c r="B57" s="123" t="s">
        <v>105</v>
      </c>
      <c r="C57" s="193" t="s">
        <v>52</v>
      </c>
      <c r="D57" s="193">
        <f>A63-A57</f>
        <v>35</v>
      </c>
    </row>
    <row r="58" spans="1:4" ht="22.2" customHeight="1" x14ac:dyDescent="0.45">
      <c r="A58" s="122">
        <v>43113</v>
      </c>
      <c r="B58" s="123" t="s">
        <v>83</v>
      </c>
      <c r="C58" s="193" t="s">
        <v>9</v>
      </c>
      <c r="D58" s="193">
        <f>A63-A58</f>
        <v>34</v>
      </c>
    </row>
    <row r="59" spans="1:4" ht="22.2" customHeight="1" x14ac:dyDescent="0.45">
      <c r="A59" s="122">
        <v>43119</v>
      </c>
      <c r="B59" s="123" t="s">
        <v>357</v>
      </c>
      <c r="C59" s="193" t="s">
        <v>9</v>
      </c>
      <c r="D59" s="193">
        <f>A63-A59</f>
        <v>28</v>
      </c>
    </row>
    <row r="60" spans="1:4" ht="22.2" customHeight="1" x14ac:dyDescent="0.45">
      <c r="A60" s="122">
        <v>43125</v>
      </c>
      <c r="B60" s="123" t="s">
        <v>41</v>
      </c>
      <c r="C60" s="193" t="s">
        <v>52</v>
      </c>
      <c r="D60" s="193">
        <f>A63-A60</f>
        <v>22</v>
      </c>
    </row>
    <row r="61" spans="1:4" ht="22.2" customHeight="1" x14ac:dyDescent="0.45">
      <c r="A61" s="122">
        <v>43133</v>
      </c>
      <c r="B61" s="123" t="s">
        <v>83</v>
      </c>
      <c r="C61" s="193" t="s">
        <v>9</v>
      </c>
      <c r="D61" s="193">
        <f>A63-A61</f>
        <v>14</v>
      </c>
    </row>
    <row r="62" spans="1:4" ht="22.2" customHeight="1" x14ac:dyDescent="0.45">
      <c r="A62" s="135">
        <v>43143</v>
      </c>
      <c r="B62" s="91" t="s">
        <v>105</v>
      </c>
      <c r="C62" s="1235" t="s">
        <v>52</v>
      </c>
      <c r="D62" s="1235">
        <f>A63-A62</f>
        <v>4</v>
      </c>
    </row>
    <row r="63" spans="1:4" ht="22.2" customHeight="1" x14ac:dyDescent="0.45">
      <c r="A63" s="143">
        <v>43147</v>
      </c>
      <c r="B63" s="1854" t="s">
        <v>805</v>
      </c>
      <c r="C63" s="1855"/>
      <c r="D63" s="1856"/>
    </row>
    <row r="64" spans="1:4" ht="22.2" customHeight="1" thickBot="1" x14ac:dyDescent="0.5">
      <c r="A64" s="118">
        <v>43176</v>
      </c>
      <c r="B64" s="317" t="s">
        <v>83</v>
      </c>
      <c r="C64" s="470" t="s">
        <v>9</v>
      </c>
      <c r="D64" s="1230">
        <f>A64-A63</f>
        <v>29</v>
      </c>
    </row>
    <row r="65" spans="1:12" ht="22.2" customHeight="1" thickTop="1" x14ac:dyDescent="0.45">
      <c r="A65" s="119">
        <v>43476</v>
      </c>
      <c r="B65" s="120" t="s">
        <v>105</v>
      </c>
      <c r="C65" s="121" t="s">
        <v>52</v>
      </c>
      <c r="D65" s="121">
        <f>A67-A65</f>
        <v>25</v>
      </c>
    </row>
    <row r="66" spans="1:12" ht="22.2" customHeight="1" x14ac:dyDescent="0.45">
      <c r="A66" s="122">
        <v>43486</v>
      </c>
      <c r="B66" s="123" t="s">
        <v>357</v>
      </c>
      <c r="C66" s="470" t="s">
        <v>9</v>
      </c>
      <c r="D66" s="193">
        <f>A67-A66</f>
        <v>15</v>
      </c>
    </row>
    <row r="67" spans="1:12" ht="22.2" customHeight="1" thickBot="1" x14ac:dyDescent="0.5">
      <c r="A67" s="144">
        <v>43501</v>
      </c>
      <c r="B67" s="1864" t="s">
        <v>805</v>
      </c>
      <c r="C67" s="1865"/>
      <c r="D67" s="1866"/>
    </row>
    <row r="68" spans="1:12" ht="22.2" customHeight="1" thickTop="1" thickBot="1" x14ac:dyDescent="0.5">
      <c r="A68" s="118">
        <v>43534</v>
      </c>
      <c r="B68" s="317" t="s">
        <v>105</v>
      </c>
      <c r="C68" s="1230" t="s">
        <v>52</v>
      </c>
      <c r="D68" s="1230">
        <f>A68-A67</f>
        <v>33</v>
      </c>
    </row>
    <row r="69" spans="1:12" ht="22.2" customHeight="1" thickTop="1" x14ac:dyDescent="0.45">
      <c r="A69" s="119">
        <v>43837</v>
      </c>
      <c r="B69" s="120" t="s">
        <v>105</v>
      </c>
      <c r="C69" s="121" t="s">
        <v>52</v>
      </c>
      <c r="D69" s="121">
        <f>A72-A69</f>
        <v>18</v>
      </c>
    </row>
    <row r="70" spans="1:12" ht="22.2" customHeight="1" x14ac:dyDescent="0.45">
      <c r="A70" s="122">
        <v>43845</v>
      </c>
      <c r="B70" s="123" t="s">
        <v>83</v>
      </c>
      <c r="C70" s="193" t="s">
        <v>71</v>
      </c>
      <c r="D70" s="193">
        <f>A72-A70</f>
        <v>10</v>
      </c>
    </row>
    <row r="71" spans="1:12" ht="22.2" customHeight="1" x14ac:dyDescent="0.45">
      <c r="A71" s="122">
        <v>43846</v>
      </c>
      <c r="B71" s="123" t="s">
        <v>409</v>
      </c>
      <c r="C71" s="470" t="s">
        <v>9</v>
      </c>
      <c r="D71" s="193">
        <f>A72-A71</f>
        <v>9</v>
      </c>
      <c r="F71" s="514"/>
      <c r="G71" s="518"/>
      <c r="H71" s="514"/>
      <c r="I71" s="514"/>
    </row>
    <row r="72" spans="1:12" ht="22.2" customHeight="1" x14ac:dyDescent="0.45">
      <c r="A72" s="143">
        <v>43855</v>
      </c>
      <c r="B72" s="1854" t="s">
        <v>805</v>
      </c>
      <c r="C72" s="1855"/>
      <c r="D72" s="1856"/>
      <c r="F72" s="1891">
        <f ca="1">TODAY()</f>
        <v>46209</v>
      </c>
      <c r="G72" s="1892"/>
      <c r="H72" s="1892"/>
      <c r="I72" s="1892"/>
      <c r="J72" s="1892"/>
      <c r="K72" s="1892"/>
      <c r="L72" s="1893"/>
    </row>
    <row r="73" spans="1:12" ht="22.2" customHeight="1" thickBot="1" x14ac:dyDescent="0.5">
      <c r="A73" s="124">
        <v>43881</v>
      </c>
      <c r="B73" s="125" t="s">
        <v>83</v>
      </c>
      <c r="C73" s="1234" t="s">
        <v>52</v>
      </c>
      <c r="D73" s="1234">
        <f>A73-A72</f>
        <v>26</v>
      </c>
      <c r="F73" s="1189" t="s">
        <v>2617</v>
      </c>
      <c r="G73" s="1189" t="s">
        <v>773</v>
      </c>
      <c r="H73" s="1189" t="s">
        <v>1268</v>
      </c>
      <c r="I73" s="1189" t="s">
        <v>2681</v>
      </c>
      <c r="J73" s="1900" t="s">
        <v>3610</v>
      </c>
      <c r="K73" s="1901"/>
      <c r="L73" s="1902"/>
    </row>
    <row r="74" spans="1:12" ht="22.2" customHeight="1" thickTop="1" x14ac:dyDescent="0.45">
      <c r="A74" s="119">
        <v>44216</v>
      </c>
      <c r="B74" s="120" t="s">
        <v>105</v>
      </c>
      <c r="C74" s="121" t="s">
        <v>52</v>
      </c>
      <c r="D74" s="121">
        <f>A78-A74</f>
        <v>26</v>
      </c>
      <c r="F74" s="91" t="s">
        <v>2236</v>
      </c>
      <c r="G74" s="109">
        <v>42845</v>
      </c>
      <c r="H74" s="109">
        <v>43000</v>
      </c>
      <c r="I74" s="1235">
        <f t="shared" ref="I74:I79" si="0">H74-G74</f>
        <v>155</v>
      </c>
      <c r="J74" s="1903">
        <f>H74-G75</f>
        <v>-1345</v>
      </c>
      <c r="K74" s="1904"/>
      <c r="L74" s="1905"/>
    </row>
    <row r="75" spans="1:12" ht="22.2" customHeight="1" x14ac:dyDescent="0.45">
      <c r="A75" s="122">
        <v>44225</v>
      </c>
      <c r="B75" s="123" t="s">
        <v>182</v>
      </c>
      <c r="C75" s="193" t="s">
        <v>9</v>
      </c>
      <c r="D75" s="193">
        <f>A78-A75</f>
        <v>17</v>
      </c>
      <c r="F75" s="91" t="s">
        <v>2239</v>
      </c>
      <c r="G75" s="109">
        <v>44345</v>
      </c>
      <c r="H75" s="109">
        <v>44651</v>
      </c>
      <c r="I75" s="1235">
        <f t="shared" si="0"/>
        <v>306</v>
      </c>
      <c r="J75" s="1903">
        <f t="shared" ref="J75:J84" si="1">H75-G76</f>
        <v>192</v>
      </c>
      <c r="K75" s="1904"/>
      <c r="L75" s="1905"/>
    </row>
    <row r="76" spans="1:12" ht="22.2" customHeight="1" x14ac:dyDescent="0.45">
      <c r="A76" s="122">
        <v>44228</v>
      </c>
      <c r="B76" s="123" t="s">
        <v>506</v>
      </c>
      <c r="C76" s="193" t="s">
        <v>9</v>
      </c>
      <c r="D76" s="193">
        <f>A78-A76</f>
        <v>14</v>
      </c>
      <c r="F76" s="91" t="s">
        <v>2240</v>
      </c>
      <c r="G76" s="109">
        <v>44459</v>
      </c>
      <c r="H76" s="109">
        <v>44769</v>
      </c>
      <c r="I76" s="1235">
        <f t="shared" si="0"/>
        <v>310</v>
      </c>
      <c r="J76" s="1903">
        <f t="shared" si="1"/>
        <v>78</v>
      </c>
      <c r="K76" s="1904"/>
      <c r="L76" s="1905"/>
    </row>
    <row r="77" spans="1:12" ht="22.2" customHeight="1" x14ac:dyDescent="0.45">
      <c r="A77" s="135">
        <v>44231</v>
      </c>
      <c r="B77" s="91" t="s">
        <v>105</v>
      </c>
      <c r="C77" s="1235" t="s">
        <v>52</v>
      </c>
      <c r="D77" s="1235">
        <f>A78-A77</f>
        <v>11</v>
      </c>
      <c r="F77" s="91" t="s">
        <v>2242</v>
      </c>
      <c r="G77" s="109">
        <v>44691</v>
      </c>
      <c r="H77" s="109">
        <v>44880</v>
      </c>
      <c r="I77" s="1235">
        <f t="shared" si="0"/>
        <v>189</v>
      </c>
      <c r="J77" s="1903">
        <f t="shared" si="1"/>
        <v>3</v>
      </c>
      <c r="K77" s="1904"/>
      <c r="L77" s="1905"/>
    </row>
    <row r="78" spans="1:12" ht="22.2" customHeight="1" x14ac:dyDescent="0.45">
      <c r="A78" s="143">
        <v>44242</v>
      </c>
      <c r="B78" s="1854" t="s">
        <v>805</v>
      </c>
      <c r="C78" s="1855"/>
      <c r="D78" s="1856"/>
      <c r="F78" s="91" t="s">
        <v>2244</v>
      </c>
      <c r="G78" s="109">
        <v>44877</v>
      </c>
      <c r="H78" s="109">
        <v>45181</v>
      </c>
      <c r="I78" s="280">
        <f t="shared" si="0"/>
        <v>304</v>
      </c>
      <c r="J78" s="1903">
        <f t="shared" si="1"/>
        <v>125</v>
      </c>
      <c r="K78" s="1904"/>
      <c r="L78" s="1905"/>
    </row>
    <row r="79" spans="1:12" ht="22.2" customHeight="1" thickBot="1" x14ac:dyDescent="0.5">
      <c r="A79" s="124">
        <v>44251</v>
      </c>
      <c r="B79" s="125" t="s">
        <v>182</v>
      </c>
      <c r="C79" s="1234" t="s">
        <v>9</v>
      </c>
      <c r="D79" s="1234">
        <f>A79-A78</f>
        <v>9</v>
      </c>
      <c r="F79" s="91" t="s">
        <v>2246</v>
      </c>
      <c r="G79" s="109">
        <v>45056</v>
      </c>
      <c r="H79" s="270">
        <v>45310</v>
      </c>
      <c r="I79" s="379">
        <f t="shared" si="0"/>
        <v>254</v>
      </c>
      <c r="J79" s="1903">
        <f t="shared" si="1"/>
        <v>2</v>
      </c>
      <c r="K79" s="1904"/>
      <c r="L79" s="1905"/>
    </row>
    <row r="80" spans="1:12" ht="22.2" customHeight="1" thickTop="1" x14ac:dyDescent="0.45">
      <c r="A80" s="126">
        <v>44578</v>
      </c>
      <c r="B80" s="127" t="s">
        <v>83</v>
      </c>
      <c r="C80" s="1233" t="s">
        <v>71</v>
      </c>
      <c r="D80" s="1233">
        <f>A82-A80</f>
        <v>15</v>
      </c>
      <c r="F80" s="91" t="s">
        <v>2249</v>
      </c>
      <c r="G80" s="270">
        <v>45308</v>
      </c>
      <c r="H80" s="270">
        <f>G81+2</f>
        <v>45613</v>
      </c>
      <c r="I80" s="379">
        <v>305</v>
      </c>
      <c r="J80" s="1903">
        <f t="shared" si="1"/>
        <v>2</v>
      </c>
      <c r="K80" s="1904"/>
      <c r="L80" s="1905"/>
    </row>
    <row r="81" spans="1:36" ht="22.2" customHeight="1" x14ac:dyDescent="0.45">
      <c r="A81" s="140">
        <v>44587</v>
      </c>
      <c r="B81" s="141" t="s">
        <v>182</v>
      </c>
      <c r="C81" s="142" t="s">
        <v>9</v>
      </c>
      <c r="D81" s="142">
        <f>A82-A81</f>
        <v>6</v>
      </c>
      <c r="F81" s="91" t="s">
        <v>2614</v>
      </c>
      <c r="G81" s="270">
        <v>45611</v>
      </c>
      <c r="H81" s="270">
        <v>45847</v>
      </c>
      <c r="I81" s="379">
        <v>236</v>
      </c>
      <c r="J81" s="1903">
        <f t="shared" si="1"/>
        <v>-6</v>
      </c>
      <c r="K81" s="1904"/>
      <c r="L81" s="1905"/>
    </row>
    <row r="82" spans="1:36" ht="22.2" customHeight="1" x14ac:dyDescent="0.45">
      <c r="A82" s="143">
        <v>44593</v>
      </c>
      <c r="B82" s="1854" t="s">
        <v>805</v>
      </c>
      <c r="C82" s="1855"/>
      <c r="D82" s="1856"/>
      <c r="F82" s="91" t="s">
        <v>2615</v>
      </c>
      <c r="G82" s="270">
        <v>45853</v>
      </c>
      <c r="H82" s="270">
        <f>G82+296</f>
        <v>46149</v>
      </c>
      <c r="I82" s="379">
        <v>296</v>
      </c>
      <c r="J82" s="1885">
        <f t="shared" si="1"/>
        <v>-4</v>
      </c>
      <c r="K82" s="1886"/>
      <c r="L82" s="1887"/>
    </row>
    <row r="83" spans="1:36" ht="22.2" customHeight="1" x14ac:dyDescent="0.45">
      <c r="A83" s="135">
        <v>44619</v>
      </c>
      <c r="B83" s="91" t="s">
        <v>182</v>
      </c>
      <c r="C83" s="1235" t="s">
        <v>9</v>
      </c>
      <c r="D83" s="1241">
        <f>A83-A82</f>
        <v>26</v>
      </c>
      <c r="F83" s="480" t="s">
        <v>2616</v>
      </c>
      <c r="G83" s="270">
        <v>46153</v>
      </c>
      <c r="H83" s="407">
        <f>G83+360</f>
        <v>46513</v>
      </c>
      <c r="I83" s="1198" t="str">
        <f t="shared" ref="I83:I85" ca="1" si="2">IF(AND(G83&gt;$F$72,H83&gt;$F$72),CONCATENATE(0,"/",H83-G83),CONCATENATE($F$72-G83,"/",H83-G83))</f>
        <v>56/360</v>
      </c>
      <c r="J83" s="1888">
        <f t="shared" si="1"/>
        <v>-4</v>
      </c>
      <c r="K83" s="1889"/>
      <c r="L83" s="1890"/>
      <c r="AB83" s="325"/>
      <c r="AH83" s="1237"/>
      <c r="AI83" s="1237"/>
    </row>
    <row r="84" spans="1:36" ht="22.2" customHeight="1" thickBot="1" x14ac:dyDescent="0.5">
      <c r="A84" s="148">
        <v>44619</v>
      </c>
      <c r="B84" s="149" t="s">
        <v>585</v>
      </c>
      <c r="C84" s="1234" t="s">
        <v>388</v>
      </c>
      <c r="D84" s="150">
        <f>A84-A82</f>
        <v>26</v>
      </c>
      <c r="F84" s="573" t="s">
        <v>3120</v>
      </c>
      <c r="G84" s="1199">
        <v>46517</v>
      </c>
      <c r="H84" s="281">
        <f>G84+300</f>
        <v>46817</v>
      </c>
      <c r="I84" s="1239" t="str">
        <f t="shared" ca="1" si="2"/>
        <v>0/300</v>
      </c>
      <c r="J84" s="1882">
        <f t="shared" si="1"/>
        <v>-4</v>
      </c>
      <c r="K84" s="1883"/>
      <c r="L84" s="1884"/>
      <c r="AB84" s="325"/>
      <c r="AH84" s="1238" t="s">
        <v>1787</v>
      </c>
      <c r="AI84" s="1238" t="s">
        <v>1788</v>
      </c>
    </row>
    <row r="85" spans="1:36" ht="22.2" customHeight="1" thickTop="1" x14ac:dyDescent="0.45">
      <c r="A85" s="126">
        <v>44935</v>
      </c>
      <c r="B85" s="127" t="s">
        <v>543</v>
      </c>
      <c r="C85" s="1233" t="s">
        <v>388</v>
      </c>
      <c r="D85" s="1233">
        <f>A90-A85</f>
        <v>13</v>
      </c>
      <c r="F85" s="480" t="s">
        <v>3344</v>
      </c>
      <c r="G85" s="692">
        <v>46821</v>
      </c>
      <c r="H85" s="281">
        <f>G85+300</f>
        <v>47121</v>
      </c>
      <c r="I85" s="1239" t="str">
        <f t="shared" ca="1" si="2"/>
        <v>0/300</v>
      </c>
      <c r="J85" s="1882">
        <f t="shared" ref="J85" si="3">H85-G86</f>
        <v>-4</v>
      </c>
      <c r="K85" s="1883"/>
      <c r="L85" s="1884"/>
      <c r="AH85" s="492"/>
      <c r="AI85" s="492"/>
    </row>
    <row r="86" spans="1:36" ht="22.2" customHeight="1" x14ac:dyDescent="0.45">
      <c r="A86" s="128">
        <v>44935</v>
      </c>
      <c r="B86" s="111" t="s">
        <v>579</v>
      </c>
      <c r="C86" s="110" t="s">
        <v>9</v>
      </c>
      <c r="D86" s="110">
        <f>A90-A86</f>
        <v>13</v>
      </c>
      <c r="F86" s="480" t="s">
        <v>3648</v>
      </c>
      <c r="G86" s="692">
        <v>47125</v>
      </c>
      <c r="H86" s="281">
        <f>G86+300</f>
        <v>47425</v>
      </c>
      <c r="I86" s="1239" t="str">
        <f t="shared" ref="I86" ca="1" si="4">IF(AND(G86&gt;$F$72,H86&gt;$F$72),CONCATENATE(0,"/",H86-G86),CONCATENATE($F$72-G86,"/",H86-G86))</f>
        <v>0/300</v>
      </c>
      <c r="J86" s="1882" t="s">
        <v>1003</v>
      </c>
      <c r="K86" s="1883"/>
      <c r="L86" s="1884"/>
      <c r="AA86" s="1880" t="str">
        <f ca="1">CONCATENATE("民营航天企业发射统计（截止",TEXT(TODAY(),"YYYY年MM月DD日"),"）")</f>
        <v>民营航天企业发射统计（截止2026年07月06日）</v>
      </c>
      <c r="AB86" s="1880"/>
      <c r="AC86" s="1880"/>
      <c r="AD86" s="1880"/>
      <c r="AE86" s="1880"/>
      <c r="AF86" s="1880"/>
      <c r="AG86" s="1880"/>
      <c r="AH86" s="1880"/>
      <c r="AI86" s="1880"/>
      <c r="AJ86" s="1880"/>
    </row>
    <row r="87" spans="1:36" ht="22.2" customHeight="1" x14ac:dyDescent="0.45">
      <c r="A87" s="128">
        <v>44939</v>
      </c>
      <c r="B87" s="111" t="s">
        <v>41</v>
      </c>
      <c r="C87" s="193" t="s">
        <v>52</v>
      </c>
      <c r="D87" s="110">
        <f>A90-A87</f>
        <v>9</v>
      </c>
      <c r="F87" s="1190"/>
      <c r="G87" s="1190"/>
      <c r="H87" s="1190"/>
      <c r="I87" s="1190"/>
      <c r="AA87" s="1238" t="s">
        <v>1018</v>
      </c>
      <c r="AB87" s="1238" t="s">
        <v>1017</v>
      </c>
      <c r="AC87" s="1238" t="s">
        <v>1019</v>
      </c>
      <c r="AD87" s="107" t="s">
        <v>1033</v>
      </c>
      <c r="AE87" s="1238" t="s">
        <v>1789</v>
      </c>
      <c r="AF87" s="1238" t="s">
        <v>1034</v>
      </c>
      <c r="AG87" s="1879" t="s">
        <v>1036</v>
      </c>
      <c r="AH87" s="1879"/>
      <c r="AI87" s="1879"/>
      <c r="AJ87" s="1879"/>
    </row>
    <row r="88" spans="1:36" ht="22.2" customHeight="1" x14ac:dyDescent="0.45">
      <c r="A88" s="128">
        <v>44939</v>
      </c>
      <c r="B88" s="111" t="s">
        <v>138</v>
      </c>
      <c r="C88" s="110" t="s">
        <v>9</v>
      </c>
      <c r="D88" s="110">
        <f>A90-A88</f>
        <v>9</v>
      </c>
      <c r="F88" s="1897">
        <f ca="1">TODAY()</f>
        <v>46209</v>
      </c>
      <c r="G88" s="1898"/>
      <c r="H88" s="1898"/>
      <c r="I88" s="1898"/>
      <c r="J88" s="1898"/>
      <c r="K88" s="1898"/>
      <c r="L88" s="1899"/>
      <c r="AA88" s="1821">
        <v>2015</v>
      </c>
      <c r="AB88" s="1822" t="s">
        <v>1020</v>
      </c>
      <c r="AC88" s="496" t="s">
        <v>1039</v>
      </c>
      <c r="AD88" s="109">
        <v>43400</v>
      </c>
      <c r="AE88" s="1235">
        <v>1</v>
      </c>
      <c r="AF88" s="1235">
        <v>0</v>
      </c>
      <c r="AG88" s="97">
        <f>IF(AND(AE88&lt;&gt;0,AE88&lt;&gt;"-"),AF88/AE88,"-")</f>
        <v>0</v>
      </c>
      <c r="AH88" s="112" t="s">
        <v>1790</v>
      </c>
      <c r="AI88" s="112" t="s">
        <v>1792</v>
      </c>
      <c r="AJ88" s="1816">
        <f ca="1">SUM(AF88:AF91)/SUM(AE88:AE91)</f>
        <v>0.7</v>
      </c>
    </row>
    <row r="89" spans="1:36" ht="22.2" customHeight="1" x14ac:dyDescent="0.45">
      <c r="A89" s="140">
        <v>44941</v>
      </c>
      <c r="B89" s="141" t="s">
        <v>83</v>
      </c>
      <c r="C89" s="1235" t="s">
        <v>71</v>
      </c>
      <c r="D89" s="142">
        <f>A90-A89</f>
        <v>7</v>
      </c>
      <c r="F89" s="1189" t="s">
        <v>2617</v>
      </c>
      <c r="G89" s="1189" t="s">
        <v>773</v>
      </c>
      <c r="H89" s="1189" t="s">
        <v>1268</v>
      </c>
      <c r="I89" s="1189" t="s">
        <v>2681</v>
      </c>
      <c r="J89" s="1894" t="s">
        <v>3563</v>
      </c>
      <c r="K89" s="1895"/>
      <c r="L89" s="1896"/>
      <c r="AA89" s="1821"/>
      <c r="AB89" s="1822"/>
      <c r="AC89" s="496" t="s">
        <v>976</v>
      </c>
      <c r="AD89" s="109">
        <v>44909</v>
      </c>
      <c r="AE89" s="1235">
        <f ca="1">火箭年間統計!AR9</f>
        <v>3</v>
      </c>
      <c r="AF89" s="1235">
        <f ca="1">火箭年間統計!AR8</f>
        <v>2</v>
      </c>
      <c r="AG89" s="97">
        <f ca="1">IF(AND(AE89&lt;&gt;0,AE89&lt;&gt;"-"),AF89/AE89,"-")</f>
        <v>0.66666666666666663</v>
      </c>
      <c r="AH89" s="112" t="s">
        <v>1791</v>
      </c>
      <c r="AI89" s="112" t="s">
        <v>1793</v>
      </c>
      <c r="AJ89" s="1817"/>
    </row>
    <row r="90" spans="1:36" ht="22.2" customHeight="1" x14ac:dyDescent="0.45">
      <c r="A90" s="143">
        <v>44948</v>
      </c>
      <c r="B90" s="1854" t="s">
        <v>805</v>
      </c>
      <c r="C90" s="1855"/>
      <c r="D90" s="1856"/>
      <c r="F90" s="480" t="s">
        <v>2618</v>
      </c>
      <c r="G90" s="692">
        <v>46325</v>
      </c>
      <c r="H90" s="281">
        <f>G90+15</f>
        <v>46340</v>
      </c>
      <c r="I90" s="408" t="str">
        <f ca="1">IF(AND(G90&gt;$F$88,H90&gt;$F$88),CONCATENATE(0,"/",H90-G90),CONCATENATE($F$88-G90,"/",H90-G90))</f>
        <v>0/15</v>
      </c>
      <c r="J90" s="1882"/>
      <c r="K90" s="1883"/>
      <c r="L90" s="1884"/>
      <c r="AA90" s="1821"/>
      <c r="AB90" s="1822"/>
      <c r="AC90" s="497" t="s">
        <v>2443</v>
      </c>
      <c r="AD90" s="108">
        <v>45623</v>
      </c>
      <c r="AE90" s="380">
        <f ca="1">火箭年間統計!AS$9</f>
        <v>5</v>
      </c>
      <c r="AF90" s="380">
        <f ca="1">火箭年間統計!AS$8</f>
        <v>4</v>
      </c>
      <c r="AG90" s="572">
        <f ca="1">IF(AND(AE90&lt;&gt;0,AE90&lt;&gt;"-"),AF90/AE90,"-")</f>
        <v>0.8</v>
      </c>
      <c r="AH90" s="112"/>
      <c r="AI90" s="112"/>
      <c r="AJ90" s="1817"/>
    </row>
    <row r="91" spans="1:36" ht="22.2" customHeight="1" thickBot="1" x14ac:dyDescent="0.5">
      <c r="A91" s="124">
        <v>44980</v>
      </c>
      <c r="B91" s="125" t="s">
        <v>579</v>
      </c>
      <c r="C91" s="1234" t="s">
        <v>9</v>
      </c>
      <c r="D91" s="1234">
        <f>A91-A90</f>
        <v>32</v>
      </c>
      <c r="F91" s="480" t="s">
        <v>2619</v>
      </c>
      <c r="G91" s="692">
        <v>46417</v>
      </c>
      <c r="H91" s="281">
        <f>G91+15</f>
        <v>46432</v>
      </c>
      <c r="I91" s="408" t="str">
        <f ca="1">IF(AND(G91&gt;$F$88,H91&gt;$F$88),CONCATENATE(0,"/",H91-G91),CONCATENATE($F$88-G91,"/",H91-G91))</f>
        <v>0/15</v>
      </c>
      <c r="J91" s="1882"/>
      <c r="K91" s="1883"/>
      <c r="L91" s="1884"/>
      <c r="AA91" s="1821"/>
      <c r="AB91" s="1822"/>
      <c r="AC91" s="497" t="s">
        <v>1322</v>
      </c>
      <c r="AD91" s="108">
        <v>45994</v>
      </c>
      <c r="AE91" s="380">
        <f ca="1">火箭年間統計!AT$9</f>
        <v>1</v>
      </c>
      <c r="AF91" s="380">
        <f ca="1">火箭年間統計!AT$8</f>
        <v>1</v>
      </c>
      <c r="AG91" s="572">
        <f t="shared" ref="AG91:AG115" ca="1" si="5">IF(AND(AE91&lt;&gt;0,AE91&lt;&gt;"-"),AF91/AE91,"-")</f>
        <v>1</v>
      </c>
      <c r="AH91" s="112" t="s">
        <v>1803</v>
      </c>
      <c r="AI91" s="112" t="s">
        <v>1799</v>
      </c>
      <c r="AJ91" s="1818"/>
    </row>
    <row r="92" spans="1:36" ht="22.2" customHeight="1" thickTop="1" x14ac:dyDescent="0.45">
      <c r="A92" s="126">
        <v>45302</v>
      </c>
      <c r="B92" s="127" t="s">
        <v>1035</v>
      </c>
      <c r="C92" s="191" t="s">
        <v>503</v>
      </c>
      <c r="D92" s="1233">
        <f>$A$97-A92</f>
        <v>30</v>
      </c>
      <c r="F92" s="480"/>
      <c r="G92" s="1167"/>
      <c r="H92" s="281"/>
      <c r="I92" s="408"/>
      <c r="J92" s="1882"/>
      <c r="K92" s="1883"/>
      <c r="L92" s="1884"/>
      <c r="AA92" s="1240">
        <v>2015</v>
      </c>
      <c r="AB92" s="1239" t="s">
        <v>1021</v>
      </c>
      <c r="AC92" s="91" t="s">
        <v>1032</v>
      </c>
      <c r="AD92" s="109">
        <v>43551</v>
      </c>
      <c r="AE92" s="1235">
        <v>1</v>
      </c>
      <c r="AF92" s="1235">
        <v>0</v>
      </c>
      <c r="AG92" s="97">
        <f t="shared" si="5"/>
        <v>0</v>
      </c>
      <c r="AH92" s="112" t="s">
        <v>1804</v>
      </c>
      <c r="AI92" s="112" t="s">
        <v>1799</v>
      </c>
      <c r="AJ92" s="112"/>
    </row>
    <row r="93" spans="1:36" ht="22.2" customHeight="1" x14ac:dyDescent="0.45">
      <c r="A93" s="128">
        <v>45308</v>
      </c>
      <c r="B93" s="111" t="s">
        <v>1269</v>
      </c>
      <c r="C93" s="110" t="s">
        <v>388</v>
      </c>
      <c r="D93" s="110">
        <f>$A$97-A93</f>
        <v>24</v>
      </c>
      <c r="F93" s="480"/>
      <c r="G93" s="515"/>
      <c r="H93" s="281"/>
      <c r="I93" s="408"/>
      <c r="J93" s="1882"/>
      <c r="K93" s="1883"/>
      <c r="L93" s="1884"/>
      <c r="AA93" s="1821">
        <v>2016</v>
      </c>
      <c r="AB93" s="1822" t="s">
        <v>1022</v>
      </c>
      <c r="AC93" s="112" t="s">
        <v>1030</v>
      </c>
      <c r="AD93" s="108">
        <v>43671</v>
      </c>
      <c r="AE93" s="380">
        <f ca="1">火箭年間統計!AV$9</f>
        <v>8</v>
      </c>
      <c r="AF93" s="380">
        <f ca="1">火箭年間統計!AV$8</f>
        <v>4</v>
      </c>
      <c r="AG93" s="572">
        <f t="shared" ca="1" si="5"/>
        <v>0.5</v>
      </c>
      <c r="AH93" s="112"/>
      <c r="AI93" s="112"/>
      <c r="AJ93" s="1803"/>
    </row>
    <row r="94" spans="1:36" ht="22.2" customHeight="1" x14ac:dyDescent="0.45">
      <c r="A94" s="128">
        <v>45314</v>
      </c>
      <c r="B94" s="111" t="s">
        <v>971</v>
      </c>
      <c r="C94" s="110" t="s">
        <v>52</v>
      </c>
      <c r="D94" s="110">
        <f>$A$97-A94</f>
        <v>18</v>
      </c>
      <c r="AA94" s="1821"/>
      <c r="AB94" s="1822"/>
      <c r="AC94" s="112" t="s">
        <v>1323</v>
      </c>
      <c r="AD94" s="108">
        <v>46387</v>
      </c>
      <c r="AE94" s="380" t="s">
        <v>1003</v>
      </c>
      <c r="AF94" s="380" t="s">
        <v>1003</v>
      </c>
      <c r="AG94" s="572" t="str">
        <f t="shared" si="5"/>
        <v>-</v>
      </c>
      <c r="AH94" s="112"/>
      <c r="AI94" s="112"/>
      <c r="AJ94" s="1804"/>
    </row>
    <row r="95" spans="1:36" ht="22.2" customHeight="1" x14ac:dyDescent="0.45">
      <c r="A95" s="140">
        <v>45325</v>
      </c>
      <c r="B95" s="141" t="s">
        <v>971</v>
      </c>
      <c r="C95" s="142" t="s">
        <v>52</v>
      </c>
      <c r="D95" s="142">
        <f>$A$97-A95</f>
        <v>7</v>
      </c>
      <c r="F95" s="1807">
        <f ca="1">TODAY()</f>
        <v>46209</v>
      </c>
      <c r="G95" s="1808"/>
      <c r="H95" s="1808"/>
      <c r="I95" s="1808"/>
      <c r="J95" s="1808"/>
      <c r="K95" s="1808"/>
      <c r="L95" s="1808"/>
      <c r="M95" s="1808"/>
      <c r="N95" s="1808"/>
      <c r="O95" s="1808"/>
      <c r="P95" s="1808"/>
      <c r="Q95" s="1808"/>
      <c r="R95" s="1808"/>
      <c r="S95" s="1808"/>
      <c r="T95" s="1808"/>
      <c r="U95" s="1808"/>
      <c r="V95" s="1808"/>
      <c r="W95" s="1808"/>
      <c r="X95" s="1808"/>
      <c r="Y95" s="1809"/>
      <c r="AA95" s="1821">
        <v>2016</v>
      </c>
      <c r="AB95" s="1822" t="s">
        <v>1023</v>
      </c>
      <c r="AC95" s="112" t="s">
        <v>1298</v>
      </c>
      <c r="AD95" s="108">
        <v>46170</v>
      </c>
      <c r="AE95" s="380"/>
      <c r="AF95" s="380"/>
      <c r="AG95" s="572" t="str">
        <f t="shared" si="5"/>
        <v>-</v>
      </c>
      <c r="AH95" s="112"/>
      <c r="AI95" s="112"/>
      <c r="AJ95" s="1803"/>
    </row>
    <row r="96" spans="1:36" ht="22.2" customHeight="1" x14ac:dyDescent="0.45">
      <c r="A96" s="140">
        <v>45325</v>
      </c>
      <c r="B96" s="190" t="s">
        <v>1009</v>
      </c>
      <c r="C96" s="130" t="s">
        <v>1618</v>
      </c>
      <c r="D96" s="192">
        <f>$A$97-A96</f>
        <v>7</v>
      </c>
      <c r="F96" s="405" t="s">
        <v>1835</v>
      </c>
      <c r="G96" s="1238" t="s">
        <v>773</v>
      </c>
      <c r="H96" s="1238" t="s">
        <v>774</v>
      </c>
      <c r="I96" s="1238" t="s">
        <v>2216</v>
      </c>
      <c r="J96" s="1826" t="s">
        <v>3115</v>
      </c>
      <c r="K96" s="1827"/>
      <c r="L96" s="1827"/>
      <c r="M96" s="1827"/>
      <c r="N96" s="1827"/>
      <c r="O96" s="1827"/>
      <c r="P96" s="1827"/>
      <c r="Q96" s="1827"/>
      <c r="R96" s="1827"/>
      <c r="S96" s="1827"/>
      <c r="T96" s="1827"/>
      <c r="U96" s="1827"/>
      <c r="V96" s="1827"/>
      <c r="W96" s="1827"/>
      <c r="X96" s="1827"/>
      <c r="Y96" s="1828"/>
      <c r="AA96" s="1821"/>
      <c r="AB96" s="1822"/>
      <c r="AC96" s="112" t="s">
        <v>2207</v>
      </c>
      <c r="AD96" s="108">
        <v>46387</v>
      </c>
      <c r="AE96" s="380" t="s">
        <v>1003</v>
      </c>
      <c r="AF96" s="380" t="s">
        <v>1003</v>
      </c>
      <c r="AG96" s="572" t="str">
        <f t="shared" si="5"/>
        <v>-</v>
      </c>
      <c r="AH96" s="112" t="s">
        <v>1794</v>
      </c>
      <c r="AI96" s="112" t="s">
        <v>1807</v>
      </c>
      <c r="AJ96" s="1804"/>
    </row>
    <row r="97" spans="1:36" ht="22.2" customHeight="1" x14ac:dyDescent="0.45">
      <c r="A97" s="143">
        <v>45332</v>
      </c>
      <c r="B97" s="1854" t="s">
        <v>805</v>
      </c>
      <c r="C97" s="1855"/>
      <c r="D97" s="1856"/>
      <c r="F97" s="91" t="s">
        <v>2002</v>
      </c>
      <c r="G97" s="109">
        <v>36484</v>
      </c>
      <c r="H97" s="109">
        <v>36485</v>
      </c>
      <c r="I97" s="1235">
        <f>H97-G97</f>
        <v>1</v>
      </c>
      <c r="J97" s="1810" t="s">
        <v>2222</v>
      </c>
      <c r="K97" s="1811"/>
      <c r="L97" s="1811"/>
      <c r="M97" s="1811"/>
      <c r="N97" s="1811"/>
      <c r="O97" s="1811"/>
      <c r="P97" s="1811"/>
      <c r="Q97" s="1811"/>
      <c r="R97" s="1811"/>
      <c r="S97" s="1811"/>
      <c r="T97" s="1811"/>
      <c r="U97" s="1811"/>
      <c r="V97" s="1811"/>
      <c r="W97" s="1811"/>
      <c r="X97" s="1811"/>
      <c r="Y97" s="1812"/>
      <c r="AA97" s="1240">
        <v>2017</v>
      </c>
      <c r="AB97" s="1239" t="s">
        <v>1024</v>
      </c>
      <c r="AC97" s="112" t="s">
        <v>1003</v>
      </c>
      <c r="AD97" s="108" t="s">
        <v>1003</v>
      </c>
      <c r="AE97" s="380" t="s">
        <v>1003</v>
      </c>
      <c r="AF97" s="380" t="s">
        <v>1003</v>
      </c>
      <c r="AG97" s="572" t="str">
        <f t="shared" si="5"/>
        <v>-</v>
      </c>
      <c r="AH97" s="112" t="s">
        <v>1795</v>
      </c>
      <c r="AI97" s="112" t="s">
        <v>1808</v>
      </c>
      <c r="AJ97" s="112"/>
    </row>
    <row r="98" spans="1:36" ht="22.2" customHeight="1" thickBot="1" x14ac:dyDescent="0.5">
      <c r="A98" s="118">
        <v>45345</v>
      </c>
      <c r="B98" s="317" t="s">
        <v>1231</v>
      </c>
      <c r="C98" s="1234" t="s">
        <v>388</v>
      </c>
      <c r="D98" s="194">
        <f>A98-$A$97</f>
        <v>13</v>
      </c>
      <c r="F98" s="91" t="s">
        <v>2003</v>
      </c>
      <c r="G98" s="109">
        <v>36901</v>
      </c>
      <c r="H98" s="109">
        <v>36907</v>
      </c>
      <c r="I98" s="1235">
        <f>H98-G98</f>
        <v>6</v>
      </c>
      <c r="J98" s="1810" t="s">
        <v>2222</v>
      </c>
      <c r="K98" s="1811"/>
      <c r="L98" s="1811"/>
      <c r="M98" s="1811"/>
      <c r="N98" s="1811"/>
      <c r="O98" s="1811"/>
      <c r="P98" s="1811"/>
      <c r="Q98" s="1811"/>
      <c r="R98" s="1811"/>
      <c r="S98" s="1811"/>
      <c r="T98" s="1811"/>
      <c r="U98" s="1811"/>
      <c r="V98" s="1811"/>
      <c r="W98" s="1811"/>
      <c r="X98" s="1811"/>
      <c r="Y98" s="1812"/>
      <c r="AA98" s="1240">
        <v>2017</v>
      </c>
      <c r="AB98" s="1239" t="s">
        <v>1025</v>
      </c>
      <c r="AC98" s="112" t="s">
        <v>1003</v>
      </c>
      <c r="AD98" s="108" t="s">
        <v>1003</v>
      </c>
      <c r="AE98" s="380" t="s">
        <v>1003</v>
      </c>
      <c r="AF98" s="380" t="s">
        <v>1003</v>
      </c>
      <c r="AG98" s="572" t="str">
        <f t="shared" si="5"/>
        <v>-</v>
      </c>
      <c r="AH98" s="112"/>
      <c r="AI98" s="112"/>
      <c r="AJ98" s="112"/>
    </row>
    <row r="99" spans="1:36" ht="22.2" customHeight="1" thickTop="1" x14ac:dyDescent="0.45">
      <c r="A99" s="133">
        <v>45680</v>
      </c>
      <c r="B99" s="134" t="s">
        <v>2592</v>
      </c>
      <c r="C99" s="134" t="s">
        <v>2613</v>
      </c>
      <c r="D99" s="463">
        <f>A100-A99</f>
        <v>6</v>
      </c>
      <c r="F99" s="91" t="s">
        <v>2004</v>
      </c>
      <c r="G99" s="109">
        <v>37340</v>
      </c>
      <c r="H99" s="109">
        <v>37347</v>
      </c>
      <c r="I99" s="1235">
        <f>H99-G99</f>
        <v>7</v>
      </c>
      <c r="J99" s="1810" t="s">
        <v>2222</v>
      </c>
      <c r="K99" s="1811"/>
      <c r="L99" s="1811"/>
      <c r="M99" s="1811"/>
      <c r="N99" s="1811"/>
      <c r="O99" s="1811"/>
      <c r="P99" s="1811"/>
      <c r="Q99" s="1811"/>
      <c r="R99" s="1811"/>
      <c r="S99" s="1811"/>
      <c r="T99" s="1811"/>
      <c r="U99" s="1811"/>
      <c r="V99" s="1811"/>
      <c r="W99" s="1811"/>
      <c r="X99" s="1811"/>
      <c r="Y99" s="1812"/>
      <c r="AA99" s="1821">
        <v>2018</v>
      </c>
      <c r="AB99" s="1822" t="s">
        <v>1026</v>
      </c>
      <c r="AC99" s="112" t="s">
        <v>991</v>
      </c>
      <c r="AD99" s="108">
        <v>44142</v>
      </c>
      <c r="AE99" s="380">
        <f ca="1">火箭年間統計!AY$9</f>
        <v>17</v>
      </c>
      <c r="AF99" s="380">
        <f ca="1">火箭年間統計!AY$8</f>
        <v>15</v>
      </c>
      <c r="AG99" s="572">
        <f t="shared" ca="1" si="5"/>
        <v>0.88235294117647056</v>
      </c>
      <c r="AH99" s="112"/>
      <c r="AI99" s="112"/>
      <c r="AJ99" s="1819">
        <f ca="1">SUM(AF99:AF101)/SUM(AE99:AE101)</f>
        <v>0.875</v>
      </c>
    </row>
    <row r="100" spans="1:36" ht="22.2" customHeight="1" x14ac:dyDescent="0.45">
      <c r="A100" s="143">
        <v>45686</v>
      </c>
      <c r="B100" s="1854" t="s">
        <v>805</v>
      </c>
      <c r="C100" s="1855"/>
      <c r="D100" s="1856"/>
      <c r="F100" s="91" t="s">
        <v>2005</v>
      </c>
      <c r="G100" s="109">
        <v>37620</v>
      </c>
      <c r="H100" s="109">
        <v>37626</v>
      </c>
      <c r="I100" s="1235">
        <f>H100-G100</f>
        <v>6</v>
      </c>
      <c r="J100" s="1810" t="s">
        <v>2222</v>
      </c>
      <c r="K100" s="1811"/>
      <c r="L100" s="1811"/>
      <c r="M100" s="1811"/>
      <c r="N100" s="1811"/>
      <c r="O100" s="1811"/>
      <c r="P100" s="1811"/>
      <c r="Q100" s="1811"/>
      <c r="R100" s="1811"/>
      <c r="S100" s="1811"/>
      <c r="T100" s="1811"/>
      <c r="U100" s="1811"/>
      <c r="V100" s="1811"/>
      <c r="W100" s="1811"/>
      <c r="X100" s="1811"/>
      <c r="Y100" s="1812"/>
      <c r="AA100" s="1821"/>
      <c r="AB100" s="1822"/>
      <c r="AC100" s="112" t="s">
        <v>1197</v>
      </c>
      <c r="AD100" s="108">
        <v>45174</v>
      </c>
      <c r="AE100" s="380">
        <f ca="1">火箭年間統計!AZ$9</f>
        <v>6</v>
      </c>
      <c r="AF100" s="380">
        <f ca="1">火箭年間統計!AZ$8</f>
        <v>6</v>
      </c>
      <c r="AG100" s="572">
        <f t="shared" ca="1" si="5"/>
        <v>1</v>
      </c>
      <c r="AH100" s="112"/>
      <c r="AI100" s="112"/>
      <c r="AJ100" s="1820"/>
    </row>
    <row r="101" spans="1:36" ht="22.2" customHeight="1" thickBot="1" x14ac:dyDescent="0.5">
      <c r="A101" s="464">
        <v>45699</v>
      </c>
      <c r="B101" s="465" t="s">
        <v>2551</v>
      </c>
      <c r="C101" s="1234" t="s">
        <v>388</v>
      </c>
      <c r="D101" s="194">
        <f>A101-A100</f>
        <v>13</v>
      </c>
      <c r="F101" s="91" t="s">
        <v>1836</v>
      </c>
      <c r="G101" s="109">
        <v>37909</v>
      </c>
      <c r="H101" s="109">
        <v>37910</v>
      </c>
      <c r="I101" s="1235">
        <f t="shared" ref="I101:I115" si="6">H101-G101</f>
        <v>1</v>
      </c>
      <c r="J101" s="1832" t="str">
        <f>CONCATENATE("杨利伟(",YEAR(乘组预测!H101)-YEAR(乘组!L6),")")</f>
        <v>杨利伟(38)</v>
      </c>
      <c r="K101" s="1833"/>
      <c r="L101" s="1833"/>
      <c r="M101" s="1833"/>
      <c r="N101" s="1833"/>
      <c r="O101" s="1833"/>
      <c r="P101" s="1833"/>
      <c r="Q101" s="1833"/>
      <c r="R101" s="1833"/>
      <c r="S101" s="1833"/>
      <c r="T101" s="1833"/>
      <c r="U101" s="1833"/>
      <c r="V101" s="1833"/>
      <c r="W101" s="1833"/>
      <c r="X101" s="1833"/>
      <c r="Y101" s="1834"/>
      <c r="AA101" s="1821"/>
      <c r="AB101" s="1822"/>
      <c r="AC101" s="112" t="s">
        <v>2459</v>
      </c>
      <c r="AD101" s="108">
        <v>46039</v>
      </c>
      <c r="AE101" s="380">
        <f ca="1">火箭年間統計!BA$9</f>
        <v>1</v>
      </c>
      <c r="AF101" s="380">
        <f ca="1">火箭年間統計!BA$8</f>
        <v>0</v>
      </c>
      <c r="AG101" s="572">
        <f t="shared" ca="1" si="5"/>
        <v>0</v>
      </c>
      <c r="AH101" s="112" t="s">
        <v>1802</v>
      </c>
      <c r="AI101" s="112" t="s">
        <v>1806</v>
      </c>
      <c r="AJ101" s="1820"/>
    </row>
    <row r="102" spans="1:36" ht="22.2" customHeight="1" thickTop="1" x14ac:dyDescent="0.45">
      <c r="A102" s="133">
        <v>46065</v>
      </c>
      <c r="B102" s="134" t="s">
        <v>1009</v>
      </c>
      <c r="C102" s="1232" t="s">
        <v>1380</v>
      </c>
      <c r="D102" s="463">
        <f>A103-A102</f>
        <v>5</v>
      </c>
      <c r="F102" s="91" t="s">
        <v>2262</v>
      </c>
      <c r="G102" s="109">
        <v>38637</v>
      </c>
      <c r="H102" s="109">
        <v>38642</v>
      </c>
      <c r="I102" s="1235">
        <f t="shared" si="6"/>
        <v>5</v>
      </c>
      <c r="J102" s="1832" t="s">
        <v>2693</v>
      </c>
      <c r="K102" s="1833"/>
      <c r="L102" s="1833"/>
      <c r="M102" s="1833"/>
      <c r="N102" s="1833"/>
      <c r="O102" s="1833"/>
      <c r="P102" s="1833"/>
      <c r="Q102" s="1833"/>
      <c r="R102" s="1833"/>
      <c r="S102" s="1833"/>
      <c r="T102" s="1833"/>
      <c r="U102" s="1833"/>
      <c r="V102" s="1833"/>
      <c r="W102" s="1833"/>
      <c r="X102" s="1833"/>
      <c r="Y102" s="1834"/>
      <c r="AA102" s="1821"/>
      <c r="AB102" s="1822"/>
      <c r="AC102" s="112" t="s">
        <v>1262</v>
      </c>
      <c r="AD102" s="108">
        <v>46142</v>
      </c>
      <c r="AE102" s="380" t="s">
        <v>1003</v>
      </c>
      <c r="AF102" s="380" t="s">
        <v>1003</v>
      </c>
      <c r="AG102" s="572" t="str">
        <f t="shared" si="5"/>
        <v>-</v>
      </c>
      <c r="AH102" s="112"/>
      <c r="AI102" s="112"/>
      <c r="AJ102" s="1820"/>
    </row>
    <row r="103" spans="1:36" ht="22.2" customHeight="1" x14ac:dyDescent="0.45">
      <c r="A103" s="143">
        <v>46070</v>
      </c>
      <c r="B103" s="1854" t="s">
        <v>805</v>
      </c>
      <c r="C103" s="1878"/>
      <c r="D103" s="1856"/>
      <c r="F103" s="91" t="s">
        <v>2265</v>
      </c>
      <c r="G103" s="109">
        <v>39716</v>
      </c>
      <c r="H103" s="109">
        <v>39719</v>
      </c>
      <c r="I103" s="1235">
        <f t="shared" si="6"/>
        <v>3</v>
      </c>
      <c r="J103" s="1832" t="str">
        <f>CONCATENATE("翟志刚(",YEAR(乘组预测!H103)-YEAR(乘组!L9),"),刘伯明(",YEAR(乘组预测!H103)-YEAR(乘组!L10),")",",景海鹏(",YEAR(乘组预测!H103)-YEAR(乘组!L11),")")</f>
        <v>翟志刚(42),刘伯明(42),景海鹏(42)</v>
      </c>
      <c r="K103" s="1833"/>
      <c r="L103" s="1833"/>
      <c r="M103" s="1833"/>
      <c r="N103" s="1833"/>
      <c r="O103" s="1833"/>
      <c r="P103" s="1833"/>
      <c r="Q103" s="1833"/>
      <c r="R103" s="1833"/>
      <c r="S103" s="1833"/>
      <c r="T103" s="1833"/>
      <c r="U103" s="1833"/>
      <c r="V103" s="1833"/>
      <c r="W103" s="1833"/>
      <c r="X103" s="1833"/>
      <c r="Y103" s="1834"/>
      <c r="AA103" s="1821"/>
      <c r="AB103" s="1822"/>
      <c r="AC103" s="112" t="s">
        <v>1263</v>
      </c>
      <c r="AD103" s="108">
        <v>46325</v>
      </c>
      <c r="AE103" s="380" t="s">
        <v>1003</v>
      </c>
      <c r="AF103" s="380" t="s">
        <v>1003</v>
      </c>
      <c r="AG103" s="572" t="str">
        <f t="shared" si="5"/>
        <v>-</v>
      </c>
      <c r="AH103" s="112"/>
      <c r="AI103" s="112"/>
      <c r="AJ103" s="1820"/>
    </row>
    <row r="104" spans="1:36" ht="22.2" customHeight="1" thickBot="1" x14ac:dyDescent="0.5">
      <c r="A104" s="466">
        <v>46094</v>
      </c>
      <c r="B104" s="138" t="s">
        <v>2551</v>
      </c>
      <c r="C104" s="571" t="s">
        <v>1931</v>
      </c>
      <c r="D104" s="139">
        <f>A104-A103</f>
        <v>24</v>
      </c>
      <c r="F104" s="91" t="s">
        <v>2010</v>
      </c>
      <c r="G104" s="109">
        <v>40848</v>
      </c>
      <c r="H104" s="109">
        <v>40864</v>
      </c>
      <c r="I104" s="1235">
        <f t="shared" si="6"/>
        <v>16</v>
      </c>
      <c r="J104" s="1810" t="s">
        <v>2222</v>
      </c>
      <c r="K104" s="1811"/>
      <c r="L104" s="1811"/>
      <c r="M104" s="1811"/>
      <c r="N104" s="1811"/>
      <c r="O104" s="1811"/>
      <c r="P104" s="1811"/>
      <c r="Q104" s="1811"/>
      <c r="R104" s="1811"/>
      <c r="S104" s="1811"/>
      <c r="T104" s="1811"/>
      <c r="U104" s="1811"/>
      <c r="V104" s="1811"/>
      <c r="W104" s="1811"/>
      <c r="X104" s="1811"/>
      <c r="Y104" s="1812"/>
      <c r="AA104" s="1821"/>
      <c r="AB104" s="1822"/>
      <c r="AC104" s="112" t="s">
        <v>3388</v>
      </c>
      <c r="AD104" s="108">
        <v>46387</v>
      </c>
      <c r="AE104" s="380" t="s">
        <v>1003</v>
      </c>
      <c r="AF104" s="380" t="s">
        <v>1003</v>
      </c>
      <c r="AG104" s="572" t="str">
        <f t="shared" si="5"/>
        <v>-</v>
      </c>
      <c r="AH104" s="112"/>
      <c r="AI104" s="112"/>
      <c r="AJ104" s="1881"/>
    </row>
    <row r="105" spans="1:36" ht="22.2" customHeight="1" thickTop="1" x14ac:dyDescent="0.45">
      <c r="F105" s="91" t="s">
        <v>2266</v>
      </c>
      <c r="G105" s="109">
        <v>41076</v>
      </c>
      <c r="H105" s="109">
        <v>41089</v>
      </c>
      <c r="I105" s="1235">
        <f t="shared" si="6"/>
        <v>13</v>
      </c>
      <c r="J105" s="1832" t="str">
        <f>CONCATENATE("景海鹏(",YEAR(乘组预测!H105)-YEAR(乘组!L11),"),刘旺(",YEAR(乘组预测!H105)-YEAR(乘组!L15),")",",刘洋(",YEAR(乘组预测!H105)-YEAR(乘组!L16),"女)")</f>
        <v>景海鹏(46),刘旺(43),刘洋(34女)</v>
      </c>
      <c r="K105" s="1833"/>
      <c r="L105" s="1833"/>
      <c r="M105" s="1833"/>
      <c r="N105" s="1833"/>
      <c r="O105" s="1833"/>
      <c r="P105" s="1833"/>
      <c r="Q105" s="1833"/>
      <c r="R105" s="1833"/>
      <c r="S105" s="1833"/>
      <c r="T105" s="1833"/>
      <c r="U105" s="1833"/>
      <c r="V105" s="1833"/>
      <c r="W105" s="1833"/>
      <c r="X105" s="1833"/>
      <c r="Y105" s="1834"/>
      <c r="AA105" s="1821">
        <v>2018</v>
      </c>
      <c r="AB105" s="1822" t="s">
        <v>1027</v>
      </c>
      <c r="AC105" s="112" t="s">
        <v>1008</v>
      </c>
      <c r="AD105" s="108">
        <v>44769</v>
      </c>
      <c r="AE105" s="380">
        <f ca="1">火箭年間統計!BC$9</f>
        <v>14</v>
      </c>
      <c r="AF105" s="380">
        <f ca="1">火箭年間統計!BC$8</f>
        <v>13</v>
      </c>
      <c r="AG105" s="572">
        <f t="shared" ca="1" si="5"/>
        <v>0.9285714285714286</v>
      </c>
      <c r="AH105" s="112" t="s">
        <v>1796</v>
      </c>
      <c r="AI105" s="112" t="s">
        <v>1797</v>
      </c>
      <c r="AJ105" s="1819">
        <f ca="1">SUM(AF105:AF106)/SUM(AE105:AE106)</f>
        <v>0.93333333333333335</v>
      </c>
    </row>
    <row r="106" spans="1:36" ht="22.2" customHeight="1" x14ac:dyDescent="0.45">
      <c r="F106" s="91" t="s">
        <v>2267</v>
      </c>
      <c r="G106" s="109">
        <v>41436</v>
      </c>
      <c r="H106" s="109">
        <v>41451</v>
      </c>
      <c r="I106" s="1235">
        <f t="shared" si="6"/>
        <v>15</v>
      </c>
      <c r="J106" s="1832" t="str">
        <f>CONCATENATE("聂海胜(",YEAR(乘组预测!H106)-YEAR(乘组!L8),"),张晓光(",YEAR(乘组预测!H106)-YEAR(乘组!L18),")",",王亚平(",YEAR(乘组预测!H106)-YEAR(乘组!L19),"女)")</f>
        <v>聂海胜(49),张晓光(47),王亚平(33女)</v>
      </c>
      <c r="K106" s="1833"/>
      <c r="L106" s="1833"/>
      <c r="M106" s="1833"/>
      <c r="N106" s="1833"/>
      <c r="O106" s="1833"/>
      <c r="P106" s="1833"/>
      <c r="Q106" s="1833"/>
      <c r="R106" s="1833"/>
      <c r="S106" s="1833"/>
      <c r="T106" s="1833"/>
      <c r="U106" s="1833"/>
      <c r="V106" s="1833"/>
      <c r="W106" s="1833"/>
      <c r="X106" s="1833"/>
      <c r="Y106" s="1834"/>
      <c r="AA106" s="1821"/>
      <c r="AB106" s="1822"/>
      <c r="AC106" s="112" t="s">
        <v>1318</v>
      </c>
      <c r="AD106" s="108">
        <v>46111</v>
      </c>
      <c r="AE106" s="380">
        <f ca="1">火箭年間統計!BD$9</f>
        <v>1</v>
      </c>
      <c r="AF106" s="380">
        <f ca="1">火箭年間統計!BD$8</f>
        <v>1</v>
      </c>
      <c r="AG106" s="572">
        <f t="shared" ca="1" si="5"/>
        <v>1</v>
      </c>
      <c r="AH106" s="112"/>
      <c r="AI106" s="112"/>
      <c r="AJ106" s="1820"/>
    </row>
    <row r="107" spans="1:36" ht="22.2" customHeight="1" x14ac:dyDescent="0.45">
      <c r="A107" s="1188" t="s">
        <v>1980</v>
      </c>
      <c r="F107" s="91" t="s">
        <v>2263</v>
      </c>
      <c r="G107" s="109">
        <v>42660</v>
      </c>
      <c r="H107" s="109">
        <v>42692</v>
      </c>
      <c r="I107" s="1235">
        <f t="shared" si="6"/>
        <v>32</v>
      </c>
      <c r="J107" s="1832" t="str">
        <f>CONCATENATE("景海鹏(",YEAR(乘组预测!H107)-YEAR(乘组!L21),"),陈冬(",YEAR(乘组预测!H107)-YEAR(乘组!L22),")")</f>
        <v>景海鹏(50),陈冬(38)</v>
      </c>
      <c r="K107" s="1833"/>
      <c r="L107" s="1833"/>
      <c r="M107" s="1833"/>
      <c r="N107" s="1833"/>
      <c r="O107" s="1833"/>
      <c r="P107" s="1833"/>
      <c r="Q107" s="1833"/>
      <c r="R107" s="1833"/>
      <c r="S107" s="1833"/>
      <c r="T107" s="1833"/>
      <c r="U107" s="1833"/>
      <c r="V107" s="1833"/>
      <c r="W107" s="1833"/>
      <c r="X107" s="1833"/>
      <c r="Y107" s="1834"/>
      <c r="AA107" s="1240">
        <v>2018</v>
      </c>
      <c r="AB107" s="1239" t="s">
        <v>1037</v>
      </c>
      <c r="AC107" s="112" t="s">
        <v>1003</v>
      </c>
      <c r="AD107" s="108" t="s">
        <v>1003</v>
      </c>
      <c r="AE107" s="380" t="s">
        <v>1003</v>
      </c>
      <c r="AF107" s="380" t="s">
        <v>1003</v>
      </c>
      <c r="AG107" s="572" t="str">
        <f t="shared" si="5"/>
        <v>-</v>
      </c>
      <c r="AH107" s="112"/>
      <c r="AI107" s="112"/>
      <c r="AJ107" s="112"/>
    </row>
    <row r="108" spans="1:36" ht="22.2" customHeight="1" x14ac:dyDescent="0.45">
      <c r="A108" s="1188" t="s">
        <v>1981</v>
      </c>
      <c r="F108" s="91" t="s">
        <v>2268</v>
      </c>
      <c r="G108" s="109">
        <v>44364</v>
      </c>
      <c r="H108" s="109">
        <v>44456</v>
      </c>
      <c r="I108" s="1235">
        <f t="shared" si="6"/>
        <v>92</v>
      </c>
      <c r="J108" s="1832" t="str">
        <f>CONCATENATE("聂海胜(",YEAR(乘组预测!H108)-YEAR(乘组!L27),"),刘伯明(",YEAR(乘组预测!H108)-YEAR(乘组!L28),")",",汤洪波(",YEAR(乘组预测!H108)-YEAR(乘组!L29),")")</f>
        <v>聂海胜(57),刘伯明(55),汤洪波(46)</v>
      </c>
      <c r="K108" s="1833"/>
      <c r="L108" s="1833"/>
      <c r="M108" s="1833"/>
      <c r="N108" s="1833"/>
      <c r="O108" s="1833"/>
      <c r="P108" s="1833"/>
      <c r="Q108" s="1833"/>
      <c r="R108" s="1833"/>
      <c r="S108" s="1833"/>
      <c r="T108" s="1833"/>
      <c r="U108" s="1833"/>
      <c r="V108" s="1833"/>
      <c r="W108" s="1833"/>
      <c r="X108" s="1833"/>
      <c r="Y108" s="1834"/>
      <c r="AA108" s="1240">
        <v>2018</v>
      </c>
      <c r="AB108" s="1239" t="s">
        <v>1328</v>
      </c>
      <c r="AC108" s="112" t="s">
        <v>1329</v>
      </c>
      <c r="AD108" s="108" t="s">
        <v>1003</v>
      </c>
      <c r="AE108" s="380" t="s">
        <v>1003</v>
      </c>
      <c r="AF108" s="380" t="s">
        <v>1003</v>
      </c>
      <c r="AG108" s="572" t="str">
        <f t="shared" si="5"/>
        <v>-</v>
      </c>
      <c r="AH108" s="112" t="s">
        <v>1798</v>
      </c>
      <c r="AI108" s="112" t="s">
        <v>1800</v>
      </c>
      <c r="AJ108" s="112"/>
    </row>
    <row r="109" spans="1:36" ht="22.2" customHeight="1" thickBot="1" x14ac:dyDescent="0.5">
      <c r="A109" s="1188" t="s">
        <v>1988</v>
      </c>
      <c r="F109" s="125" t="s">
        <v>2269</v>
      </c>
      <c r="G109" s="272">
        <v>44485</v>
      </c>
      <c r="H109" s="272">
        <v>44667</v>
      </c>
      <c r="I109" s="476">
        <f t="shared" si="6"/>
        <v>182</v>
      </c>
      <c r="J109" s="1875" t="str">
        <f>CONCATENATE("翟志刚(",YEAR(乘组预测!H109)-YEAR(乘组!L31),"),王亚平(",YEAR(乘组预测!H109)-YEAR(乘组!L32),"女)",",叶光富(",YEAR(乘组预测!H109)-YEAR(乘组!L33),")")</f>
        <v>翟志刚(56),王亚平(42女),叶光富(42)</v>
      </c>
      <c r="K109" s="1876"/>
      <c r="L109" s="1876"/>
      <c r="M109" s="1876"/>
      <c r="N109" s="1876"/>
      <c r="O109" s="1876"/>
      <c r="P109" s="1876"/>
      <c r="Q109" s="1876"/>
      <c r="R109" s="1876"/>
      <c r="S109" s="1876"/>
      <c r="T109" s="1876"/>
      <c r="U109" s="1876"/>
      <c r="V109" s="1876"/>
      <c r="W109" s="1876"/>
      <c r="X109" s="1876"/>
      <c r="Y109" s="1877"/>
      <c r="AA109" s="1821">
        <v>2019</v>
      </c>
      <c r="AB109" s="1822" t="s">
        <v>1028</v>
      </c>
      <c r="AC109" s="91" t="s">
        <v>1031</v>
      </c>
      <c r="AD109" s="109">
        <v>45018</v>
      </c>
      <c r="AE109" s="1235">
        <f ca="1">火箭年間統計!BE$9</f>
        <v>1</v>
      </c>
      <c r="AF109" s="1235">
        <f ca="1">火箭年間統計!BE$8</f>
        <v>1</v>
      </c>
      <c r="AG109" s="97">
        <f t="shared" ca="1" si="5"/>
        <v>1</v>
      </c>
      <c r="AH109" s="112" t="s">
        <v>1801</v>
      </c>
      <c r="AI109" s="112" t="s">
        <v>1805</v>
      </c>
      <c r="AJ109" s="1803"/>
    </row>
    <row r="110" spans="1:36" ht="22.2" customHeight="1" thickTop="1" x14ac:dyDescent="0.45">
      <c r="A110" s="1188" t="s">
        <v>1989</v>
      </c>
      <c r="F110" s="190" t="s">
        <v>2270</v>
      </c>
      <c r="G110" s="271">
        <v>44717</v>
      </c>
      <c r="H110" s="271">
        <v>44899</v>
      </c>
      <c r="I110" s="1245">
        <f t="shared" si="6"/>
        <v>182</v>
      </c>
      <c r="J110" s="1618">
        <f>H110-G111</f>
        <v>5</v>
      </c>
      <c r="K110" s="1849" t="str">
        <f>CONCATENATE("陈冬(",YEAR(乘组预测!H110)-YEAR(乘组!L35),"),刘洋(",YEAR(乘组预测!H110)-YEAR(乘组!L36),"女)",",蔡旭哲(",YEAR(乘组预测!H110)-YEAR(乘组!L37),")")</f>
        <v>陈冬(44),刘洋(44女),蔡旭哲(46)</v>
      </c>
      <c r="L110" s="1850"/>
      <c r="M110" s="1850"/>
      <c r="N110" s="1850"/>
      <c r="O110" s="1850"/>
      <c r="P110" s="1850"/>
      <c r="Q110" s="1850"/>
      <c r="R110" s="1850"/>
      <c r="S110" s="1850"/>
      <c r="T110" s="1850"/>
      <c r="U110" s="1850"/>
      <c r="V110" s="1850"/>
      <c r="W110" s="1850"/>
      <c r="X110" s="1850"/>
      <c r="Y110" s="1851"/>
      <c r="AA110" s="1821"/>
      <c r="AB110" s="1822"/>
      <c r="AC110" s="112" t="s">
        <v>1259</v>
      </c>
      <c r="AD110" s="108">
        <v>46115</v>
      </c>
      <c r="AE110" s="380">
        <f ca="1">火箭年間統計!BF$9</f>
        <v>1</v>
      </c>
      <c r="AF110" s="380">
        <f ca="1">火箭年間統計!BF$8</f>
        <v>0</v>
      </c>
      <c r="AG110" s="572">
        <f t="shared" ca="1" si="5"/>
        <v>0</v>
      </c>
      <c r="AH110" s="112"/>
      <c r="AI110" s="112"/>
      <c r="AJ110" s="1804"/>
    </row>
    <row r="111" spans="1:36" ht="22.2" customHeight="1" x14ac:dyDescent="0.45">
      <c r="A111" s="1188" t="s">
        <v>1982</v>
      </c>
      <c r="F111" s="91" t="s">
        <v>2271</v>
      </c>
      <c r="G111" s="109">
        <v>44894</v>
      </c>
      <c r="H111" s="270">
        <v>45081</v>
      </c>
      <c r="I111" s="1235">
        <f t="shared" si="6"/>
        <v>187</v>
      </c>
      <c r="J111" s="1632"/>
      <c r="K111" s="1831">
        <f>H111-G112</f>
        <v>5</v>
      </c>
      <c r="L111" s="1813" t="str">
        <f>CONCATENATE("费俊龙(",YEAR(乘组预测!H111)-YEAR(乘组!L42),"),邓清明(",YEAR(乘组预测!H111)-YEAR(乘组!L43),")",",张陆(",YEAR(乘组预测!H111)-YEAR(乘组!L44),")")</f>
        <v>费俊龙(58),邓清明(57),张陆(47)</v>
      </c>
      <c r="M111" s="1814"/>
      <c r="N111" s="1814"/>
      <c r="O111" s="1814"/>
      <c r="P111" s="1814"/>
      <c r="Q111" s="1814"/>
      <c r="R111" s="1814"/>
      <c r="S111" s="1814"/>
      <c r="T111" s="1814"/>
      <c r="U111" s="1814"/>
      <c r="V111" s="1814"/>
      <c r="W111" s="1814"/>
      <c r="X111" s="1814"/>
      <c r="Y111" s="1815"/>
      <c r="AA111" s="1240">
        <v>2019</v>
      </c>
      <c r="AB111" s="1239" t="s">
        <v>1326</v>
      </c>
      <c r="AC111" s="112" t="s">
        <v>1327</v>
      </c>
      <c r="AD111" s="108">
        <v>46387</v>
      </c>
      <c r="AE111" s="380" t="s">
        <v>1003</v>
      </c>
      <c r="AF111" s="380" t="s">
        <v>1003</v>
      </c>
      <c r="AG111" s="572" t="str">
        <f t="shared" si="5"/>
        <v>-</v>
      </c>
      <c r="AH111" s="112"/>
      <c r="AI111" s="112"/>
      <c r="AJ111" s="112"/>
    </row>
    <row r="112" spans="1:36" ht="22.2" customHeight="1" x14ac:dyDescent="0.45">
      <c r="A112" s="1188" t="s">
        <v>1983</v>
      </c>
      <c r="F112" s="91" t="s">
        <v>2272</v>
      </c>
      <c r="G112" s="270">
        <v>45076</v>
      </c>
      <c r="H112" s="270">
        <v>45230</v>
      </c>
      <c r="I112" s="379">
        <f t="shared" si="6"/>
        <v>154</v>
      </c>
      <c r="J112" s="1831">
        <v>5</v>
      </c>
      <c r="K112" s="1632"/>
      <c r="L112" s="1813" t="str">
        <f>CONCATENATE("景海鹏(",YEAR(乘组预测!H112)-YEAR(乘组!L46),"),朱杨柱(",YEAR(乘组预测!H112)-YEAR(乘组!L47),")",",桂海潮(",YEAR(乘组预测!H112)-YEAR(乘组!L48),")")</f>
        <v>景海鹏(57),朱杨柱(37),桂海潮(37)</v>
      </c>
      <c r="M112" s="1814"/>
      <c r="N112" s="1814"/>
      <c r="O112" s="1814"/>
      <c r="P112" s="1814"/>
      <c r="Q112" s="1814"/>
      <c r="R112" s="1814"/>
      <c r="S112" s="1814"/>
      <c r="T112" s="1814"/>
      <c r="U112" s="1814"/>
      <c r="V112" s="1814"/>
      <c r="W112" s="1814"/>
      <c r="X112" s="1814"/>
      <c r="Y112" s="1815"/>
      <c r="AA112" s="1240">
        <v>2019</v>
      </c>
      <c r="AB112" s="1239" t="s">
        <v>3461</v>
      </c>
      <c r="AC112" s="112" t="s">
        <v>3411</v>
      </c>
      <c r="AD112" s="108">
        <v>46142</v>
      </c>
      <c r="AE112" s="380" t="s">
        <v>1003</v>
      </c>
      <c r="AF112" s="380" t="s">
        <v>1003</v>
      </c>
      <c r="AG112" s="572" t="str">
        <f t="shared" ref="AG112" si="7">IF(AND(AE112&lt;&gt;0,AE112&lt;&gt;"-"),AF112/AE112,"-")</f>
        <v>-</v>
      </c>
      <c r="AH112" s="112"/>
      <c r="AI112" s="112"/>
      <c r="AJ112" s="492"/>
    </row>
    <row r="113" spans="1:36" ht="22.2" customHeight="1" x14ac:dyDescent="0.45">
      <c r="A113" s="1188" t="s">
        <v>1984</v>
      </c>
      <c r="F113" s="91" t="s">
        <v>2273</v>
      </c>
      <c r="G113" s="270">
        <v>45225</v>
      </c>
      <c r="H113" s="270">
        <v>45412</v>
      </c>
      <c r="I113" s="379">
        <f t="shared" si="6"/>
        <v>187</v>
      </c>
      <c r="J113" s="1632"/>
      <c r="K113" s="1829">
        <v>5</v>
      </c>
      <c r="L113" s="1813" t="str">
        <f>CONCATENATE("汤洪波(",YEAR(乘组预测!H113)-YEAR(乘组!L49),"),唐胜杰(",YEAR(乘组预测!H113)-YEAR(乘组!L50),")",",江新林(",YEAR(乘组预测!H113)-YEAR(乘组!L51),")")</f>
        <v>汤洪波(49),唐胜杰(35),江新林(36)</v>
      </c>
      <c r="M113" s="1814"/>
      <c r="N113" s="1814"/>
      <c r="O113" s="1814"/>
      <c r="P113" s="1814"/>
      <c r="Q113" s="1814"/>
      <c r="R113" s="1814"/>
      <c r="S113" s="1814"/>
      <c r="T113" s="1814"/>
      <c r="U113" s="1814"/>
      <c r="V113" s="1814"/>
      <c r="W113" s="1814"/>
      <c r="X113" s="1814"/>
      <c r="Y113" s="1815"/>
      <c r="AA113" s="1821">
        <v>2020</v>
      </c>
      <c r="AB113" s="1822" t="s">
        <v>1029</v>
      </c>
      <c r="AC113" s="112" t="s">
        <v>1035</v>
      </c>
      <c r="AD113" s="108">
        <v>45302</v>
      </c>
      <c r="AE113" s="380">
        <f ca="1">火箭年間統計!BG$9</f>
        <v>2</v>
      </c>
      <c r="AF113" s="380">
        <f ca="1">火箭年間統計!BG$8</f>
        <v>2</v>
      </c>
      <c r="AG113" s="572">
        <f t="shared" ca="1" si="5"/>
        <v>1</v>
      </c>
      <c r="AH113" s="112"/>
      <c r="AI113" s="112"/>
      <c r="AJ113" s="1803"/>
    </row>
    <row r="114" spans="1:36" ht="22.2" customHeight="1" x14ac:dyDescent="0.45">
      <c r="F114" s="91" t="s">
        <v>2274</v>
      </c>
      <c r="G114" s="270">
        <v>45407</v>
      </c>
      <c r="H114" s="270">
        <v>45600</v>
      </c>
      <c r="I114" s="379">
        <f t="shared" si="6"/>
        <v>193</v>
      </c>
      <c r="J114" s="1829">
        <v>5</v>
      </c>
      <c r="K114" s="1830"/>
      <c r="L114" s="1823" t="str">
        <f>CONCATENATE("叶光富(",YEAR(乘组预测!H114)-YEAR(乘组!L53),"),李聪(",YEAR(乘组预测!H114)-YEAR(乘组!L54),")",",李广苏(",YEAR(乘组预测!H114)-YEAR(乘组!L55),")")</f>
        <v>叶光富(44),李聪(35),李广苏(37)</v>
      </c>
      <c r="M114" s="1824"/>
      <c r="N114" s="1824"/>
      <c r="O114" s="1824"/>
      <c r="P114" s="1824"/>
      <c r="Q114" s="1824"/>
      <c r="R114" s="1824"/>
      <c r="S114" s="1824"/>
      <c r="T114" s="1824"/>
      <c r="U114" s="1824"/>
      <c r="V114" s="1824"/>
      <c r="W114" s="1824"/>
      <c r="X114" s="1824"/>
      <c r="Y114" s="1825"/>
      <c r="AA114" s="1821"/>
      <c r="AB114" s="1822"/>
      <c r="AC114" s="112" t="s">
        <v>1459</v>
      </c>
      <c r="AD114" s="108">
        <v>46387</v>
      </c>
      <c r="AE114" s="380" t="s">
        <v>1003</v>
      </c>
      <c r="AF114" s="380" t="s">
        <v>1003</v>
      </c>
      <c r="AG114" s="572" t="str">
        <f t="shared" si="5"/>
        <v>-</v>
      </c>
      <c r="AH114" s="112"/>
      <c r="AI114" s="112"/>
      <c r="AJ114" s="1804"/>
    </row>
    <row r="115" spans="1:36" ht="22.2" customHeight="1" x14ac:dyDescent="0.45">
      <c r="F115" s="91" t="s">
        <v>2275</v>
      </c>
      <c r="G115" s="270">
        <v>45595</v>
      </c>
      <c r="H115" s="270">
        <v>45777</v>
      </c>
      <c r="I115" s="379">
        <f t="shared" si="6"/>
        <v>182</v>
      </c>
      <c r="J115" s="1830"/>
      <c r="K115" s="1829">
        <v>6</v>
      </c>
      <c r="L115" s="1824" t="str">
        <f>CONCATENATE("蔡旭哲(",DATEDIF(乘组!L57,乘组预测!H115,"Y"),"),宋令东(",DATEDIF(乘组!L58,乘组预测!H115,"Y"),")",",王浩泽(",DATEDIF(乘组!L59,乘组预测!H115,"Y"),"女)")</f>
        <v>蔡旭哲(48),宋令东(34),王浩泽(35女)</v>
      </c>
      <c r="M115" s="1824"/>
      <c r="N115" s="1824"/>
      <c r="O115" s="1824"/>
      <c r="P115" s="1824"/>
      <c r="Q115" s="1824"/>
      <c r="R115" s="1824"/>
      <c r="S115" s="1824"/>
      <c r="T115" s="1824"/>
      <c r="U115" s="1824"/>
      <c r="V115" s="1824"/>
      <c r="W115" s="1824"/>
      <c r="X115" s="1824"/>
      <c r="Y115" s="1825"/>
      <c r="AA115" s="1240">
        <v>2020</v>
      </c>
      <c r="AB115" s="1239" t="s">
        <v>1325</v>
      </c>
      <c r="AC115" s="112" t="s">
        <v>1324</v>
      </c>
      <c r="AD115" s="108">
        <v>46387</v>
      </c>
      <c r="AE115" s="380" t="s">
        <v>1003</v>
      </c>
      <c r="AF115" s="380" t="s">
        <v>1003</v>
      </c>
      <c r="AG115" s="572" t="str">
        <f t="shared" si="5"/>
        <v>-</v>
      </c>
      <c r="AH115" s="112"/>
      <c r="AI115" s="112"/>
      <c r="AJ115" s="112"/>
    </row>
    <row r="116" spans="1:36" ht="22.2" customHeight="1" x14ac:dyDescent="0.45">
      <c r="F116" s="1873" t="s">
        <v>2276</v>
      </c>
      <c r="G116" s="109">
        <v>45771</v>
      </c>
      <c r="H116" s="270">
        <v>45975</v>
      </c>
      <c r="I116" s="379">
        <f>H116-G116</f>
        <v>204</v>
      </c>
      <c r="J116" s="1829">
        <v>14</v>
      </c>
      <c r="K116" s="1830"/>
      <c r="L116" s="1823" t="str">
        <f>CONCATENATE(乘组!G35,"(",DATEDIF(乘组!L35,乘组预测!H116,"Y"),"),",乘组!G62,"(",DATEDIF(乘组!L62,乘组预测!H116,"Y"),")",",",乘组!G63,"(",DATEDIF(乘组!L63,乘组预测!H116,"Y"),")")</f>
        <v>陈冬(46),陈中瑞(41),王杰(36)</v>
      </c>
      <c r="M116" s="1824"/>
      <c r="N116" s="1824"/>
      <c r="O116" s="1824"/>
      <c r="P116" s="1824"/>
      <c r="Q116" s="1824"/>
      <c r="R116" s="1824"/>
      <c r="S116" s="1824"/>
      <c r="T116" s="1824"/>
      <c r="U116" s="1824"/>
      <c r="V116" s="1824"/>
      <c r="W116" s="1824"/>
      <c r="X116" s="1824"/>
      <c r="Y116" s="1825"/>
      <c r="AA116" s="1240">
        <v>2024</v>
      </c>
      <c r="AB116" s="1239" t="s">
        <v>2831</v>
      </c>
      <c r="AC116" s="112" t="s">
        <v>2832</v>
      </c>
      <c r="AD116" s="108">
        <v>46387</v>
      </c>
      <c r="AE116" s="380" t="s">
        <v>1003</v>
      </c>
      <c r="AF116" s="380" t="s">
        <v>1003</v>
      </c>
      <c r="AG116" s="572" t="str">
        <f t="shared" ref="AG116" si="8">IF(AND(AE116&lt;&gt;0,AE116&lt;&gt;"-"),AF116/AE116,"-")</f>
        <v>-</v>
      </c>
      <c r="AH116" s="112"/>
      <c r="AI116" s="112"/>
      <c r="AJ116" s="112"/>
    </row>
    <row r="117" spans="1:36" ht="22.2" customHeight="1" x14ac:dyDescent="0.45">
      <c r="F117" s="1874"/>
      <c r="G117" s="271">
        <v>45975</v>
      </c>
      <c r="H117" s="1174">
        <v>46041</v>
      </c>
      <c r="I117" s="1245">
        <f>H117-G117</f>
        <v>66</v>
      </c>
      <c r="J117" s="1848"/>
      <c r="K117" s="1823" t="s">
        <v>3192</v>
      </c>
      <c r="L117" s="1824"/>
      <c r="M117" s="1824"/>
      <c r="N117" s="1824"/>
      <c r="O117" s="1824"/>
      <c r="P117" s="1824"/>
      <c r="Q117" s="1824"/>
      <c r="R117" s="1824"/>
      <c r="S117" s="1824"/>
      <c r="T117" s="1824"/>
      <c r="U117" s="1824"/>
      <c r="V117" s="1824"/>
      <c r="W117" s="1824"/>
      <c r="X117" s="1824"/>
      <c r="Y117" s="1825"/>
      <c r="AA117" s="529"/>
      <c r="AB117" s="529"/>
      <c r="AC117" s="514"/>
      <c r="AD117" s="493" t="s">
        <v>1221</v>
      </c>
      <c r="AE117" s="494">
        <f ca="1">SUM(AE87:AE115)</f>
        <v>62</v>
      </c>
      <c r="AF117" s="494">
        <f ca="1">SUM(AF87:AF115)</f>
        <v>49</v>
      </c>
      <c r="AG117" s="495">
        <f ca="1">AF117/AE117</f>
        <v>0.79032258064516125</v>
      </c>
      <c r="AH117" s="514"/>
      <c r="AI117" s="514"/>
      <c r="AJ117" s="514"/>
    </row>
    <row r="118" spans="1:36" ht="22.2" customHeight="1" x14ac:dyDescent="0.45">
      <c r="F118" s="91" t="s">
        <v>2628</v>
      </c>
      <c r="G118" s="270">
        <v>45961</v>
      </c>
      <c r="H118" s="270">
        <v>45975</v>
      </c>
      <c r="I118" s="379">
        <f>H118-G118</f>
        <v>14</v>
      </c>
      <c r="J118" s="1848"/>
      <c r="K118" s="1823" t="str">
        <f>CONCATENATE(乘组!G66,"(",DATEDIF(乘组!L66,乘组预测!H118,"Y"),"),",乘组!G67,"(",DATEDIF(乘组!L67,乘组预测!H118,"Y"),"),",乘组!G68,"(",DATEDIF(乘组!L68,乘组预测!H118,"Y"),")→",乘组!G35,"(",DATEDIF(乘组!L35,乘组预测!H116,"Y"),"),",乘组!G62,"(",DATEDIF(乘组!L62,乘组预测!H116,"Y"),")",",",乘组!G63,"(",DATEDIF(乘组!L63,乘组预测!H116,"Y"),")")</f>
        <v>张陆(49),武飞(32),张洪章(39)→陈冬(46),陈中瑞(41),王杰(36)</v>
      </c>
      <c r="L118" s="1824"/>
      <c r="M118" s="1824"/>
      <c r="N118" s="1824"/>
      <c r="O118" s="1824"/>
      <c r="P118" s="1824"/>
      <c r="Q118" s="1824"/>
      <c r="R118" s="1824"/>
      <c r="S118" s="1824"/>
      <c r="T118" s="1824"/>
      <c r="U118" s="1824"/>
      <c r="V118" s="1824"/>
      <c r="W118" s="1824"/>
      <c r="X118" s="1824"/>
      <c r="Y118" s="1825"/>
      <c r="AA118" s="529"/>
      <c r="AB118" s="529"/>
      <c r="AC118" s="514"/>
    </row>
    <row r="119" spans="1:36" ht="22.2" customHeight="1" x14ac:dyDescent="0.45">
      <c r="B119" s="357"/>
      <c r="F119" s="91" t="s">
        <v>3163</v>
      </c>
      <c r="G119" s="270">
        <v>45975</v>
      </c>
      <c r="H119" s="270">
        <v>45986</v>
      </c>
      <c r="I119" s="379">
        <f>H119-G119</f>
        <v>11</v>
      </c>
      <c r="J119" s="1830"/>
      <c r="K119" s="1244" t="str">
        <f>CONCATENATE(乘组!G66,"(",DATEDIF(乘组!L66,乘组预测!H119,"Y"),"),",乘组!G67,"(",DATEDIF(乘组!L67,乘组预测!H119,"Y"),"),",乘组!G68,"(",DATEDIF(乘组!L68,乘组预测!H119,"Y"),")")</f>
        <v>张陆(49),武飞(32),张洪章(39)</v>
      </c>
      <c r="L119" s="1242"/>
      <c r="M119" s="1242"/>
      <c r="N119" s="1242"/>
      <c r="O119" s="1242"/>
      <c r="P119" s="1242"/>
      <c r="Q119" s="1242"/>
      <c r="R119" s="1242"/>
      <c r="S119" s="1242"/>
      <c r="T119" s="1242"/>
      <c r="U119" s="1242"/>
      <c r="V119" s="1242"/>
      <c r="W119" s="1242"/>
      <c r="X119" s="1242"/>
      <c r="Y119" s="1243"/>
    </row>
    <row r="120" spans="1:36" ht="22.2" customHeight="1" x14ac:dyDescent="0.45">
      <c r="B120" s="357"/>
      <c r="F120" s="91" t="s">
        <v>1962</v>
      </c>
      <c r="G120" s="270">
        <v>45986</v>
      </c>
      <c r="H120" s="270">
        <f>G120+185</f>
        <v>46171</v>
      </c>
      <c r="I120" s="1269">
        <f>H120-G120</f>
        <v>185</v>
      </c>
      <c r="J120" s="1829">
        <v>5</v>
      </c>
      <c r="K120" s="1823" t="str">
        <f>CONCATENATE("无人→",乘组!G66,"(",DATEDIF(乘组!L66,乘组预测!H120,"Y"),"),",乘组!G67,"(",DATEDIF(乘组!L67,乘组预测!H120,"Y"),"),",乘组!G68,"(",DATEDIF(乘组!L68,乘组预测!H120,"Y"),")")</f>
        <v>无人→张陆(49),武飞(32),张洪章(40)</v>
      </c>
      <c r="L120" s="1824"/>
      <c r="M120" s="1824"/>
      <c r="N120" s="1824"/>
      <c r="O120" s="1824"/>
      <c r="P120" s="1824"/>
      <c r="Q120" s="1824"/>
      <c r="R120" s="1824"/>
      <c r="S120" s="1824"/>
      <c r="T120" s="1824"/>
      <c r="U120" s="1824"/>
      <c r="V120" s="1824"/>
      <c r="W120" s="1824"/>
      <c r="X120" s="1824"/>
      <c r="Y120" s="1825"/>
    </row>
    <row r="121" spans="1:36" ht="22.2" customHeight="1" x14ac:dyDescent="0.45">
      <c r="F121" s="480" t="s">
        <v>2630</v>
      </c>
      <c r="G121" s="270">
        <f>H120-J120</f>
        <v>46166</v>
      </c>
      <c r="H121" s="407">
        <f>G121+182</f>
        <v>46348</v>
      </c>
      <c r="I121" s="1198" t="str">
        <f t="shared" ref="I121:I126" ca="1" si="9">IF(AND(G121&gt;$F$95,H121&gt;$F$95),CONCATENATE(0,"/",H121-G121),IF(G121&lt;=$F$95,CONCATENATE($F$95-G121,"/",H121-G121),H121-G121))</f>
        <v>43/182</v>
      </c>
      <c r="J121" s="1830"/>
      <c r="K121" s="1805">
        <v>5</v>
      </c>
      <c r="L121" s="1852" t="str">
        <f>CONCATENATE("朱杨柱(",DATEDIF(航天员!L18,乘组预测!G121,"Y"),"),张志远(",DATEDIF(乘组!L80,乘组预测!G121,"Y"),"),黎家盈(",DATEDIF(航天员!L31,乘组预测!G121,"Y"),"女)→","朱杨柱(",DATEDIF(航天员!L18,乘组预测!H121,"Y"),"),","胡拉姆(巴)?",",黎家盈(",DATEDIF(航天员!L31,乘组预测!H121,"Y"),"女)")</f>
        <v>朱杨柱(39),张志远(39),黎家盈(43女)→朱杨柱(40),胡拉姆(巴)?,黎家盈(44女)</v>
      </c>
      <c r="M121" s="1852"/>
      <c r="N121" s="1852"/>
      <c r="O121" s="1852"/>
      <c r="P121" s="1852"/>
      <c r="Q121" s="1852"/>
      <c r="R121" s="1852"/>
      <c r="S121" s="1852"/>
      <c r="T121" s="1852"/>
      <c r="U121" s="1852"/>
      <c r="V121" s="1852"/>
      <c r="W121" s="1852"/>
      <c r="X121" s="1852"/>
      <c r="Y121" s="1853"/>
    </row>
    <row r="122" spans="1:36" ht="22.2" customHeight="1" x14ac:dyDescent="0.45">
      <c r="A122" s="311"/>
      <c r="F122" s="654" t="s">
        <v>3124</v>
      </c>
      <c r="G122" s="378">
        <f>H121-K121</f>
        <v>46343</v>
      </c>
      <c r="H122" s="169">
        <f>G122+193</f>
        <v>46536</v>
      </c>
      <c r="I122" s="1236" t="str">
        <f t="shared" ca="1" si="9"/>
        <v>0/193</v>
      </c>
      <c r="J122" s="1803">
        <v>5</v>
      </c>
      <c r="K122" s="1806"/>
      <c r="L122" s="1842" t="str">
        <f>CONCATENATE("唐胜杰(",DATEDIF(航天员!L20,乘组预测!G122,"Y"),")?,穆罕默德(巴)?,乙某某()?→唐胜杰(",DATEDIF(航天员!L20,乘组预测!G122,"Y"),")?,张志远(",DATEDIF(乘组!L80,乘组预测!H122,"Y"),")?,乙某某()?")</f>
        <v>唐胜杰(36)?,穆罕默德(巴)?,乙某某()?→唐胜杰(36)?,张志远(40)?,乙某某()?</v>
      </c>
      <c r="M122" s="1843"/>
      <c r="N122" s="1843"/>
      <c r="O122" s="1843"/>
      <c r="P122" s="1843"/>
      <c r="Q122" s="1843"/>
      <c r="R122" s="1843"/>
      <c r="S122" s="1843"/>
      <c r="T122" s="1843"/>
      <c r="U122" s="1843"/>
      <c r="V122" s="1843"/>
      <c r="W122" s="1843"/>
      <c r="X122" s="1843"/>
      <c r="Y122" s="1844"/>
    </row>
    <row r="123" spans="1:36" ht="22.2" customHeight="1" x14ac:dyDescent="0.45">
      <c r="A123" s="311"/>
      <c r="F123" s="480" t="s">
        <v>3125</v>
      </c>
      <c r="G123" s="108">
        <f>H122-J122</f>
        <v>46531</v>
      </c>
      <c r="H123" s="108">
        <f>G123+193</f>
        <v>46724</v>
      </c>
      <c r="I123" s="380" t="str">
        <f t="shared" ca="1" si="9"/>
        <v>0/193</v>
      </c>
      <c r="J123" s="1804"/>
      <c r="K123" s="1805">
        <v>5</v>
      </c>
      <c r="L123" s="1836" t="s">
        <v>3028</v>
      </c>
      <c r="M123" s="1837"/>
      <c r="N123" s="1837"/>
      <c r="O123" s="1837"/>
      <c r="P123" s="1837"/>
      <c r="Q123" s="1837"/>
      <c r="R123" s="1837"/>
      <c r="S123" s="1837"/>
      <c r="T123" s="1837"/>
      <c r="U123" s="1837"/>
      <c r="V123" s="1837"/>
      <c r="W123" s="1837"/>
      <c r="X123" s="1837"/>
      <c r="Y123" s="1838"/>
    </row>
    <row r="124" spans="1:36" ht="22.2" customHeight="1" x14ac:dyDescent="0.45">
      <c r="A124" s="311"/>
      <c r="F124" s="480" t="s">
        <v>3126</v>
      </c>
      <c r="G124" s="108">
        <f>H123-K123</f>
        <v>46719</v>
      </c>
      <c r="H124" s="108">
        <f>G124+193</f>
        <v>46912</v>
      </c>
      <c r="I124" s="380" t="str">
        <f t="shared" ca="1" si="9"/>
        <v>0/193</v>
      </c>
      <c r="J124" s="1803">
        <v>5</v>
      </c>
      <c r="K124" s="1806"/>
      <c r="L124" s="1836" t="s">
        <v>3028</v>
      </c>
      <c r="M124" s="1837"/>
      <c r="N124" s="1837"/>
      <c r="O124" s="1837"/>
      <c r="P124" s="1837"/>
      <c r="Q124" s="1837"/>
      <c r="R124" s="1837"/>
      <c r="S124" s="1837"/>
      <c r="T124" s="1837"/>
      <c r="U124" s="1837"/>
      <c r="V124" s="1837"/>
      <c r="W124" s="1837"/>
      <c r="X124" s="1837"/>
      <c r="Y124" s="1838"/>
    </row>
    <row r="125" spans="1:36" ht="22.2" customHeight="1" x14ac:dyDescent="0.45">
      <c r="A125" s="311"/>
      <c r="F125" s="480" t="s">
        <v>3127</v>
      </c>
      <c r="G125" s="108">
        <f>H124-J124</f>
        <v>46907</v>
      </c>
      <c r="H125" s="108">
        <f>G125+193</f>
        <v>47100</v>
      </c>
      <c r="I125" s="380" t="str">
        <f t="shared" ca="1" si="9"/>
        <v>0/193</v>
      </c>
      <c r="J125" s="1804"/>
      <c r="K125" s="1805">
        <v>5</v>
      </c>
      <c r="L125" s="1836" t="s">
        <v>3028</v>
      </c>
      <c r="M125" s="1837"/>
      <c r="N125" s="1837"/>
      <c r="O125" s="1837"/>
      <c r="P125" s="1837"/>
      <c r="Q125" s="1837"/>
      <c r="R125" s="1837"/>
      <c r="S125" s="1837"/>
      <c r="T125" s="1837"/>
      <c r="U125" s="1837"/>
      <c r="V125" s="1837"/>
      <c r="W125" s="1837"/>
      <c r="X125" s="1837"/>
      <c r="Y125" s="1838"/>
    </row>
    <row r="126" spans="1:36" ht="22.2" customHeight="1" x14ac:dyDescent="0.45">
      <c r="A126" s="311"/>
      <c r="F126" s="480" t="s">
        <v>3128</v>
      </c>
      <c r="G126" s="108">
        <f>H125-K125</f>
        <v>47095</v>
      </c>
      <c r="H126" s="108">
        <f>G126+193</f>
        <v>47288</v>
      </c>
      <c r="I126" s="380" t="str">
        <f t="shared" ca="1" si="9"/>
        <v>0/193</v>
      </c>
      <c r="J126" s="1212"/>
      <c r="K126" s="1806"/>
      <c r="L126" s="1836" t="s">
        <v>3028</v>
      </c>
      <c r="M126" s="1837"/>
      <c r="N126" s="1837"/>
      <c r="O126" s="1837"/>
      <c r="P126" s="1837"/>
      <c r="Q126" s="1837"/>
      <c r="R126" s="1837"/>
      <c r="S126" s="1837"/>
      <c r="T126" s="1837"/>
      <c r="U126" s="1837"/>
      <c r="V126" s="1837"/>
      <c r="W126" s="1837"/>
      <c r="X126" s="1837"/>
      <c r="Y126" s="1838"/>
    </row>
    <row r="127" spans="1:36" ht="22.2" customHeight="1" x14ac:dyDescent="0.45">
      <c r="A127" s="311"/>
      <c r="F127" s="517"/>
      <c r="G127" s="517"/>
      <c r="H127" s="517"/>
      <c r="I127" s="518"/>
      <c r="J127" s="514"/>
      <c r="K127" s="519"/>
      <c r="L127" s="514"/>
      <c r="M127" s="514"/>
      <c r="N127" s="514"/>
      <c r="O127" s="514"/>
      <c r="P127" s="514"/>
      <c r="Q127" s="514"/>
      <c r="R127" s="514"/>
      <c r="S127" s="514"/>
      <c r="T127" s="514"/>
      <c r="U127" s="514"/>
      <c r="V127" s="514"/>
      <c r="W127" s="514"/>
      <c r="X127" s="514"/>
      <c r="Y127" s="514"/>
    </row>
    <row r="128" spans="1:36" ht="22.2" customHeight="1" x14ac:dyDescent="0.45">
      <c r="A128" s="311"/>
      <c r="F128" s="1845">
        <f ca="1">TODAY()</f>
        <v>46209</v>
      </c>
      <c r="G128" s="1846"/>
      <c r="H128" s="1846"/>
      <c r="I128" s="1846"/>
      <c r="J128" s="1846"/>
      <c r="K128" s="1846"/>
      <c r="L128" s="1846"/>
      <c r="M128" s="1846"/>
      <c r="N128" s="1846"/>
      <c r="O128" s="1846"/>
      <c r="P128" s="1846"/>
      <c r="Q128" s="1846"/>
      <c r="R128" s="1846"/>
      <c r="S128" s="1846"/>
      <c r="T128" s="1846"/>
      <c r="U128" s="1846"/>
      <c r="V128" s="1846"/>
      <c r="W128" s="1846"/>
      <c r="X128" s="1846"/>
      <c r="Y128" s="1847"/>
    </row>
    <row r="129" spans="1:33" ht="22.2" customHeight="1" x14ac:dyDescent="0.45">
      <c r="A129" s="311"/>
      <c r="F129" s="405" t="s">
        <v>1835</v>
      </c>
      <c r="G129" s="1238" t="s">
        <v>773</v>
      </c>
      <c r="H129" s="1238" t="s">
        <v>774</v>
      </c>
      <c r="I129" s="1238" t="s">
        <v>2216</v>
      </c>
      <c r="J129" s="1826" t="s">
        <v>3115</v>
      </c>
      <c r="K129" s="1827"/>
      <c r="L129" s="1827"/>
      <c r="M129" s="1827"/>
      <c r="N129" s="1827"/>
      <c r="O129" s="1827"/>
      <c r="P129" s="1827"/>
      <c r="Q129" s="1827"/>
      <c r="R129" s="1827"/>
      <c r="S129" s="1827"/>
      <c r="T129" s="1827"/>
      <c r="U129" s="1827"/>
      <c r="V129" s="1827"/>
      <c r="W129" s="1827"/>
      <c r="X129" s="1827"/>
      <c r="Y129" s="1828"/>
    </row>
    <row r="130" spans="1:33" ht="22.2" customHeight="1" x14ac:dyDescent="0.45">
      <c r="A130" s="311"/>
      <c r="F130" s="654" t="s">
        <v>2277</v>
      </c>
      <c r="G130" s="1217">
        <v>46325</v>
      </c>
      <c r="H130" s="169">
        <f>G130+15</f>
        <v>46340</v>
      </c>
      <c r="I130" s="1236" t="str">
        <f ca="1">IF(AND(G130&gt;$F$95,H130&gt;$F$95),CONCATENATE(0,"/",H130-G130),IF(G130&lt;=$F$95,CONCATENATE($F$95-G130,"/",H130-G130),H130-G130))</f>
        <v>0/15</v>
      </c>
      <c r="J130" s="1836" t="s">
        <v>2222</v>
      </c>
      <c r="K130" s="1837"/>
      <c r="L130" s="1837"/>
      <c r="M130" s="1837"/>
      <c r="N130" s="1837"/>
      <c r="O130" s="1837"/>
      <c r="P130" s="1837"/>
      <c r="Q130" s="1837"/>
      <c r="R130" s="1837"/>
      <c r="S130" s="1837"/>
      <c r="T130" s="1837"/>
      <c r="U130" s="1837"/>
      <c r="V130" s="1837"/>
      <c r="W130" s="1837"/>
      <c r="X130" s="1837"/>
      <c r="Y130" s="1838"/>
      <c r="AD130" s="1188"/>
      <c r="AE130" s="1188"/>
      <c r="AG130" s="1188"/>
    </row>
    <row r="131" spans="1:33" ht="22.2" customHeight="1" x14ac:dyDescent="0.45">
      <c r="A131" s="311"/>
      <c r="F131" s="480" t="s">
        <v>2278</v>
      </c>
      <c r="G131" s="108">
        <v>46376</v>
      </c>
      <c r="H131" s="108">
        <f t="shared" ref="H131:H136" si="10">G131+180</f>
        <v>46556</v>
      </c>
      <c r="I131" s="380" t="str">
        <f ca="1">IF(AND(G131&gt;$F$95,H131&gt;$F$95),CONCATENATE(0,"/",H131-G131),IF(G131&lt;=$F$95,CONCATENATE($F$95-G131,"/",H131-G131),H131-G131))</f>
        <v>0/180</v>
      </c>
      <c r="J131" s="1663">
        <v>5</v>
      </c>
      <c r="K131" s="1839"/>
      <c r="L131" s="1840"/>
      <c r="M131" s="1840"/>
      <c r="N131" s="1840"/>
      <c r="O131" s="1840"/>
      <c r="P131" s="1840"/>
      <c r="Q131" s="1840"/>
      <c r="R131" s="1840"/>
      <c r="S131" s="1840"/>
      <c r="T131" s="1840"/>
      <c r="U131" s="1840"/>
      <c r="V131" s="1840"/>
      <c r="W131" s="1840"/>
      <c r="X131" s="1840"/>
      <c r="Y131" s="1841"/>
    </row>
    <row r="132" spans="1:33" ht="22.2" customHeight="1" x14ac:dyDescent="0.45">
      <c r="A132" s="311"/>
      <c r="F132" s="480" t="s">
        <v>2279</v>
      </c>
      <c r="G132" s="108">
        <f>H131-K131</f>
        <v>46556</v>
      </c>
      <c r="H132" s="108">
        <f t="shared" si="10"/>
        <v>46736</v>
      </c>
      <c r="I132" s="380" t="str">
        <f ca="1">IF(AND(G132&gt;$F$95,H132&gt;$F$95),CONCATENATE(0,"/",H132-G132),IF(G132&lt;=$F$95,CONCATENATE($F$95-G132,"/",H132-G132),H132-G132))</f>
        <v>0/180</v>
      </c>
      <c r="J132" s="1804"/>
      <c r="K132" s="1805">
        <v>5</v>
      </c>
      <c r="L132" s="1836"/>
      <c r="M132" s="1837"/>
      <c r="N132" s="1837"/>
      <c r="O132" s="1837"/>
      <c r="P132" s="1837"/>
      <c r="Q132" s="1837"/>
      <c r="R132" s="1837"/>
      <c r="S132" s="1837"/>
      <c r="T132" s="1837"/>
      <c r="U132" s="1837"/>
      <c r="V132" s="1837"/>
      <c r="W132" s="1837"/>
      <c r="X132" s="1837"/>
      <c r="Y132" s="1838"/>
    </row>
    <row r="133" spans="1:33" ht="22.2" customHeight="1" x14ac:dyDescent="0.45">
      <c r="A133" s="311"/>
      <c r="F133" s="480" t="s">
        <v>2280</v>
      </c>
      <c r="G133" s="108">
        <f>H132-K132</f>
        <v>46731</v>
      </c>
      <c r="H133" s="108">
        <f t="shared" si="10"/>
        <v>46911</v>
      </c>
      <c r="I133" s="380" t="str">
        <f ca="1">IF(AND(G133&gt;$F$95,H133&gt;$F$95),CONCATENATE(0,"/",H133-G133),IF(G133&lt;=$F$95,CONCATENATE($F$95-G133,"/",H133-G133),H133-G133))</f>
        <v>0/180</v>
      </c>
      <c r="J133" s="1663">
        <v>5</v>
      </c>
      <c r="K133" s="1806"/>
      <c r="L133" s="1836"/>
      <c r="M133" s="1837"/>
      <c r="N133" s="1837"/>
      <c r="O133" s="1837"/>
      <c r="P133" s="1837"/>
      <c r="Q133" s="1837"/>
      <c r="R133" s="1837"/>
      <c r="S133" s="1837"/>
      <c r="T133" s="1837"/>
      <c r="U133" s="1837"/>
      <c r="V133" s="1837"/>
      <c r="W133" s="1837"/>
      <c r="X133" s="1837"/>
      <c r="Y133" s="1838"/>
    </row>
    <row r="134" spans="1:33" ht="22.2" customHeight="1" x14ac:dyDescent="0.45">
      <c r="F134" s="654" t="s">
        <v>3129</v>
      </c>
      <c r="G134" s="108">
        <f>H133-K133</f>
        <v>46911</v>
      </c>
      <c r="H134" s="169">
        <f t="shared" si="10"/>
        <v>47091</v>
      </c>
      <c r="I134" s="1236" t="str">
        <f ca="1">IF(AND(G134&gt;$F$95,H134&gt;$F$95),CONCATENATE(0,"/",H134-G134),IF(G134&lt;=$F$95,CONCATENATE($JR107-G134,"/",H134-G134),H134-G134))</f>
        <v>0/180</v>
      </c>
      <c r="J134" s="1804"/>
      <c r="K134" s="1835">
        <v>5</v>
      </c>
      <c r="L134" s="1842"/>
      <c r="M134" s="1843"/>
      <c r="N134" s="1843"/>
      <c r="O134" s="1843"/>
      <c r="P134" s="1843"/>
      <c r="Q134" s="1843"/>
      <c r="R134" s="1843"/>
      <c r="S134" s="1843"/>
      <c r="T134" s="1843"/>
      <c r="U134" s="1843"/>
      <c r="V134" s="1843"/>
      <c r="W134" s="1843"/>
      <c r="X134" s="1843"/>
      <c r="Y134" s="1844"/>
    </row>
    <row r="135" spans="1:33" ht="22.2" customHeight="1" x14ac:dyDescent="0.45">
      <c r="F135" s="480" t="s">
        <v>3130</v>
      </c>
      <c r="G135" s="108">
        <f>H134-K134</f>
        <v>47086</v>
      </c>
      <c r="H135" s="108">
        <f t="shared" si="10"/>
        <v>47266</v>
      </c>
      <c r="I135" s="380" t="str">
        <f ca="1">IF(AND(G135&gt;$F$95,H135&gt;$F$95),CONCATENATE(0,"/",H135-G135),IF(G135&lt;=$F$95,CONCATENATE($F$95-G135,"/",H135-G135),H135-G135))</f>
        <v>0/180</v>
      </c>
      <c r="J135" s="1803">
        <v>5</v>
      </c>
      <c r="K135" s="1806"/>
      <c r="L135" s="1836"/>
      <c r="M135" s="1837"/>
      <c r="N135" s="1837"/>
      <c r="O135" s="1837"/>
      <c r="P135" s="1837"/>
      <c r="Q135" s="1837"/>
      <c r="R135" s="1837"/>
      <c r="S135" s="1837"/>
      <c r="T135" s="1837"/>
      <c r="U135" s="1837"/>
      <c r="V135" s="1837"/>
      <c r="W135" s="1837"/>
      <c r="X135" s="1837"/>
      <c r="Y135" s="1838"/>
    </row>
    <row r="136" spans="1:33" ht="22.2" customHeight="1" x14ac:dyDescent="0.45">
      <c r="F136" s="480" t="s">
        <v>3131</v>
      </c>
      <c r="G136" s="108">
        <f>H135-K135</f>
        <v>47266</v>
      </c>
      <c r="H136" s="108">
        <f t="shared" si="10"/>
        <v>47446</v>
      </c>
      <c r="I136" s="380" t="str">
        <f ca="1">IF(AND(G136&gt;$F$95,H136&gt;$F$95),CONCATENATE(0,"/",H136-G136),IF(G136&lt;=$F$95,CONCATENATE($F$95-G136,"/",H136-G136),H136-G136))</f>
        <v>0/180</v>
      </c>
      <c r="J136" s="1804"/>
      <c r="K136" s="516"/>
      <c r="L136" s="1836"/>
      <c r="M136" s="1837"/>
      <c r="N136" s="1837"/>
      <c r="O136" s="1837"/>
      <c r="P136" s="1837"/>
      <c r="Q136" s="1837"/>
      <c r="R136" s="1837"/>
      <c r="S136" s="1837"/>
      <c r="T136" s="1837"/>
      <c r="U136" s="1837"/>
      <c r="V136" s="1837"/>
      <c r="W136" s="1837"/>
      <c r="X136" s="1837"/>
      <c r="Y136" s="1838"/>
    </row>
    <row r="137" spans="1:33" ht="22.2" customHeight="1" x14ac:dyDescent="0.45">
      <c r="G137" s="313"/>
      <c r="H137" s="312"/>
      <c r="I137" s="54"/>
      <c r="AC137" s="1246"/>
    </row>
    <row r="138" spans="1:33" ht="22.2" customHeight="1" x14ac:dyDescent="0.45">
      <c r="G138" s="313"/>
      <c r="H138" s="312"/>
      <c r="I138" s="54"/>
    </row>
    <row r="140" spans="1:33" ht="22.2" customHeight="1" x14ac:dyDescent="0.45">
      <c r="F140" s="377"/>
    </row>
    <row r="141" spans="1:33" ht="22.2" customHeight="1" x14ac:dyDescent="0.45">
      <c r="F141" s="377"/>
    </row>
    <row r="145" spans="8:8" ht="22.2" customHeight="1" x14ac:dyDescent="0.45">
      <c r="H145" s="312"/>
    </row>
    <row r="146" spans="8:8" ht="22.2" customHeight="1" x14ac:dyDescent="0.45">
      <c r="H146" s="312"/>
    </row>
  </sheetData>
  <mergeCells count="148">
    <mergeCell ref="J91:L91"/>
    <mergeCell ref="J92:L92"/>
    <mergeCell ref="J93:L93"/>
    <mergeCell ref="J82:L82"/>
    <mergeCell ref="J83:L83"/>
    <mergeCell ref="J84:L84"/>
    <mergeCell ref="J85:L85"/>
    <mergeCell ref="F72:L72"/>
    <mergeCell ref="J89:L89"/>
    <mergeCell ref="F88:L88"/>
    <mergeCell ref="J90:L90"/>
    <mergeCell ref="J73:L73"/>
    <mergeCell ref="J74:L74"/>
    <mergeCell ref="J75:L75"/>
    <mergeCell ref="J76:L76"/>
    <mergeCell ref="J77:L77"/>
    <mergeCell ref="J78:L78"/>
    <mergeCell ref="J79:L79"/>
    <mergeCell ref="J80:L80"/>
    <mergeCell ref="J81:L81"/>
    <mergeCell ref="J86:L86"/>
    <mergeCell ref="AJ95:AJ96"/>
    <mergeCell ref="B90:D90"/>
    <mergeCell ref="B13:D13"/>
    <mergeCell ref="B15:D15"/>
    <mergeCell ref="B17:D17"/>
    <mergeCell ref="B43:D43"/>
    <mergeCell ref="F116:F117"/>
    <mergeCell ref="J109:Y109"/>
    <mergeCell ref="J107:Y107"/>
    <mergeCell ref="J108:Y108"/>
    <mergeCell ref="B103:D103"/>
    <mergeCell ref="B100:D100"/>
    <mergeCell ref="B97:D97"/>
    <mergeCell ref="AG87:AJ87"/>
    <mergeCell ref="AA86:AJ86"/>
    <mergeCell ref="AB105:AB106"/>
    <mergeCell ref="AA105:AA106"/>
    <mergeCell ref="AB95:AB96"/>
    <mergeCell ref="AB93:AB94"/>
    <mergeCell ref="AB88:AB91"/>
    <mergeCell ref="AA95:AA96"/>
    <mergeCell ref="AJ99:AJ104"/>
    <mergeCell ref="B37:D37"/>
    <mergeCell ref="B82:D82"/>
    <mergeCell ref="B41:D41"/>
    <mergeCell ref="B42:D42"/>
    <mergeCell ref="B67:D67"/>
    <mergeCell ref="B63:D63"/>
    <mergeCell ref="B54:D54"/>
    <mergeCell ref="B46:D46"/>
    <mergeCell ref="B6:D6"/>
    <mergeCell ref="B50:D50"/>
    <mergeCell ref="B78:D78"/>
    <mergeCell ref="B40:D40"/>
    <mergeCell ref="B45:D45"/>
    <mergeCell ref="B9:D9"/>
    <mergeCell ref="B11:D11"/>
    <mergeCell ref="B12:D12"/>
    <mergeCell ref="B44:D44"/>
    <mergeCell ref="B72:D72"/>
    <mergeCell ref="B31:D31"/>
    <mergeCell ref="B26:D26"/>
    <mergeCell ref="B24:D24"/>
    <mergeCell ref="B14:D14"/>
    <mergeCell ref="B23:D23"/>
    <mergeCell ref="B34:D34"/>
    <mergeCell ref="B3:D3"/>
    <mergeCell ref="B25:D25"/>
    <mergeCell ref="B32:D32"/>
    <mergeCell ref="B33:D33"/>
    <mergeCell ref="B22:D22"/>
    <mergeCell ref="B16:D16"/>
    <mergeCell ref="B19:D19"/>
    <mergeCell ref="B18:D18"/>
    <mergeCell ref="B8:D8"/>
    <mergeCell ref="B28:D28"/>
    <mergeCell ref="B27:D27"/>
    <mergeCell ref="B7:D7"/>
    <mergeCell ref="B10:D10"/>
    <mergeCell ref="AA109:AA110"/>
    <mergeCell ref="AB109:AB110"/>
    <mergeCell ref="AB113:AB114"/>
    <mergeCell ref="AA113:AA114"/>
    <mergeCell ref="K115:K116"/>
    <mergeCell ref="L126:Y126"/>
    <mergeCell ref="L125:Y125"/>
    <mergeCell ref="L124:Y124"/>
    <mergeCell ref="L123:Y123"/>
    <mergeCell ref="L112:Y112"/>
    <mergeCell ref="L111:Y111"/>
    <mergeCell ref="K110:Y110"/>
    <mergeCell ref="L121:Y121"/>
    <mergeCell ref="L122:Y122"/>
    <mergeCell ref="L115:Y115"/>
    <mergeCell ref="L116:Y116"/>
    <mergeCell ref="K113:K114"/>
    <mergeCell ref="L114:Y114"/>
    <mergeCell ref="K121:K122"/>
    <mergeCell ref="K120:Y120"/>
    <mergeCell ref="J103:Y103"/>
    <mergeCell ref="J101:Y101"/>
    <mergeCell ref="J106:Y106"/>
    <mergeCell ref="J105:Y105"/>
    <mergeCell ref="J97:Y97"/>
    <mergeCell ref="J98:Y98"/>
    <mergeCell ref="J99:Y99"/>
    <mergeCell ref="J131:J132"/>
    <mergeCell ref="K132:K133"/>
    <mergeCell ref="J133:J134"/>
    <mergeCell ref="K134:K135"/>
    <mergeCell ref="J135:J136"/>
    <mergeCell ref="J130:Y130"/>
    <mergeCell ref="K131:Y131"/>
    <mergeCell ref="L136:Y136"/>
    <mergeCell ref="L132:Y132"/>
    <mergeCell ref="L133:Y133"/>
    <mergeCell ref="L134:Y134"/>
    <mergeCell ref="L135:Y135"/>
    <mergeCell ref="J129:Y129"/>
    <mergeCell ref="K117:Y117"/>
    <mergeCell ref="F128:Y128"/>
    <mergeCell ref="J116:J119"/>
    <mergeCell ref="J120:J121"/>
    <mergeCell ref="J122:J123"/>
    <mergeCell ref="K123:K124"/>
    <mergeCell ref="J124:J125"/>
    <mergeCell ref="K125:K126"/>
    <mergeCell ref="F95:Y95"/>
    <mergeCell ref="J100:Y100"/>
    <mergeCell ref="L113:Y113"/>
    <mergeCell ref="AJ88:AJ91"/>
    <mergeCell ref="AJ105:AJ106"/>
    <mergeCell ref="AJ109:AJ110"/>
    <mergeCell ref="AJ113:AJ114"/>
    <mergeCell ref="AJ93:AJ94"/>
    <mergeCell ref="J104:Y104"/>
    <mergeCell ref="AA99:AA104"/>
    <mergeCell ref="AB99:AB104"/>
    <mergeCell ref="K118:Y118"/>
    <mergeCell ref="AA93:AA94"/>
    <mergeCell ref="AA88:AA91"/>
    <mergeCell ref="J96:Y96"/>
    <mergeCell ref="J114:J115"/>
    <mergeCell ref="J112:J113"/>
    <mergeCell ref="K111:K112"/>
    <mergeCell ref="J110:J111"/>
    <mergeCell ref="J102:Y102"/>
  </mergeCells>
  <phoneticPr fontId="2"/>
  <pageMargins left="0.7" right="0.7" top="0.75" bottom="0.75" header="0.3" footer="0.3"/>
  <pageSetup paperSize="9" orientation="portrait" horizontalDpi="0" verticalDpi="0"/>
  <ignoredErrors>
    <ignoredError sqref="I134 H121 G122:G12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0FA6-5503-49B6-BB6F-08BC61C232DE}">
  <dimension ref="A1:W94"/>
  <sheetViews>
    <sheetView zoomScaleNormal="100" workbookViewId="0">
      <pane xSplit="2" ySplit="1" topLeftCell="G74" activePane="bottomRight" state="frozen"/>
      <selection pane="topRight" activeCell="C1" sqref="C1"/>
      <selection pane="bottomLeft" activeCell="A2" sqref="A2"/>
      <selection pane="bottomRight" activeCell="N95" sqref="N95"/>
    </sheetView>
  </sheetViews>
  <sheetFormatPr defaultColWidth="16.09765625" defaultRowHeight="15.6" outlineLevelRow="1" x14ac:dyDescent="0.45"/>
  <cols>
    <col min="1" max="2" width="15.8984375" style="255" bestFit="1" customWidth="1"/>
    <col min="3" max="3" width="19.19921875" style="392" customWidth="1"/>
    <col min="4" max="4" width="5.59765625" style="254" bestFit="1" customWidth="1"/>
    <col min="5" max="5" width="11.5" style="256" bestFit="1" customWidth="1"/>
    <col min="6" max="6" width="15.8984375" style="256" bestFit="1" customWidth="1"/>
    <col min="7" max="7" width="13.69921875" style="256" bestFit="1" customWidth="1"/>
    <col min="8" max="8" width="17.3984375" style="256" customWidth="1"/>
    <col min="9" max="10" width="5.59765625" style="254" bestFit="1" customWidth="1"/>
    <col min="11" max="11" width="5.796875" style="254" bestFit="1" customWidth="1"/>
    <col min="12" max="12" width="15.8984375" style="255" bestFit="1" customWidth="1"/>
    <col min="13" max="13" width="5.59765625" style="254" bestFit="1" customWidth="1"/>
    <col min="14" max="14" width="7.3984375" style="254" bestFit="1" customWidth="1"/>
    <col min="15" max="15" width="2.19921875" style="388" customWidth="1"/>
    <col min="16" max="16" width="15.8984375" style="254" bestFit="1" customWidth="1"/>
    <col min="17" max="17" width="9.796875" style="254" bestFit="1" customWidth="1"/>
    <col min="18" max="18" width="11.5" style="254" bestFit="1" customWidth="1"/>
    <col min="19" max="20" width="15.8984375" style="254" customWidth="1"/>
    <col min="21" max="21" width="11.5" style="256" bestFit="1" customWidth="1"/>
    <col min="22" max="22" width="6.3984375" style="254" bestFit="1" customWidth="1"/>
    <col min="23" max="23" width="7.69921875" style="254" bestFit="1" customWidth="1"/>
    <col min="24" max="16384" width="16.09765625" style="254"/>
  </cols>
  <sheetData>
    <row r="1" spans="1:23" x14ac:dyDescent="0.45">
      <c r="A1" s="629" t="s">
        <v>1905</v>
      </c>
      <c r="B1" s="629" t="s">
        <v>1858</v>
      </c>
      <c r="C1" s="393" t="s">
        <v>2261</v>
      </c>
      <c r="D1" s="257" t="s">
        <v>2253</v>
      </c>
      <c r="E1" s="257" t="s">
        <v>2233</v>
      </c>
      <c r="F1" s="257" t="s">
        <v>1673</v>
      </c>
      <c r="G1" s="257" t="s">
        <v>1859</v>
      </c>
      <c r="H1" s="279" t="s">
        <v>2234</v>
      </c>
      <c r="I1" s="257" t="s">
        <v>2252</v>
      </c>
      <c r="J1" s="257" t="s">
        <v>1857</v>
      </c>
      <c r="K1" s="257" t="s">
        <v>2235</v>
      </c>
      <c r="L1" s="629" t="s">
        <v>1861</v>
      </c>
      <c r="M1" s="257" t="s">
        <v>1856</v>
      </c>
      <c r="N1" s="279" t="s">
        <v>3546</v>
      </c>
      <c r="P1" s="257" t="s">
        <v>2187</v>
      </c>
      <c r="Q1" s="257" t="s">
        <v>1961</v>
      </c>
      <c r="R1" s="257" t="s">
        <v>1859</v>
      </c>
      <c r="S1" s="629" t="s">
        <v>1905</v>
      </c>
      <c r="T1" s="629" t="s">
        <v>1858</v>
      </c>
      <c r="U1" s="257" t="s">
        <v>1835</v>
      </c>
      <c r="V1" s="257" t="s">
        <v>1860</v>
      </c>
      <c r="W1" s="279" t="s">
        <v>1967</v>
      </c>
    </row>
    <row r="2" spans="1:23" ht="16.2" outlineLevel="1" thickBot="1" x14ac:dyDescent="0.5">
      <c r="A2" s="328">
        <v>36484</v>
      </c>
      <c r="B2" s="328">
        <v>36485</v>
      </c>
      <c r="C2" s="329" t="s">
        <v>2255</v>
      </c>
      <c r="D2" s="330">
        <f>B2-A2</f>
        <v>1</v>
      </c>
      <c r="E2" s="329" t="s">
        <v>2002</v>
      </c>
      <c r="F2" s="331" t="s">
        <v>2006</v>
      </c>
      <c r="G2" s="331" t="s">
        <v>2222</v>
      </c>
      <c r="H2" s="387" t="s">
        <v>1003</v>
      </c>
      <c r="I2" s="332" t="s">
        <v>1003</v>
      </c>
      <c r="J2" s="332" t="s">
        <v>1003</v>
      </c>
      <c r="K2" s="332" t="s">
        <v>1003</v>
      </c>
      <c r="L2" s="333" t="s">
        <v>1003</v>
      </c>
      <c r="M2" s="332" t="s">
        <v>1003</v>
      </c>
      <c r="N2" s="1195" t="s">
        <v>1003</v>
      </c>
      <c r="U2" s="254"/>
    </row>
    <row r="3" spans="1:23" ht="16.8" outlineLevel="1" thickTop="1" thickBot="1" x14ac:dyDescent="0.5">
      <c r="A3" s="334">
        <v>36901</v>
      </c>
      <c r="B3" s="334">
        <v>36907</v>
      </c>
      <c r="C3" s="389" t="s">
        <v>2256</v>
      </c>
      <c r="D3" s="335">
        <f t="shared" ref="D3:D56" si="0">B3-A3</f>
        <v>6</v>
      </c>
      <c r="E3" s="336" t="s">
        <v>2003</v>
      </c>
      <c r="F3" s="337" t="s">
        <v>2007</v>
      </c>
      <c r="G3" s="337" t="s">
        <v>2222</v>
      </c>
      <c r="H3" s="386" t="s">
        <v>1003</v>
      </c>
      <c r="I3" s="338" t="s">
        <v>1003</v>
      </c>
      <c r="J3" s="338" t="s">
        <v>1003</v>
      </c>
      <c r="K3" s="338" t="s">
        <v>1003</v>
      </c>
      <c r="L3" s="339" t="s">
        <v>1003</v>
      </c>
      <c r="M3" s="338" t="s">
        <v>1003</v>
      </c>
      <c r="N3" s="1196" t="s">
        <v>3</v>
      </c>
      <c r="U3" s="254"/>
    </row>
    <row r="4" spans="1:23" ht="16.8" outlineLevel="1" thickTop="1" thickBot="1" x14ac:dyDescent="0.5">
      <c r="A4" s="334">
        <v>37340</v>
      </c>
      <c r="B4" s="334">
        <v>37347</v>
      </c>
      <c r="C4" s="389" t="s">
        <v>2254</v>
      </c>
      <c r="D4" s="335">
        <f t="shared" si="0"/>
        <v>7</v>
      </c>
      <c r="E4" s="336" t="s">
        <v>2004</v>
      </c>
      <c r="F4" s="337" t="s">
        <v>2008</v>
      </c>
      <c r="G4" s="337" t="s">
        <v>2222</v>
      </c>
      <c r="H4" s="386" t="s">
        <v>1003</v>
      </c>
      <c r="I4" s="338" t="s">
        <v>1003</v>
      </c>
      <c r="J4" s="338" t="s">
        <v>1003</v>
      </c>
      <c r="K4" s="338" t="s">
        <v>1003</v>
      </c>
      <c r="L4" s="339" t="s">
        <v>1003</v>
      </c>
      <c r="M4" s="338" t="s">
        <v>1003</v>
      </c>
      <c r="N4" s="1196" t="s">
        <v>3</v>
      </c>
      <c r="U4" s="254"/>
    </row>
    <row r="5" spans="1:23" ht="16.8" outlineLevel="1" thickTop="1" thickBot="1" x14ac:dyDescent="0.5">
      <c r="A5" s="334">
        <v>37620</v>
      </c>
      <c r="B5" s="334">
        <v>37626</v>
      </c>
      <c r="C5" s="389" t="s">
        <v>2257</v>
      </c>
      <c r="D5" s="335">
        <f t="shared" si="0"/>
        <v>6</v>
      </c>
      <c r="E5" s="336" t="s">
        <v>2005</v>
      </c>
      <c r="F5" s="337" t="s">
        <v>2009</v>
      </c>
      <c r="G5" s="337" t="s">
        <v>2222</v>
      </c>
      <c r="H5" s="386" t="s">
        <v>1003</v>
      </c>
      <c r="I5" s="338" t="s">
        <v>1003</v>
      </c>
      <c r="J5" s="338" t="s">
        <v>1003</v>
      </c>
      <c r="K5" s="338" t="s">
        <v>1003</v>
      </c>
      <c r="L5" s="339" t="s">
        <v>1003</v>
      </c>
      <c r="M5" s="338" t="s">
        <v>1003</v>
      </c>
      <c r="N5" s="1196" t="s">
        <v>3</v>
      </c>
      <c r="U5" s="254"/>
    </row>
    <row r="6" spans="1:23" ht="16.8" outlineLevel="1" thickTop="1" thickBot="1" x14ac:dyDescent="0.5">
      <c r="A6" s="1259">
        <v>37909</v>
      </c>
      <c r="B6" s="1259">
        <v>37910</v>
      </c>
      <c r="C6" s="1250" t="s">
        <v>2258</v>
      </c>
      <c r="D6" s="340">
        <f t="shared" si="0"/>
        <v>1</v>
      </c>
      <c r="E6" s="341" t="s">
        <v>1836</v>
      </c>
      <c r="F6" s="341" t="s">
        <v>1889</v>
      </c>
      <c r="G6" s="1268" t="s">
        <v>1823</v>
      </c>
      <c r="H6" s="1268" t="s">
        <v>1849</v>
      </c>
      <c r="I6" s="340">
        <v>1998</v>
      </c>
      <c r="J6" s="1263">
        <v>1</v>
      </c>
      <c r="K6" s="1263">
        <v>1</v>
      </c>
      <c r="L6" s="1259">
        <v>23914</v>
      </c>
      <c r="M6" s="342">
        <f t="shared" ref="M6:M11" ca="1" si="1">DATEDIF(L6,TODAY(),"Y")</f>
        <v>61</v>
      </c>
      <c r="N6" s="1263" t="s">
        <v>3548</v>
      </c>
      <c r="U6" s="254"/>
    </row>
    <row r="7" spans="1:23" ht="16.2" outlineLevel="1" thickTop="1" x14ac:dyDescent="0.45">
      <c r="A7" s="343">
        <v>38637</v>
      </c>
      <c r="B7" s="343">
        <v>38642</v>
      </c>
      <c r="C7" s="1907" t="s">
        <v>3139</v>
      </c>
      <c r="D7" s="344">
        <f t="shared" si="0"/>
        <v>5</v>
      </c>
      <c r="E7" s="345" t="s">
        <v>1837</v>
      </c>
      <c r="F7" s="345" t="s">
        <v>1890</v>
      </c>
      <c r="G7" s="346" t="s">
        <v>1891</v>
      </c>
      <c r="H7" s="346" t="s">
        <v>1850</v>
      </c>
      <c r="I7" s="344">
        <v>1998</v>
      </c>
      <c r="J7" s="347">
        <v>1</v>
      </c>
      <c r="K7" s="347">
        <v>2</v>
      </c>
      <c r="L7" s="343">
        <v>23867</v>
      </c>
      <c r="M7" s="348">
        <f t="shared" ca="1" si="1"/>
        <v>61</v>
      </c>
      <c r="N7" s="347" t="s">
        <v>3547</v>
      </c>
      <c r="O7" s="1906"/>
      <c r="U7" s="254"/>
    </row>
    <row r="8" spans="1:23" ht="16.2" outlineLevel="1" thickBot="1" x14ac:dyDescent="0.5">
      <c r="A8" s="349">
        <v>38637</v>
      </c>
      <c r="B8" s="349">
        <v>38642</v>
      </c>
      <c r="C8" s="1908"/>
      <c r="D8" s="350">
        <f t="shared" si="0"/>
        <v>5</v>
      </c>
      <c r="E8" s="351" t="s">
        <v>1837</v>
      </c>
      <c r="F8" s="351" t="s">
        <v>1890</v>
      </c>
      <c r="G8" s="326" t="s">
        <v>1825</v>
      </c>
      <c r="H8" s="326" t="s">
        <v>1851</v>
      </c>
      <c r="I8" s="350">
        <v>1998</v>
      </c>
      <c r="J8" s="1265">
        <v>1</v>
      </c>
      <c r="K8" s="1265">
        <v>3</v>
      </c>
      <c r="L8" s="349">
        <v>23664</v>
      </c>
      <c r="M8" s="352">
        <f t="shared" ca="1" si="1"/>
        <v>61</v>
      </c>
      <c r="N8" s="1265" t="s">
        <v>3547</v>
      </c>
      <c r="O8" s="1906"/>
      <c r="U8" s="254"/>
    </row>
    <row r="9" spans="1:23" ht="16.2" outlineLevel="1" thickTop="1" x14ac:dyDescent="0.45">
      <c r="A9" s="343">
        <v>39716</v>
      </c>
      <c r="B9" s="343">
        <v>39719</v>
      </c>
      <c r="C9" s="1907" t="s">
        <v>3138</v>
      </c>
      <c r="D9" s="344">
        <f t="shared" si="0"/>
        <v>3</v>
      </c>
      <c r="E9" s="345" t="s">
        <v>1841</v>
      </c>
      <c r="F9" s="345" t="s">
        <v>1881</v>
      </c>
      <c r="G9" s="346" t="s">
        <v>1826</v>
      </c>
      <c r="H9" s="346" t="s">
        <v>1874</v>
      </c>
      <c r="I9" s="344">
        <v>1998</v>
      </c>
      <c r="J9" s="347">
        <v>1</v>
      </c>
      <c r="K9" s="347">
        <v>4</v>
      </c>
      <c r="L9" s="343">
        <v>24390</v>
      </c>
      <c r="M9" s="348">
        <f t="shared" ca="1" si="1"/>
        <v>59</v>
      </c>
      <c r="N9" s="347" t="s">
        <v>3547</v>
      </c>
      <c r="O9" s="1906"/>
      <c r="U9" s="254"/>
    </row>
    <row r="10" spans="1:23" outlineLevel="1" x14ac:dyDescent="0.45">
      <c r="A10" s="353">
        <v>39716</v>
      </c>
      <c r="B10" s="353">
        <v>39719</v>
      </c>
      <c r="C10" s="1909"/>
      <c r="D10" s="354">
        <f t="shared" si="0"/>
        <v>3</v>
      </c>
      <c r="E10" s="355" t="s">
        <v>1841</v>
      </c>
      <c r="F10" s="355" t="s">
        <v>1881</v>
      </c>
      <c r="G10" s="327" t="s">
        <v>1827</v>
      </c>
      <c r="H10" s="327" t="s">
        <v>1852</v>
      </c>
      <c r="I10" s="354">
        <v>1998</v>
      </c>
      <c r="J10" s="1264">
        <v>1</v>
      </c>
      <c r="K10" s="1264">
        <v>5</v>
      </c>
      <c r="L10" s="353">
        <v>24367</v>
      </c>
      <c r="M10" s="356">
        <f t="shared" ca="1" si="1"/>
        <v>59</v>
      </c>
      <c r="N10" s="1264" t="s">
        <v>3547</v>
      </c>
      <c r="O10" s="1906"/>
      <c r="U10" s="254"/>
    </row>
    <row r="11" spans="1:23" ht="16.2" outlineLevel="1" thickBot="1" x14ac:dyDescent="0.5">
      <c r="A11" s="349">
        <v>39716</v>
      </c>
      <c r="B11" s="349">
        <v>39719</v>
      </c>
      <c r="C11" s="1908"/>
      <c r="D11" s="350">
        <f t="shared" si="0"/>
        <v>3</v>
      </c>
      <c r="E11" s="351" t="s">
        <v>1841</v>
      </c>
      <c r="F11" s="351" t="s">
        <v>1881</v>
      </c>
      <c r="G11" s="326" t="s">
        <v>1828</v>
      </c>
      <c r="H11" s="326" t="s">
        <v>1853</v>
      </c>
      <c r="I11" s="350">
        <v>1998</v>
      </c>
      <c r="J11" s="1265">
        <v>1</v>
      </c>
      <c r="K11" s="1265">
        <v>6</v>
      </c>
      <c r="L11" s="349">
        <v>24404</v>
      </c>
      <c r="M11" s="352">
        <f t="shared" ca="1" si="1"/>
        <v>59</v>
      </c>
      <c r="N11" s="1265" t="s">
        <v>3547</v>
      </c>
      <c r="O11" s="1906"/>
      <c r="U11" s="254"/>
    </row>
    <row r="12" spans="1:23" ht="16.8" outlineLevel="1" thickTop="1" thickBot="1" x14ac:dyDescent="0.5">
      <c r="A12" s="334">
        <v>40815</v>
      </c>
      <c r="B12" s="334">
        <v>43192</v>
      </c>
      <c r="C12" s="390" t="s">
        <v>1003</v>
      </c>
      <c r="D12" s="384">
        <f t="shared" si="0"/>
        <v>2377</v>
      </c>
      <c r="E12" s="385" t="s">
        <v>2224</v>
      </c>
      <c r="F12" s="385" t="s">
        <v>2225</v>
      </c>
      <c r="G12" s="385" t="s">
        <v>1003</v>
      </c>
      <c r="H12" s="386" t="s">
        <v>1003</v>
      </c>
      <c r="I12" s="338" t="s">
        <v>1003</v>
      </c>
      <c r="J12" s="338" t="s">
        <v>1003</v>
      </c>
      <c r="K12" s="338" t="s">
        <v>1003</v>
      </c>
      <c r="L12" s="339" t="s">
        <v>1003</v>
      </c>
      <c r="M12" s="338" t="s">
        <v>1003</v>
      </c>
      <c r="N12" s="1196" t="s">
        <v>3</v>
      </c>
      <c r="U12" s="254"/>
    </row>
    <row r="13" spans="1:23" ht="16.8" outlineLevel="1" thickTop="1" thickBot="1" x14ac:dyDescent="0.5">
      <c r="A13" s="334">
        <v>40848</v>
      </c>
      <c r="B13" s="334">
        <v>40864</v>
      </c>
      <c r="C13" s="389" t="s">
        <v>2259</v>
      </c>
      <c r="D13" s="335">
        <f t="shared" si="0"/>
        <v>16</v>
      </c>
      <c r="E13" s="336" t="s">
        <v>2010</v>
      </c>
      <c r="F13" s="337" t="s">
        <v>2012</v>
      </c>
      <c r="G13" s="337" t="s">
        <v>2222</v>
      </c>
      <c r="H13" s="386" t="s">
        <v>1003</v>
      </c>
      <c r="I13" s="338" t="s">
        <v>1003</v>
      </c>
      <c r="J13" s="338" t="s">
        <v>1003</v>
      </c>
      <c r="K13" s="338" t="s">
        <v>1003</v>
      </c>
      <c r="L13" s="339" t="s">
        <v>1003</v>
      </c>
      <c r="M13" s="338" t="s">
        <v>1003</v>
      </c>
      <c r="N13" s="1196" t="s">
        <v>3</v>
      </c>
      <c r="U13" s="254"/>
    </row>
    <row r="14" spans="1:23" ht="16.2" outlineLevel="1" thickTop="1" x14ac:dyDescent="0.45">
      <c r="A14" s="343">
        <v>41076</v>
      </c>
      <c r="B14" s="343">
        <v>41089</v>
      </c>
      <c r="C14" s="1907" t="s">
        <v>3137</v>
      </c>
      <c r="D14" s="344">
        <f t="shared" si="0"/>
        <v>13</v>
      </c>
      <c r="E14" s="345" t="s">
        <v>1843</v>
      </c>
      <c r="F14" s="345" t="s">
        <v>1882</v>
      </c>
      <c r="G14" s="346" t="s">
        <v>1828</v>
      </c>
      <c r="H14" s="346" t="s">
        <v>1853</v>
      </c>
      <c r="I14" s="344">
        <v>1998</v>
      </c>
      <c r="J14" s="347">
        <v>1</v>
      </c>
      <c r="K14" s="347">
        <v>6</v>
      </c>
      <c r="L14" s="343">
        <f>L11</f>
        <v>24404</v>
      </c>
      <c r="M14" s="348">
        <f t="shared" ref="M14:M22" ca="1" si="2">DATEDIF(L14,TODAY(),"Y")</f>
        <v>59</v>
      </c>
      <c r="N14" s="347" t="s">
        <v>3547</v>
      </c>
      <c r="O14" s="1906"/>
      <c r="U14" s="254"/>
    </row>
    <row r="15" spans="1:23" outlineLevel="1" x14ac:dyDescent="0.45">
      <c r="A15" s="353">
        <v>41076</v>
      </c>
      <c r="B15" s="353">
        <v>41089</v>
      </c>
      <c r="C15" s="1909"/>
      <c r="D15" s="354">
        <f t="shared" si="0"/>
        <v>13</v>
      </c>
      <c r="E15" s="355" t="s">
        <v>1843</v>
      </c>
      <c r="F15" s="355" t="s">
        <v>1882</v>
      </c>
      <c r="G15" s="327" t="s">
        <v>1829</v>
      </c>
      <c r="H15" s="327" t="s">
        <v>1854</v>
      </c>
      <c r="I15" s="354">
        <v>1998</v>
      </c>
      <c r="J15" s="1264">
        <v>1</v>
      </c>
      <c r="K15" s="1264">
        <v>7</v>
      </c>
      <c r="L15" s="353">
        <v>25287</v>
      </c>
      <c r="M15" s="356">
        <f t="shared" ca="1" si="2"/>
        <v>57</v>
      </c>
      <c r="N15" s="1264" t="s">
        <v>3547</v>
      </c>
      <c r="O15" s="1906"/>
      <c r="U15" s="254"/>
    </row>
    <row r="16" spans="1:23" ht="16.2" outlineLevel="1" thickBot="1" x14ac:dyDescent="0.5">
      <c r="A16" s="349">
        <v>41076</v>
      </c>
      <c r="B16" s="349">
        <v>41089</v>
      </c>
      <c r="C16" s="1908"/>
      <c r="D16" s="350">
        <f t="shared" si="0"/>
        <v>13</v>
      </c>
      <c r="E16" s="351" t="s">
        <v>1843</v>
      </c>
      <c r="F16" s="351" t="s">
        <v>1882</v>
      </c>
      <c r="G16" s="326" t="s">
        <v>1897</v>
      </c>
      <c r="H16" s="326" t="s">
        <v>1911</v>
      </c>
      <c r="I16" s="350">
        <v>2010</v>
      </c>
      <c r="J16" s="1265">
        <v>2</v>
      </c>
      <c r="K16" s="1265">
        <v>8</v>
      </c>
      <c r="L16" s="349">
        <v>28769</v>
      </c>
      <c r="M16" s="352">
        <f t="shared" ca="1" si="2"/>
        <v>47</v>
      </c>
      <c r="N16" s="1265" t="s">
        <v>3547</v>
      </c>
      <c r="O16" s="1906"/>
      <c r="U16" s="254"/>
    </row>
    <row r="17" spans="1:21" ht="16.2" outlineLevel="1" thickTop="1" x14ac:dyDescent="0.45">
      <c r="A17" s="343">
        <v>41436</v>
      </c>
      <c r="B17" s="343">
        <v>41451</v>
      </c>
      <c r="C17" s="1907" t="s">
        <v>3136</v>
      </c>
      <c r="D17" s="344">
        <f t="shared" si="0"/>
        <v>15</v>
      </c>
      <c r="E17" s="345" t="s">
        <v>1839</v>
      </c>
      <c r="F17" s="345" t="s">
        <v>1878</v>
      </c>
      <c r="G17" s="346" t="s">
        <v>1825</v>
      </c>
      <c r="H17" s="346" t="s">
        <v>1851</v>
      </c>
      <c r="I17" s="344">
        <v>1998</v>
      </c>
      <c r="J17" s="347">
        <v>1</v>
      </c>
      <c r="K17" s="347">
        <v>3</v>
      </c>
      <c r="L17" s="343">
        <f>L8</f>
        <v>23664</v>
      </c>
      <c r="M17" s="348">
        <f t="shared" ca="1" si="2"/>
        <v>61</v>
      </c>
      <c r="N17" s="347" t="s">
        <v>3547</v>
      </c>
      <c r="O17" s="1906"/>
      <c r="U17" s="254"/>
    </row>
    <row r="18" spans="1:21" outlineLevel="1" x14ac:dyDescent="0.45">
      <c r="A18" s="353">
        <v>41436</v>
      </c>
      <c r="B18" s="353">
        <v>41451</v>
      </c>
      <c r="C18" s="1909"/>
      <c r="D18" s="354">
        <f t="shared" si="0"/>
        <v>15</v>
      </c>
      <c r="E18" s="355" t="s">
        <v>1839</v>
      </c>
      <c r="F18" s="355" t="s">
        <v>1878</v>
      </c>
      <c r="G18" s="327" t="s">
        <v>1830</v>
      </c>
      <c r="H18" s="327" t="s">
        <v>1855</v>
      </c>
      <c r="I18" s="354">
        <v>1998</v>
      </c>
      <c r="J18" s="1264">
        <v>1</v>
      </c>
      <c r="K18" s="1264">
        <v>9</v>
      </c>
      <c r="L18" s="353">
        <v>24228</v>
      </c>
      <c r="M18" s="356">
        <f t="shared" ca="1" si="2"/>
        <v>60</v>
      </c>
      <c r="N18" s="1264" t="s">
        <v>3547</v>
      </c>
      <c r="O18" s="1906"/>
      <c r="U18" s="254"/>
    </row>
    <row r="19" spans="1:21" ht="16.2" outlineLevel="1" thickBot="1" x14ac:dyDescent="0.5">
      <c r="A19" s="349">
        <v>41436</v>
      </c>
      <c r="B19" s="349">
        <v>41451</v>
      </c>
      <c r="C19" s="1908"/>
      <c r="D19" s="350">
        <f t="shared" si="0"/>
        <v>15</v>
      </c>
      <c r="E19" s="351" t="s">
        <v>1839</v>
      </c>
      <c r="F19" s="351" t="s">
        <v>1878</v>
      </c>
      <c r="G19" s="326" t="s">
        <v>1862</v>
      </c>
      <c r="H19" s="326" t="s">
        <v>1912</v>
      </c>
      <c r="I19" s="350">
        <v>2010</v>
      </c>
      <c r="J19" s="1265">
        <v>2</v>
      </c>
      <c r="K19" s="1265">
        <v>10</v>
      </c>
      <c r="L19" s="349">
        <v>29247</v>
      </c>
      <c r="M19" s="352">
        <f t="shared" ca="1" si="2"/>
        <v>46</v>
      </c>
      <c r="N19" s="1265" t="s">
        <v>3547</v>
      </c>
      <c r="O19" s="1906"/>
      <c r="U19" s="254"/>
    </row>
    <row r="20" spans="1:21" ht="16.8" outlineLevel="1" thickTop="1" thickBot="1" x14ac:dyDescent="0.5">
      <c r="A20" s="334">
        <v>42628</v>
      </c>
      <c r="B20" s="334">
        <v>43665</v>
      </c>
      <c r="C20" s="390" t="s">
        <v>1003</v>
      </c>
      <c r="D20" s="384">
        <f t="shared" si="0"/>
        <v>1037</v>
      </c>
      <c r="E20" s="385" t="s">
        <v>2223</v>
      </c>
      <c r="F20" s="385" t="s">
        <v>2226</v>
      </c>
      <c r="G20" s="385" t="s">
        <v>1003</v>
      </c>
      <c r="H20" s="386" t="s">
        <v>1003</v>
      </c>
      <c r="I20" s="338" t="s">
        <v>1003</v>
      </c>
      <c r="J20" s="338" t="s">
        <v>1003</v>
      </c>
      <c r="K20" s="338" t="s">
        <v>1003</v>
      </c>
      <c r="L20" s="339" t="s">
        <v>1003</v>
      </c>
      <c r="M20" s="338" t="s">
        <v>1003</v>
      </c>
      <c r="N20" s="1196" t="s">
        <v>3</v>
      </c>
      <c r="U20" s="254"/>
    </row>
    <row r="21" spans="1:21" ht="16.2" outlineLevel="1" thickTop="1" x14ac:dyDescent="0.45">
      <c r="A21" s="343">
        <v>42660</v>
      </c>
      <c r="B21" s="343">
        <v>42692</v>
      </c>
      <c r="C21" s="1907" t="s">
        <v>3135</v>
      </c>
      <c r="D21" s="344">
        <f t="shared" si="0"/>
        <v>32</v>
      </c>
      <c r="E21" s="345" t="s">
        <v>1844</v>
      </c>
      <c r="F21" s="345" t="s">
        <v>1883</v>
      </c>
      <c r="G21" s="346" t="s">
        <v>1965</v>
      </c>
      <c r="H21" s="346" t="s">
        <v>1853</v>
      </c>
      <c r="I21" s="344">
        <v>1998</v>
      </c>
      <c r="J21" s="347">
        <v>1</v>
      </c>
      <c r="K21" s="347">
        <v>6</v>
      </c>
      <c r="L21" s="343">
        <f>L11</f>
        <v>24404</v>
      </c>
      <c r="M21" s="348">
        <f t="shared" ca="1" si="2"/>
        <v>59</v>
      </c>
      <c r="N21" s="347" t="s">
        <v>3547</v>
      </c>
      <c r="O21" s="1906"/>
      <c r="U21" s="254"/>
    </row>
    <row r="22" spans="1:21" ht="16.2" outlineLevel="1" thickBot="1" x14ac:dyDescent="0.5">
      <c r="A22" s="349">
        <v>42660</v>
      </c>
      <c r="B22" s="349">
        <v>42692</v>
      </c>
      <c r="C22" s="1908"/>
      <c r="D22" s="350">
        <f t="shared" si="0"/>
        <v>32</v>
      </c>
      <c r="E22" s="351" t="s">
        <v>1844</v>
      </c>
      <c r="F22" s="351" t="s">
        <v>1883</v>
      </c>
      <c r="G22" s="326" t="s">
        <v>1831</v>
      </c>
      <c r="H22" s="326" t="s">
        <v>1863</v>
      </c>
      <c r="I22" s="350">
        <v>2010</v>
      </c>
      <c r="J22" s="1265">
        <v>2</v>
      </c>
      <c r="K22" s="1265">
        <v>11</v>
      </c>
      <c r="L22" s="349">
        <v>28836</v>
      </c>
      <c r="M22" s="352">
        <f t="shared" ca="1" si="2"/>
        <v>47</v>
      </c>
      <c r="N22" s="1265" t="s">
        <v>3547</v>
      </c>
      <c r="O22" s="1906"/>
      <c r="U22" s="254"/>
    </row>
    <row r="23" spans="1:21" ht="16.8" outlineLevel="1" thickTop="1" thickBot="1" x14ac:dyDescent="0.5">
      <c r="A23" s="334">
        <v>42845</v>
      </c>
      <c r="B23" s="334">
        <v>43000</v>
      </c>
      <c r="C23" s="390" t="s">
        <v>1003</v>
      </c>
      <c r="D23" s="384">
        <f>B23-A23</f>
        <v>155</v>
      </c>
      <c r="E23" s="385" t="s">
        <v>2236</v>
      </c>
      <c r="F23" s="385" t="s">
        <v>2237</v>
      </c>
      <c r="G23" s="385" t="s">
        <v>1003</v>
      </c>
      <c r="H23" s="386" t="s">
        <v>1003</v>
      </c>
      <c r="I23" s="338" t="s">
        <v>1003</v>
      </c>
      <c r="J23" s="338" t="s">
        <v>1003</v>
      </c>
      <c r="K23" s="338" t="s">
        <v>1003</v>
      </c>
      <c r="L23" s="339" t="s">
        <v>1003</v>
      </c>
      <c r="M23" s="338" t="s">
        <v>1003</v>
      </c>
      <c r="N23" s="1196" t="s">
        <v>3</v>
      </c>
      <c r="U23" s="254"/>
    </row>
    <row r="24" spans="1:21" ht="16.8" outlineLevel="1" thickTop="1" thickBot="1" x14ac:dyDescent="0.5">
      <c r="A24" s="381">
        <v>44159</v>
      </c>
      <c r="B24" s="381">
        <v>44182</v>
      </c>
      <c r="C24" s="567" t="s">
        <v>2260</v>
      </c>
      <c r="D24" s="560">
        <f t="shared" si="0"/>
        <v>23</v>
      </c>
      <c r="E24" s="561" t="s">
        <v>1518</v>
      </c>
      <c r="F24" s="562" t="s">
        <v>2011</v>
      </c>
      <c r="G24" s="563" t="s">
        <v>1003</v>
      </c>
      <c r="H24" s="564" t="s">
        <v>1003</v>
      </c>
      <c r="I24" s="565" t="s">
        <v>1003</v>
      </c>
      <c r="J24" s="565" t="s">
        <v>1003</v>
      </c>
      <c r="K24" s="565" t="s">
        <v>1003</v>
      </c>
      <c r="L24" s="566" t="s">
        <v>1003</v>
      </c>
      <c r="M24" s="565" t="s">
        <v>1003</v>
      </c>
      <c r="N24" s="1197" t="s">
        <v>3</v>
      </c>
      <c r="U24" s="254"/>
    </row>
    <row r="25" spans="1:21" ht="16.8" thickTop="1" thickBot="1" x14ac:dyDescent="0.5">
      <c r="A25" s="381">
        <v>44315</v>
      </c>
      <c r="B25" s="381">
        <v>47968</v>
      </c>
      <c r="C25" s="391" t="s">
        <v>1003</v>
      </c>
      <c r="D25" s="383">
        <f ca="1">MIN(B25-A25,TODAY()-A25)</f>
        <v>1894</v>
      </c>
      <c r="E25" s="382" t="s">
        <v>2046</v>
      </c>
      <c r="F25" s="382" t="s">
        <v>2227</v>
      </c>
      <c r="G25" s="382" t="s">
        <v>1003</v>
      </c>
      <c r="H25" s="382" t="s">
        <v>3</v>
      </c>
      <c r="I25" s="381" t="s">
        <v>3</v>
      </c>
      <c r="J25" s="381" t="s">
        <v>3</v>
      </c>
      <c r="K25" s="381" t="s">
        <v>3</v>
      </c>
      <c r="L25" s="381" t="s">
        <v>3</v>
      </c>
      <c r="M25" s="381" t="s">
        <v>3</v>
      </c>
      <c r="N25" s="381" t="s">
        <v>3</v>
      </c>
      <c r="U25" s="254"/>
    </row>
    <row r="26" spans="1:21" ht="16.8" outlineLevel="1" thickTop="1" thickBot="1" x14ac:dyDescent="0.5">
      <c r="A26" s="334">
        <v>44345</v>
      </c>
      <c r="B26" s="334">
        <v>44651</v>
      </c>
      <c r="C26" s="390" t="s">
        <v>1003</v>
      </c>
      <c r="D26" s="384">
        <f>B26-A26</f>
        <v>306</v>
      </c>
      <c r="E26" s="385" t="s">
        <v>2239</v>
      </c>
      <c r="F26" s="385" t="s">
        <v>2238</v>
      </c>
      <c r="G26" s="385" t="s">
        <v>1003</v>
      </c>
      <c r="H26" s="386" t="s">
        <v>1003</v>
      </c>
      <c r="I26" s="338" t="s">
        <v>1003</v>
      </c>
      <c r="J26" s="338" t="s">
        <v>1003</v>
      </c>
      <c r="K26" s="338" t="s">
        <v>1003</v>
      </c>
      <c r="L26" s="339" t="s">
        <v>1003</v>
      </c>
      <c r="M26" s="338" t="s">
        <v>1003</v>
      </c>
      <c r="N26" s="1196" t="s">
        <v>3</v>
      </c>
      <c r="U26" s="254"/>
    </row>
    <row r="27" spans="1:21" ht="16.2" outlineLevel="1" thickTop="1" x14ac:dyDescent="0.45">
      <c r="A27" s="343">
        <v>44364</v>
      </c>
      <c r="B27" s="343">
        <v>44456</v>
      </c>
      <c r="C27" s="1907" t="s">
        <v>3134</v>
      </c>
      <c r="D27" s="344">
        <f t="shared" si="0"/>
        <v>92</v>
      </c>
      <c r="E27" s="345" t="s">
        <v>1840</v>
      </c>
      <c r="F27" s="345" t="s">
        <v>1887</v>
      </c>
      <c r="G27" s="346" t="s">
        <v>1825</v>
      </c>
      <c r="H27" s="346" t="s">
        <v>1851</v>
      </c>
      <c r="I27" s="344">
        <v>1998</v>
      </c>
      <c r="J27" s="347">
        <v>1</v>
      </c>
      <c r="K27" s="347">
        <v>3</v>
      </c>
      <c r="L27" s="343">
        <f>L8</f>
        <v>23664</v>
      </c>
      <c r="M27" s="348">
        <f t="shared" ref="M27:M55" ca="1" si="3">DATEDIF(L27,TODAY(),"Y")</f>
        <v>61</v>
      </c>
      <c r="N27" s="347" t="s">
        <v>3547</v>
      </c>
      <c r="O27" s="1906"/>
      <c r="U27" s="254"/>
    </row>
    <row r="28" spans="1:21" outlineLevel="1" x14ac:dyDescent="0.45">
      <c r="A28" s="353">
        <v>44364</v>
      </c>
      <c r="B28" s="353">
        <v>44456</v>
      </c>
      <c r="C28" s="1909"/>
      <c r="D28" s="354">
        <f t="shared" si="0"/>
        <v>92</v>
      </c>
      <c r="E28" s="355" t="s">
        <v>1840</v>
      </c>
      <c r="F28" s="355" t="s">
        <v>1887</v>
      </c>
      <c r="G28" s="327" t="s">
        <v>1827</v>
      </c>
      <c r="H28" s="327" t="s">
        <v>1852</v>
      </c>
      <c r="I28" s="354">
        <v>1998</v>
      </c>
      <c r="J28" s="1264">
        <v>1</v>
      </c>
      <c r="K28" s="1264">
        <v>5</v>
      </c>
      <c r="L28" s="353">
        <f>L10</f>
        <v>24367</v>
      </c>
      <c r="M28" s="356">
        <f t="shared" ca="1" si="3"/>
        <v>59</v>
      </c>
      <c r="N28" s="1264" t="s">
        <v>3547</v>
      </c>
      <c r="O28" s="1906"/>
      <c r="U28" s="254"/>
    </row>
    <row r="29" spans="1:21" ht="16.2" outlineLevel="1" thickBot="1" x14ac:dyDescent="0.5">
      <c r="A29" s="349">
        <v>44364</v>
      </c>
      <c r="B29" s="349">
        <v>44456</v>
      </c>
      <c r="C29" s="1908"/>
      <c r="D29" s="350">
        <f t="shared" si="0"/>
        <v>92</v>
      </c>
      <c r="E29" s="351" t="s">
        <v>1840</v>
      </c>
      <c r="F29" s="351" t="s">
        <v>1887</v>
      </c>
      <c r="G29" s="326" t="s">
        <v>1902</v>
      </c>
      <c r="H29" s="326" t="s">
        <v>1869</v>
      </c>
      <c r="I29" s="350">
        <v>2010</v>
      </c>
      <c r="J29" s="1265">
        <v>2</v>
      </c>
      <c r="K29" s="1265">
        <v>12</v>
      </c>
      <c r="L29" s="349">
        <v>27668</v>
      </c>
      <c r="M29" s="352">
        <f t="shared" ca="1" si="3"/>
        <v>50</v>
      </c>
      <c r="N29" s="1265" t="s">
        <v>3547</v>
      </c>
      <c r="O29" s="1906"/>
      <c r="U29" s="254"/>
    </row>
    <row r="30" spans="1:21" ht="16.8" outlineLevel="1" thickTop="1" thickBot="1" x14ac:dyDescent="0.5">
      <c r="A30" s="334">
        <v>44469</v>
      </c>
      <c r="B30" s="334">
        <v>44769</v>
      </c>
      <c r="C30" s="390" t="s">
        <v>1003</v>
      </c>
      <c r="D30" s="384">
        <f t="shared" si="0"/>
        <v>300</v>
      </c>
      <c r="E30" s="385" t="s">
        <v>2240</v>
      </c>
      <c r="F30" s="385" t="s">
        <v>2241</v>
      </c>
      <c r="G30" s="385" t="s">
        <v>1003</v>
      </c>
      <c r="H30" s="386" t="s">
        <v>1003</v>
      </c>
      <c r="I30" s="338" t="s">
        <v>1003</v>
      </c>
      <c r="J30" s="338" t="s">
        <v>1003</v>
      </c>
      <c r="K30" s="338" t="s">
        <v>1003</v>
      </c>
      <c r="L30" s="339" t="s">
        <v>1003</v>
      </c>
      <c r="M30" s="338" t="s">
        <v>1003</v>
      </c>
      <c r="N30" s="1196" t="s">
        <v>3</v>
      </c>
      <c r="U30" s="254"/>
    </row>
    <row r="31" spans="1:21" ht="16.2" outlineLevel="1" thickTop="1" x14ac:dyDescent="0.45">
      <c r="A31" s="343">
        <v>44485</v>
      </c>
      <c r="B31" s="343">
        <v>44667</v>
      </c>
      <c r="C31" s="1907" t="s">
        <v>3133</v>
      </c>
      <c r="D31" s="344">
        <f t="shared" si="0"/>
        <v>182</v>
      </c>
      <c r="E31" s="345" t="s">
        <v>1842</v>
      </c>
      <c r="F31" s="345" t="s">
        <v>1879</v>
      </c>
      <c r="G31" s="346" t="s">
        <v>1826</v>
      </c>
      <c r="H31" s="346" t="s">
        <v>1874</v>
      </c>
      <c r="I31" s="344">
        <v>1998</v>
      </c>
      <c r="J31" s="347">
        <v>1</v>
      </c>
      <c r="K31" s="347">
        <v>4</v>
      </c>
      <c r="L31" s="343">
        <f>L9</f>
        <v>24390</v>
      </c>
      <c r="M31" s="348">
        <f t="shared" ca="1" si="3"/>
        <v>59</v>
      </c>
      <c r="N31" s="347" t="s">
        <v>3547</v>
      </c>
      <c r="O31" s="1906"/>
      <c r="U31" s="254"/>
    </row>
    <row r="32" spans="1:21" outlineLevel="1" x14ac:dyDescent="0.45">
      <c r="A32" s="353">
        <v>44485</v>
      </c>
      <c r="B32" s="353">
        <v>44667</v>
      </c>
      <c r="C32" s="1909"/>
      <c r="D32" s="354">
        <f t="shared" si="0"/>
        <v>182</v>
      </c>
      <c r="E32" s="355" t="s">
        <v>1842</v>
      </c>
      <c r="F32" s="355" t="s">
        <v>1879</v>
      </c>
      <c r="G32" s="327" t="s">
        <v>1862</v>
      </c>
      <c r="H32" s="327" t="s">
        <v>1912</v>
      </c>
      <c r="I32" s="354">
        <v>2010</v>
      </c>
      <c r="J32" s="1264">
        <v>2</v>
      </c>
      <c r="K32" s="1264">
        <v>10</v>
      </c>
      <c r="L32" s="353">
        <f>L19</f>
        <v>29247</v>
      </c>
      <c r="M32" s="356">
        <f t="shared" ca="1" si="3"/>
        <v>46</v>
      </c>
      <c r="N32" s="1264" t="s">
        <v>3547</v>
      </c>
      <c r="O32" s="1906"/>
      <c r="U32" s="254"/>
    </row>
    <row r="33" spans="1:21" ht="16.2" outlineLevel="1" thickBot="1" x14ac:dyDescent="0.5">
      <c r="A33" s="349">
        <v>44485</v>
      </c>
      <c r="B33" s="349">
        <v>44667</v>
      </c>
      <c r="C33" s="1908"/>
      <c r="D33" s="350">
        <f t="shared" si="0"/>
        <v>182</v>
      </c>
      <c r="E33" s="351" t="s">
        <v>1842</v>
      </c>
      <c r="F33" s="351" t="s">
        <v>1879</v>
      </c>
      <c r="G33" s="326" t="s">
        <v>1877</v>
      </c>
      <c r="H33" s="326" t="s">
        <v>1864</v>
      </c>
      <c r="I33" s="350">
        <v>2010</v>
      </c>
      <c r="J33" s="1265">
        <v>2</v>
      </c>
      <c r="K33" s="1265">
        <v>13</v>
      </c>
      <c r="L33" s="349">
        <v>29465</v>
      </c>
      <c r="M33" s="352">
        <f t="shared" ca="1" si="3"/>
        <v>45</v>
      </c>
      <c r="N33" s="1265" t="s">
        <v>3547</v>
      </c>
      <c r="O33" s="1906"/>
      <c r="U33" s="254"/>
    </row>
    <row r="34" spans="1:21" ht="16.8" outlineLevel="1" thickTop="1" thickBot="1" x14ac:dyDescent="0.5">
      <c r="A34" s="334">
        <v>44691</v>
      </c>
      <c r="B34" s="334">
        <v>44880</v>
      </c>
      <c r="C34" s="390" t="s">
        <v>1003</v>
      </c>
      <c r="D34" s="384">
        <f>B34-A34</f>
        <v>189</v>
      </c>
      <c r="E34" s="385" t="s">
        <v>2242</v>
      </c>
      <c r="F34" s="385" t="s">
        <v>2243</v>
      </c>
      <c r="G34" s="385" t="s">
        <v>1003</v>
      </c>
      <c r="H34" s="386" t="s">
        <v>1003</v>
      </c>
      <c r="I34" s="338" t="s">
        <v>1003</v>
      </c>
      <c r="J34" s="338" t="s">
        <v>1003</v>
      </c>
      <c r="K34" s="338" t="s">
        <v>1003</v>
      </c>
      <c r="L34" s="339" t="s">
        <v>1003</v>
      </c>
      <c r="M34" s="338" t="s">
        <v>1003</v>
      </c>
      <c r="N34" s="1196" t="s">
        <v>3</v>
      </c>
      <c r="U34" s="254"/>
    </row>
    <row r="35" spans="1:21" ht="16.2" outlineLevel="1" thickTop="1" x14ac:dyDescent="0.45">
      <c r="A35" s="343">
        <v>44717</v>
      </c>
      <c r="B35" s="343">
        <v>44899</v>
      </c>
      <c r="C35" s="1907" t="s">
        <v>2786</v>
      </c>
      <c r="D35" s="344">
        <f t="shared" si="0"/>
        <v>182</v>
      </c>
      <c r="E35" s="345" t="s">
        <v>1846</v>
      </c>
      <c r="F35" s="345" t="s">
        <v>1886</v>
      </c>
      <c r="G35" s="346" t="s">
        <v>1901</v>
      </c>
      <c r="H35" s="346" t="s">
        <v>1863</v>
      </c>
      <c r="I35" s="344">
        <v>2010</v>
      </c>
      <c r="J35" s="347">
        <v>2</v>
      </c>
      <c r="K35" s="347">
        <v>11</v>
      </c>
      <c r="L35" s="343">
        <f>L22</f>
        <v>28836</v>
      </c>
      <c r="M35" s="348">
        <f t="shared" ca="1" si="3"/>
        <v>47</v>
      </c>
      <c r="N35" s="347" t="s">
        <v>3547</v>
      </c>
      <c r="O35" s="1906"/>
      <c r="U35" s="254"/>
    </row>
    <row r="36" spans="1:21" outlineLevel="1" x14ac:dyDescent="0.45">
      <c r="A36" s="353">
        <v>44717</v>
      </c>
      <c r="B36" s="353">
        <v>44899</v>
      </c>
      <c r="C36" s="1909"/>
      <c r="D36" s="354">
        <f t="shared" si="0"/>
        <v>182</v>
      </c>
      <c r="E36" s="355" t="s">
        <v>1846</v>
      </c>
      <c r="F36" s="355" t="s">
        <v>1886</v>
      </c>
      <c r="G36" s="327" t="s">
        <v>1897</v>
      </c>
      <c r="H36" s="327" t="s">
        <v>1911</v>
      </c>
      <c r="I36" s="354">
        <v>2010</v>
      </c>
      <c r="J36" s="1264">
        <v>2</v>
      </c>
      <c r="K36" s="1264">
        <v>8</v>
      </c>
      <c r="L36" s="353">
        <f>L16</f>
        <v>28769</v>
      </c>
      <c r="M36" s="356">
        <f t="shared" ca="1" si="3"/>
        <v>47</v>
      </c>
      <c r="N36" s="1264" t="s">
        <v>3547</v>
      </c>
      <c r="O36" s="1906"/>
      <c r="U36" s="254"/>
    </row>
    <row r="37" spans="1:21" ht="16.2" outlineLevel="1" thickBot="1" x14ac:dyDescent="0.5">
      <c r="A37" s="349">
        <v>44717</v>
      </c>
      <c r="B37" s="349">
        <v>44899</v>
      </c>
      <c r="C37" s="1908"/>
      <c r="D37" s="350">
        <f t="shared" si="0"/>
        <v>182</v>
      </c>
      <c r="E37" s="351" t="s">
        <v>1846</v>
      </c>
      <c r="F37" s="351" t="s">
        <v>1886</v>
      </c>
      <c r="G37" s="326" t="s">
        <v>1952</v>
      </c>
      <c r="H37" s="326" t="s">
        <v>1865</v>
      </c>
      <c r="I37" s="350">
        <v>2010</v>
      </c>
      <c r="J37" s="1265">
        <v>2</v>
      </c>
      <c r="K37" s="1265">
        <v>14</v>
      </c>
      <c r="L37" s="349">
        <v>27881</v>
      </c>
      <c r="M37" s="352">
        <f t="shared" ca="1" si="3"/>
        <v>50</v>
      </c>
      <c r="N37" s="1265" t="s">
        <v>3547</v>
      </c>
      <c r="O37" s="1906"/>
      <c r="U37" s="254"/>
    </row>
    <row r="38" spans="1:21" ht="16.8" thickTop="1" thickBot="1" x14ac:dyDescent="0.5">
      <c r="A38" s="381">
        <v>44766</v>
      </c>
      <c r="B38" s="381">
        <v>48419</v>
      </c>
      <c r="C38" s="391" t="s">
        <v>1003</v>
      </c>
      <c r="D38" s="383">
        <f ca="1">MIN(B38-A38,TODAY()-A38)</f>
        <v>1443</v>
      </c>
      <c r="E38" s="382" t="s">
        <v>2229</v>
      </c>
      <c r="F38" s="382" t="s">
        <v>2230</v>
      </c>
      <c r="G38" s="382" t="s">
        <v>1003</v>
      </c>
      <c r="H38" s="382" t="s">
        <v>3</v>
      </c>
      <c r="I38" s="381" t="s">
        <v>3</v>
      </c>
      <c r="J38" s="381" t="s">
        <v>3</v>
      </c>
      <c r="K38" s="381" t="s">
        <v>3</v>
      </c>
      <c r="L38" s="381" t="s">
        <v>3</v>
      </c>
      <c r="M38" s="381" t="s">
        <v>3</v>
      </c>
      <c r="N38" s="381" t="s">
        <v>3</v>
      </c>
      <c r="U38" s="254"/>
    </row>
    <row r="39" spans="1:21" ht="16.8" thickTop="1" thickBot="1" x14ac:dyDescent="0.5">
      <c r="A39" s="381">
        <v>44858</v>
      </c>
      <c r="B39" s="381">
        <v>48511</v>
      </c>
      <c r="C39" s="391" t="s">
        <v>1003</v>
      </c>
      <c r="D39" s="383">
        <f ca="1">MIN(B39-A39,TODAY()-A39)</f>
        <v>1351</v>
      </c>
      <c r="E39" s="382" t="s">
        <v>2228</v>
      </c>
      <c r="F39" s="382" t="s">
        <v>2231</v>
      </c>
      <c r="G39" s="382" t="s">
        <v>1003</v>
      </c>
      <c r="H39" s="382" t="s">
        <v>3</v>
      </c>
      <c r="I39" s="381" t="s">
        <v>3</v>
      </c>
      <c r="J39" s="381" t="s">
        <v>3</v>
      </c>
      <c r="K39" s="381" t="s">
        <v>3</v>
      </c>
      <c r="L39" s="381" t="s">
        <v>3</v>
      </c>
      <c r="M39" s="381" t="s">
        <v>3</v>
      </c>
      <c r="N39" s="381" t="s">
        <v>3</v>
      </c>
      <c r="U39" s="254"/>
    </row>
    <row r="40" spans="1:21" ht="16.8" thickTop="1" thickBot="1" x14ac:dyDescent="0.5">
      <c r="A40" s="381">
        <v>44868</v>
      </c>
      <c r="B40" s="381">
        <v>48521</v>
      </c>
      <c r="C40" s="391" t="s">
        <v>1003</v>
      </c>
      <c r="D40" s="383">
        <f ca="1">MIN(B40-A40,TODAY()-A40)</f>
        <v>1341</v>
      </c>
      <c r="E40" s="382" t="s">
        <v>2221</v>
      </c>
      <c r="F40" s="382" t="s">
        <v>2232</v>
      </c>
      <c r="G40" s="382" t="s">
        <v>1003</v>
      </c>
      <c r="H40" s="382" t="s">
        <v>3</v>
      </c>
      <c r="I40" s="381" t="s">
        <v>3</v>
      </c>
      <c r="J40" s="381" t="s">
        <v>3</v>
      </c>
      <c r="K40" s="381" t="s">
        <v>3</v>
      </c>
      <c r="L40" s="381" t="s">
        <v>3</v>
      </c>
      <c r="M40" s="381" t="s">
        <v>3</v>
      </c>
      <c r="N40" s="381" t="s">
        <v>3</v>
      </c>
      <c r="U40" s="254"/>
    </row>
    <row r="41" spans="1:21" ht="16.8" outlineLevel="1" thickTop="1" thickBot="1" x14ac:dyDescent="0.5">
      <c r="A41" s="381">
        <v>44877</v>
      </c>
      <c r="B41" s="381">
        <v>45181</v>
      </c>
      <c r="C41" s="391" t="s">
        <v>1003</v>
      </c>
      <c r="D41" s="383">
        <f>B41-A41</f>
        <v>304</v>
      </c>
      <c r="E41" s="382" t="s">
        <v>2244</v>
      </c>
      <c r="F41" s="382" t="s">
        <v>2245</v>
      </c>
      <c r="G41" s="382" t="s">
        <v>1003</v>
      </c>
      <c r="H41" s="564" t="s">
        <v>1003</v>
      </c>
      <c r="I41" s="565" t="s">
        <v>1003</v>
      </c>
      <c r="J41" s="565" t="s">
        <v>1003</v>
      </c>
      <c r="K41" s="565" t="s">
        <v>1003</v>
      </c>
      <c r="L41" s="566" t="s">
        <v>1003</v>
      </c>
      <c r="M41" s="565" t="s">
        <v>1003</v>
      </c>
      <c r="N41" s="1197" t="s">
        <v>3</v>
      </c>
      <c r="U41" s="254"/>
    </row>
    <row r="42" spans="1:21" ht="16.2" outlineLevel="1" thickTop="1" x14ac:dyDescent="0.45">
      <c r="A42" s="343">
        <v>44894</v>
      </c>
      <c r="B42" s="343">
        <v>45081</v>
      </c>
      <c r="C42" s="1907" t="s">
        <v>3132</v>
      </c>
      <c r="D42" s="344">
        <f t="shared" si="0"/>
        <v>187</v>
      </c>
      <c r="E42" s="345" t="s">
        <v>1838</v>
      </c>
      <c r="F42" s="345" t="s">
        <v>1888</v>
      </c>
      <c r="G42" s="346" t="s">
        <v>1824</v>
      </c>
      <c r="H42" s="346" t="s">
        <v>1850</v>
      </c>
      <c r="I42" s="344">
        <v>1998</v>
      </c>
      <c r="J42" s="347">
        <v>1</v>
      </c>
      <c r="K42" s="347">
        <v>2</v>
      </c>
      <c r="L42" s="343">
        <f>L7</f>
        <v>23867</v>
      </c>
      <c r="M42" s="348">
        <f t="shared" ca="1" si="3"/>
        <v>61</v>
      </c>
      <c r="N42" s="347" t="s">
        <v>3547</v>
      </c>
      <c r="O42" s="1906"/>
      <c r="U42" s="254"/>
    </row>
    <row r="43" spans="1:21" outlineLevel="1" x14ac:dyDescent="0.45">
      <c r="A43" s="353">
        <v>44894</v>
      </c>
      <c r="B43" s="353">
        <v>45081</v>
      </c>
      <c r="C43" s="1909"/>
      <c r="D43" s="354">
        <f t="shared" si="0"/>
        <v>187</v>
      </c>
      <c r="E43" s="355" t="s">
        <v>1838</v>
      </c>
      <c r="F43" s="355" t="s">
        <v>1888</v>
      </c>
      <c r="G43" s="327" t="s">
        <v>1892</v>
      </c>
      <c r="H43" s="327" t="s">
        <v>3680</v>
      </c>
      <c r="I43" s="354">
        <v>1998</v>
      </c>
      <c r="J43" s="1264">
        <v>1</v>
      </c>
      <c r="K43" s="1264">
        <v>15</v>
      </c>
      <c r="L43" s="353">
        <v>24182</v>
      </c>
      <c r="M43" s="356">
        <f t="shared" ca="1" si="3"/>
        <v>60</v>
      </c>
      <c r="N43" s="1264" t="s">
        <v>3547</v>
      </c>
      <c r="O43" s="1906"/>
      <c r="U43" s="254"/>
    </row>
    <row r="44" spans="1:21" ht="16.2" outlineLevel="1" thickBot="1" x14ac:dyDescent="0.5">
      <c r="A44" s="349">
        <v>44894</v>
      </c>
      <c r="B44" s="349">
        <v>45081</v>
      </c>
      <c r="C44" s="1908"/>
      <c r="D44" s="350">
        <f t="shared" si="0"/>
        <v>187</v>
      </c>
      <c r="E44" s="351" t="s">
        <v>1838</v>
      </c>
      <c r="F44" s="351" t="s">
        <v>1888</v>
      </c>
      <c r="G44" s="326" t="s">
        <v>1893</v>
      </c>
      <c r="H44" s="326" t="s">
        <v>1866</v>
      </c>
      <c r="I44" s="350">
        <v>2010</v>
      </c>
      <c r="J44" s="1265">
        <v>2</v>
      </c>
      <c r="K44" s="1265">
        <v>16</v>
      </c>
      <c r="L44" s="349">
        <v>28065</v>
      </c>
      <c r="M44" s="352">
        <f t="shared" ca="1" si="3"/>
        <v>49</v>
      </c>
      <c r="N44" s="1265" t="s">
        <v>3547</v>
      </c>
      <c r="O44" s="1906"/>
      <c r="U44" s="254"/>
    </row>
    <row r="45" spans="1:21" ht="16.8" outlineLevel="1" thickTop="1" thickBot="1" x14ac:dyDescent="0.5">
      <c r="A45" s="381">
        <v>45056</v>
      </c>
      <c r="B45" s="381">
        <v>45310</v>
      </c>
      <c r="C45" s="391" t="s">
        <v>1003</v>
      </c>
      <c r="D45" s="383">
        <f t="shared" si="0"/>
        <v>254</v>
      </c>
      <c r="E45" s="382" t="s">
        <v>2246</v>
      </c>
      <c r="F45" s="382" t="s">
        <v>2247</v>
      </c>
      <c r="G45" s="382" t="s">
        <v>1003</v>
      </c>
      <c r="H45" s="564" t="s">
        <v>1003</v>
      </c>
      <c r="I45" s="565" t="s">
        <v>1003</v>
      </c>
      <c r="J45" s="565" t="s">
        <v>1003</v>
      </c>
      <c r="K45" s="565" t="s">
        <v>1003</v>
      </c>
      <c r="L45" s="566" t="s">
        <v>1003</v>
      </c>
      <c r="M45" s="565" t="s">
        <v>1003</v>
      </c>
      <c r="N45" s="1197" t="s">
        <v>3</v>
      </c>
      <c r="U45" s="254"/>
    </row>
    <row r="46" spans="1:21" ht="16.2" outlineLevel="1" thickTop="1" x14ac:dyDescent="0.45">
      <c r="A46" s="343">
        <v>45076</v>
      </c>
      <c r="B46" s="343">
        <v>45230</v>
      </c>
      <c r="C46" s="1907" t="s">
        <v>2785</v>
      </c>
      <c r="D46" s="344">
        <f t="shared" si="0"/>
        <v>154</v>
      </c>
      <c r="E46" s="345" t="s">
        <v>1845</v>
      </c>
      <c r="F46" s="345" t="s">
        <v>1884</v>
      </c>
      <c r="G46" s="346" t="s">
        <v>1828</v>
      </c>
      <c r="H46" s="346" t="s">
        <v>1853</v>
      </c>
      <c r="I46" s="344">
        <v>1998</v>
      </c>
      <c r="J46" s="347">
        <v>1</v>
      </c>
      <c r="K46" s="347">
        <v>6</v>
      </c>
      <c r="L46" s="343">
        <f>L11</f>
        <v>24404</v>
      </c>
      <c r="M46" s="348">
        <f t="shared" ca="1" si="3"/>
        <v>59</v>
      </c>
      <c r="N46" s="347" t="s">
        <v>3547</v>
      </c>
      <c r="O46" s="1906"/>
      <c r="U46" s="254"/>
    </row>
    <row r="47" spans="1:21" outlineLevel="1" x14ac:dyDescent="0.45">
      <c r="A47" s="353">
        <v>45076</v>
      </c>
      <c r="B47" s="353">
        <v>45230</v>
      </c>
      <c r="C47" s="1909"/>
      <c r="D47" s="354">
        <f t="shared" si="0"/>
        <v>154</v>
      </c>
      <c r="E47" s="355" t="s">
        <v>1845</v>
      </c>
      <c r="F47" s="355" t="s">
        <v>1884</v>
      </c>
      <c r="G47" s="327" t="s">
        <v>1896</v>
      </c>
      <c r="H47" s="327" t="s">
        <v>1867</v>
      </c>
      <c r="I47" s="354">
        <v>2020</v>
      </c>
      <c r="J47" s="1264">
        <v>3</v>
      </c>
      <c r="K47" s="1264">
        <v>17</v>
      </c>
      <c r="L47" s="353">
        <v>31656</v>
      </c>
      <c r="M47" s="356">
        <f t="shared" ca="1" si="3"/>
        <v>39</v>
      </c>
      <c r="N47" s="1264" t="s">
        <v>3550</v>
      </c>
      <c r="O47" s="1906"/>
      <c r="U47" s="254"/>
    </row>
    <row r="48" spans="1:21" ht="18.600000000000001" customHeight="1" outlineLevel="1" thickBot="1" x14ac:dyDescent="0.5">
      <c r="A48" s="349">
        <v>45076</v>
      </c>
      <c r="B48" s="349">
        <v>45230</v>
      </c>
      <c r="C48" s="1908"/>
      <c r="D48" s="350">
        <f t="shared" si="0"/>
        <v>154</v>
      </c>
      <c r="E48" s="351" t="s">
        <v>1845</v>
      </c>
      <c r="F48" s="351" t="s">
        <v>1884</v>
      </c>
      <c r="G48" s="326" t="s">
        <v>1894</v>
      </c>
      <c r="H48" s="326" t="s">
        <v>1868</v>
      </c>
      <c r="I48" s="350">
        <v>2020</v>
      </c>
      <c r="J48" s="1265">
        <v>3</v>
      </c>
      <c r="K48" s="1265">
        <v>18</v>
      </c>
      <c r="L48" s="349">
        <v>31717</v>
      </c>
      <c r="M48" s="352">
        <f t="shared" ca="1" si="3"/>
        <v>39</v>
      </c>
      <c r="N48" s="1265" t="s">
        <v>3553</v>
      </c>
      <c r="O48" s="1906"/>
      <c r="U48" s="254"/>
    </row>
    <row r="49" spans="1:23" ht="18.600000000000001" customHeight="1" outlineLevel="1" thickTop="1" x14ac:dyDescent="0.45">
      <c r="A49" s="343">
        <v>45225</v>
      </c>
      <c r="B49" s="343">
        <v>45412</v>
      </c>
      <c r="C49" s="1907" t="s">
        <v>2665</v>
      </c>
      <c r="D49" s="344">
        <f t="shared" si="0"/>
        <v>187</v>
      </c>
      <c r="E49" s="345" t="s">
        <v>1847</v>
      </c>
      <c r="F49" s="345" t="s">
        <v>1885</v>
      </c>
      <c r="G49" s="346" t="s">
        <v>1832</v>
      </c>
      <c r="H49" s="346" t="s">
        <v>1869</v>
      </c>
      <c r="I49" s="344">
        <v>2010</v>
      </c>
      <c r="J49" s="347">
        <v>2</v>
      </c>
      <c r="K49" s="347">
        <v>12</v>
      </c>
      <c r="L49" s="343">
        <f>L29</f>
        <v>27668</v>
      </c>
      <c r="M49" s="348">
        <f t="shared" ca="1" si="3"/>
        <v>50</v>
      </c>
      <c r="N49" s="347" t="s">
        <v>3547</v>
      </c>
      <c r="O49" s="1906"/>
      <c r="U49" s="254"/>
    </row>
    <row r="50" spans="1:23" ht="18.600000000000001" customHeight="1" outlineLevel="1" thickBot="1" x14ac:dyDescent="0.5">
      <c r="A50" s="353">
        <v>45225</v>
      </c>
      <c r="B50" s="353">
        <v>45412</v>
      </c>
      <c r="C50" s="1909"/>
      <c r="D50" s="354">
        <f t="shared" si="0"/>
        <v>187</v>
      </c>
      <c r="E50" s="355" t="s">
        <v>1847</v>
      </c>
      <c r="F50" s="355" t="s">
        <v>1885</v>
      </c>
      <c r="G50" s="327" t="s">
        <v>2647</v>
      </c>
      <c r="H50" s="327" t="s">
        <v>1870</v>
      </c>
      <c r="I50" s="354">
        <v>2020</v>
      </c>
      <c r="J50" s="1264">
        <v>3</v>
      </c>
      <c r="K50" s="1264">
        <v>19</v>
      </c>
      <c r="L50" s="353">
        <v>32843</v>
      </c>
      <c r="M50" s="356">
        <f t="shared" ca="1" si="3"/>
        <v>36</v>
      </c>
      <c r="N50" s="1264" t="s">
        <v>3547</v>
      </c>
      <c r="O50" s="1906"/>
      <c r="P50" s="257" t="s">
        <v>2187</v>
      </c>
      <c r="Q50" s="257" t="s">
        <v>1961</v>
      </c>
      <c r="R50" s="257" t="s">
        <v>1859</v>
      </c>
      <c r="S50" s="629" t="s">
        <v>1905</v>
      </c>
      <c r="T50" s="629" t="s">
        <v>1858</v>
      </c>
      <c r="U50" s="257" t="s">
        <v>1835</v>
      </c>
      <c r="V50" s="257" t="s">
        <v>1860</v>
      </c>
      <c r="W50" s="279" t="s">
        <v>1967</v>
      </c>
    </row>
    <row r="51" spans="1:23" ht="16.8" outlineLevel="1" thickTop="1" thickBot="1" x14ac:dyDescent="0.5">
      <c r="A51" s="349">
        <v>45225</v>
      </c>
      <c r="B51" s="349">
        <v>45412</v>
      </c>
      <c r="C51" s="1908"/>
      <c r="D51" s="350">
        <f t="shared" si="0"/>
        <v>187</v>
      </c>
      <c r="E51" s="351" t="s">
        <v>1847</v>
      </c>
      <c r="F51" s="351" t="s">
        <v>1885</v>
      </c>
      <c r="G51" s="326" t="s">
        <v>1895</v>
      </c>
      <c r="H51" s="326" t="s">
        <v>1871</v>
      </c>
      <c r="I51" s="350">
        <v>2020</v>
      </c>
      <c r="J51" s="1265">
        <v>3</v>
      </c>
      <c r="K51" s="1265">
        <v>20</v>
      </c>
      <c r="L51" s="349">
        <v>32174</v>
      </c>
      <c r="M51" s="352">
        <f t="shared" ca="1" si="3"/>
        <v>38</v>
      </c>
      <c r="N51" s="1265" t="s">
        <v>3547</v>
      </c>
      <c r="O51" s="1906"/>
      <c r="P51" s="1912">
        <f ca="1">SUM(Q51:Q52)</f>
        <v>16</v>
      </c>
      <c r="Q51" s="1247">
        <f ca="1">MIN(T51-S51,TODAY()-S51)</f>
        <v>13</v>
      </c>
      <c r="R51" s="1910" t="s">
        <v>1828</v>
      </c>
      <c r="S51" s="394">
        <v>41076</v>
      </c>
      <c r="T51" s="394">
        <v>41089</v>
      </c>
      <c r="U51" s="1251" t="s">
        <v>1843</v>
      </c>
      <c r="V51" s="395" t="s">
        <v>1882</v>
      </c>
      <c r="W51" s="1912">
        <f>RIGHT(V51,1)-RIGHT(V52,1)</f>
        <v>2</v>
      </c>
    </row>
    <row r="52" spans="1:23" ht="16.8" thickTop="1" thickBot="1" x14ac:dyDescent="0.5">
      <c r="A52" s="381">
        <v>45308</v>
      </c>
      <c r="B52" s="381">
        <v>45613</v>
      </c>
      <c r="C52" s="391" t="s">
        <v>1003</v>
      </c>
      <c r="D52" s="383">
        <f ca="1">MIN(B52-A52,TODAY()-A52)</f>
        <v>305</v>
      </c>
      <c r="E52" s="382" t="s">
        <v>2249</v>
      </c>
      <c r="F52" s="382" t="s">
        <v>2248</v>
      </c>
      <c r="G52" s="382" t="s">
        <v>1003</v>
      </c>
      <c r="H52" s="382" t="s">
        <v>1003</v>
      </c>
      <c r="I52" s="381" t="s">
        <v>1003</v>
      </c>
      <c r="J52" s="381" t="s">
        <v>1003</v>
      </c>
      <c r="K52" s="381" t="s">
        <v>1003</v>
      </c>
      <c r="L52" s="381" t="s">
        <v>1003</v>
      </c>
      <c r="M52" s="381" t="s">
        <v>1003</v>
      </c>
      <c r="N52" s="381" t="s">
        <v>3</v>
      </c>
      <c r="P52" s="1913"/>
      <c r="Q52" s="1248">
        <f ca="1">MIN(T52-S52,TODAY()-S52)</f>
        <v>3</v>
      </c>
      <c r="R52" s="1911" t="s">
        <v>1828</v>
      </c>
      <c r="S52" s="396">
        <v>39716</v>
      </c>
      <c r="T52" s="396">
        <v>39719</v>
      </c>
      <c r="U52" s="1252" t="s">
        <v>1841</v>
      </c>
      <c r="V52" s="397" t="s">
        <v>1881</v>
      </c>
      <c r="W52" s="1913"/>
    </row>
    <row r="53" spans="1:23" ht="16.2" outlineLevel="1" thickTop="1" x14ac:dyDescent="0.45">
      <c r="A53" s="343">
        <v>45407</v>
      </c>
      <c r="B53" s="343">
        <v>45600</v>
      </c>
      <c r="C53" s="1907" t="s">
        <v>2445</v>
      </c>
      <c r="D53" s="344">
        <f t="shared" si="0"/>
        <v>193</v>
      </c>
      <c r="E53" s="345" t="s">
        <v>1848</v>
      </c>
      <c r="F53" s="345" t="s">
        <v>1880</v>
      </c>
      <c r="G53" s="346" t="s">
        <v>1833</v>
      </c>
      <c r="H53" s="346" t="s">
        <v>1864</v>
      </c>
      <c r="I53" s="344">
        <v>2010</v>
      </c>
      <c r="J53" s="347">
        <v>2</v>
      </c>
      <c r="K53" s="347">
        <v>13</v>
      </c>
      <c r="L53" s="343">
        <f>L33</f>
        <v>29465</v>
      </c>
      <c r="M53" s="348">
        <f t="shared" ca="1" si="3"/>
        <v>45</v>
      </c>
      <c r="N53" s="347" t="s">
        <v>3547</v>
      </c>
      <c r="O53" s="1906"/>
      <c r="P53" s="1912">
        <f>SUM(Q53:Q54)</f>
        <v>95</v>
      </c>
      <c r="Q53" s="1247">
        <v>92</v>
      </c>
      <c r="R53" s="1910" t="s">
        <v>1827</v>
      </c>
      <c r="S53" s="394">
        <v>44364</v>
      </c>
      <c r="T53" s="394">
        <v>44456</v>
      </c>
      <c r="U53" s="1251" t="s">
        <v>1840</v>
      </c>
      <c r="V53" s="395" t="s">
        <v>1887</v>
      </c>
      <c r="W53" s="1916">
        <f>RIGHT(V53,2)-RIGHT(V54,1)</f>
        <v>5</v>
      </c>
    </row>
    <row r="54" spans="1:23" ht="16.2" outlineLevel="1" thickBot="1" x14ac:dyDescent="0.5">
      <c r="A54" s="353">
        <v>45407</v>
      </c>
      <c r="B54" s="353">
        <v>45600</v>
      </c>
      <c r="C54" s="1926"/>
      <c r="D54" s="354">
        <f t="shared" si="0"/>
        <v>193</v>
      </c>
      <c r="E54" s="355" t="s">
        <v>1848</v>
      </c>
      <c r="F54" s="355" t="s">
        <v>1880</v>
      </c>
      <c r="G54" s="327" t="s">
        <v>2648</v>
      </c>
      <c r="H54" s="327" t="s">
        <v>1872</v>
      </c>
      <c r="I54" s="354">
        <v>2020</v>
      </c>
      <c r="J54" s="1264">
        <v>3</v>
      </c>
      <c r="K54" s="1264">
        <v>21</v>
      </c>
      <c r="L54" s="353">
        <v>32782</v>
      </c>
      <c r="M54" s="356">
        <f t="shared" ca="1" si="3"/>
        <v>36</v>
      </c>
      <c r="N54" s="1264" t="s">
        <v>3547</v>
      </c>
      <c r="O54" s="1906"/>
      <c r="P54" s="1913"/>
      <c r="Q54" s="1248">
        <v>3</v>
      </c>
      <c r="R54" s="1911" t="s">
        <v>1827</v>
      </c>
      <c r="S54" s="400">
        <v>39716</v>
      </c>
      <c r="T54" s="400">
        <v>39719</v>
      </c>
      <c r="U54" s="1252" t="s">
        <v>1957</v>
      </c>
      <c r="V54" s="397" t="s">
        <v>1881</v>
      </c>
      <c r="W54" s="1917"/>
    </row>
    <row r="55" spans="1:23" ht="16.8" outlineLevel="1" thickTop="1" thickBot="1" x14ac:dyDescent="0.5">
      <c r="A55" s="349">
        <v>45407</v>
      </c>
      <c r="B55" s="349">
        <v>45600</v>
      </c>
      <c r="C55" s="1927"/>
      <c r="D55" s="350">
        <f t="shared" si="0"/>
        <v>193</v>
      </c>
      <c r="E55" s="351" t="s">
        <v>1848</v>
      </c>
      <c r="F55" s="351" t="s">
        <v>1880</v>
      </c>
      <c r="G55" s="326" t="s">
        <v>1964</v>
      </c>
      <c r="H55" s="326" t="s">
        <v>1873</v>
      </c>
      <c r="I55" s="350">
        <v>2020</v>
      </c>
      <c r="J55" s="1265">
        <v>3</v>
      </c>
      <c r="K55" s="1265">
        <v>22</v>
      </c>
      <c r="L55" s="349">
        <v>31959</v>
      </c>
      <c r="M55" s="352">
        <f t="shared" ca="1" si="3"/>
        <v>39</v>
      </c>
      <c r="N55" s="1265" t="s">
        <v>3547</v>
      </c>
      <c r="O55" s="1906"/>
      <c r="P55" s="1912">
        <f>SUM(Q55:Q57)</f>
        <v>112</v>
      </c>
      <c r="Q55" s="1247">
        <v>92</v>
      </c>
      <c r="R55" s="1910" t="s">
        <v>1825</v>
      </c>
      <c r="S55" s="394">
        <v>44364</v>
      </c>
      <c r="T55" s="394">
        <v>44456</v>
      </c>
      <c r="U55" s="1251" t="s">
        <v>1840</v>
      </c>
      <c r="V55" s="395" t="s">
        <v>1887</v>
      </c>
      <c r="W55" s="1247">
        <f>RIGHT(V55,2)-RIGHT(V56,2)</f>
        <v>2</v>
      </c>
    </row>
    <row r="56" spans="1:23" ht="32.4" outlineLevel="1" thickTop="1" thickBot="1" x14ac:dyDescent="0.5">
      <c r="A56" s="381">
        <v>45415</v>
      </c>
      <c r="B56" s="381">
        <v>45468</v>
      </c>
      <c r="C56" s="559" t="s">
        <v>2784</v>
      </c>
      <c r="D56" s="560">
        <f t="shared" si="0"/>
        <v>53</v>
      </c>
      <c r="E56" s="561" t="s">
        <v>2013</v>
      </c>
      <c r="F56" s="562" t="s">
        <v>2014</v>
      </c>
      <c r="G56" s="563" t="s">
        <v>1003</v>
      </c>
      <c r="H56" s="564" t="s">
        <v>1003</v>
      </c>
      <c r="I56" s="565" t="s">
        <v>1003</v>
      </c>
      <c r="J56" s="565" t="s">
        <v>1003</v>
      </c>
      <c r="K56" s="565" t="s">
        <v>1003</v>
      </c>
      <c r="L56" s="566" t="s">
        <v>1003</v>
      </c>
      <c r="M56" s="565" t="s">
        <v>1003</v>
      </c>
      <c r="N56" s="1197" t="s">
        <v>3</v>
      </c>
      <c r="P56" s="1914"/>
      <c r="Q56" s="1254">
        <v>15</v>
      </c>
      <c r="R56" s="1931"/>
      <c r="S56" s="398">
        <v>41436</v>
      </c>
      <c r="T56" s="398">
        <v>41451</v>
      </c>
      <c r="U56" s="1256" t="s">
        <v>1958</v>
      </c>
      <c r="V56" s="399" t="s">
        <v>1878</v>
      </c>
      <c r="W56" s="1914">
        <f>RIGHT(V56,2)-RIGHT(V57,1)</f>
        <v>4</v>
      </c>
    </row>
    <row r="57" spans="1:23" ht="16.8" thickTop="1" thickBot="1" x14ac:dyDescent="0.5">
      <c r="A57" s="343">
        <v>45595</v>
      </c>
      <c r="B57" s="343">
        <v>45777</v>
      </c>
      <c r="C57" s="1907" t="s">
        <v>3114</v>
      </c>
      <c r="D57" s="344">
        <f ca="1">MIN(B57-A57,TODAY()-A57)</f>
        <v>182</v>
      </c>
      <c r="E57" s="345" t="s">
        <v>1949</v>
      </c>
      <c r="F57" s="345" t="s">
        <v>1948</v>
      </c>
      <c r="G57" s="346" t="s">
        <v>1952</v>
      </c>
      <c r="H57" s="346" t="s">
        <v>1865</v>
      </c>
      <c r="I57" s="344">
        <v>2010</v>
      </c>
      <c r="J57" s="347">
        <v>2</v>
      </c>
      <c r="K57" s="347">
        <v>14</v>
      </c>
      <c r="L57" s="343">
        <f>L37</f>
        <v>27881</v>
      </c>
      <c r="M57" s="348">
        <f ca="1">DATEDIF(L57,TODAY(),"Y")</f>
        <v>50</v>
      </c>
      <c r="N57" s="347" t="s">
        <v>3547</v>
      </c>
      <c r="O57" s="1915"/>
      <c r="P57" s="1913"/>
      <c r="Q57" s="1248">
        <v>5</v>
      </c>
      <c r="R57" s="1911"/>
      <c r="S57" s="396">
        <v>38637</v>
      </c>
      <c r="T57" s="396">
        <v>38642</v>
      </c>
      <c r="U57" s="1252" t="s">
        <v>1960</v>
      </c>
      <c r="V57" s="397" t="s">
        <v>1890</v>
      </c>
      <c r="W57" s="1913"/>
    </row>
    <row r="58" spans="1:23" ht="16.2" thickTop="1" x14ac:dyDescent="0.45">
      <c r="A58" s="353">
        <v>45595</v>
      </c>
      <c r="B58" s="353">
        <v>45777</v>
      </c>
      <c r="C58" s="1909"/>
      <c r="D58" s="354">
        <f t="shared" ref="D58:D72" ca="1" si="4">MIN(B58-A58,TODAY()-A58)</f>
        <v>182</v>
      </c>
      <c r="E58" s="355" t="s">
        <v>1949</v>
      </c>
      <c r="F58" s="355" t="s">
        <v>1948</v>
      </c>
      <c r="G58" s="327" t="s">
        <v>2209</v>
      </c>
      <c r="H58" s="327" t="s">
        <v>2210</v>
      </c>
      <c r="I58" s="354">
        <v>2020</v>
      </c>
      <c r="J58" s="1264">
        <v>3</v>
      </c>
      <c r="K58" s="1264">
        <v>23</v>
      </c>
      <c r="L58" s="353">
        <v>33086</v>
      </c>
      <c r="M58" s="356">
        <f ca="1">DATEDIF(L58,TODAY(),"Y")</f>
        <v>35</v>
      </c>
      <c r="N58" s="1264" t="s">
        <v>3547</v>
      </c>
      <c r="O58" s="1915"/>
      <c r="P58" s="1912">
        <f>SUM(Q58:Q59)</f>
        <v>185</v>
      </c>
      <c r="Q58" s="1247">
        <v>182</v>
      </c>
      <c r="R58" s="1910" t="s">
        <v>1826</v>
      </c>
      <c r="S58" s="394">
        <v>44485</v>
      </c>
      <c r="T58" s="394">
        <v>44667</v>
      </c>
      <c r="U58" s="1251" t="s">
        <v>1842</v>
      </c>
      <c r="V58" s="395" t="s">
        <v>1879</v>
      </c>
      <c r="W58" s="1912">
        <f>RIGHT(V58,2)-RIGHT(V59,1)</f>
        <v>6</v>
      </c>
    </row>
    <row r="59" spans="1:23" ht="16.2" thickBot="1" x14ac:dyDescent="0.5">
      <c r="A59" s="349">
        <v>45595</v>
      </c>
      <c r="B59" s="349">
        <v>45777</v>
      </c>
      <c r="C59" s="1908"/>
      <c r="D59" s="350">
        <f t="shared" ca="1" si="4"/>
        <v>182</v>
      </c>
      <c r="E59" s="351" t="s">
        <v>1949</v>
      </c>
      <c r="F59" s="351" t="s">
        <v>1948</v>
      </c>
      <c r="G59" s="326" t="s">
        <v>2211</v>
      </c>
      <c r="H59" s="326" t="s">
        <v>2212</v>
      </c>
      <c r="I59" s="350">
        <v>2020</v>
      </c>
      <c r="J59" s="1265">
        <v>3</v>
      </c>
      <c r="K59" s="1265">
        <v>24</v>
      </c>
      <c r="L59" s="349">
        <v>32933</v>
      </c>
      <c r="M59" s="352">
        <f ca="1">DATEDIF(L59,TODAY(),"Y")</f>
        <v>36</v>
      </c>
      <c r="N59" s="1265" t="s">
        <v>3549</v>
      </c>
      <c r="O59" s="1915"/>
      <c r="P59" s="1913"/>
      <c r="Q59" s="1248">
        <v>3</v>
      </c>
      <c r="R59" s="1911" t="s">
        <v>1826</v>
      </c>
      <c r="S59" s="396">
        <v>39716</v>
      </c>
      <c r="T59" s="396">
        <v>39719</v>
      </c>
      <c r="U59" s="1252" t="s">
        <v>1957</v>
      </c>
      <c r="V59" s="397" t="s">
        <v>1966</v>
      </c>
      <c r="W59" s="1913"/>
    </row>
    <row r="60" spans="1:23" ht="16.8" thickTop="1" thickBot="1" x14ac:dyDescent="0.5">
      <c r="A60" s="381">
        <v>45611</v>
      </c>
      <c r="B60" s="381">
        <v>45847</v>
      </c>
      <c r="C60" s="391" t="s">
        <v>1003</v>
      </c>
      <c r="D60" s="383">
        <f ca="1">MIN(B60-A60,TODAY()-A60)</f>
        <v>236</v>
      </c>
      <c r="E60" s="382" t="s">
        <v>2250</v>
      </c>
      <c r="F60" s="382" t="s">
        <v>2251</v>
      </c>
      <c r="G60" s="382" t="s">
        <v>1003</v>
      </c>
      <c r="H60" s="382" t="s">
        <v>1003</v>
      </c>
      <c r="I60" s="381" t="s">
        <v>1003</v>
      </c>
      <c r="J60" s="381" t="s">
        <v>1003</v>
      </c>
      <c r="K60" s="381" t="s">
        <v>1003</v>
      </c>
      <c r="L60" s="381" t="s">
        <v>1003</v>
      </c>
      <c r="M60" s="381" t="s">
        <v>1003</v>
      </c>
      <c r="N60" s="381" t="s">
        <v>3</v>
      </c>
      <c r="P60" s="1912">
        <f>SUM(Q62:Q63)</f>
        <v>186</v>
      </c>
      <c r="Q60" s="1247">
        <v>154</v>
      </c>
      <c r="R60" s="1910" t="s">
        <v>1828</v>
      </c>
      <c r="S60" s="394">
        <v>45076</v>
      </c>
      <c r="T60" s="394">
        <v>45230</v>
      </c>
      <c r="U60" s="1251" t="s">
        <v>1845</v>
      </c>
      <c r="V60" s="395" t="s">
        <v>1884</v>
      </c>
      <c r="W60" s="1255">
        <f>RIGHT(V60,2)-RIGHT(V61,2)</f>
        <v>5</v>
      </c>
    </row>
    <row r="61" spans="1:23" ht="16.2" thickTop="1" x14ac:dyDescent="0.45">
      <c r="A61" s="343">
        <v>45771</v>
      </c>
      <c r="B61" s="343">
        <f>乘组预测!H116</f>
        <v>45975</v>
      </c>
      <c r="C61" s="1253"/>
      <c r="D61" s="344">
        <f t="shared" ca="1" si="4"/>
        <v>204</v>
      </c>
      <c r="E61" s="345" t="s">
        <v>1968</v>
      </c>
      <c r="F61" s="345" t="s">
        <v>2172</v>
      </c>
      <c r="G61" s="346" t="s">
        <v>1901</v>
      </c>
      <c r="H61" s="346" t="s">
        <v>1863</v>
      </c>
      <c r="I61" s="344">
        <v>2010</v>
      </c>
      <c r="J61" s="347">
        <v>2</v>
      </c>
      <c r="K61" s="347">
        <v>11</v>
      </c>
      <c r="L61" s="343">
        <f>L35</f>
        <v>28836</v>
      </c>
      <c r="M61" s="348">
        <f ca="1">DATEDIF(L61,TODAY(),"Y")</f>
        <v>47</v>
      </c>
      <c r="N61" s="347" t="s">
        <v>3547</v>
      </c>
      <c r="P61" s="1914"/>
      <c r="Q61" s="1254">
        <v>32</v>
      </c>
      <c r="R61" s="1931"/>
      <c r="S61" s="398">
        <v>42660</v>
      </c>
      <c r="T61" s="398">
        <v>42692</v>
      </c>
      <c r="U61" s="1256" t="s">
        <v>1844</v>
      </c>
      <c r="V61" s="399" t="s">
        <v>1883</v>
      </c>
      <c r="W61" s="1254">
        <f>RIGHT(V61,2)-RIGHT(V62,1)</f>
        <v>2</v>
      </c>
    </row>
    <row r="62" spans="1:23" ht="18" customHeight="1" x14ac:dyDescent="0.45">
      <c r="A62" s="353">
        <v>45771</v>
      </c>
      <c r="B62" s="353">
        <f>B61</f>
        <v>45975</v>
      </c>
      <c r="C62" s="1249"/>
      <c r="D62" s="354">
        <f t="shared" ca="1" si="4"/>
        <v>204</v>
      </c>
      <c r="E62" s="355" t="s">
        <v>1968</v>
      </c>
      <c r="F62" s="355" t="s">
        <v>2172</v>
      </c>
      <c r="G62" s="327" t="s">
        <v>2758</v>
      </c>
      <c r="H62" s="327" t="s">
        <v>2760</v>
      </c>
      <c r="I62" s="354">
        <v>2020</v>
      </c>
      <c r="J62" s="1264">
        <v>3</v>
      </c>
      <c r="K62" s="1264">
        <v>25</v>
      </c>
      <c r="L62" s="353">
        <v>30956</v>
      </c>
      <c r="M62" s="356">
        <f t="shared" ref="M62:M63" ca="1" si="5">DATEDIF(L62,TODAY(),"Y")</f>
        <v>41</v>
      </c>
      <c r="N62" s="1264" t="s">
        <v>3547</v>
      </c>
      <c r="P62" s="1914"/>
      <c r="Q62" s="1254">
        <v>154</v>
      </c>
      <c r="R62" s="1931"/>
      <c r="S62" s="398">
        <v>41066</v>
      </c>
      <c r="T62" s="398">
        <v>41079</v>
      </c>
      <c r="U62" s="1256" t="s">
        <v>2264</v>
      </c>
      <c r="V62" s="399" t="s">
        <v>2625</v>
      </c>
      <c r="W62" s="1914">
        <f>RIGHT(V62,1)-RIGHT(V63,1)</f>
        <v>3</v>
      </c>
    </row>
    <row r="63" spans="1:23" ht="18.600000000000001" customHeight="1" thickBot="1" x14ac:dyDescent="0.5">
      <c r="A63" s="353">
        <v>45771</v>
      </c>
      <c r="B63" s="353">
        <f>B61</f>
        <v>45975</v>
      </c>
      <c r="C63" s="698"/>
      <c r="D63" s="354">
        <f t="shared" ca="1" si="4"/>
        <v>204</v>
      </c>
      <c r="E63" s="355" t="s">
        <v>1968</v>
      </c>
      <c r="F63" s="355" t="s">
        <v>2172</v>
      </c>
      <c r="G63" s="327" t="s">
        <v>2759</v>
      </c>
      <c r="H63" s="327" t="s">
        <v>2761</v>
      </c>
      <c r="I63" s="354">
        <v>2020</v>
      </c>
      <c r="J63" s="1264">
        <v>3</v>
      </c>
      <c r="K63" s="1264">
        <v>26</v>
      </c>
      <c r="L63" s="353">
        <v>32752</v>
      </c>
      <c r="M63" s="356">
        <f t="shared" ca="1" si="5"/>
        <v>36</v>
      </c>
      <c r="N63" s="1264" t="s">
        <v>3549</v>
      </c>
      <c r="P63" s="1913"/>
      <c r="Q63" s="1248">
        <v>32</v>
      </c>
      <c r="R63" s="1911"/>
      <c r="S63" s="396">
        <v>41076</v>
      </c>
      <c r="T63" s="396">
        <v>41089</v>
      </c>
      <c r="U63" s="1252" t="s">
        <v>2262</v>
      </c>
      <c r="V63" s="397" t="s">
        <v>2626</v>
      </c>
      <c r="W63" s="1913"/>
    </row>
    <row r="64" spans="1:23" ht="19.2" customHeight="1" thickTop="1" thickBot="1" x14ac:dyDescent="0.5">
      <c r="A64" s="349">
        <f>乘组预测!G117</f>
        <v>45975</v>
      </c>
      <c r="B64" s="349">
        <v>46041</v>
      </c>
      <c r="C64" s="1250"/>
      <c r="D64" s="350">
        <f t="shared" ref="D64" ca="1" si="6">MIN(B64-A64,TODAY()-A64)</f>
        <v>66</v>
      </c>
      <c r="E64" s="351" t="s">
        <v>1968</v>
      </c>
      <c r="F64" s="351" t="s">
        <v>2172</v>
      </c>
      <c r="G64" s="326" t="s">
        <v>2222</v>
      </c>
      <c r="H64" s="326" t="s">
        <v>3</v>
      </c>
      <c r="I64" s="350" t="s">
        <v>3</v>
      </c>
      <c r="J64" s="1265" t="s">
        <v>3</v>
      </c>
      <c r="K64" s="1265" t="s">
        <v>3</v>
      </c>
      <c r="L64" s="349" t="s">
        <v>3</v>
      </c>
      <c r="M64" s="352" t="s">
        <v>3</v>
      </c>
      <c r="N64" s="1265" t="s">
        <v>3</v>
      </c>
      <c r="P64" s="1912">
        <f>SUM(Q64:Q65)</f>
        <v>192</v>
      </c>
      <c r="Q64" s="1247">
        <f>T64-S64</f>
        <v>187</v>
      </c>
      <c r="R64" s="1910" t="s">
        <v>1824</v>
      </c>
      <c r="S64" s="394">
        <v>44894</v>
      </c>
      <c r="T64" s="394">
        <v>45081</v>
      </c>
      <c r="U64" s="1251" t="s">
        <v>1838</v>
      </c>
      <c r="V64" s="395" t="s">
        <v>1888</v>
      </c>
      <c r="W64" s="1912">
        <f>RIGHT(V64,2)-RIGHT(V65,1)</f>
        <v>9</v>
      </c>
    </row>
    <row r="65" spans="1:23" ht="16.8" thickTop="1" thickBot="1" x14ac:dyDescent="0.5">
      <c r="A65" s="381">
        <v>45853</v>
      </c>
      <c r="B65" s="381">
        <v>46149</v>
      </c>
      <c r="C65" s="391" t="s">
        <v>1003</v>
      </c>
      <c r="D65" s="383">
        <f ca="1">MIN(B65-A65,TODAY()-A65)</f>
        <v>296</v>
      </c>
      <c r="E65" s="382" t="s">
        <v>2666</v>
      </c>
      <c r="F65" s="382" t="s">
        <v>2667</v>
      </c>
      <c r="G65" s="382" t="s">
        <v>1003</v>
      </c>
      <c r="H65" s="382" t="s">
        <v>1003</v>
      </c>
      <c r="I65" s="381" t="s">
        <v>1003</v>
      </c>
      <c r="J65" s="381" t="s">
        <v>1003</v>
      </c>
      <c r="K65" s="381" t="s">
        <v>1003</v>
      </c>
      <c r="L65" s="381" t="s">
        <v>1003</v>
      </c>
      <c r="M65" s="381" t="s">
        <v>1003</v>
      </c>
      <c r="N65" s="381" t="s">
        <v>3</v>
      </c>
      <c r="P65" s="1913"/>
      <c r="Q65" s="1248">
        <f>T65-S65</f>
        <v>5</v>
      </c>
      <c r="R65" s="1911" t="s">
        <v>1824</v>
      </c>
      <c r="S65" s="396">
        <v>38637</v>
      </c>
      <c r="T65" s="396">
        <v>38642</v>
      </c>
      <c r="U65" s="1252" t="s">
        <v>1960</v>
      </c>
      <c r="V65" s="397" t="s">
        <v>1890</v>
      </c>
      <c r="W65" s="1913"/>
    </row>
    <row r="66" spans="1:23" ht="16.2" thickTop="1" x14ac:dyDescent="0.45">
      <c r="A66" s="491">
        <f>乘组预测!G118</f>
        <v>45961</v>
      </c>
      <c r="B66" s="491">
        <v>45975</v>
      </c>
      <c r="C66" s="1935"/>
      <c r="D66" s="520">
        <f ca="1">MIN(B66-A66,TODAY()-A66)</f>
        <v>14</v>
      </c>
      <c r="E66" s="521" t="s">
        <v>2628</v>
      </c>
      <c r="F66" s="521" t="s">
        <v>2627</v>
      </c>
      <c r="G66" s="522" t="s">
        <v>2702</v>
      </c>
      <c r="H66" s="522" t="s">
        <v>3109</v>
      </c>
      <c r="I66" s="520">
        <v>2010</v>
      </c>
      <c r="J66" s="523">
        <v>2</v>
      </c>
      <c r="K66" s="523">
        <v>16</v>
      </c>
      <c r="L66" s="491">
        <v>28065</v>
      </c>
      <c r="M66" s="524">
        <f t="shared" ref="M66:M79" ca="1" si="7">DATEDIF(L66,TODAY(),"Y")</f>
        <v>49</v>
      </c>
      <c r="N66" s="523" t="s">
        <v>3547</v>
      </c>
      <c r="P66" s="1912">
        <f>SUM(Q66:Q67)</f>
        <v>195</v>
      </c>
      <c r="Q66" s="401">
        <v>182</v>
      </c>
      <c r="R66" s="1910" t="s">
        <v>1956</v>
      </c>
      <c r="S66" s="402">
        <v>44717</v>
      </c>
      <c r="T66" s="402">
        <v>44899</v>
      </c>
      <c r="U66" s="403" t="s">
        <v>1846</v>
      </c>
      <c r="V66" s="404" t="s">
        <v>1886</v>
      </c>
      <c r="W66" s="1916">
        <f>RIGHT(V66,2)-RIGHT(V67,2)</f>
        <v>5</v>
      </c>
    </row>
    <row r="67" spans="1:23" ht="16.2" thickBot="1" x14ac:dyDescent="0.5">
      <c r="A67" s="353">
        <f>A66</f>
        <v>45961</v>
      </c>
      <c r="B67" s="353">
        <v>45975</v>
      </c>
      <c r="C67" s="1909"/>
      <c r="D67" s="354">
        <f ca="1">MIN(B67-A67,TODAY()-A67)</f>
        <v>14</v>
      </c>
      <c r="E67" s="355" t="s">
        <v>2629</v>
      </c>
      <c r="F67" s="355" t="s">
        <v>2627</v>
      </c>
      <c r="G67" s="327" t="s">
        <v>3110</v>
      </c>
      <c r="H67" s="327" t="s">
        <v>3112</v>
      </c>
      <c r="I67" s="354">
        <v>2020</v>
      </c>
      <c r="J67" s="1264">
        <v>3</v>
      </c>
      <c r="K67" s="1264">
        <v>27</v>
      </c>
      <c r="L67" s="353">
        <v>34243</v>
      </c>
      <c r="M67" s="356">
        <f t="shared" ca="1" si="7"/>
        <v>32</v>
      </c>
      <c r="N67" s="1264" t="s">
        <v>3549</v>
      </c>
      <c r="P67" s="1913"/>
      <c r="Q67" s="1248">
        <v>13</v>
      </c>
      <c r="R67" s="1911" t="s">
        <v>1956</v>
      </c>
      <c r="S67" s="396">
        <v>41076</v>
      </c>
      <c r="T67" s="396">
        <v>41089</v>
      </c>
      <c r="U67" s="1252" t="s">
        <v>1954</v>
      </c>
      <c r="V67" s="397" t="s">
        <v>1955</v>
      </c>
      <c r="W67" s="1917"/>
    </row>
    <row r="68" spans="1:23" ht="16.2" customHeight="1" thickTop="1" thickBot="1" x14ac:dyDescent="0.5">
      <c r="A68" s="349">
        <f>A66</f>
        <v>45961</v>
      </c>
      <c r="B68" s="349">
        <v>45975</v>
      </c>
      <c r="C68" s="1908"/>
      <c r="D68" s="350">
        <f ca="1">MIN(B68-A68,TODAY()-A68)</f>
        <v>14</v>
      </c>
      <c r="E68" s="351" t="s">
        <v>2628</v>
      </c>
      <c r="F68" s="351" t="s">
        <v>2627</v>
      </c>
      <c r="G68" s="326" t="s">
        <v>3111</v>
      </c>
      <c r="H68" s="326" t="s">
        <v>3113</v>
      </c>
      <c r="I68" s="350">
        <v>2020</v>
      </c>
      <c r="J68" s="1265">
        <v>3</v>
      </c>
      <c r="K68" s="1265">
        <v>28</v>
      </c>
      <c r="L68" s="349">
        <v>31503</v>
      </c>
      <c r="M68" s="352">
        <f t="shared" ca="1" si="7"/>
        <v>40</v>
      </c>
      <c r="N68" s="1265" t="s">
        <v>3553</v>
      </c>
      <c r="P68" s="1912">
        <f>SUM(Q68:Q69)</f>
        <v>197</v>
      </c>
      <c r="Q68" s="1247">
        <v>182</v>
      </c>
      <c r="R68" s="1910" t="s">
        <v>1959</v>
      </c>
      <c r="S68" s="394">
        <v>44485</v>
      </c>
      <c r="T68" s="394">
        <v>44667</v>
      </c>
      <c r="U68" s="1251" t="s">
        <v>1842</v>
      </c>
      <c r="V68" s="395" t="s">
        <v>1879</v>
      </c>
      <c r="W68" s="1912">
        <f>RIGHT(V68,2)-RIGHT(V69,2)</f>
        <v>3</v>
      </c>
    </row>
    <row r="69" spans="1:23" ht="16.8" thickTop="1" thickBot="1" x14ac:dyDescent="0.5">
      <c r="A69" s="1257">
        <v>45975</v>
      </c>
      <c r="B69" s="1257">
        <v>45975</v>
      </c>
      <c r="C69" s="1932" t="s">
        <v>3175</v>
      </c>
      <c r="D69" s="556">
        <v>0</v>
      </c>
      <c r="E69" s="557" t="s">
        <v>2628</v>
      </c>
      <c r="F69" s="557" t="s">
        <v>3169</v>
      </c>
      <c r="G69" s="1266" t="s">
        <v>1831</v>
      </c>
      <c r="H69" s="1266" t="s">
        <v>3170</v>
      </c>
      <c r="I69" s="556">
        <v>2010</v>
      </c>
      <c r="J69" s="1261">
        <v>2</v>
      </c>
      <c r="K69" s="1261">
        <v>11</v>
      </c>
      <c r="L69" s="1257">
        <v>28836</v>
      </c>
      <c r="M69" s="558">
        <f t="shared" ca="1" si="7"/>
        <v>47</v>
      </c>
      <c r="N69" s="1261" t="s">
        <v>3547</v>
      </c>
      <c r="P69" s="1913"/>
      <c r="Q69" s="1248">
        <v>15</v>
      </c>
      <c r="R69" s="1911" t="s">
        <v>1959</v>
      </c>
      <c r="S69" s="396">
        <v>41436</v>
      </c>
      <c r="T69" s="396">
        <v>41451</v>
      </c>
      <c r="U69" s="1252" t="s">
        <v>1958</v>
      </c>
      <c r="V69" s="397" t="s">
        <v>1878</v>
      </c>
      <c r="W69" s="1913"/>
    </row>
    <row r="70" spans="1:23" ht="16.2" thickTop="1" x14ac:dyDescent="0.45">
      <c r="A70" s="1258">
        <f>A69</f>
        <v>45975</v>
      </c>
      <c r="B70" s="1258">
        <f>B69</f>
        <v>45975</v>
      </c>
      <c r="C70" s="1933"/>
      <c r="D70" s="530">
        <v>0</v>
      </c>
      <c r="E70" s="531" t="s">
        <v>2629</v>
      </c>
      <c r="F70" s="531" t="s">
        <v>3169</v>
      </c>
      <c r="G70" s="1267" t="s">
        <v>2870</v>
      </c>
      <c r="H70" s="1267" t="s">
        <v>3171</v>
      </c>
      <c r="I70" s="530">
        <v>2020</v>
      </c>
      <c r="J70" s="1262">
        <v>3</v>
      </c>
      <c r="K70" s="1262">
        <v>25</v>
      </c>
      <c r="L70" s="1258">
        <v>30956</v>
      </c>
      <c r="M70" s="532">
        <f t="shared" ca="1" si="7"/>
        <v>41</v>
      </c>
      <c r="N70" s="1262" t="s">
        <v>3547</v>
      </c>
      <c r="P70" s="1912">
        <f>SUM(Q70:Q71)</f>
        <v>214</v>
      </c>
      <c r="Q70" s="1247">
        <v>182</v>
      </c>
      <c r="R70" s="1910" t="s">
        <v>1831</v>
      </c>
      <c r="S70" s="394">
        <v>44717</v>
      </c>
      <c r="T70" s="394">
        <v>44899</v>
      </c>
      <c r="U70" s="1251" t="s">
        <v>1846</v>
      </c>
      <c r="V70" s="395" t="s">
        <v>1886</v>
      </c>
      <c r="W70" s="1912">
        <f>RIGHT(V70,2)-RIGHT(V71,2)</f>
        <v>3</v>
      </c>
    </row>
    <row r="71" spans="1:23" ht="16.2" thickBot="1" x14ac:dyDescent="0.5">
      <c r="A71" s="1259">
        <f>A69</f>
        <v>45975</v>
      </c>
      <c r="B71" s="1259">
        <f>B69</f>
        <v>45975</v>
      </c>
      <c r="C71" s="1934"/>
      <c r="D71" s="340">
        <v>0</v>
      </c>
      <c r="E71" s="341" t="s">
        <v>2628</v>
      </c>
      <c r="F71" s="341" t="s">
        <v>3169</v>
      </c>
      <c r="G71" s="1268" t="s">
        <v>3172</v>
      </c>
      <c r="H71" s="1268" t="s">
        <v>3173</v>
      </c>
      <c r="I71" s="340">
        <v>2020</v>
      </c>
      <c r="J71" s="1263">
        <v>3</v>
      </c>
      <c r="K71" s="1263">
        <v>26</v>
      </c>
      <c r="L71" s="1259">
        <v>32752</v>
      </c>
      <c r="M71" s="342">
        <f t="shared" ca="1" si="7"/>
        <v>36</v>
      </c>
      <c r="N71" s="1263" t="s">
        <v>3549</v>
      </c>
      <c r="P71" s="1913"/>
      <c r="Q71" s="1248">
        <v>32</v>
      </c>
      <c r="R71" s="1911" t="s">
        <v>1831</v>
      </c>
      <c r="S71" s="396">
        <v>42660</v>
      </c>
      <c r="T71" s="396">
        <v>42692</v>
      </c>
      <c r="U71" s="1252" t="s">
        <v>1844</v>
      </c>
      <c r="V71" s="397" t="s">
        <v>1883</v>
      </c>
      <c r="W71" s="1913"/>
    </row>
    <row r="72" spans="1:23" ht="16.2" thickTop="1" x14ac:dyDescent="0.45">
      <c r="A72" s="491">
        <f>乘组预测!G119</f>
        <v>45975</v>
      </c>
      <c r="B72" s="491">
        <v>45986</v>
      </c>
      <c r="C72" s="1909"/>
      <c r="D72" s="520">
        <f t="shared" ca="1" si="4"/>
        <v>11</v>
      </c>
      <c r="E72" s="521" t="s">
        <v>3163</v>
      </c>
      <c r="F72" s="521" t="s">
        <v>3164</v>
      </c>
      <c r="G72" s="522" t="s">
        <v>2702</v>
      </c>
      <c r="H72" s="522" t="s">
        <v>3109</v>
      </c>
      <c r="I72" s="520">
        <v>2010</v>
      </c>
      <c r="J72" s="523">
        <v>2</v>
      </c>
      <c r="K72" s="523">
        <v>16</v>
      </c>
      <c r="L72" s="491">
        <v>28065</v>
      </c>
      <c r="M72" s="524">
        <f t="shared" ca="1" si="7"/>
        <v>49</v>
      </c>
      <c r="N72" s="523" t="s">
        <v>3547</v>
      </c>
      <c r="P72" s="1912">
        <f>SUM(Q72:Q73)</f>
        <v>279</v>
      </c>
      <c r="Q72" s="1247">
        <v>187</v>
      </c>
      <c r="R72" s="1910" t="s">
        <v>1832</v>
      </c>
      <c r="S72" s="394">
        <v>45225</v>
      </c>
      <c r="T72" s="394">
        <v>45412</v>
      </c>
      <c r="U72" s="1251" t="s">
        <v>1847</v>
      </c>
      <c r="V72" s="395" t="s">
        <v>1885</v>
      </c>
      <c r="W72" s="1916">
        <f>RIGHT(V72,2)-RIGHT(V73,2)</f>
        <v>5</v>
      </c>
    </row>
    <row r="73" spans="1:23" ht="16.2" thickBot="1" x14ac:dyDescent="0.5">
      <c r="A73" s="353">
        <f>A72</f>
        <v>45975</v>
      </c>
      <c r="B73" s="353">
        <v>45986</v>
      </c>
      <c r="C73" s="1909"/>
      <c r="D73" s="354">
        <f ca="1">D72</f>
        <v>11</v>
      </c>
      <c r="E73" s="355" t="s">
        <v>3163</v>
      </c>
      <c r="F73" s="355" t="s">
        <v>3164</v>
      </c>
      <c r="G73" s="327" t="s">
        <v>3165</v>
      </c>
      <c r="H73" s="327" t="s">
        <v>3166</v>
      </c>
      <c r="I73" s="354">
        <v>2020</v>
      </c>
      <c r="J73" s="1264">
        <v>3</v>
      </c>
      <c r="K73" s="1264">
        <v>27</v>
      </c>
      <c r="L73" s="353">
        <v>34243</v>
      </c>
      <c r="M73" s="356">
        <f t="shared" ca="1" si="7"/>
        <v>32</v>
      </c>
      <c r="N73" s="1264" t="s">
        <v>3549</v>
      </c>
      <c r="P73" s="1913"/>
      <c r="Q73" s="1248">
        <v>92</v>
      </c>
      <c r="R73" s="1911" t="s">
        <v>1832</v>
      </c>
      <c r="S73" s="396">
        <v>44364</v>
      </c>
      <c r="T73" s="396">
        <v>44456</v>
      </c>
      <c r="U73" s="1252" t="s">
        <v>1840</v>
      </c>
      <c r="V73" s="397" t="s">
        <v>1887</v>
      </c>
      <c r="W73" s="1917"/>
    </row>
    <row r="74" spans="1:23" ht="16.8" thickTop="1" thickBot="1" x14ac:dyDescent="0.5">
      <c r="A74" s="349">
        <f>A72</f>
        <v>45975</v>
      </c>
      <c r="B74" s="349">
        <v>45986</v>
      </c>
      <c r="C74" s="1908"/>
      <c r="D74" s="350">
        <f ca="1">D72</f>
        <v>11</v>
      </c>
      <c r="E74" s="351" t="s">
        <v>3163</v>
      </c>
      <c r="F74" s="351" t="s">
        <v>3164</v>
      </c>
      <c r="G74" s="326" t="s">
        <v>3111</v>
      </c>
      <c r="H74" s="326" t="s">
        <v>3168</v>
      </c>
      <c r="I74" s="350">
        <v>2020</v>
      </c>
      <c r="J74" s="1265">
        <v>3</v>
      </c>
      <c r="K74" s="1265">
        <v>28</v>
      </c>
      <c r="L74" s="349">
        <v>31503</v>
      </c>
      <c r="M74" s="352">
        <f t="shared" ca="1" si="7"/>
        <v>40</v>
      </c>
      <c r="N74" s="1265" t="s">
        <v>3553</v>
      </c>
      <c r="P74" s="1912">
        <f>LEFT(Q74,3)+Q75</f>
        <v>364</v>
      </c>
      <c r="Q74" s="1247">
        <v>182</v>
      </c>
      <c r="R74" s="1910" t="s">
        <v>1834</v>
      </c>
      <c r="S74" s="394">
        <v>45595</v>
      </c>
      <c r="T74" s="394">
        <v>45776</v>
      </c>
      <c r="U74" s="1251" t="s">
        <v>1953</v>
      </c>
      <c r="V74" s="395" t="s">
        <v>1948</v>
      </c>
      <c r="W74" s="1916">
        <f>RIGHT(V74,2)-RIGHT(V75,2)</f>
        <v>5</v>
      </c>
    </row>
    <row r="75" spans="1:23" ht="16.8" thickTop="1" thickBot="1" x14ac:dyDescent="0.5">
      <c r="A75" s="491">
        <f>乘组预测!G120</f>
        <v>45986</v>
      </c>
      <c r="B75" s="491">
        <f>乘组预测!H120</f>
        <v>46171</v>
      </c>
      <c r="C75" s="1935"/>
      <c r="D75" s="520">
        <f t="shared" ref="D75" ca="1" si="8">MIN(B75-A75,TODAY()-A75)</f>
        <v>185</v>
      </c>
      <c r="E75" s="521" t="s">
        <v>1962</v>
      </c>
      <c r="F75" s="521" t="s">
        <v>1963</v>
      </c>
      <c r="G75" s="522" t="s">
        <v>2702</v>
      </c>
      <c r="H75" s="522" t="s">
        <v>3109</v>
      </c>
      <c r="I75" s="520">
        <v>2010</v>
      </c>
      <c r="J75" s="523">
        <v>2</v>
      </c>
      <c r="K75" s="523">
        <v>16</v>
      </c>
      <c r="L75" s="491">
        <v>28065</v>
      </c>
      <c r="M75" s="524">
        <f t="shared" ca="1" si="7"/>
        <v>49</v>
      </c>
      <c r="N75" s="523" t="s">
        <v>3547</v>
      </c>
      <c r="P75" s="1913"/>
      <c r="Q75" s="1248">
        <v>182</v>
      </c>
      <c r="R75" s="1911"/>
      <c r="S75" s="396">
        <v>44717</v>
      </c>
      <c r="T75" s="396">
        <v>44899</v>
      </c>
      <c r="U75" s="1252" t="s">
        <v>1846</v>
      </c>
      <c r="V75" s="397" t="s">
        <v>1886</v>
      </c>
      <c r="W75" s="1917"/>
    </row>
    <row r="76" spans="1:23" ht="16.2" thickTop="1" x14ac:dyDescent="0.45">
      <c r="A76" s="353">
        <f>A75</f>
        <v>45986</v>
      </c>
      <c r="B76" s="353">
        <f>B75</f>
        <v>46171</v>
      </c>
      <c r="C76" s="1909"/>
      <c r="D76" s="354">
        <f ca="1">D75</f>
        <v>185</v>
      </c>
      <c r="E76" s="355" t="s">
        <v>1962</v>
      </c>
      <c r="F76" s="355" t="s">
        <v>2661</v>
      </c>
      <c r="G76" s="327" t="s">
        <v>3165</v>
      </c>
      <c r="H76" s="327" t="s">
        <v>3166</v>
      </c>
      <c r="I76" s="354">
        <v>2020</v>
      </c>
      <c r="J76" s="1264">
        <v>3</v>
      </c>
      <c r="K76" s="1264">
        <v>27</v>
      </c>
      <c r="L76" s="353">
        <v>34243</v>
      </c>
      <c r="M76" s="356">
        <f t="shared" ca="1" si="7"/>
        <v>32</v>
      </c>
      <c r="N76" s="1264" t="s">
        <v>3549</v>
      </c>
      <c r="P76" s="1912">
        <f>Q77+Q76</f>
        <v>375</v>
      </c>
      <c r="Q76" s="1247">
        <v>193</v>
      </c>
      <c r="R76" s="1910" t="s">
        <v>1833</v>
      </c>
      <c r="S76" s="394">
        <v>45407</v>
      </c>
      <c r="T76" s="394">
        <v>45600</v>
      </c>
      <c r="U76" s="1251" t="s">
        <v>1848</v>
      </c>
      <c r="V76" s="395" t="s">
        <v>1880</v>
      </c>
      <c r="W76" s="1916">
        <f>RIGHT(V76,2)-RIGHT(V77,2)</f>
        <v>5</v>
      </c>
    </row>
    <row r="77" spans="1:23" ht="16.2" thickBot="1" x14ac:dyDescent="0.5">
      <c r="A77" s="349">
        <f>A75</f>
        <v>45986</v>
      </c>
      <c r="B77" s="349">
        <f>B75</f>
        <v>46171</v>
      </c>
      <c r="C77" s="1908"/>
      <c r="D77" s="350">
        <f ca="1">D75</f>
        <v>185</v>
      </c>
      <c r="E77" s="351" t="s">
        <v>1962</v>
      </c>
      <c r="F77" s="351" t="s">
        <v>2661</v>
      </c>
      <c r="G77" s="326" t="s">
        <v>3167</v>
      </c>
      <c r="H77" s="326" t="s">
        <v>3168</v>
      </c>
      <c r="I77" s="350">
        <v>2020</v>
      </c>
      <c r="J77" s="1265">
        <v>3</v>
      </c>
      <c r="K77" s="1265">
        <v>28</v>
      </c>
      <c r="L77" s="349">
        <v>31503</v>
      </c>
      <c r="M77" s="352">
        <f t="shared" ca="1" si="7"/>
        <v>40</v>
      </c>
      <c r="N77" s="1265" t="s">
        <v>3553</v>
      </c>
      <c r="P77" s="1913"/>
      <c r="Q77" s="1248">
        <f>T77-S77</f>
        <v>182</v>
      </c>
      <c r="R77" s="1911" t="s">
        <v>1833</v>
      </c>
      <c r="S77" s="396">
        <v>44485</v>
      </c>
      <c r="T77" s="396">
        <v>44667</v>
      </c>
      <c r="U77" s="1252" t="s">
        <v>1842</v>
      </c>
      <c r="V77" s="397" t="s">
        <v>1879</v>
      </c>
      <c r="W77" s="1917"/>
    </row>
    <row r="78" spans="1:23" ht="16.8" thickTop="1" thickBot="1" x14ac:dyDescent="0.5">
      <c r="A78" s="381">
        <f>乘组预测!G83</f>
        <v>46153</v>
      </c>
      <c r="B78" s="381">
        <f>乘组预测!H83</f>
        <v>46513</v>
      </c>
      <c r="C78" s="391" t="s">
        <v>1003</v>
      </c>
      <c r="D78" s="383">
        <f ca="1">MIN(B78-A78,TODAY()-A78)</f>
        <v>56</v>
      </c>
      <c r="E78" s="382" t="s">
        <v>3397</v>
      </c>
      <c r="F78" s="382" t="s">
        <v>3398</v>
      </c>
      <c r="G78" s="382" t="s">
        <v>1003</v>
      </c>
      <c r="H78" s="382" t="s">
        <v>1003</v>
      </c>
      <c r="I78" s="381" t="s">
        <v>1003</v>
      </c>
      <c r="J78" s="381" t="s">
        <v>1003</v>
      </c>
      <c r="K78" s="381" t="s">
        <v>1003</v>
      </c>
      <c r="L78" s="381" t="s">
        <v>1003</v>
      </c>
      <c r="M78" s="381" t="s">
        <v>1003</v>
      </c>
      <c r="N78" s="381" t="s">
        <v>3</v>
      </c>
      <c r="P78" s="1928">
        <f>SUM(Q78:Q80)</f>
        <v>397</v>
      </c>
      <c r="Q78" s="1247">
        <f>T78-S78</f>
        <v>185</v>
      </c>
      <c r="R78" s="1920" t="s">
        <v>1893</v>
      </c>
      <c r="S78" s="394">
        <f>A75</f>
        <v>45986</v>
      </c>
      <c r="T78" s="394">
        <f>B75</f>
        <v>46171</v>
      </c>
      <c r="U78" s="1251" t="s">
        <v>3185</v>
      </c>
      <c r="V78" s="395" t="s">
        <v>2661</v>
      </c>
      <c r="W78" s="1923">
        <f>RIGHT(V78,2)-RIGHT(V80,2)</f>
        <v>7</v>
      </c>
    </row>
    <row r="79" spans="1:23" ht="16.2" thickTop="1" x14ac:dyDescent="0.45">
      <c r="A79" s="535">
        <f>乘组预测!G121</f>
        <v>46166</v>
      </c>
      <c r="B79" s="535">
        <f>乘组预测!H121</f>
        <v>46348</v>
      </c>
      <c r="C79" s="1260"/>
      <c r="D79" s="536">
        <f t="shared" ref="D79" ca="1" si="9">MIN(B79-A79,TODAY()-A79)</f>
        <v>43</v>
      </c>
      <c r="E79" s="537" t="s">
        <v>2630</v>
      </c>
      <c r="F79" s="537" t="s">
        <v>2762</v>
      </c>
      <c r="G79" s="538" t="s">
        <v>1896</v>
      </c>
      <c r="H79" s="538" t="str">
        <f>_xlfn.XLOOKUP($G79,航天员!B:B,航天员!C:C)</f>
        <v>Zhu Yangzhu</v>
      </c>
      <c r="I79" s="536">
        <f>_xlfn.XLOOKUP($G79,航天员!B:B,航天员!E:E)</f>
        <v>2020</v>
      </c>
      <c r="J79" s="539">
        <f>_xlfn.XLOOKUP($G79,航天员!B:B,航天员!F:F)</f>
        <v>3</v>
      </c>
      <c r="K79" s="539">
        <f>_xlfn.XLOOKUP($G79,航天员!B:B,航天员!A:A)</f>
        <v>17</v>
      </c>
      <c r="L79" s="535">
        <f>_xlfn.XLOOKUP($G79,航天员!B:B,航天员!L:L)</f>
        <v>31656</v>
      </c>
      <c r="M79" s="540">
        <f t="shared" ca="1" si="7"/>
        <v>39</v>
      </c>
      <c r="N79" s="539" t="str">
        <f>_xlfn.XLOOKUP($G79,航天员!B:B,航天员!G:G)</f>
        <v>工程师</v>
      </c>
      <c r="P79" s="1929"/>
      <c r="Q79" s="1262">
        <v>25</v>
      </c>
      <c r="R79" s="1921"/>
      <c r="S79" s="695">
        <v>45975</v>
      </c>
      <c r="T79" s="695">
        <v>45986</v>
      </c>
      <c r="U79" s="1267" t="s">
        <v>3163</v>
      </c>
      <c r="V79" s="568" t="s">
        <v>3164</v>
      </c>
      <c r="W79" s="1924"/>
    </row>
    <row r="80" spans="1:23" ht="16.2" thickBot="1" x14ac:dyDescent="0.5">
      <c r="A80" s="541">
        <f>A79</f>
        <v>46166</v>
      </c>
      <c r="B80" s="541">
        <f>B79</f>
        <v>46348</v>
      </c>
      <c r="C80" s="1260"/>
      <c r="D80" s="542">
        <f ca="1">D79</f>
        <v>43</v>
      </c>
      <c r="E80" s="543" t="s">
        <v>2630</v>
      </c>
      <c r="F80" s="543" t="s">
        <v>2762</v>
      </c>
      <c r="G80" s="544" t="s">
        <v>3616</v>
      </c>
      <c r="H80" s="544" t="str">
        <f>_xlfn.XLOOKUP($G80,航天员!B:B,航天员!C:C)</f>
        <v>Zhang Zhiyuan</v>
      </c>
      <c r="I80" s="542">
        <f>_xlfn.XLOOKUP($G80,航天员!B:B,航天员!E:E)</f>
        <v>2020</v>
      </c>
      <c r="J80" s="545">
        <f>_xlfn.XLOOKUP($G80,航天员!B:B,航天员!F:F)</f>
        <v>3</v>
      </c>
      <c r="K80" s="545">
        <f>_xlfn.XLOOKUP($G80,航天员!B:B,航天员!A:A)</f>
        <v>29</v>
      </c>
      <c r="L80" s="541">
        <f>_xlfn.XLOOKUP($G80,航天员!B:B,航天员!L:L)</f>
        <v>31564</v>
      </c>
      <c r="M80" s="546">
        <f t="shared" ref="M80:M83" ca="1" si="10">DATEDIF(L80,TODAY(),"Y")</f>
        <v>40</v>
      </c>
      <c r="N80" s="545" t="str">
        <f>_xlfn.XLOOKUP($G80,航天员!B:B,航天员!G:G)</f>
        <v>驾驶员</v>
      </c>
      <c r="P80" s="1930"/>
      <c r="Q80" s="1248">
        <v>187</v>
      </c>
      <c r="R80" s="1922"/>
      <c r="S80" s="469">
        <v>44894</v>
      </c>
      <c r="T80" s="469">
        <v>45081</v>
      </c>
      <c r="U80" s="1252" t="s">
        <v>2171</v>
      </c>
      <c r="V80" s="397" t="s">
        <v>2173</v>
      </c>
      <c r="W80" s="1925"/>
    </row>
    <row r="81" spans="1:23" ht="16.2" thickTop="1" x14ac:dyDescent="0.45">
      <c r="A81" s="1270">
        <f>A80</f>
        <v>46166</v>
      </c>
      <c r="B81" s="1270">
        <f>B80</f>
        <v>46348</v>
      </c>
      <c r="C81" s="1260"/>
      <c r="D81" s="1271">
        <f ca="1">D79</f>
        <v>43</v>
      </c>
      <c r="E81" s="1272" t="s">
        <v>3197</v>
      </c>
      <c r="F81" s="1272" t="s">
        <v>3196</v>
      </c>
      <c r="G81" s="1273" t="s">
        <v>3595</v>
      </c>
      <c r="H81" s="1273" t="str">
        <f>_xlfn.XLOOKUP($G81,航天员!B:B,航天员!C:C)</f>
        <v>Li Jiaying(F)</v>
      </c>
      <c r="I81" s="1271">
        <f>_xlfn.XLOOKUP($G81,航天员!B:B,航天员!E:E)</f>
        <v>2024</v>
      </c>
      <c r="J81" s="1274">
        <f>_xlfn.XLOOKUP($G81,航天员!B:B,航天员!F:F)</f>
        <v>4</v>
      </c>
      <c r="K81" s="1274">
        <f>_xlfn.XLOOKUP($G81,航天员!B:B,航天员!A:A)</f>
        <v>30</v>
      </c>
      <c r="L81" s="1270">
        <f>_xlfn.XLOOKUP($G81,航天员!B:B,航天员!L:L)</f>
        <v>30256</v>
      </c>
      <c r="M81" s="1275">
        <f t="shared" ca="1" si="10"/>
        <v>43</v>
      </c>
      <c r="N81" s="1274" t="str">
        <f>_xlfn.XLOOKUP($G81,航天员!B:B,航天员!G:G)</f>
        <v>载荷家</v>
      </c>
      <c r="P81" s="1928">
        <f>Q82+Q83+Q81</f>
        <v>418</v>
      </c>
      <c r="Q81" s="347">
        <v>204</v>
      </c>
      <c r="R81" s="1920" t="s">
        <v>1831</v>
      </c>
      <c r="S81" s="533">
        <f>A61</f>
        <v>45771</v>
      </c>
      <c r="T81" s="533">
        <f>B61</f>
        <v>45975</v>
      </c>
      <c r="U81" s="346" t="s">
        <v>2276</v>
      </c>
      <c r="V81" s="534" t="s">
        <v>2172</v>
      </c>
      <c r="W81" s="347">
        <v>6</v>
      </c>
    </row>
    <row r="82" spans="1:23" ht="16.2" thickBot="1" x14ac:dyDescent="0.5">
      <c r="A82" s="273">
        <f>B81</f>
        <v>46348</v>
      </c>
      <c r="B82" s="273">
        <f>B79</f>
        <v>46348</v>
      </c>
      <c r="C82" s="549"/>
      <c r="D82" s="274">
        <f t="shared" ref="D82" ca="1" si="11">MIN(B82-A82,TODAY()-A82)</f>
        <v>-139</v>
      </c>
      <c r="E82" s="275" t="s">
        <v>2630</v>
      </c>
      <c r="F82" s="275" t="s">
        <v>2762</v>
      </c>
      <c r="G82" s="276" t="s">
        <v>3551</v>
      </c>
      <c r="H82" s="276" t="str">
        <f>_xlfn.XLOOKUP($G82,航天员!B:B,航天员!C:C)</f>
        <v>Khurram Daud(P)</v>
      </c>
      <c r="I82" s="274">
        <f>_xlfn.XLOOKUP($G82,航天员!B:B,航天员!E:E)</f>
        <v>2026</v>
      </c>
      <c r="J82" s="277">
        <f>_xlfn.XLOOKUP($G82,航天员!B:B,航天员!F:F)</f>
        <v>5</v>
      </c>
      <c r="K82" s="277">
        <f>_xlfn.XLOOKUP($G82,航天员!B:B,航天员!A:A)</f>
        <v>32</v>
      </c>
      <c r="L82" s="273">
        <f>_xlfn.XLOOKUP($G82,航天员!B:B,航天员!L:L)</f>
        <v>0</v>
      </c>
      <c r="M82" s="278">
        <f t="shared" ca="1" si="10"/>
        <v>126</v>
      </c>
      <c r="N82" s="277" t="str">
        <f>_xlfn.XLOOKUP($G82,航天员!B:B,航天员!G:G)</f>
        <v>载荷家</v>
      </c>
      <c r="P82" s="1929"/>
      <c r="Q82" s="1264">
        <v>182</v>
      </c>
      <c r="R82" s="1921"/>
      <c r="S82" s="483">
        <v>44717</v>
      </c>
      <c r="T82" s="483">
        <v>44899</v>
      </c>
      <c r="U82" s="327" t="s">
        <v>1846</v>
      </c>
      <c r="V82" s="484" t="s">
        <v>1886</v>
      </c>
      <c r="W82" s="1918">
        <f>RIGHT(V82,2)-RIGHT(V83,2)</f>
        <v>3</v>
      </c>
    </row>
    <row r="83" spans="1:23" ht="16.8" thickTop="1" thickBot="1" x14ac:dyDescent="0.5">
      <c r="A83" s="264">
        <f>乘组预测!G122</f>
        <v>46343</v>
      </c>
      <c r="B83" s="264">
        <f>乘组预测!H122</f>
        <v>46536</v>
      </c>
      <c r="C83" s="547"/>
      <c r="D83" s="265">
        <f t="shared" ref="D83" ca="1" si="12">MIN(B83-A83,TODAY()-A83)</f>
        <v>-134</v>
      </c>
      <c r="E83" s="266" t="s">
        <v>3124</v>
      </c>
      <c r="F83" s="266" t="s">
        <v>3174</v>
      </c>
      <c r="G83" s="267"/>
      <c r="H83" s="267">
        <f>_xlfn.XLOOKUP($G83,航天员!B:B,航天员!C:C)</f>
        <v>0</v>
      </c>
      <c r="I83" s="265">
        <f>_xlfn.XLOOKUP($G83,航天员!B:B,航天员!E:E)</f>
        <v>0</v>
      </c>
      <c r="J83" s="268">
        <f>_xlfn.XLOOKUP($G83,航天员!B:B,航天员!F:F)</f>
        <v>0</v>
      </c>
      <c r="K83" s="268">
        <f>_xlfn.XLOOKUP($G83,航天员!B:B,航天员!A:A)</f>
        <v>0</v>
      </c>
      <c r="L83" s="264">
        <f>_xlfn.XLOOKUP($G83,航天员!B:B,航天员!L:L)</f>
        <v>0</v>
      </c>
      <c r="M83" s="269">
        <f t="shared" ca="1" si="10"/>
        <v>126</v>
      </c>
      <c r="N83" s="268">
        <f>_xlfn.XLOOKUP($G83,航天员!B:B,航天员!G:G)</f>
        <v>0</v>
      </c>
      <c r="P83" s="1930"/>
      <c r="Q83" s="1265">
        <v>32</v>
      </c>
      <c r="R83" s="1922"/>
      <c r="S83" s="485">
        <v>42660</v>
      </c>
      <c r="T83" s="485">
        <v>42692</v>
      </c>
      <c r="U83" s="326" t="s">
        <v>1844</v>
      </c>
      <c r="V83" s="486" t="s">
        <v>1883</v>
      </c>
      <c r="W83" s="1919"/>
    </row>
    <row r="84" spans="1:23" ht="16.2" thickTop="1" x14ac:dyDescent="0.45">
      <c r="A84" s="258">
        <f>A83</f>
        <v>46343</v>
      </c>
      <c r="B84" s="258">
        <f>B83</f>
        <v>46536</v>
      </c>
      <c r="C84" s="548"/>
      <c r="D84" s="259">
        <f ca="1">D83</f>
        <v>-134</v>
      </c>
      <c r="E84" s="260" t="s">
        <v>3124</v>
      </c>
      <c r="F84" s="260" t="s">
        <v>3174</v>
      </c>
      <c r="G84" s="261" t="s">
        <v>3243</v>
      </c>
      <c r="H84" s="261"/>
      <c r="I84" s="259"/>
      <c r="J84" s="262">
        <f>_xlfn.XLOOKUP($G84,航天员!B:B,航天员!F:F)</f>
        <v>3</v>
      </c>
      <c r="K84" s="262">
        <f>_xlfn.XLOOKUP($G84,航天员!B:B,航天员!A:A)</f>
        <v>31</v>
      </c>
      <c r="L84" s="258">
        <f>_xlfn.XLOOKUP($G84,航天员!B:B,航天员!L:L)</f>
        <v>0</v>
      </c>
      <c r="M84" s="263">
        <f t="shared" ref="M84:M85" ca="1" si="13">DATEDIF(L84,TODAY(),"Y")</f>
        <v>126</v>
      </c>
      <c r="N84" s="262" t="str">
        <f>_xlfn.XLOOKUP($G84,航天员!B:B,航天员!G:G)</f>
        <v>驾驶员</v>
      </c>
      <c r="P84" s="1936">
        <f ca="1">Q85+Q84</f>
        <v>197</v>
      </c>
      <c r="Q84" s="1276">
        <f ca="1">IF(TODAY()&lt;B79,TODAY()-A79,B79-A79)</f>
        <v>43</v>
      </c>
      <c r="R84" s="1938" t="s">
        <v>1896</v>
      </c>
      <c r="S84" s="1277">
        <v>46166</v>
      </c>
      <c r="T84" s="1277">
        <v>46348</v>
      </c>
      <c r="U84" s="1278" t="s">
        <v>3615</v>
      </c>
      <c r="V84" s="1279" t="s">
        <v>2762</v>
      </c>
      <c r="W84" s="1940">
        <f>RIGHT(V84,2)-RIGHT(V85,2)</f>
        <v>7</v>
      </c>
    </row>
    <row r="85" spans="1:23" ht="16.2" thickBot="1" x14ac:dyDescent="0.5">
      <c r="A85" s="550">
        <f>A83</f>
        <v>46343</v>
      </c>
      <c r="B85" s="550">
        <f>B84</f>
        <v>46536</v>
      </c>
      <c r="C85" s="548"/>
      <c r="D85" s="551">
        <f ca="1">D84</f>
        <v>-134</v>
      </c>
      <c r="E85" s="552" t="s">
        <v>3194</v>
      </c>
      <c r="F85" s="552" t="s">
        <v>3195</v>
      </c>
      <c r="G85" s="553" t="s">
        <v>3552</v>
      </c>
      <c r="H85" s="553" t="str">
        <f>_xlfn.XLOOKUP($G85,航天员!B:B,航天员!C:C)</f>
        <v>Muhammad Zeeshan Ali(P)</v>
      </c>
      <c r="I85" s="551">
        <f>_xlfn.XLOOKUP($G85,航天员!B:B,航天员!E:E)</f>
        <v>2026</v>
      </c>
      <c r="J85" s="554">
        <f>_xlfn.XLOOKUP($G85,航天员!B:B,航天员!F:F)</f>
        <v>5</v>
      </c>
      <c r="K85" s="554">
        <f>_xlfn.XLOOKUP($G85,航天员!B:B,航天员!A:A)</f>
        <v>33</v>
      </c>
      <c r="L85" s="550">
        <f>_xlfn.XLOOKUP($G85,航天员!B:B,航天员!L:L)</f>
        <v>0</v>
      </c>
      <c r="M85" s="555">
        <f t="shared" ca="1" si="13"/>
        <v>126</v>
      </c>
      <c r="N85" s="554" t="str">
        <f>_xlfn.XLOOKUP($G85,航天员!B:B,航天员!G:G)</f>
        <v>载荷家</v>
      </c>
      <c r="P85" s="1937"/>
      <c r="Q85" s="1248">
        <f>T85-S85</f>
        <v>154</v>
      </c>
      <c r="R85" s="1939" t="s">
        <v>1833</v>
      </c>
      <c r="S85" s="396">
        <v>45076</v>
      </c>
      <c r="T85" s="396">
        <v>45230</v>
      </c>
      <c r="U85" s="1252" t="s">
        <v>2272</v>
      </c>
      <c r="V85" s="397" t="s">
        <v>3675</v>
      </c>
      <c r="W85" s="1941"/>
    </row>
    <row r="86" spans="1:23" ht="16.8" thickTop="1" thickBot="1" x14ac:dyDescent="0.5">
      <c r="A86" s="273">
        <f>B80</f>
        <v>46348</v>
      </c>
      <c r="B86" s="273">
        <f>B83</f>
        <v>46536</v>
      </c>
      <c r="C86" s="549"/>
      <c r="D86" s="274">
        <f t="shared" ref="D86" ca="1" si="14">MIN(B86-A86,TODAY()-A86)</f>
        <v>-139</v>
      </c>
      <c r="E86" s="275" t="s">
        <v>3124</v>
      </c>
      <c r="F86" s="275" t="s">
        <v>3174</v>
      </c>
      <c r="G86" s="276"/>
      <c r="H86" s="276">
        <f>_xlfn.XLOOKUP($G86,航天员!B:B,航天员!C:C)</f>
        <v>0</v>
      </c>
      <c r="I86" s="274">
        <f>_xlfn.XLOOKUP($G86,航天员!B:B,航天员!E:E)</f>
        <v>0</v>
      </c>
      <c r="J86" s="277">
        <f>_xlfn.XLOOKUP($G86,航天员!B:B,航天员!F:F)</f>
        <v>0</v>
      </c>
      <c r="K86" s="277">
        <f>_xlfn.XLOOKUP($G86,航天员!B:B,航天员!A:A)</f>
        <v>0</v>
      </c>
      <c r="L86" s="273">
        <f>_xlfn.XLOOKUP($G86,航天员!B:B,航天员!L:L)</f>
        <v>0</v>
      </c>
      <c r="M86" s="278">
        <f t="shared" ref="M86" ca="1" si="15">DATEDIF(L86,TODAY(),"Y")</f>
        <v>126</v>
      </c>
      <c r="N86" s="277">
        <f>_xlfn.XLOOKUP($G86,航天员!B:B,航天员!G:G)</f>
        <v>0</v>
      </c>
    </row>
    <row r="87" spans="1:23" ht="16.2" thickTop="1" x14ac:dyDescent="0.45">
      <c r="L87" s="254"/>
    </row>
    <row r="88" spans="1:23" x14ac:dyDescent="0.45">
      <c r="L88" s="254"/>
    </row>
    <row r="89" spans="1:23" x14ac:dyDescent="0.45">
      <c r="L89" s="254"/>
    </row>
    <row r="90" spans="1:23" x14ac:dyDescent="0.45">
      <c r="L90" s="254"/>
    </row>
    <row r="91" spans="1:23" x14ac:dyDescent="0.45">
      <c r="L91" s="254"/>
    </row>
    <row r="92" spans="1:23" x14ac:dyDescent="0.45">
      <c r="L92" s="254"/>
    </row>
    <row r="93" spans="1:23" x14ac:dyDescent="0.45">
      <c r="L93" s="254"/>
    </row>
    <row r="94" spans="1:23" x14ac:dyDescent="0.45">
      <c r="B94" s="392"/>
      <c r="C94" s="254"/>
      <c r="D94" s="256"/>
      <c r="H94" s="254"/>
      <c r="L94" s="254"/>
      <c r="O94" s="254"/>
      <c r="T94" s="256"/>
      <c r="U94" s="254"/>
    </row>
  </sheetData>
  <sortState xmlns:xlrd2="http://schemas.microsoft.com/office/spreadsheetml/2017/richdata2" ref="A6:N72">
    <sortCondition ref="A6:A72"/>
    <sortCondition ref="K6:K72"/>
  </sortState>
  <mergeCells count="75">
    <mergeCell ref="P84:P85"/>
    <mergeCell ref="R84:R85"/>
    <mergeCell ref="W84:W85"/>
    <mergeCell ref="W51:W52"/>
    <mergeCell ref="C72:C74"/>
    <mergeCell ref="R68:R69"/>
    <mergeCell ref="C66:C68"/>
    <mergeCell ref="W56:W57"/>
    <mergeCell ref="W68:W69"/>
    <mergeCell ref="W62:W63"/>
    <mergeCell ref="W66:W67"/>
    <mergeCell ref="W53:W54"/>
    <mergeCell ref="W64:W65"/>
    <mergeCell ref="W70:W71"/>
    <mergeCell ref="W58:W59"/>
    <mergeCell ref="R53:R54"/>
    <mergeCell ref="R55:R57"/>
    <mergeCell ref="C69:C71"/>
    <mergeCell ref="O53:O55"/>
    <mergeCell ref="C75:C77"/>
    <mergeCell ref="P60:P63"/>
    <mergeCell ref="R60:R63"/>
    <mergeCell ref="P81:P83"/>
    <mergeCell ref="R64:R65"/>
    <mergeCell ref="P64:P65"/>
    <mergeCell ref="P70:P71"/>
    <mergeCell ref="P76:P77"/>
    <mergeCell ref="P74:P75"/>
    <mergeCell ref="P72:P73"/>
    <mergeCell ref="P78:P80"/>
    <mergeCell ref="P68:P69"/>
    <mergeCell ref="P66:P67"/>
    <mergeCell ref="O46:O48"/>
    <mergeCell ref="P58:P59"/>
    <mergeCell ref="C42:C44"/>
    <mergeCell ref="C46:C48"/>
    <mergeCell ref="C49:C51"/>
    <mergeCell ref="C53:C55"/>
    <mergeCell ref="C57:C59"/>
    <mergeCell ref="W76:W77"/>
    <mergeCell ref="W72:W73"/>
    <mergeCell ref="W82:W83"/>
    <mergeCell ref="R66:R67"/>
    <mergeCell ref="R74:R75"/>
    <mergeCell ref="R70:R71"/>
    <mergeCell ref="R76:R77"/>
    <mergeCell ref="R72:R73"/>
    <mergeCell ref="W74:W75"/>
    <mergeCell ref="R81:R83"/>
    <mergeCell ref="W78:W80"/>
    <mergeCell ref="R78:R80"/>
    <mergeCell ref="C21:C22"/>
    <mergeCell ref="O49:O51"/>
    <mergeCell ref="R58:R59"/>
    <mergeCell ref="R51:R52"/>
    <mergeCell ref="O21:O22"/>
    <mergeCell ref="O27:O29"/>
    <mergeCell ref="O31:O33"/>
    <mergeCell ref="O35:O37"/>
    <mergeCell ref="C27:C29"/>
    <mergeCell ref="C31:C33"/>
    <mergeCell ref="C35:C37"/>
    <mergeCell ref="P51:P52"/>
    <mergeCell ref="P55:P57"/>
    <mergeCell ref="O42:O44"/>
    <mergeCell ref="O57:O59"/>
    <mergeCell ref="P53:P54"/>
    <mergeCell ref="O7:O8"/>
    <mergeCell ref="O9:O11"/>
    <mergeCell ref="O14:O16"/>
    <mergeCell ref="O17:O19"/>
    <mergeCell ref="C7:C8"/>
    <mergeCell ref="C9:C11"/>
    <mergeCell ref="C14:C16"/>
    <mergeCell ref="C17:C19"/>
  </mergeCells>
  <phoneticPr fontId="2"/>
  <pageMargins left="0.7" right="0.7" top="0.75" bottom="0.75" header="0.3" footer="0.3"/>
  <pageSetup paperSize="0" orientation="portrait" horizontalDpi="0" verticalDpi="0" copies="0"/>
  <ignoredErrors>
    <ignoredError sqref="P55:P57 P72:P73 P60 P58:P59 P66:P70 P53" formulaRange="1"/>
    <ignoredError sqref="D25 W58:W59 D5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020B-9CAC-439A-BD37-09C05CB079BA}">
  <dimension ref="A1:G61"/>
  <sheetViews>
    <sheetView workbookViewId="0">
      <pane xSplit="2" ySplit="1" topLeftCell="C41" activePane="bottomRight" state="frozen"/>
      <selection pane="topRight" activeCell="B1" sqref="B1"/>
      <selection pane="bottomLeft" activeCell="A2" sqref="A2"/>
      <selection pane="bottomRight" activeCell="E65" sqref="E65"/>
    </sheetView>
  </sheetViews>
  <sheetFormatPr defaultRowHeight="15.6" x14ac:dyDescent="0.45"/>
  <cols>
    <col min="1" max="1" width="9.796875" style="953" bestFit="1" customWidth="1"/>
    <col min="2" max="2" width="15.8984375" style="953" bestFit="1" customWidth="1"/>
    <col min="3" max="4" width="11.5" style="953" bestFit="1" customWidth="1"/>
    <col min="5" max="5" width="5.59765625" style="982" bestFit="1" customWidth="1"/>
    <col min="6" max="6" width="10.3984375" style="982" bestFit="1" customWidth="1"/>
    <col min="7" max="7" width="11.5" style="953" bestFit="1" customWidth="1"/>
    <col min="8" max="16384" width="8.796875" style="953"/>
  </cols>
  <sheetData>
    <row r="1" spans="1:7" x14ac:dyDescent="0.45">
      <c r="A1" s="629" t="s">
        <v>2713</v>
      </c>
      <c r="B1" s="629" t="s">
        <v>2710</v>
      </c>
      <c r="C1" s="257" t="s">
        <v>2233</v>
      </c>
      <c r="D1" s="257" t="s">
        <v>1859</v>
      </c>
      <c r="E1" s="257" t="s">
        <v>2696</v>
      </c>
      <c r="F1" s="257" t="s">
        <v>2708</v>
      </c>
      <c r="G1" s="257" t="s">
        <v>2709</v>
      </c>
    </row>
    <row r="2" spans="1:7" x14ac:dyDescent="0.45">
      <c r="A2" s="1942">
        <v>1</v>
      </c>
      <c r="B2" s="954">
        <v>39718</v>
      </c>
      <c r="C2" s="955" t="s">
        <v>2265</v>
      </c>
      <c r="D2" s="955" t="s">
        <v>1826</v>
      </c>
      <c r="E2" s="956">
        <v>1</v>
      </c>
      <c r="F2" s="956"/>
      <c r="G2" s="955"/>
    </row>
    <row r="3" spans="1:7" ht="16.2" thickBot="1" x14ac:dyDescent="0.5">
      <c r="A3" s="1944"/>
      <c r="B3" s="957">
        <v>39718</v>
      </c>
      <c r="C3" s="958" t="s">
        <v>2265</v>
      </c>
      <c r="D3" s="958" t="s">
        <v>1827</v>
      </c>
      <c r="E3" s="959">
        <v>1</v>
      </c>
      <c r="F3" s="959"/>
      <c r="G3" s="958"/>
    </row>
    <row r="4" spans="1:7" x14ac:dyDescent="0.45">
      <c r="A4" s="1945">
        <v>2</v>
      </c>
      <c r="B4" s="491">
        <v>44381</v>
      </c>
      <c r="C4" s="960" t="s">
        <v>2268</v>
      </c>
      <c r="D4" s="960" t="s">
        <v>1827</v>
      </c>
      <c r="E4" s="961">
        <v>1</v>
      </c>
      <c r="F4" s="962">
        <v>0.28194444444444444</v>
      </c>
      <c r="G4" s="960" t="s">
        <v>2046</v>
      </c>
    </row>
    <row r="5" spans="1:7" x14ac:dyDescent="0.45">
      <c r="A5" s="1943"/>
      <c r="B5" s="963">
        <v>44381</v>
      </c>
      <c r="C5" s="964" t="s">
        <v>2268</v>
      </c>
      <c r="D5" s="964" t="s">
        <v>1902</v>
      </c>
      <c r="E5" s="965">
        <v>1</v>
      </c>
      <c r="F5" s="966">
        <v>0.28194444444444444</v>
      </c>
      <c r="G5" s="964" t="s">
        <v>2046</v>
      </c>
    </row>
    <row r="6" spans="1:7" x14ac:dyDescent="0.45">
      <c r="A6" s="1942">
        <v>3</v>
      </c>
      <c r="B6" s="954">
        <v>44428</v>
      </c>
      <c r="C6" s="955" t="s">
        <v>2268</v>
      </c>
      <c r="D6" s="955" t="s">
        <v>1825</v>
      </c>
      <c r="E6" s="956">
        <v>1</v>
      </c>
      <c r="F6" s="967">
        <v>0.24652777777777779</v>
      </c>
      <c r="G6" s="955" t="s">
        <v>2046</v>
      </c>
    </row>
    <row r="7" spans="1:7" ht="16.2" thickBot="1" x14ac:dyDescent="0.5">
      <c r="A7" s="1944"/>
      <c r="B7" s="957">
        <v>44428</v>
      </c>
      <c r="C7" s="958" t="s">
        <v>2268</v>
      </c>
      <c r="D7" s="958" t="s">
        <v>1827</v>
      </c>
      <c r="E7" s="959">
        <v>1</v>
      </c>
      <c r="F7" s="968">
        <v>0.24652777777777779</v>
      </c>
      <c r="G7" s="958" t="s">
        <v>2046</v>
      </c>
    </row>
    <row r="8" spans="1:7" x14ac:dyDescent="0.45">
      <c r="A8" s="1945">
        <v>4</v>
      </c>
      <c r="B8" s="491">
        <v>44507</v>
      </c>
      <c r="C8" s="960" t="s">
        <v>2269</v>
      </c>
      <c r="D8" s="960" t="s">
        <v>1826</v>
      </c>
      <c r="E8" s="961">
        <v>1</v>
      </c>
      <c r="F8" s="962">
        <v>0.2673611111111111</v>
      </c>
      <c r="G8" s="960" t="s">
        <v>2046</v>
      </c>
    </row>
    <row r="9" spans="1:7" x14ac:dyDescent="0.45">
      <c r="A9" s="1943"/>
      <c r="B9" s="963">
        <v>44507</v>
      </c>
      <c r="C9" s="964" t="s">
        <v>2269</v>
      </c>
      <c r="D9" s="964" t="s">
        <v>1862</v>
      </c>
      <c r="E9" s="965">
        <v>1</v>
      </c>
      <c r="F9" s="966">
        <v>0.2673611111111111</v>
      </c>
      <c r="G9" s="964" t="s">
        <v>2046</v>
      </c>
    </row>
    <row r="10" spans="1:7" x14ac:dyDescent="0.45">
      <c r="A10" s="1942">
        <v>5</v>
      </c>
      <c r="B10" s="954">
        <v>44556</v>
      </c>
      <c r="C10" s="955" t="s">
        <v>2269</v>
      </c>
      <c r="D10" s="955" t="s">
        <v>1826</v>
      </c>
      <c r="E10" s="956">
        <v>1</v>
      </c>
      <c r="F10" s="967">
        <v>0.25763888888888886</v>
      </c>
      <c r="G10" s="955" t="s">
        <v>2046</v>
      </c>
    </row>
    <row r="11" spans="1:7" ht="16.2" thickBot="1" x14ac:dyDescent="0.5">
      <c r="A11" s="1944"/>
      <c r="B11" s="957">
        <v>44556</v>
      </c>
      <c r="C11" s="958" t="s">
        <v>2269</v>
      </c>
      <c r="D11" s="958" t="s">
        <v>1877</v>
      </c>
      <c r="E11" s="959">
        <v>1</v>
      </c>
      <c r="F11" s="968">
        <v>0.25763888888888886</v>
      </c>
      <c r="G11" s="958" t="s">
        <v>2046</v>
      </c>
    </row>
    <row r="12" spans="1:7" x14ac:dyDescent="0.45">
      <c r="A12" s="1946">
        <v>6</v>
      </c>
      <c r="B12" s="969">
        <v>44805</v>
      </c>
      <c r="C12" s="970" t="s">
        <v>2270</v>
      </c>
      <c r="D12" s="970" t="s">
        <v>1831</v>
      </c>
      <c r="E12" s="971">
        <v>1</v>
      </c>
      <c r="F12" s="972">
        <v>0.25486111111111109</v>
      </c>
      <c r="G12" s="970" t="s">
        <v>2229</v>
      </c>
    </row>
    <row r="13" spans="1:7" ht="16.2" thickBot="1" x14ac:dyDescent="0.5">
      <c r="A13" s="1944"/>
      <c r="B13" s="957">
        <v>44805</v>
      </c>
      <c r="C13" s="958" t="s">
        <v>2270</v>
      </c>
      <c r="D13" s="958" t="s">
        <v>2712</v>
      </c>
      <c r="E13" s="959">
        <v>1</v>
      </c>
      <c r="F13" s="968">
        <v>0.25486111111111109</v>
      </c>
      <c r="G13" s="958" t="s">
        <v>2229</v>
      </c>
    </row>
    <row r="14" spans="1:7" x14ac:dyDescent="0.45">
      <c r="A14" s="1946">
        <v>7</v>
      </c>
      <c r="B14" s="969">
        <v>44821</v>
      </c>
      <c r="C14" s="970" t="s">
        <v>2270</v>
      </c>
      <c r="D14" s="970" t="s">
        <v>1831</v>
      </c>
      <c r="E14" s="971">
        <v>1</v>
      </c>
      <c r="F14" s="972">
        <v>0.17499999999999999</v>
      </c>
      <c r="G14" s="970" t="s">
        <v>2229</v>
      </c>
    </row>
    <row r="15" spans="1:7" x14ac:dyDescent="0.45">
      <c r="A15" s="1943"/>
      <c r="B15" s="963">
        <v>44821</v>
      </c>
      <c r="C15" s="964" t="s">
        <v>2270</v>
      </c>
      <c r="D15" s="964" t="s">
        <v>1834</v>
      </c>
      <c r="E15" s="965">
        <v>1</v>
      </c>
      <c r="F15" s="966">
        <v>0.17499999999999999</v>
      </c>
      <c r="G15" s="964" t="s">
        <v>2229</v>
      </c>
    </row>
    <row r="16" spans="1:7" x14ac:dyDescent="0.45">
      <c r="A16" s="1942">
        <v>8</v>
      </c>
      <c r="B16" s="954">
        <v>44882</v>
      </c>
      <c r="C16" s="955" t="s">
        <v>2270</v>
      </c>
      <c r="D16" s="955" t="s">
        <v>1831</v>
      </c>
      <c r="E16" s="956">
        <v>1</v>
      </c>
      <c r="F16" s="967">
        <v>0.23194444444444445</v>
      </c>
      <c r="G16" s="955" t="s">
        <v>2229</v>
      </c>
    </row>
    <row r="17" spans="1:7" ht="16.2" thickBot="1" x14ac:dyDescent="0.5">
      <c r="A17" s="1944"/>
      <c r="B17" s="957">
        <v>44882</v>
      </c>
      <c r="C17" s="958" t="s">
        <v>2270</v>
      </c>
      <c r="D17" s="958" t="s">
        <v>1834</v>
      </c>
      <c r="E17" s="959">
        <v>1</v>
      </c>
      <c r="F17" s="968">
        <v>0.23194444444444445</v>
      </c>
      <c r="G17" s="958" t="s">
        <v>2229</v>
      </c>
    </row>
    <row r="18" spans="1:7" x14ac:dyDescent="0.45">
      <c r="A18" s="1946">
        <v>9</v>
      </c>
      <c r="B18" s="969">
        <v>44966</v>
      </c>
      <c r="C18" s="970" t="s">
        <v>2271</v>
      </c>
      <c r="D18" s="970" t="s">
        <v>1891</v>
      </c>
      <c r="E18" s="971">
        <v>1</v>
      </c>
      <c r="F18" s="972">
        <v>0.29583333333333334</v>
      </c>
      <c r="G18" s="970" t="s">
        <v>2229</v>
      </c>
    </row>
    <row r="19" spans="1:7" x14ac:dyDescent="0.45">
      <c r="A19" s="1943"/>
      <c r="B19" s="963">
        <v>44966</v>
      </c>
      <c r="C19" s="964" t="s">
        <v>2271</v>
      </c>
      <c r="D19" s="964" t="s">
        <v>1893</v>
      </c>
      <c r="E19" s="965">
        <v>1</v>
      </c>
      <c r="F19" s="966">
        <v>0.29583333333333334</v>
      </c>
      <c r="G19" s="964" t="s">
        <v>2229</v>
      </c>
    </row>
    <row r="20" spans="1:7" x14ac:dyDescent="0.45">
      <c r="A20" s="1942">
        <v>10</v>
      </c>
      <c r="B20" s="954">
        <v>44985</v>
      </c>
      <c r="C20" s="955" t="s">
        <v>2271</v>
      </c>
      <c r="D20" s="955" t="s">
        <v>1824</v>
      </c>
      <c r="E20" s="956">
        <v>1</v>
      </c>
      <c r="F20" s="973"/>
      <c r="G20" s="955" t="s">
        <v>2229</v>
      </c>
    </row>
    <row r="21" spans="1:7" x14ac:dyDescent="0.45">
      <c r="A21" s="1943"/>
      <c r="B21" s="963">
        <v>44985</v>
      </c>
      <c r="C21" s="964" t="s">
        <v>2271</v>
      </c>
      <c r="D21" s="964" t="s">
        <v>2702</v>
      </c>
      <c r="E21" s="965">
        <v>1</v>
      </c>
      <c r="F21" s="974"/>
      <c r="G21" s="964" t="s">
        <v>2229</v>
      </c>
    </row>
    <row r="22" spans="1:7" x14ac:dyDescent="0.45">
      <c r="A22" s="1942">
        <v>11</v>
      </c>
      <c r="B22" s="954">
        <v>45015</v>
      </c>
      <c r="C22" s="955" t="s">
        <v>2271</v>
      </c>
      <c r="D22" s="955" t="s">
        <v>1824</v>
      </c>
      <c r="E22" s="956">
        <v>1</v>
      </c>
      <c r="F22" s="973"/>
      <c r="G22" s="955" t="s">
        <v>2229</v>
      </c>
    </row>
    <row r="23" spans="1:7" x14ac:dyDescent="0.45">
      <c r="A23" s="1943"/>
      <c r="B23" s="963">
        <v>45015</v>
      </c>
      <c r="C23" s="964" t="s">
        <v>2271</v>
      </c>
      <c r="D23" s="964" t="s">
        <v>2702</v>
      </c>
      <c r="E23" s="965">
        <v>1</v>
      </c>
      <c r="F23" s="974"/>
      <c r="G23" s="964" t="s">
        <v>2229</v>
      </c>
    </row>
    <row r="24" spans="1:7" x14ac:dyDescent="0.45">
      <c r="A24" s="1942">
        <v>12</v>
      </c>
      <c r="B24" s="954">
        <v>45031</v>
      </c>
      <c r="C24" s="955" t="s">
        <v>2271</v>
      </c>
      <c r="D24" s="955" t="s">
        <v>1824</v>
      </c>
      <c r="E24" s="956">
        <v>1</v>
      </c>
      <c r="F24" s="973"/>
      <c r="G24" s="955" t="s">
        <v>2229</v>
      </c>
    </row>
    <row r="25" spans="1:7" ht="16.2" thickBot="1" x14ac:dyDescent="0.5">
      <c r="A25" s="1944"/>
      <c r="B25" s="957">
        <v>45031</v>
      </c>
      <c r="C25" s="958" t="s">
        <v>2271</v>
      </c>
      <c r="D25" s="958" t="s">
        <v>2702</v>
      </c>
      <c r="E25" s="959">
        <v>1</v>
      </c>
      <c r="F25" s="975"/>
      <c r="G25" s="958" t="s">
        <v>2229</v>
      </c>
    </row>
    <row r="26" spans="1:7" x14ac:dyDescent="0.45">
      <c r="A26" s="1946">
        <v>13</v>
      </c>
      <c r="B26" s="969">
        <v>45127</v>
      </c>
      <c r="C26" s="970" t="s">
        <v>2272</v>
      </c>
      <c r="D26" s="970" t="s">
        <v>1965</v>
      </c>
      <c r="E26" s="971">
        <v>1</v>
      </c>
      <c r="F26" s="972">
        <v>0.3298611111111111</v>
      </c>
      <c r="G26" s="970" t="s">
        <v>2229</v>
      </c>
    </row>
    <row r="27" spans="1:7" ht="16.2" thickBot="1" x14ac:dyDescent="0.5">
      <c r="A27" s="1944"/>
      <c r="B27" s="957">
        <v>45127</v>
      </c>
      <c r="C27" s="958" t="s">
        <v>2272</v>
      </c>
      <c r="D27" s="958" t="s">
        <v>2703</v>
      </c>
      <c r="E27" s="959">
        <v>1</v>
      </c>
      <c r="F27" s="968">
        <v>0.3298611111111111</v>
      </c>
      <c r="G27" s="958" t="s">
        <v>2229</v>
      </c>
    </row>
    <row r="28" spans="1:7" x14ac:dyDescent="0.45">
      <c r="A28" s="1946">
        <v>14</v>
      </c>
      <c r="B28" s="969">
        <v>45281</v>
      </c>
      <c r="C28" s="970" t="s">
        <v>2273</v>
      </c>
      <c r="D28" s="970" t="s">
        <v>1832</v>
      </c>
      <c r="E28" s="971">
        <v>1</v>
      </c>
      <c r="F28" s="972">
        <v>0.30902777777777779</v>
      </c>
      <c r="G28" s="970" t="s">
        <v>2229</v>
      </c>
    </row>
    <row r="29" spans="1:7" x14ac:dyDescent="0.45">
      <c r="A29" s="1943"/>
      <c r="B29" s="963">
        <v>45281</v>
      </c>
      <c r="C29" s="964" t="s">
        <v>2273</v>
      </c>
      <c r="D29" s="964" t="s">
        <v>2647</v>
      </c>
      <c r="E29" s="965">
        <v>1</v>
      </c>
      <c r="F29" s="966">
        <v>0.30902777777777779</v>
      </c>
      <c r="G29" s="964" t="s">
        <v>2229</v>
      </c>
    </row>
    <row r="30" spans="1:7" x14ac:dyDescent="0.45">
      <c r="A30" s="1942">
        <v>15</v>
      </c>
      <c r="B30" s="954">
        <v>45353</v>
      </c>
      <c r="C30" s="955" t="s">
        <v>2273</v>
      </c>
      <c r="D30" s="955" t="s">
        <v>1832</v>
      </c>
      <c r="E30" s="956">
        <v>1</v>
      </c>
      <c r="F30" s="967">
        <v>0.32777777777777778</v>
      </c>
      <c r="G30" s="955" t="s">
        <v>2229</v>
      </c>
    </row>
    <row r="31" spans="1:7" ht="16.2" thickBot="1" x14ac:dyDescent="0.5">
      <c r="A31" s="1944"/>
      <c r="B31" s="957">
        <v>45353</v>
      </c>
      <c r="C31" s="958" t="s">
        <v>2273</v>
      </c>
      <c r="D31" s="958" t="s">
        <v>2704</v>
      </c>
      <c r="E31" s="959">
        <v>1</v>
      </c>
      <c r="F31" s="968">
        <v>0.32777777777777778</v>
      </c>
      <c r="G31" s="958" t="s">
        <v>2229</v>
      </c>
    </row>
    <row r="32" spans="1:7" x14ac:dyDescent="0.45">
      <c r="A32" s="1946">
        <v>16</v>
      </c>
      <c r="B32" s="969">
        <v>45440</v>
      </c>
      <c r="C32" s="970" t="s">
        <v>2274</v>
      </c>
      <c r="D32" s="970" t="s">
        <v>1877</v>
      </c>
      <c r="E32" s="971">
        <v>1</v>
      </c>
      <c r="F32" s="972">
        <v>0.34930555555555554</v>
      </c>
      <c r="G32" s="970" t="s">
        <v>2229</v>
      </c>
    </row>
    <row r="33" spans="1:7" x14ac:dyDescent="0.45">
      <c r="A33" s="1943"/>
      <c r="B33" s="963">
        <v>45440</v>
      </c>
      <c r="C33" s="964" t="s">
        <v>2274</v>
      </c>
      <c r="D33" s="964" t="s">
        <v>2705</v>
      </c>
      <c r="E33" s="965">
        <v>1</v>
      </c>
      <c r="F33" s="966">
        <v>0.34930555555555554</v>
      </c>
      <c r="G33" s="964" t="s">
        <v>2229</v>
      </c>
    </row>
    <row r="34" spans="1:7" x14ac:dyDescent="0.45">
      <c r="A34" s="1942">
        <v>17</v>
      </c>
      <c r="B34" s="954">
        <v>45476</v>
      </c>
      <c r="C34" s="955" t="s">
        <v>2274</v>
      </c>
      <c r="D34" s="955" t="s">
        <v>1877</v>
      </c>
      <c r="E34" s="956">
        <v>1</v>
      </c>
      <c r="F34" s="967">
        <v>0.2722222222222222</v>
      </c>
      <c r="G34" s="955" t="s">
        <v>2229</v>
      </c>
    </row>
    <row r="35" spans="1:7" ht="16.2" thickBot="1" x14ac:dyDescent="0.5">
      <c r="A35" s="1944"/>
      <c r="B35" s="957">
        <v>45476</v>
      </c>
      <c r="C35" s="958" t="s">
        <v>2274</v>
      </c>
      <c r="D35" s="958" t="s">
        <v>2706</v>
      </c>
      <c r="E35" s="959">
        <v>1</v>
      </c>
      <c r="F35" s="968">
        <v>0.2722222222222222</v>
      </c>
      <c r="G35" s="958" t="s">
        <v>2229</v>
      </c>
    </row>
    <row r="36" spans="1:7" x14ac:dyDescent="0.45">
      <c r="A36" s="1946">
        <v>18</v>
      </c>
      <c r="B36" s="969">
        <v>45643</v>
      </c>
      <c r="C36" s="970" t="s">
        <v>2275</v>
      </c>
      <c r="D36" s="970" t="s">
        <v>1834</v>
      </c>
      <c r="E36" s="971">
        <v>1</v>
      </c>
      <c r="F36" s="972">
        <v>0.37916666666666665</v>
      </c>
      <c r="G36" s="970" t="s">
        <v>2229</v>
      </c>
    </row>
    <row r="37" spans="1:7" x14ac:dyDescent="0.45">
      <c r="A37" s="1943"/>
      <c r="B37" s="963">
        <v>45643</v>
      </c>
      <c r="C37" s="964" t="s">
        <v>2275</v>
      </c>
      <c r="D37" s="964" t="s">
        <v>2707</v>
      </c>
      <c r="E37" s="965">
        <v>1</v>
      </c>
      <c r="F37" s="966">
        <v>0.37916666666666665</v>
      </c>
      <c r="G37" s="964" t="s">
        <v>2229</v>
      </c>
    </row>
    <row r="38" spans="1:7" x14ac:dyDescent="0.45">
      <c r="A38" s="1942">
        <v>19</v>
      </c>
      <c r="B38" s="954">
        <v>45677</v>
      </c>
      <c r="C38" s="955" t="s">
        <v>2275</v>
      </c>
      <c r="D38" s="955" t="s">
        <v>1834</v>
      </c>
      <c r="E38" s="956">
        <v>1</v>
      </c>
      <c r="F38" s="967">
        <v>0.34513888888888888</v>
      </c>
      <c r="G38" s="955" t="s">
        <v>2229</v>
      </c>
    </row>
    <row r="39" spans="1:7" x14ac:dyDescent="0.45">
      <c r="A39" s="1943"/>
      <c r="B39" s="963">
        <v>45677</v>
      </c>
      <c r="C39" s="964" t="s">
        <v>2275</v>
      </c>
      <c r="D39" s="964" t="s">
        <v>2707</v>
      </c>
      <c r="E39" s="965">
        <v>1</v>
      </c>
      <c r="F39" s="966">
        <v>0.34513888888888888</v>
      </c>
      <c r="G39" s="964" t="s">
        <v>2229</v>
      </c>
    </row>
    <row r="40" spans="1:7" x14ac:dyDescent="0.45">
      <c r="A40" s="1942">
        <v>20</v>
      </c>
      <c r="B40" s="954">
        <v>45737</v>
      </c>
      <c r="C40" s="955" t="s">
        <v>2275</v>
      </c>
      <c r="D40" s="955" t="s">
        <v>1834</v>
      </c>
      <c r="E40" s="956">
        <v>1</v>
      </c>
      <c r="F40" s="967">
        <v>0.2951388888888889</v>
      </c>
      <c r="G40" s="955" t="s">
        <v>2229</v>
      </c>
    </row>
    <row r="41" spans="1:7" ht="16.2" thickBot="1" x14ac:dyDescent="0.5">
      <c r="A41" s="1944"/>
      <c r="B41" s="957">
        <v>45737</v>
      </c>
      <c r="C41" s="958" t="s">
        <v>2275</v>
      </c>
      <c r="D41" s="958" t="s">
        <v>2707</v>
      </c>
      <c r="E41" s="959">
        <v>1</v>
      </c>
      <c r="F41" s="968">
        <v>0.2951388888888889</v>
      </c>
      <c r="G41" s="958" t="s">
        <v>2229</v>
      </c>
    </row>
    <row r="42" spans="1:7" x14ac:dyDescent="0.45">
      <c r="A42" s="1945">
        <v>21</v>
      </c>
      <c r="B42" s="491">
        <v>45799</v>
      </c>
      <c r="C42" s="960" t="s">
        <v>2276</v>
      </c>
      <c r="D42" s="960" t="s">
        <v>1901</v>
      </c>
      <c r="E42" s="961">
        <v>1</v>
      </c>
      <c r="F42" s="961" t="s">
        <v>2841</v>
      </c>
      <c r="G42" s="960" t="s">
        <v>693</v>
      </c>
    </row>
    <row r="43" spans="1:7" x14ac:dyDescent="0.45">
      <c r="A43" s="1943"/>
      <c r="B43" s="963">
        <v>45799</v>
      </c>
      <c r="C43" s="964" t="s">
        <v>2835</v>
      </c>
      <c r="D43" s="964" t="s">
        <v>2758</v>
      </c>
      <c r="E43" s="965">
        <v>1</v>
      </c>
      <c r="F43" s="965" t="s">
        <v>2842</v>
      </c>
      <c r="G43" s="964" t="s">
        <v>693</v>
      </c>
    </row>
    <row r="44" spans="1:7" x14ac:dyDescent="0.45">
      <c r="A44" s="1942">
        <v>22</v>
      </c>
      <c r="B44" s="954">
        <v>45834</v>
      </c>
      <c r="C44" s="955" t="s">
        <v>2835</v>
      </c>
      <c r="D44" s="955" t="s">
        <v>1831</v>
      </c>
      <c r="E44" s="956">
        <v>1</v>
      </c>
      <c r="F44" s="956" t="s">
        <v>2872</v>
      </c>
      <c r="G44" s="955" t="s">
        <v>693</v>
      </c>
    </row>
    <row r="45" spans="1:7" x14ac:dyDescent="0.45">
      <c r="A45" s="1943"/>
      <c r="B45" s="963">
        <v>45834</v>
      </c>
      <c r="C45" s="964" t="s">
        <v>2835</v>
      </c>
      <c r="D45" s="964" t="s">
        <v>2870</v>
      </c>
      <c r="E45" s="965">
        <v>1</v>
      </c>
      <c r="F45" s="965" t="s">
        <v>2871</v>
      </c>
      <c r="G45" s="964" t="s">
        <v>693</v>
      </c>
    </row>
    <row r="46" spans="1:7" x14ac:dyDescent="0.45">
      <c r="A46" s="1942">
        <v>23</v>
      </c>
      <c r="B46" s="954">
        <v>45884</v>
      </c>
      <c r="C46" s="955" t="s">
        <v>2835</v>
      </c>
      <c r="D46" s="955" t="s">
        <v>1831</v>
      </c>
      <c r="E46" s="956">
        <v>1</v>
      </c>
      <c r="F46" s="956" t="s">
        <v>2871</v>
      </c>
      <c r="G46" s="955" t="s">
        <v>693</v>
      </c>
    </row>
    <row r="47" spans="1:7" x14ac:dyDescent="0.45">
      <c r="A47" s="1943"/>
      <c r="B47" s="963">
        <v>45884</v>
      </c>
      <c r="C47" s="964" t="s">
        <v>2835</v>
      </c>
      <c r="D47" s="964" t="s">
        <v>2759</v>
      </c>
      <c r="E47" s="965">
        <v>1</v>
      </c>
      <c r="F47" s="965" t="s">
        <v>2871</v>
      </c>
      <c r="G47" s="964" t="s">
        <v>693</v>
      </c>
    </row>
    <row r="48" spans="1:7" x14ac:dyDescent="0.45">
      <c r="A48" s="1942">
        <v>24</v>
      </c>
      <c r="B48" s="954">
        <v>45926</v>
      </c>
      <c r="C48" s="955" t="s">
        <v>2835</v>
      </c>
      <c r="D48" s="955" t="s">
        <v>2758</v>
      </c>
      <c r="E48" s="956">
        <v>1</v>
      </c>
      <c r="F48" s="956" t="s">
        <v>3020</v>
      </c>
      <c r="G48" s="955" t="s">
        <v>693</v>
      </c>
    </row>
    <row r="49" spans="1:7" x14ac:dyDescent="0.45">
      <c r="A49" s="1943"/>
      <c r="B49" s="963">
        <v>45926</v>
      </c>
      <c r="C49" s="964" t="s">
        <v>2835</v>
      </c>
      <c r="D49" s="964" t="s">
        <v>2759</v>
      </c>
      <c r="E49" s="965">
        <v>1</v>
      </c>
      <c r="F49" s="965" t="s">
        <v>3020</v>
      </c>
      <c r="G49" s="964" t="s">
        <v>693</v>
      </c>
    </row>
    <row r="50" spans="1:7" x14ac:dyDescent="0.45">
      <c r="A50" s="1942">
        <v>25</v>
      </c>
      <c r="B50" s="954">
        <v>46000</v>
      </c>
      <c r="C50" s="955" t="s">
        <v>3229</v>
      </c>
      <c r="D50" s="955" t="s">
        <v>1893</v>
      </c>
      <c r="E50" s="956">
        <v>1</v>
      </c>
      <c r="F50" s="956" t="s">
        <v>3281</v>
      </c>
      <c r="G50" s="955" t="s">
        <v>693</v>
      </c>
    </row>
    <row r="51" spans="1:7" x14ac:dyDescent="0.45">
      <c r="A51" s="1943"/>
      <c r="B51" s="963">
        <v>46000</v>
      </c>
      <c r="C51" s="964" t="s">
        <v>3229</v>
      </c>
      <c r="D51" s="964" t="s">
        <v>3110</v>
      </c>
      <c r="E51" s="965">
        <v>1</v>
      </c>
      <c r="F51" s="965" t="s">
        <v>3281</v>
      </c>
      <c r="G51" s="964" t="s">
        <v>693</v>
      </c>
    </row>
    <row r="52" spans="1:7" x14ac:dyDescent="0.45">
      <c r="A52" s="1942">
        <v>26</v>
      </c>
      <c r="B52" s="954">
        <v>46097</v>
      </c>
      <c r="C52" s="955" t="s">
        <v>3287</v>
      </c>
      <c r="D52" s="955" t="s">
        <v>2702</v>
      </c>
      <c r="E52" s="956">
        <v>1</v>
      </c>
      <c r="F52" s="956" t="s">
        <v>3430</v>
      </c>
      <c r="G52" s="955" t="s">
        <v>693</v>
      </c>
    </row>
    <row r="53" spans="1:7" x14ac:dyDescent="0.45">
      <c r="A53" s="1943"/>
      <c r="B53" s="963">
        <v>46097</v>
      </c>
      <c r="C53" s="964" t="s">
        <v>3287</v>
      </c>
      <c r="D53" s="964" t="s">
        <v>3165</v>
      </c>
      <c r="E53" s="965">
        <v>1</v>
      </c>
      <c r="F53" s="965" t="s">
        <v>3430</v>
      </c>
      <c r="G53" s="964" t="s">
        <v>693</v>
      </c>
    </row>
    <row r="54" spans="1:7" x14ac:dyDescent="0.45">
      <c r="A54" s="1942">
        <v>27</v>
      </c>
      <c r="B54" s="954">
        <v>46129</v>
      </c>
      <c r="C54" s="955" t="s">
        <v>3287</v>
      </c>
      <c r="D54" s="955" t="s">
        <v>2702</v>
      </c>
      <c r="E54" s="956">
        <v>1</v>
      </c>
      <c r="F54" s="956" t="s">
        <v>3513</v>
      </c>
      <c r="G54" s="955" t="s">
        <v>693</v>
      </c>
    </row>
    <row r="55" spans="1:7" x14ac:dyDescent="0.45">
      <c r="A55" s="1943"/>
      <c r="B55" s="963">
        <v>46129</v>
      </c>
      <c r="C55" s="964" t="s">
        <v>3287</v>
      </c>
      <c r="D55" s="964" t="s">
        <v>3165</v>
      </c>
      <c r="E55" s="965">
        <v>1</v>
      </c>
      <c r="F55" s="965" t="s">
        <v>3512</v>
      </c>
      <c r="G55" s="964" t="s">
        <v>693</v>
      </c>
    </row>
    <row r="56" spans="1:7" x14ac:dyDescent="0.45">
      <c r="A56" s="1947">
        <v>28</v>
      </c>
      <c r="B56" s="976"/>
      <c r="C56" s="977" t="s">
        <v>3615</v>
      </c>
      <c r="D56" s="977" t="s">
        <v>1896</v>
      </c>
      <c r="E56" s="978"/>
      <c r="F56" s="978"/>
      <c r="G56" s="977" t="s">
        <v>693</v>
      </c>
    </row>
    <row r="57" spans="1:7" x14ac:dyDescent="0.45">
      <c r="A57" s="1948"/>
      <c r="B57" s="979"/>
      <c r="C57" s="980" t="s">
        <v>3615</v>
      </c>
      <c r="D57" s="980" t="s">
        <v>3616</v>
      </c>
      <c r="E57" s="981"/>
      <c r="F57" s="981"/>
      <c r="G57" s="980" t="s">
        <v>693</v>
      </c>
    </row>
    <row r="58" spans="1:7" x14ac:dyDescent="0.45">
      <c r="A58" s="1947">
        <v>29</v>
      </c>
      <c r="B58" s="976"/>
      <c r="C58" s="977"/>
      <c r="D58" s="977"/>
      <c r="E58" s="978"/>
      <c r="F58" s="978"/>
      <c r="G58" s="977" t="s">
        <v>693</v>
      </c>
    </row>
    <row r="59" spans="1:7" x14ac:dyDescent="0.45">
      <c r="A59" s="1948"/>
      <c r="B59" s="979"/>
      <c r="C59" s="980"/>
      <c r="D59" s="980"/>
      <c r="E59" s="981"/>
      <c r="F59" s="981"/>
      <c r="G59" s="980" t="s">
        <v>693</v>
      </c>
    </row>
    <row r="60" spans="1:7" x14ac:dyDescent="0.45">
      <c r="A60" s="1947">
        <v>30</v>
      </c>
      <c r="B60" s="976"/>
      <c r="C60" s="977"/>
      <c r="D60" s="977"/>
      <c r="E60" s="978"/>
      <c r="F60" s="978"/>
      <c r="G60" s="977" t="s">
        <v>693</v>
      </c>
    </row>
    <row r="61" spans="1:7" x14ac:dyDescent="0.45">
      <c r="A61" s="1948"/>
      <c r="B61" s="979"/>
      <c r="C61" s="980"/>
      <c r="D61" s="980"/>
      <c r="E61" s="981"/>
      <c r="F61" s="981"/>
      <c r="G61" s="980" t="s">
        <v>693</v>
      </c>
    </row>
  </sheetData>
  <mergeCells count="30">
    <mergeCell ref="A56:A57"/>
    <mergeCell ref="A58:A59"/>
    <mergeCell ref="A60:A61"/>
    <mergeCell ref="A46:A47"/>
    <mergeCell ref="A48:A49"/>
    <mergeCell ref="A50:A51"/>
    <mergeCell ref="A52:A53"/>
    <mergeCell ref="A54:A55"/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38:A39"/>
    <mergeCell ref="A40:A41"/>
    <mergeCell ref="A42:A43"/>
    <mergeCell ref="A44:A45"/>
    <mergeCell ref="A26:A27"/>
    <mergeCell ref="A28:A29"/>
    <mergeCell ref="A30:A31"/>
    <mergeCell ref="A32:A33"/>
    <mergeCell ref="A34:A35"/>
    <mergeCell ref="A36:A37"/>
  </mergeCells>
  <phoneticPr fontId="2"/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6"/>
  <sheetViews>
    <sheetView zoomScaleNormal="100" workbookViewId="0">
      <pane xSplit="1" ySplit="3" topLeftCell="B51" activePane="bottomRight" state="frozen"/>
      <selection pane="topRight" activeCell="B1" sqref="B1"/>
      <selection pane="bottomLeft" activeCell="A4" sqref="A4"/>
      <selection pane="bottomRight" activeCell="N60" sqref="N60"/>
    </sheetView>
  </sheetViews>
  <sheetFormatPr defaultColWidth="7.19921875" defaultRowHeight="18" x14ac:dyDescent="0.45"/>
  <cols>
    <col min="1" max="1" width="7.19921875" style="5"/>
    <col min="2" max="3" width="6.796875" style="59" bestFit="1" customWidth="1"/>
    <col min="4" max="4" width="8.296875" style="59" bestFit="1" customWidth="1"/>
    <col min="5" max="6" width="6.796875" style="59" bestFit="1" customWidth="1"/>
    <col min="7" max="7" width="8.296875" style="59" bestFit="1" customWidth="1"/>
    <col min="8" max="9" width="6.796875" style="5" bestFit="1" customWidth="1"/>
    <col min="10" max="10" width="8.296875" style="5" bestFit="1" customWidth="1"/>
    <col min="11" max="12" width="6.796875" style="5" bestFit="1" customWidth="1"/>
    <col min="13" max="13" width="7.296875" style="5" bestFit="1" customWidth="1"/>
    <col min="14" max="15" width="6.796875" style="59" bestFit="1" customWidth="1"/>
    <col min="16" max="16" width="8.296875" style="59" bestFit="1" customWidth="1"/>
    <col min="17" max="18" width="6.796875" style="59" bestFit="1" customWidth="1"/>
    <col min="19" max="19" width="8.296875" style="59" bestFit="1" customWidth="1"/>
  </cols>
  <sheetData>
    <row r="1" spans="1:19" x14ac:dyDescent="0.45">
      <c r="A1" s="1954" t="str">
        <f ca="1">CONCATENATE("截止",YEAR(TODAY()),"年",MONTH(TODAY()),"月",DAY(TODAY()),"日")</f>
        <v>截止2026年7月6日</v>
      </c>
      <c r="B1" s="1955"/>
      <c r="C1" s="1955"/>
      <c r="D1" s="1955"/>
      <c r="E1" s="1955"/>
      <c r="F1" s="1955"/>
      <c r="G1" s="1955"/>
      <c r="H1" s="1955"/>
      <c r="I1" s="1955"/>
      <c r="J1" s="1955"/>
      <c r="K1" s="1955"/>
      <c r="L1" s="1955"/>
      <c r="M1" s="1955"/>
      <c r="N1" s="1955"/>
      <c r="O1" s="1955"/>
      <c r="P1" s="1955"/>
      <c r="Q1" s="1955"/>
      <c r="R1" s="1955"/>
      <c r="S1" s="1956"/>
    </row>
    <row r="2" spans="1:19" x14ac:dyDescent="0.45">
      <c r="A2" s="1957" t="s">
        <v>810</v>
      </c>
      <c r="B2" s="1949" t="s">
        <v>826</v>
      </c>
      <c r="C2" s="1950"/>
      <c r="D2" s="1950"/>
      <c r="E2" s="1950"/>
      <c r="F2" s="1950"/>
      <c r="G2" s="1951"/>
      <c r="H2" s="1953" t="s">
        <v>827</v>
      </c>
      <c r="I2" s="1950"/>
      <c r="J2" s="1950"/>
      <c r="K2" s="1950"/>
      <c r="L2" s="1950"/>
      <c r="M2" s="1951"/>
      <c r="N2" s="1952" t="s">
        <v>828</v>
      </c>
      <c r="O2" s="1950"/>
      <c r="P2" s="1950"/>
      <c r="Q2" s="1950"/>
      <c r="R2" s="1950"/>
      <c r="S2" s="1951"/>
    </row>
    <row r="3" spans="1:19" ht="38.25" customHeight="1" thickBot="1" x14ac:dyDescent="0.5">
      <c r="A3" s="1958"/>
      <c r="B3" s="282" t="s">
        <v>829</v>
      </c>
      <c r="C3" s="283" t="s">
        <v>830</v>
      </c>
      <c r="D3" s="283" t="s">
        <v>831</v>
      </c>
      <c r="E3" s="283" t="s">
        <v>832</v>
      </c>
      <c r="F3" s="283" t="s">
        <v>833</v>
      </c>
      <c r="G3" s="284" t="s">
        <v>834</v>
      </c>
      <c r="H3" s="285" t="s">
        <v>829</v>
      </c>
      <c r="I3" s="285" t="s">
        <v>830</v>
      </c>
      <c r="J3" s="285" t="s">
        <v>831</v>
      </c>
      <c r="K3" s="285" t="s">
        <v>832</v>
      </c>
      <c r="L3" s="285" t="s">
        <v>833</v>
      </c>
      <c r="M3" s="286" t="s">
        <v>834</v>
      </c>
      <c r="N3" s="287" t="s">
        <v>829</v>
      </c>
      <c r="O3" s="287" t="s">
        <v>830</v>
      </c>
      <c r="P3" s="287" t="s">
        <v>831</v>
      </c>
      <c r="Q3" s="287" t="s">
        <v>832</v>
      </c>
      <c r="R3" s="287" t="s">
        <v>833</v>
      </c>
      <c r="S3" s="288" t="s">
        <v>834</v>
      </c>
    </row>
    <row r="4" spans="1:19" x14ac:dyDescent="0.45">
      <c r="A4" s="60">
        <v>25569</v>
      </c>
      <c r="B4" s="14">
        <v>1</v>
      </c>
      <c r="C4" s="10">
        <v>1</v>
      </c>
      <c r="D4" s="3">
        <v>1</v>
      </c>
      <c r="E4" s="10">
        <v>1</v>
      </c>
      <c r="F4" s="10">
        <v>1</v>
      </c>
      <c r="G4" s="4">
        <v>1</v>
      </c>
      <c r="H4" s="10">
        <v>0</v>
      </c>
      <c r="I4" s="10">
        <v>0</v>
      </c>
      <c r="J4" s="3" t="s">
        <v>3</v>
      </c>
      <c r="K4" s="10">
        <v>0</v>
      </c>
      <c r="L4" s="10">
        <v>0</v>
      </c>
      <c r="M4" s="4" t="s">
        <v>3</v>
      </c>
      <c r="N4" s="10">
        <v>1</v>
      </c>
      <c r="O4" s="10">
        <v>1</v>
      </c>
      <c r="P4" s="3">
        <v>1</v>
      </c>
      <c r="Q4" s="10">
        <v>1</v>
      </c>
      <c r="R4" s="10">
        <v>1</v>
      </c>
      <c r="S4" s="4">
        <v>1</v>
      </c>
    </row>
    <row r="5" spans="1:19" x14ac:dyDescent="0.45">
      <c r="A5" s="61">
        <v>25934</v>
      </c>
      <c r="B5" s="15">
        <f>COUNTIFS(发射纪录!B:B,"&lt;&gt;-",发射纪录!G:G,"&gt;="&amp;DATE(YEAR(A5),1,1),发射纪录!G:G,"&lt;="&amp;DATE(YEAR(A5),12,31),发射纪录!N:N,"&lt;&gt;")</f>
        <v>1</v>
      </c>
      <c r="C5" s="11">
        <f>COUNTIFS(发射纪录!B:B,"&lt;&gt;-",发射纪录!G:G,"&gt;="&amp;DATE(YEAR(A5),1,1),发射纪录!G:G,"&lt;="&amp;DATE(YEAR(A5),12,31),发射纪录!N:N,"=成功",发射纪录!N:N,"&lt;&gt;")</f>
        <v>1</v>
      </c>
      <c r="D5" s="1">
        <v>1</v>
      </c>
      <c r="E5" s="11">
        <f t="shared" ref="E5:E56" si="0">E4+B5</f>
        <v>2</v>
      </c>
      <c r="F5" s="11">
        <f t="shared" ref="F5:F56" si="1">F4+C5</f>
        <v>2</v>
      </c>
      <c r="G5" s="2">
        <f t="shared" ref="G5:G56" si="2">IF(E5=0,"-",F5/E5)</f>
        <v>1</v>
      </c>
      <c r="H5" s="11">
        <f ca="1">COUNTIFS(发射纪录!C:C,"&lt;&gt;-",发射纪录!G:G,"&gt;="&amp;DATE(YEAR(A5),1,1),发射纪录!G:G,"&lt;="&amp;DATE(YEAR(A5),12,31),发射纪录!N:N,"&lt;&gt;")</f>
        <v>0</v>
      </c>
      <c r="I5" s="11">
        <f ca="1">COUNTIFS(发射纪录!C:C,"&lt;&gt;-",发射纪录!G:G,"&gt;="&amp;DATE(YEAR(A5),1,1),发射纪录!G:G,"&lt;="&amp;DATE(YEAR(A5),12,31),发射纪录!N:N,"=成功",发射纪录!N:N,"&lt;&gt;")</f>
        <v>0</v>
      </c>
      <c r="J5" s="1" t="str">
        <f t="shared" ref="J5:J56" ca="1" si="3">IF(H5=0,"-",I5/H5)</f>
        <v>-</v>
      </c>
      <c r="K5" s="11">
        <f t="shared" ref="K5:K56" ca="1" si="4">K4+H5</f>
        <v>0</v>
      </c>
      <c r="L5" s="11">
        <f t="shared" ref="L5:L56" ca="1" si="5">L4+I5</f>
        <v>0</v>
      </c>
      <c r="M5" s="2" t="str">
        <f t="shared" ref="M5:M56" ca="1" si="6">IF(K5=0,"-",L5/K5)</f>
        <v>-</v>
      </c>
      <c r="N5" s="11">
        <f t="shared" ref="N5:N56" ca="1" si="7">B5+H5</f>
        <v>1</v>
      </c>
      <c r="O5" s="11">
        <f t="shared" ref="O5:O56" ca="1" si="8">C5+I5</f>
        <v>1</v>
      </c>
      <c r="P5" s="1">
        <f t="shared" ref="P5:P56" ca="1" si="9">IF(N5=0,"-",O5/N5)</f>
        <v>1</v>
      </c>
      <c r="Q5" s="11">
        <f t="shared" ref="Q5:Q56" ca="1" si="10">Q4+N5</f>
        <v>2</v>
      </c>
      <c r="R5" s="11">
        <f t="shared" ref="R5:R56" ca="1" si="11">R4+O5</f>
        <v>2</v>
      </c>
      <c r="S5" s="2">
        <f t="shared" ref="S5:S56" ca="1" si="12">IF(Q5=0,"-",R5/Q5)</f>
        <v>1</v>
      </c>
    </row>
    <row r="6" spans="1:19" x14ac:dyDescent="0.45">
      <c r="A6" s="61">
        <v>26299</v>
      </c>
      <c r="B6" s="15">
        <f>COUNTIFS(发射纪录!B:B,"&lt;&gt;-",发射纪录!G:G,"&gt;="&amp;DATE(YEAR(A6),1,1),发射纪录!G:G,"&lt;="&amp;DATE(YEAR(A6),12,31),发射纪录!N:N,"&lt;&gt;")</f>
        <v>0</v>
      </c>
      <c r="C6" s="11">
        <f>COUNTIFS(发射纪录!B:B,"&lt;&gt;-",发射纪录!G:G,"&gt;="&amp;DATE(YEAR(A6),1,1),发射纪录!G:G,"&lt;="&amp;DATE(YEAR(A6),12,31),发射纪录!N:N,"=成功",发射纪录!N:N,"&lt;&gt;")</f>
        <v>0</v>
      </c>
      <c r="D6" s="1" t="str">
        <f>IF(B6=0,"-",C6/B6)</f>
        <v>-</v>
      </c>
      <c r="E6" s="11">
        <f t="shared" si="0"/>
        <v>2</v>
      </c>
      <c r="F6" s="11">
        <f t="shared" si="1"/>
        <v>2</v>
      </c>
      <c r="G6" s="2">
        <f t="shared" si="2"/>
        <v>1</v>
      </c>
      <c r="H6" s="11">
        <f ca="1">COUNTIFS(发射纪录!C:C,"&lt;&gt;-",发射纪录!G:G,"&gt;="&amp;DATE(YEAR(A6),1,1),发射纪录!G:G,"&lt;="&amp;DATE(YEAR(A6),12,31),发射纪录!N:N,"&lt;&gt;")</f>
        <v>0</v>
      </c>
      <c r="I6" s="11">
        <f ca="1">COUNTIFS(发射纪录!C:C,"&lt;&gt;-",发射纪录!G:G,"&gt;="&amp;DATE(YEAR(A6),1,1),发射纪录!G:G,"&lt;="&amp;DATE(YEAR(A6),12,31),发射纪录!N:N,"=成功",发射纪录!N:N,"&lt;&gt;")</f>
        <v>0</v>
      </c>
      <c r="J6" s="1" t="str">
        <f t="shared" ca="1" si="3"/>
        <v>-</v>
      </c>
      <c r="K6" s="11">
        <f t="shared" ca="1" si="4"/>
        <v>0</v>
      </c>
      <c r="L6" s="11">
        <f t="shared" ca="1" si="5"/>
        <v>0</v>
      </c>
      <c r="M6" s="2" t="str">
        <f t="shared" ca="1" si="6"/>
        <v>-</v>
      </c>
      <c r="N6" s="11">
        <f t="shared" ca="1" si="7"/>
        <v>0</v>
      </c>
      <c r="O6" s="11">
        <f t="shared" ca="1" si="8"/>
        <v>0</v>
      </c>
      <c r="P6" s="1" t="str">
        <f t="shared" ca="1" si="9"/>
        <v>-</v>
      </c>
      <c r="Q6" s="11">
        <f t="shared" ca="1" si="10"/>
        <v>2</v>
      </c>
      <c r="R6" s="11">
        <f t="shared" ca="1" si="11"/>
        <v>2</v>
      </c>
      <c r="S6" s="2">
        <f t="shared" ca="1" si="12"/>
        <v>1</v>
      </c>
    </row>
    <row r="7" spans="1:19" x14ac:dyDescent="0.45">
      <c r="A7" s="61">
        <v>26665</v>
      </c>
      <c r="B7" s="15">
        <f>COUNTIFS(发射纪录!B:B,"&lt;&gt;-",发射纪录!G:G,"&gt;="&amp;DATE(YEAR(A7),1,1),发射纪录!G:G,"&lt;="&amp;DATE(YEAR(A7),12,31),发射纪录!N:N,"&lt;&gt;")</f>
        <v>0</v>
      </c>
      <c r="C7" s="11">
        <f>COUNTIFS(发射纪录!B:B,"&lt;&gt;-",发射纪录!G:G,"&gt;="&amp;DATE(YEAR(A7),1,1),发射纪录!G:G,"&lt;="&amp;DATE(YEAR(A7),12,31),发射纪录!N:N,"=成功",发射纪录!N:N,"&lt;&gt;")</f>
        <v>0</v>
      </c>
      <c r="D7" s="1" t="str">
        <f>IF(B7=0,"-",C7/B7)</f>
        <v>-</v>
      </c>
      <c r="E7" s="11">
        <f t="shared" si="0"/>
        <v>2</v>
      </c>
      <c r="F7" s="11">
        <f t="shared" si="1"/>
        <v>2</v>
      </c>
      <c r="G7" s="2">
        <f t="shared" si="2"/>
        <v>1</v>
      </c>
      <c r="H7" s="11">
        <f ca="1">COUNTIFS(发射纪录!C:C,"&lt;&gt;-",发射纪录!G:G,"&gt;="&amp;DATE(YEAR(A7),1,1),发射纪录!G:G,"&lt;="&amp;DATE(YEAR(A7),12,31),发射纪录!N:N,"&lt;&gt;")</f>
        <v>1</v>
      </c>
      <c r="I7" s="11">
        <f ca="1">COUNTIFS(发射纪录!C:C,"&lt;&gt;-",发射纪录!G:G,"&gt;="&amp;DATE(YEAR(A7),1,1),发射纪录!G:G,"&lt;="&amp;DATE(YEAR(A7),12,31),发射纪录!N:N,"=成功",发射纪录!N:N,"&lt;&gt;")</f>
        <v>0</v>
      </c>
      <c r="J7" s="1">
        <f t="shared" ca="1" si="3"/>
        <v>0</v>
      </c>
      <c r="K7" s="11">
        <f t="shared" ca="1" si="4"/>
        <v>1</v>
      </c>
      <c r="L7" s="11">
        <f t="shared" ca="1" si="5"/>
        <v>0</v>
      </c>
      <c r="M7" s="2">
        <f t="shared" ca="1" si="6"/>
        <v>0</v>
      </c>
      <c r="N7" s="11">
        <f t="shared" ca="1" si="7"/>
        <v>1</v>
      </c>
      <c r="O7" s="11">
        <f t="shared" ca="1" si="8"/>
        <v>0</v>
      </c>
      <c r="P7" s="1">
        <f t="shared" ca="1" si="9"/>
        <v>0</v>
      </c>
      <c r="Q7" s="11">
        <f t="shared" ca="1" si="10"/>
        <v>3</v>
      </c>
      <c r="R7" s="11">
        <f t="shared" ca="1" si="11"/>
        <v>2</v>
      </c>
      <c r="S7" s="2">
        <f t="shared" ca="1" si="12"/>
        <v>0.66666666666666663</v>
      </c>
    </row>
    <row r="8" spans="1:19" x14ac:dyDescent="0.45">
      <c r="A8" s="61">
        <v>27030</v>
      </c>
      <c r="B8" s="15">
        <f>COUNTIFS(发射纪录!B:B,"&lt;&gt;-",发射纪录!G:G,"&gt;="&amp;DATE(YEAR(A8),1,1),发射纪录!G:G,"&lt;="&amp;DATE(YEAR(A8),12,31),发射纪录!N:N,"&lt;&gt;")</f>
        <v>1</v>
      </c>
      <c r="C8" s="11">
        <f>COUNTIFS(发射纪录!B:B,"&lt;&gt;-",发射纪录!G:G,"&gt;="&amp;DATE(YEAR(A8),1,1),发射纪录!G:G,"&lt;="&amp;DATE(YEAR(A8),12,31),发射纪录!N:N,"=成功",发射纪录!N:N,"&lt;&gt;")</f>
        <v>0</v>
      </c>
      <c r="D8" s="1">
        <f>IF(B8=0,"-",C8/B8)</f>
        <v>0</v>
      </c>
      <c r="E8" s="11">
        <f t="shared" si="0"/>
        <v>3</v>
      </c>
      <c r="F8" s="11">
        <f t="shared" si="1"/>
        <v>2</v>
      </c>
      <c r="G8" s="2">
        <f t="shared" si="2"/>
        <v>0.66666666666666663</v>
      </c>
      <c r="H8" s="11">
        <f ca="1">COUNTIFS(发射纪录!C:C,"&lt;&gt;-",发射纪录!G:G,"&gt;="&amp;DATE(YEAR(A8),1,1),发射纪录!G:G,"&lt;="&amp;DATE(YEAR(A8),12,31),发射纪录!N:N,"&lt;&gt;")</f>
        <v>1</v>
      </c>
      <c r="I8" s="11">
        <f ca="1">COUNTIFS(发射纪录!C:C,"&lt;&gt;-",发射纪录!G:G,"&gt;="&amp;DATE(YEAR(A8),1,1),发射纪录!G:G,"&lt;="&amp;DATE(YEAR(A8),12,31),发射纪录!N:N,"=成功",发射纪录!N:N,"&lt;&gt;")</f>
        <v>0</v>
      </c>
      <c r="J8" s="1">
        <f t="shared" ca="1" si="3"/>
        <v>0</v>
      </c>
      <c r="K8" s="11">
        <f t="shared" ca="1" si="4"/>
        <v>2</v>
      </c>
      <c r="L8" s="11">
        <f t="shared" ca="1" si="5"/>
        <v>0</v>
      </c>
      <c r="M8" s="2">
        <f t="shared" ca="1" si="6"/>
        <v>0</v>
      </c>
      <c r="N8" s="11">
        <f t="shared" ca="1" si="7"/>
        <v>2</v>
      </c>
      <c r="O8" s="11">
        <f t="shared" ca="1" si="8"/>
        <v>0</v>
      </c>
      <c r="P8" s="1">
        <f t="shared" ca="1" si="9"/>
        <v>0</v>
      </c>
      <c r="Q8" s="11">
        <f t="shared" ca="1" si="10"/>
        <v>5</v>
      </c>
      <c r="R8" s="11">
        <f t="shared" ca="1" si="11"/>
        <v>2</v>
      </c>
      <c r="S8" s="2">
        <f t="shared" ca="1" si="12"/>
        <v>0.4</v>
      </c>
    </row>
    <row r="9" spans="1:19" x14ac:dyDescent="0.45">
      <c r="A9" s="61">
        <v>27395</v>
      </c>
      <c r="B9" s="15">
        <f>COUNTIFS(发射纪录!B:B,"&lt;&gt;-",发射纪录!G:G,"&gt;="&amp;DATE(YEAR(A9),1,1),发射纪录!G:G,"&lt;="&amp;DATE(YEAR(A9),12,31),发射纪录!N:N,"&lt;&gt;")</f>
        <v>1</v>
      </c>
      <c r="C9" s="11">
        <f>COUNTIFS(发射纪录!B:B,"&lt;&gt;-",发射纪录!G:G,"&gt;="&amp;DATE(YEAR(A9),1,1),发射纪录!G:G,"&lt;="&amp;DATE(YEAR(A9),12,31),发射纪录!N:N,"=成功",发射纪录!N:N,"&lt;&gt;")</f>
        <v>1</v>
      </c>
      <c r="D9" s="1">
        <v>1</v>
      </c>
      <c r="E9" s="11">
        <f t="shared" si="0"/>
        <v>4</v>
      </c>
      <c r="F9" s="11">
        <f t="shared" si="1"/>
        <v>3</v>
      </c>
      <c r="G9" s="2">
        <f t="shared" si="2"/>
        <v>0.75</v>
      </c>
      <c r="H9" s="11">
        <f ca="1">COUNTIFS(发射纪录!C:C,"&lt;&gt;-",发射纪录!G:G,"&gt;="&amp;DATE(YEAR(A9),1,1),发射纪录!G:G,"&lt;="&amp;DATE(YEAR(A9),12,31),发射纪录!N:N,"&lt;&gt;")</f>
        <v>2</v>
      </c>
      <c r="I9" s="11">
        <f ca="1">COUNTIFS(发射纪录!C:C,"&lt;&gt;-",发射纪录!G:G,"&gt;="&amp;DATE(YEAR(A9),1,1),发射纪录!G:G,"&lt;="&amp;DATE(YEAR(A9),12,31),发射纪录!N:N,"=成功",发射纪录!N:N,"&lt;&gt;")</f>
        <v>2</v>
      </c>
      <c r="J9" s="1">
        <f t="shared" ca="1" si="3"/>
        <v>1</v>
      </c>
      <c r="K9" s="11">
        <f t="shared" ca="1" si="4"/>
        <v>4</v>
      </c>
      <c r="L9" s="11">
        <f t="shared" ca="1" si="5"/>
        <v>2</v>
      </c>
      <c r="M9" s="2">
        <f t="shared" ca="1" si="6"/>
        <v>0.5</v>
      </c>
      <c r="N9" s="11">
        <f t="shared" ca="1" si="7"/>
        <v>3</v>
      </c>
      <c r="O9" s="11">
        <f t="shared" ca="1" si="8"/>
        <v>3</v>
      </c>
      <c r="P9" s="1">
        <f t="shared" ca="1" si="9"/>
        <v>1</v>
      </c>
      <c r="Q9" s="11">
        <f t="shared" ca="1" si="10"/>
        <v>8</v>
      </c>
      <c r="R9" s="11">
        <f t="shared" ca="1" si="11"/>
        <v>5</v>
      </c>
      <c r="S9" s="2">
        <f t="shared" ca="1" si="12"/>
        <v>0.625</v>
      </c>
    </row>
    <row r="10" spans="1:19" x14ac:dyDescent="0.45">
      <c r="A10" s="61">
        <v>27760</v>
      </c>
      <c r="B10" s="15">
        <f>COUNTIFS(发射纪录!B:B,"&lt;&gt;-",发射纪录!G:G,"&gt;="&amp;DATE(YEAR(A10),1,1),发射纪录!G:G,"&lt;="&amp;DATE(YEAR(A10),12,31),发射纪录!N:N,"&lt;&gt;")</f>
        <v>1</v>
      </c>
      <c r="C10" s="11">
        <f>COUNTIFS(发射纪录!B:B,"&lt;&gt;-",发射纪录!G:G,"&gt;="&amp;DATE(YEAR(A10),1,1),发射纪录!G:G,"&lt;="&amp;DATE(YEAR(A10),12,31),发射纪录!N:N,"=成功",发射纪录!N:N,"&lt;&gt;")</f>
        <v>1</v>
      </c>
      <c r="D10" s="1">
        <v>1</v>
      </c>
      <c r="E10" s="11">
        <f t="shared" si="0"/>
        <v>5</v>
      </c>
      <c r="F10" s="11">
        <f t="shared" si="1"/>
        <v>4</v>
      </c>
      <c r="G10" s="2">
        <f t="shared" si="2"/>
        <v>0.8</v>
      </c>
      <c r="H10" s="11">
        <f ca="1">COUNTIFS(发射纪录!C:C,"&lt;&gt;-",发射纪录!G:G,"&gt;="&amp;DATE(YEAR(A10),1,1),发射纪录!G:G,"&lt;="&amp;DATE(YEAR(A10),12,31),发射纪录!N:N,"&lt;&gt;")</f>
        <v>2</v>
      </c>
      <c r="I10" s="11">
        <f ca="1">COUNTIFS(发射纪录!C:C,"&lt;&gt;-",发射纪录!G:G,"&gt;="&amp;DATE(YEAR(A10),1,1),发射纪录!G:G,"&lt;="&amp;DATE(YEAR(A10),12,31),发射纪录!N:N,"=成功",发射纪录!N:N,"&lt;&gt;")</f>
        <v>1</v>
      </c>
      <c r="J10" s="1">
        <f t="shared" ca="1" si="3"/>
        <v>0.5</v>
      </c>
      <c r="K10" s="11">
        <f t="shared" ca="1" si="4"/>
        <v>6</v>
      </c>
      <c r="L10" s="11">
        <f t="shared" ca="1" si="5"/>
        <v>3</v>
      </c>
      <c r="M10" s="2">
        <f t="shared" ca="1" si="6"/>
        <v>0.5</v>
      </c>
      <c r="N10" s="11">
        <f t="shared" ca="1" si="7"/>
        <v>3</v>
      </c>
      <c r="O10" s="11">
        <f t="shared" ca="1" si="8"/>
        <v>2</v>
      </c>
      <c r="P10" s="1">
        <f t="shared" ca="1" si="9"/>
        <v>0.66666666666666663</v>
      </c>
      <c r="Q10" s="11">
        <f t="shared" ca="1" si="10"/>
        <v>11</v>
      </c>
      <c r="R10" s="11">
        <f t="shared" ca="1" si="11"/>
        <v>7</v>
      </c>
      <c r="S10" s="2">
        <f t="shared" ca="1" si="12"/>
        <v>0.63636363636363635</v>
      </c>
    </row>
    <row r="11" spans="1:19" x14ac:dyDescent="0.45">
      <c r="A11" s="61">
        <v>28126</v>
      </c>
      <c r="B11" s="15">
        <f>COUNTIFS(发射纪录!B:B,"&lt;&gt;-",发射纪录!G:G,"&gt;="&amp;DATE(YEAR(A11),1,1),发射纪录!G:G,"&lt;="&amp;DATE(YEAR(A11),12,31),发射纪录!N:N,"&lt;&gt;")</f>
        <v>0</v>
      </c>
      <c r="C11" s="11">
        <f>COUNTIFS(发射纪录!B:B,"&lt;&gt;-",发射纪录!G:G,"&gt;="&amp;DATE(YEAR(A11),1,1),发射纪录!G:G,"&lt;="&amp;DATE(YEAR(A11),12,31),发射纪录!N:N,"=成功",发射纪录!N:N,"&lt;&gt;")</f>
        <v>0</v>
      </c>
      <c r="D11" s="1" t="str">
        <f>IF(B11=0,"-",C11/B11)</f>
        <v>-</v>
      </c>
      <c r="E11" s="11">
        <f t="shared" si="0"/>
        <v>5</v>
      </c>
      <c r="F11" s="11">
        <f t="shared" si="1"/>
        <v>4</v>
      </c>
      <c r="G11" s="2">
        <f t="shared" si="2"/>
        <v>0.8</v>
      </c>
      <c r="H11" s="11">
        <f ca="1">COUNTIFS(发射纪录!C:C,"&lt;&gt;-",发射纪录!G:G,"&gt;="&amp;DATE(YEAR(A11),1,1),发射纪录!G:G,"&lt;="&amp;DATE(YEAR(A11),12,31),发射纪录!N:N,"&lt;&gt;")</f>
        <v>0</v>
      </c>
      <c r="I11" s="11">
        <f ca="1">COUNTIFS(发射纪录!C:C,"&lt;&gt;-",发射纪录!G:G,"&gt;="&amp;DATE(YEAR(A11),1,1),发射纪录!G:G,"&lt;="&amp;DATE(YEAR(A11),12,31),发射纪录!N:N,"=成功",发射纪录!N:N,"&lt;&gt;")</f>
        <v>0</v>
      </c>
      <c r="J11" s="1" t="str">
        <f t="shared" ca="1" si="3"/>
        <v>-</v>
      </c>
      <c r="K11" s="11">
        <f t="shared" ca="1" si="4"/>
        <v>6</v>
      </c>
      <c r="L11" s="11">
        <f t="shared" ca="1" si="5"/>
        <v>3</v>
      </c>
      <c r="M11" s="2">
        <f t="shared" ca="1" si="6"/>
        <v>0.5</v>
      </c>
      <c r="N11" s="11">
        <f t="shared" ca="1" si="7"/>
        <v>0</v>
      </c>
      <c r="O11" s="11">
        <f t="shared" ca="1" si="8"/>
        <v>0</v>
      </c>
      <c r="P11" s="1" t="str">
        <f t="shared" ca="1" si="9"/>
        <v>-</v>
      </c>
      <c r="Q11" s="11">
        <f t="shared" ca="1" si="10"/>
        <v>11</v>
      </c>
      <c r="R11" s="11">
        <f t="shared" ca="1" si="11"/>
        <v>7</v>
      </c>
      <c r="S11" s="2">
        <f t="shared" ca="1" si="12"/>
        <v>0.63636363636363635</v>
      </c>
    </row>
    <row r="12" spans="1:19" x14ac:dyDescent="0.45">
      <c r="A12" s="61">
        <v>28491</v>
      </c>
      <c r="B12" s="15">
        <f>COUNTIFS(发射纪录!B:B,"&lt;&gt;-",发射纪录!G:G,"&gt;="&amp;DATE(YEAR(A12),1,1),发射纪录!G:G,"&lt;="&amp;DATE(YEAR(A12),12,31),发射纪录!N:N,"&lt;&gt;")</f>
        <v>1</v>
      </c>
      <c r="C12" s="11">
        <f>COUNTIFS(发射纪录!B:B,"&lt;&gt;-",发射纪录!G:G,"&gt;="&amp;DATE(YEAR(A12),1,1),发射纪录!G:G,"&lt;="&amp;DATE(YEAR(A12),12,31),发射纪录!N:N,"=成功",发射纪录!N:N,"&lt;&gt;")</f>
        <v>1</v>
      </c>
      <c r="D12" s="1">
        <v>1</v>
      </c>
      <c r="E12" s="11">
        <f t="shared" si="0"/>
        <v>6</v>
      </c>
      <c r="F12" s="11">
        <f t="shared" si="1"/>
        <v>5</v>
      </c>
      <c r="G12" s="2">
        <f t="shared" si="2"/>
        <v>0.83333333333333337</v>
      </c>
      <c r="H12" s="11">
        <f ca="1">COUNTIFS(发射纪录!C:C,"&lt;&gt;-",发射纪录!G:G,"&gt;="&amp;DATE(YEAR(A12),1,1),发射纪录!G:G,"&lt;="&amp;DATE(YEAR(A12),12,31),发射纪录!N:N,"&lt;&gt;")</f>
        <v>0</v>
      </c>
      <c r="I12" s="11">
        <f ca="1">COUNTIFS(发射纪录!C:C,"&lt;&gt;-",发射纪录!G:G,"&gt;="&amp;DATE(YEAR(A12),1,1),发射纪录!G:G,"&lt;="&amp;DATE(YEAR(A12),12,31),发射纪录!N:N,"=成功",发射纪录!N:N,"&lt;&gt;")</f>
        <v>0</v>
      </c>
      <c r="J12" s="1" t="str">
        <f t="shared" ca="1" si="3"/>
        <v>-</v>
      </c>
      <c r="K12" s="11">
        <f t="shared" ca="1" si="4"/>
        <v>6</v>
      </c>
      <c r="L12" s="11">
        <f t="shared" ca="1" si="5"/>
        <v>3</v>
      </c>
      <c r="M12" s="2">
        <f t="shared" ca="1" si="6"/>
        <v>0.5</v>
      </c>
      <c r="N12" s="11">
        <f t="shared" ca="1" si="7"/>
        <v>1</v>
      </c>
      <c r="O12" s="11">
        <f t="shared" ca="1" si="8"/>
        <v>1</v>
      </c>
      <c r="P12" s="1">
        <f t="shared" ca="1" si="9"/>
        <v>1</v>
      </c>
      <c r="Q12" s="11">
        <f t="shared" ca="1" si="10"/>
        <v>12</v>
      </c>
      <c r="R12" s="11">
        <f t="shared" ca="1" si="11"/>
        <v>8</v>
      </c>
      <c r="S12" s="2">
        <f t="shared" ca="1" si="12"/>
        <v>0.66666666666666663</v>
      </c>
    </row>
    <row r="13" spans="1:19" x14ac:dyDescent="0.45">
      <c r="A13" s="61">
        <v>28856</v>
      </c>
      <c r="B13" s="15">
        <f>COUNTIFS(发射纪录!B:B,"&lt;&gt;-",发射纪录!G:G,"&gt;="&amp;DATE(YEAR(A13),1,1),发射纪录!G:G,"&lt;="&amp;DATE(YEAR(A13),12,31),发射纪录!N:N,"&lt;&gt;")</f>
        <v>0</v>
      </c>
      <c r="C13" s="11">
        <f>COUNTIFS(发射纪录!B:B,"&lt;&gt;-",发射纪录!G:G,"&gt;="&amp;DATE(YEAR(A13),1,1),发射纪录!G:G,"&lt;="&amp;DATE(YEAR(A13),12,31),发射纪录!N:N,"=成功",发射纪录!N:N,"&lt;&gt;")</f>
        <v>0</v>
      </c>
      <c r="D13" s="1" t="str">
        <f>IF(B13=0,"-",C13/B13)</f>
        <v>-</v>
      </c>
      <c r="E13" s="11">
        <f t="shared" si="0"/>
        <v>6</v>
      </c>
      <c r="F13" s="11">
        <f t="shared" si="1"/>
        <v>5</v>
      </c>
      <c r="G13" s="2">
        <f t="shared" si="2"/>
        <v>0.83333333333333337</v>
      </c>
      <c r="H13" s="11">
        <f ca="1">COUNTIFS(发射纪录!C:C,"&lt;&gt;-",发射纪录!G:G,"&gt;="&amp;DATE(YEAR(A13),1,1),发射纪录!G:G,"&lt;="&amp;DATE(YEAR(A13),12,31),发射纪录!N:N,"&lt;&gt;")</f>
        <v>1</v>
      </c>
      <c r="I13" s="11">
        <f ca="1">COUNTIFS(发射纪录!C:C,"&lt;&gt;-",发射纪录!G:G,"&gt;="&amp;DATE(YEAR(A13),1,1),发射纪录!G:G,"&lt;="&amp;DATE(YEAR(A13),12,31),发射纪录!N:N,"=成功",发射纪录!N:N,"&lt;&gt;")</f>
        <v>0</v>
      </c>
      <c r="J13" s="1">
        <f t="shared" ca="1" si="3"/>
        <v>0</v>
      </c>
      <c r="K13" s="11">
        <f t="shared" ca="1" si="4"/>
        <v>7</v>
      </c>
      <c r="L13" s="11">
        <f t="shared" ca="1" si="5"/>
        <v>3</v>
      </c>
      <c r="M13" s="2">
        <f t="shared" ca="1" si="6"/>
        <v>0.42857142857142855</v>
      </c>
      <c r="N13" s="11">
        <f t="shared" ca="1" si="7"/>
        <v>1</v>
      </c>
      <c r="O13" s="11">
        <f t="shared" ca="1" si="8"/>
        <v>0</v>
      </c>
      <c r="P13" s="1">
        <f t="shared" ca="1" si="9"/>
        <v>0</v>
      </c>
      <c r="Q13" s="11">
        <f t="shared" ca="1" si="10"/>
        <v>13</v>
      </c>
      <c r="R13" s="11">
        <f t="shared" ca="1" si="11"/>
        <v>8</v>
      </c>
      <c r="S13" s="2">
        <f t="shared" ca="1" si="12"/>
        <v>0.61538461538461542</v>
      </c>
    </row>
    <row r="14" spans="1:19" x14ac:dyDescent="0.45">
      <c r="A14" s="61">
        <v>29221</v>
      </c>
      <c r="B14" s="15">
        <f>COUNTIFS(发射纪录!B:B,"&lt;&gt;-",发射纪录!G:G,"&gt;="&amp;DATE(YEAR(A14),1,1),发射纪录!G:G,"&lt;="&amp;DATE(YEAR(A14),12,31),发射纪录!N:N,"&lt;&gt;")</f>
        <v>0</v>
      </c>
      <c r="C14" s="11">
        <f>COUNTIFS(发射纪录!B:B,"&lt;&gt;-",发射纪录!G:G,"&gt;="&amp;DATE(YEAR(A14),1,1),发射纪录!G:G,"&lt;="&amp;DATE(YEAR(A14),12,31),发射纪录!N:N,"=成功",发射纪录!N:N,"&lt;&gt;")</f>
        <v>0</v>
      </c>
      <c r="D14" s="1" t="str">
        <f>IF(B14=0,"-",C14/B14)</f>
        <v>-</v>
      </c>
      <c r="E14" s="11">
        <f t="shared" si="0"/>
        <v>6</v>
      </c>
      <c r="F14" s="11">
        <f t="shared" si="1"/>
        <v>5</v>
      </c>
      <c r="G14" s="2">
        <f t="shared" si="2"/>
        <v>0.83333333333333337</v>
      </c>
      <c r="H14" s="11">
        <f ca="1">COUNTIFS(发射纪录!C:C,"&lt;&gt;-",发射纪录!G:G,"&gt;="&amp;DATE(YEAR(A14),1,1),发射纪录!G:G,"&lt;="&amp;DATE(YEAR(A14),12,31),发射纪录!N:N,"&lt;&gt;")</f>
        <v>0</v>
      </c>
      <c r="I14" s="11">
        <f ca="1">COUNTIFS(发射纪录!C:C,"&lt;&gt;-",发射纪录!G:G,"&gt;="&amp;DATE(YEAR(A14),1,1),发射纪录!G:G,"&lt;="&amp;DATE(YEAR(A14),12,31),发射纪录!N:N,"=成功",发射纪录!N:N,"&lt;&gt;")</f>
        <v>0</v>
      </c>
      <c r="J14" s="1" t="str">
        <f t="shared" ca="1" si="3"/>
        <v>-</v>
      </c>
      <c r="K14" s="11">
        <f t="shared" ca="1" si="4"/>
        <v>7</v>
      </c>
      <c r="L14" s="11">
        <f t="shared" ca="1" si="5"/>
        <v>3</v>
      </c>
      <c r="M14" s="2">
        <f t="shared" ca="1" si="6"/>
        <v>0.42857142857142855</v>
      </c>
      <c r="N14" s="11">
        <f t="shared" ca="1" si="7"/>
        <v>0</v>
      </c>
      <c r="O14" s="11">
        <f t="shared" ca="1" si="8"/>
        <v>0</v>
      </c>
      <c r="P14" s="1" t="str">
        <f t="shared" ca="1" si="9"/>
        <v>-</v>
      </c>
      <c r="Q14" s="11">
        <f t="shared" ca="1" si="10"/>
        <v>13</v>
      </c>
      <c r="R14" s="11">
        <f t="shared" ca="1" si="11"/>
        <v>8</v>
      </c>
      <c r="S14" s="2">
        <f t="shared" ca="1" si="12"/>
        <v>0.61538461538461542</v>
      </c>
    </row>
    <row r="15" spans="1:19" x14ac:dyDescent="0.45">
      <c r="A15" s="61">
        <v>29587</v>
      </c>
      <c r="B15" s="15">
        <f>COUNTIFS(发射纪录!B:B,"&lt;&gt;-",发射纪录!G:G,"&gt;="&amp;DATE(YEAR(A15),1,1),发射纪录!G:G,"&lt;="&amp;DATE(YEAR(A15),12,31),发射纪录!N:N,"&lt;&gt;")</f>
        <v>0</v>
      </c>
      <c r="C15" s="11">
        <f>COUNTIFS(发射纪录!B:B,"&lt;&gt;-",发射纪录!G:G,"&gt;="&amp;DATE(YEAR(A15),1,1),发射纪录!G:G,"&lt;="&amp;DATE(YEAR(A15),12,31),发射纪录!N:N,"=成功",发射纪录!N:N,"&lt;&gt;")</f>
        <v>0</v>
      </c>
      <c r="D15" s="1" t="str">
        <f>IF(B15=0,"-",C15/B15)</f>
        <v>-</v>
      </c>
      <c r="E15" s="11">
        <f t="shared" si="0"/>
        <v>6</v>
      </c>
      <c r="F15" s="11">
        <f t="shared" si="1"/>
        <v>5</v>
      </c>
      <c r="G15" s="2">
        <f t="shared" si="2"/>
        <v>0.83333333333333337</v>
      </c>
      <c r="H15" s="11">
        <f ca="1">COUNTIFS(发射纪录!C:C,"&lt;&gt;-",发射纪录!G:G,"&gt;="&amp;DATE(YEAR(A15),1,1),发射纪录!G:G,"&lt;="&amp;DATE(YEAR(A15),12,31),发射纪录!N:N,"&lt;&gt;")</f>
        <v>1</v>
      </c>
      <c r="I15" s="11">
        <f ca="1">COUNTIFS(发射纪录!C:C,"&lt;&gt;-",发射纪录!G:G,"&gt;="&amp;DATE(YEAR(A15),1,1),发射纪录!G:G,"&lt;="&amp;DATE(YEAR(A15),12,31),发射纪录!N:N,"=成功",发射纪录!N:N,"&lt;&gt;")</f>
        <v>1</v>
      </c>
      <c r="J15" s="1">
        <f t="shared" ca="1" si="3"/>
        <v>1</v>
      </c>
      <c r="K15" s="11">
        <f t="shared" ca="1" si="4"/>
        <v>8</v>
      </c>
      <c r="L15" s="11">
        <f t="shared" ca="1" si="5"/>
        <v>4</v>
      </c>
      <c r="M15" s="2">
        <f t="shared" ca="1" si="6"/>
        <v>0.5</v>
      </c>
      <c r="N15" s="11">
        <f t="shared" ca="1" si="7"/>
        <v>1</v>
      </c>
      <c r="O15" s="11">
        <f t="shared" ca="1" si="8"/>
        <v>1</v>
      </c>
      <c r="P15" s="1">
        <f t="shared" ca="1" si="9"/>
        <v>1</v>
      </c>
      <c r="Q15" s="11">
        <f t="shared" ca="1" si="10"/>
        <v>14</v>
      </c>
      <c r="R15" s="11">
        <f t="shared" ca="1" si="11"/>
        <v>9</v>
      </c>
      <c r="S15" s="2">
        <f t="shared" ca="1" si="12"/>
        <v>0.6428571428571429</v>
      </c>
    </row>
    <row r="16" spans="1:19" x14ac:dyDescent="0.45">
      <c r="A16" s="61">
        <v>29952</v>
      </c>
      <c r="B16" s="15">
        <f>COUNTIFS(发射纪录!B:B,"&lt;&gt;-",发射纪录!G:G,"&gt;="&amp;DATE(YEAR(A16),1,1),发射纪录!G:G,"&lt;="&amp;DATE(YEAR(A16),12,31),发射纪录!N:N,"&lt;&gt;")</f>
        <v>1</v>
      </c>
      <c r="C16" s="11">
        <f>COUNTIFS(发射纪录!B:B,"&lt;&gt;-",发射纪录!G:G,"&gt;="&amp;DATE(YEAR(A16),1,1),发射纪录!G:G,"&lt;="&amp;DATE(YEAR(A16),12,31),发射纪录!N:N,"=成功",发射纪录!N:N,"&lt;&gt;")</f>
        <v>1</v>
      </c>
      <c r="D16" s="1">
        <v>1</v>
      </c>
      <c r="E16" s="11">
        <f t="shared" si="0"/>
        <v>7</v>
      </c>
      <c r="F16" s="11">
        <f t="shared" si="1"/>
        <v>6</v>
      </c>
      <c r="G16" s="2">
        <f t="shared" si="2"/>
        <v>0.8571428571428571</v>
      </c>
      <c r="H16" s="11">
        <f ca="1">COUNTIFS(发射纪录!C:C,"&lt;&gt;-",发射纪录!G:G,"&gt;="&amp;DATE(YEAR(A16),1,1),发射纪录!G:G,"&lt;="&amp;DATE(YEAR(A16),12,31),发射纪录!N:N,"&lt;&gt;")</f>
        <v>0</v>
      </c>
      <c r="I16" s="11">
        <f ca="1">COUNTIFS(发射纪录!C:C,"&lt;&gt;-",发射纪录!G:G,"&gt;="&amp;DATE(YEAR(A16),1,1),发射纪录!G:G,"&lt;="&amp;DATE(YEAR(A16),12,31),发射纪录!N:N,"=成功",发射纪录!N:N,"&lt;&gt;")</f>
        <v>0</v>
      </c>
      <c r="J16" s="1" t="str">
        <f t="shared" ca="1" si="3"/>
        <v>-</v>
      </c>
      <c r="K16" s="11">
        <f t="shared" ca="1" si="4"/>
        <v>8</v>
      </c>
      <c r="L16" s="11">
        <f t="shared" ca="1" si="5"/>
        <v>4</v>
      </c>
      <c r="M16" s="2">
        <f t="shared" ca="1" si="6"/>
        <v>0.5</v>
      </c>
      <c r="N16" s="11">
        <f t="shared" ca="1" si="7"/>
        <v>1</v>
      </c>
      <c r="O16" s="11">
        <f t="shared" ca="1" si="8"/>
        <v>1</v>
      </c>
      <c r="P16" s="1">
        <f t="shared" ca="1" si="9"/>
        <v>1</v>
      </c>
      <c r="Q16" s="11">
        <f t="shared" ca="1" si="10"/>
        <v>15</v>
      </c>
      <c r="R16" s="11">
        <f t="shared" ca="1" si="11"/>
        <v>10</v>
      </c>
      <c r="S16" s="2">
        <f t="shared" ca="1" si="12"/>
        <v>0.66666666666666663</v>
      </c>
    </row>
    <row r="17" spans="1:19" x14ac:dyDescent="0.45">
      <c r="A17" s="61">
        <v>30317</v>
      </c>
      <c r="B17" s="15">
        <f>COUNTIFS(发射纪录!B:B,"&lt;&gt;-",发射纪录!G:G,"&gt;="&amp;DATE(YEAR(A17),1,1),发射纪录!G:G,"&lt;="&amp;DATE(YEAR(A17),12,31),发射纪录!N:N,"&lt;&gt;")</f>
        <v>1</v>
      </c>
      <c r="C17" s="11">
        <f>COUNTIFS(发射纪录!B:B,"&lt;&gt;-",发射纪录!G:G,"&gt;="&amp;DATE(YEAR(A17),1,1),发射纪录!G:G,"&lt;="&amp;DATE(YEAR(A17),12,31),发射纪录!N:N,"=成功",发射纪录!N:N,"&lt;&gt;")</f>
        <v>1</v>
      </c>
      <c r="D17" s="1">
        <v>1</v>
      </c>
      <c r="E17" s="11">
        <f t="shared" si="0"/>
        <v>8</v>
      </c>
      <c r="F17" s="11">
        <f t="shared" si="1"/>
        <v>7</v>
      </c>
      <c r="G17" s="2">
        <f t="shared" si="2"/>
        <v>0.875</v>
      </c>
      <c r="H17" s="11">
        <f ca="1">COUNTIFS(发射纪录!C:C,"&lt;&gt;-",发射纪录!G:G,"&gt;="&amp;DATE(YEAR(A17),1,1),发射纪录!G:G,"&lt;="&amp;DATE(YEAR(A17),12,31),发射纪录!N:N,"&lt;&gt;")</f>
        <v>0</v>
      </c>
      <c r="I17" s="11">
        <f ca="1">COUNTIFS(发射纪录!C:C,"&lt;&gt;-",发射纪录!G:G,"&gt;="&amp;DATE(YEAR(A17),1,1),发射纪录!G:G,"&lt;="&amp;DATE(YEAR(A17),12,31),发射纪录!N:N,"=成功",发射纪录!N:N,"&lt;&gt;")</f>
        <v>0</v>
      </c>
      <c r="J17" s="1" t="str">
        <f t="shared" ca="1" si="3"/>
        <v>-</v>
      </c>
      <c r="K17" s="11">
        <f t="shared" ca="1" si="4"/>
        <v>8</v>
      </c>
      <c r="L17" s="11">
        <f t="shared" ca="1" si="5"/>
        <v>4</v>
      </c>
      <c r="M17" s="2">
        <f t="shared" ca="1" si="6"/>
        <v>0.5</v>
      </c>
      <c r="N17" s="11">
        <f t="shared" ca="1" si="7"/>
        <v>1</v>
      </c>
      <c r="O17" s="11">
        <f t="shared" ca="1" si="8"/>
        <v>1</v>
      </c>
      <c r="P17" s="1">
        <f t="shared" ca="1" si="9"/>
        <v>1</v>
      </c>
      <c r="Q17" s="11">
        <f t="shared" ca="1" si="10"/>
        <v>16</v>
      </c>
      <c r="R17" s="11">
        <f t="shared" ca="1" si="11"/>
        <v>11</v>
      </c>
      <c r="S17" s="2">
        <f t="shared" ca="1" si="12"/>
        <v>0.6875</v>
      </c>
    </row>
    <row r="18" spans="1:19" x14ac:dyDescent="0.45">
      <c r="A18" s="61">
        <v>30682</v>
      </c>
      <c r="B18" s="15">
        <f>COUNTIFS(发射纪录!B:B,"&lt;&gt;-",发射纪录!G:G,"&gt;="&amp;DATE(YEAR(A18),1,1),发射纪录!G:G,"&lt;="&amp;DATE(YEAR(A18),12,31),发射纪录!N:N,"&lt;&gt;")</f>
        <v>3</v>
      </c>
      <c r="C18" s="11">
        <f>COUNTIFS(发射纪录!B:B,"&lt;&gt;-",发射纪录!G:G,"&gt;="&amp;DATE(YEAR(A18),1,1),发射纪录!G:G,"&lt;="&amp;DATE(YEAR(A18),12,31),发射纪录!N:N,"=成功",发射纪录!N:N,"&lt;&gt;")</f>
        <v>2</v>
      </c>
      <c r="D18" s="1">
        <f>C18/B18</f>
        <v>0.66666666666666663</v>
      </c>
      <c r="E18" s="11">
        <f t="shared" si="0"/>
        <v>11</v>
      </c>
      <c r="F18" s="11">
        <f t="shared" si="1"/>
        <v>9</v>
      </c>
      <c r="G18" s="2">
        <f t="shared" si="2"/>
        <v>0.81818181818181823</v>
      </c>
      <c r="H18" s="11">
        <f ca="1">COUNTIFS(发射纪录!C:C,"&lt;&gt;-",发射纪录!G:G,"&gt;="&amp;DATE(YEAR(A18),1,1),发射纪录!G:G,"&lt;="&amp;DATE(YEAR(A18),12,31),发射纪录!N:N,"&lt;&gt;")</f>
        <v>0</v>
      </c>
      <c r="I18" s="11">
        <f ca="1">COUNTIFS(发射纪录!C:C,"&lt;&gt;-",发射纪录!G:G,"&gt;="&amp;DATE(YEAR(A18),1,1),发射纪录!G:G,"&lt;="&amp;DATE(YEAR(A18),12,31),发射纪录!N:N,"=成功",发射纪录!N:N,"&lt;&gt;")</f>
        <v>0</v>
      </c>
      <c r="J18" s="1" t="str">
        <f t="shared" ca="1" si="3"/>
        <v>-</v>
      </c>
      <c r="K18" s="11">
        <f t="shared" ca="1" si="4"/>
        <v>8</v>
      </c>
      <c r="L18" s="11">
        <f t="shared" ca="1" si="5"/>
        <v>4</v>
      </c>
      <c r="M18" s="2">
        <f t="shared" ca="1" si="6"/>
        <v>0.5</v>
      </c>
      <c r="N18" s="11">
        <f t="shared" ca="1" si="7"/>
        <v>3</v>
      </c>
      <c r="O18" s="11">
        <f t="shared" ca="1" si="8"/>
        <v>2</v>
      </c>
      <c r="P18" s="1">
        <f t="shared" ca="1" si="9"/>
        <v>0.66666666666666663</v>
      </c>
      <c r="Q18" s="11">
        <f t="shared" ca="1" si="10"/>
        <v>19</v>
      </c>
      <c r="R18" s="11">
        <f t="shared" ca="1" si="11"/>
        <v>13</v>
      </c>
      <c r="S18" s="2">
        <f t="shared" ca="1" si="12"/>
        <v>0.68421052631578949</v>
      </c>
    </row>
    <row r="19" spans="1:19" x14ac:dyDescent="0.45">
      <c r="A19" s="61">
        <v>31048</v>
      </c>
      <c r="B19" s="15">
        <f>COUNTIFS(发射纪录!B:B,"&lt;&gt;-",发射纪录!G:G,"&gt;="&amp;DATE(YEAR(A19),1,1),发射纪录!G:G,"&lt;="&amp;DATE(YEAR(A19),12,31),发射纪录!N:N,"&lt;&gt;")</f>
        <v>1</v>
      </c>
      <c r="C19" s="11">
        <f>COUNTIFS(发射纪录!B:B,"&lt;&gt;-",发射纪录!G:G,"&gt;="&amp;DATE(YEAR(A19),1,1),发射纪录!G:G,"&lt;="&amp;DATE(YEAR(A19),12,31),发射纪录!N:N,"=成功",发射纪录!N:N,"&lt;&gt;")</f>
        <v>1</v>
      </c>
      <c r="D19" s="1">
        <v>1</v>
      </c>
      <c r="E19" s="11">
        <f t="shared" si="0"/>
        <v>12</v>
      </c>
      <c r="F19" s="11">
        <f t="shared" si="1"/>
        <v>10</v>
      </c>
      <c r="G19" s="2">
        <f t="shared" si="2"/>
        <v>0.83333333333333337</v>
      </c>
      <c r="H19" s="11">
        <f ca="1">COUNTIFS(发射纪录!C:C,"&lt;&gt;-",发射纪录!G:G,"&gt;="&amp;DATE(YEAR(A19),1,1),发射纪录!G:G,"&lt;="&amp;DATE(YEAR(A19),12,31),发射纪录!N:N,"&lt;&gt;")</f>
        <v>0</v>
      </c>
      <c r="I19" s="11">
        <f ca="1">COUNTIFS(发射纪录!C:C,"&lt;&gt;-",发射纪录!G:G,"&gt;="&amp;DATE(YEAR(A19),1,1),发射纪录!G:G,"&lt;="&amp;DATE(YEAR(A19),12,31),发射纪录!N:N,"=成功",发射纪录!N:N,"&lt;&gt;")</f>
        <v>0</v>
      </c>
      <c r="J19" s="1" t="str">
        <f t="shared" ca="1" si="3"/>
        <v>-</v>
      </c>
      <c r="K19" s="11">
        <f t="shared" ca="1" si="4"/>
        <v>8</v>
      </c>
      <c r="L19" s="11">
        <f t="shared" ca="1" si="5"/>
        <v>4</v>
      </c>
      <c r="M19" s="2">
        <f t="shared" ca="1" si="6"/>
        <v>0.5</v>
      </c>
      <c r="N19" s="11">
        <f t="shared" ca="1" si="7"/>
        <v>1</v>
      </c>
      <c r="O19" s="11">
        <f t="shared" ca="1" si="8"/>
        <v>1</v>
      </c>
      <c r="P19" s="1">
        <f t="shared" ca="1" si="9"/>
        <v>1</v>
      </c>
      <c r="Q19" s="11">
        <f t="shared" ca="1" si="10"/>
        <v>20</v>
      </c>
      <c r="R19" s="11">
        <f t="shared" ca="1" si="11"/>
        <v>14</v>
      </c>
      <c r="S19" s="2">
        <f t="shared" ca="1" si="12"/>
        <v>0.7</v>
      </c>
    </row>
    <row r="20" spans="1:19" x14ac:dyDescent="0.45">
      <c r="A20" s="61">
        <v>31413</v>
      </c>
      <c r="B20" s="15">
        <f>COUNTIFS(发射纪录!B:B,"&lt;&gt;-",发射纪录!G:G,"&gt;="&amp;DATE(YEAR(A20),1,1),发射纪录!G:G,"&lt;="&amp;DATE(YEAR(A20),12,31),发射纪录!N:N,"&lt;&gt;")</f>
        <v>2</v>
      </c>
      <c r="C20" s="11">
        <f>COUNTIFS(发射纪录!B:B,"&lt;&gt;-",发射纪录!G:G,"&gt;="&amp;DATE(YEAR(A20),1,1),发射纪录!G:G,"&lt;="&amp;DATE(YEAR(A20),12,31),发射纪录!N:N,"=成功",发射纪录!N:N,"&lt;&gt;")</f>
        <v>2</v>
      </c>
      <c r="D20" s="1">
        <v>1</v>
      </c>
      <c r="E20" s="11">
        <f t="shared" si="0"/>
        <v>14</v>
      </c>
      <c r="F20" s="11">
        <f t="shared" si="1"/>
        <v>12</v>
      </c>
      <c r="G20" s="2">
        <f t="shared" si="2"/>
        <v>0.8571428571428571</v>
      </c>
      <c r="H20" s="11">
        <f ca="1">COUNTIFS(发射纪录!C:C,"&lt;&gt;-",发射纪录!G:G,"&gt;="&amp;DATE(YEAR(A20),1,1),发射纪录!G:G,"&lt;="&amp;DATE(YEAR(A20),12,31),发射纪录!N:N,"&lt;&gt;")</f>
        <v>0</v>
      </c>
      <c r="I20" s="11">
        <f ca="1">COUNTIFS(发射纪录!C:C,"&lt;&gt;-",发射纪录!G:G,"&gt;="&amp;DATE(YEAR(A20),1,1),发射纪录!G:G,"&lt;="&amp;DATE(YEAR(A20),12,31),发射纪录!N:N,"=成功",发射纪录!N:N,"&lt;&gt;")</f>
        <v>0</v>
      </c>
      <c r="J20" s="1" t="str">
        <f t="shared" ca="1" si="3"/>
        <v>-</v>
      </c>
      <c r="K20" s="11">
        <f t="shared" ca="1" si="4"/>
        <v>8</v>
      </c>
      <c r="L20" s="11">
        <f t="shared" ca="1" si="5"/>
        <v>4</v>
      </c>
      <c r="M20" s="2">
        <f t="shared" ca="1" si="6"/>
        <v>0.5</v>
      </c>
      <c r="N20" s="11">
        <f t="shared" ca="1" si="7"/>
        <v>2</v>
      </c>
      <c r="O20" s="11">
        <f t="shared" ca="1" si="8"/>
        <v>2</v>
      </c>
      <c r="P20" s="1">
        <f t="shared" ca="1" si="9"/>
        <v>1</v>
      </c>
      <c r="Q20" s="11">
        <f t="shared" ca="1" si="10"/>
        <v>22</v>
      </c>
      <c r="R20" s="11">
        <f t="shared" ca="1" si="11"/>
        <v>16</v>
      </c>
      <c r="S20" s="2">
        <f t="shared" ca="1" si="12"/>
        <v>0.72727272727272729</v>
      </c>
    </row>
    <row r="21" spans="1:19" x14ac:dyDescent="0.45">
      <c r="A21" s="61">
        <v>31778</v>
      </c>
      <c r="B21" s="15">
        <f>COUNTIFS(发射纪录!B:B,"&lt;&gt;-",发射纪录!G:G,"&gt;="&amp;DATE(YEAR(A21),1,1),发射纪录!G:G,"&lt;="&amp;DATE(YEAR(A21),12,31),发射纪录!N:N,"&lt;&gt;")</f>
        <v>2</v>
      </c>
      <c r="C21" s="11">
        <f>COUNTIFS(发射纪录!B:B,"&lt;&gt;-",发射纪录!G:G,"&gt;="&amp;DATE(YEAR(A21),1,1),发射纪录!G:G,"&lt;="&amp;DATE(YEAR(A21),12,31),发射纪录!N:N,"=成功",发射纪录!N:N,"&lt;&gt;")</f>
        <v>2</v>
      </c>
      <c r="D21" s="1">
        <v>1</v>
      </c>
      <c r="E21" s="11">
        <f t="shared" si="0"/>
        <v>16</v>
      </c>
      <c r="F21" s="11">
        <f t="shared" si="1"/>
        <v>14</v>
      </c>
      <c r="G21" s="2">
        <f t="shared" si="2"/>
        <v>0.875</v>
      </c>
      <c r="H21" s="11">
        <f ca="1">COUNTIFS(发射纪录!C:C,"&lt;&gt;-",发射纪录!G:G,"&gt;="&amp;DATE(YEAR(A21),1,1),发射纪录!G:G,"&lt;="&amp;DATE(YEAR(A21),12,31),发射纪录!N:N,"&lt;&gt;")</f>
        <v>0</v>
      </c>
      <c r="I21" s="11">
        <f ca="1">COUNTIFS(发射纪录!C:C,"&lt;&gt;-",发射纪录!G:G,"&gt;="&amp;DATE(YEAR(A21),1,1),发射纪录!G:G,"&lt;="&amp;DATE(YEAR(A21),12,31),发射纪录!N:N,"=成功",发射纪录!N:N,"&lt;&gt;")</f>
        <v>0</v>
      </c>
      <c r="J21" s="1" t="str">
        <f t="shared" ca="1" si="3"/>
        <v>-</v>
      </c>
      <c r="K21" s="11">
        <f t="shared" ca="1" si="4"/>
        <v>8</v>
      </c>
      <c r="L21" s="11">
        <f t="shared" ca="1" si="5"/>
        <v>4</v>
      </c>
      <c r="M21" s="2">
        <f t="shared" ca="1" si="6"/>
        <v>0.5</v>
      </c>
      <c r="N21" s="11">
        <f t="shared" ca="1" si="7"/>
        <v>2</v>
      </c>
      <c r="O21" s="11">
        <f t="shared" ca="1" si="8"/>
        <v>2</v>
      </c>
      <c r="P21" s="1">
        <f t="shared" ca="1" si="9"/>
        <v>1</v>
      </c>
      <c r="Q21" s="11">
        <f t="shared" ca="1" si="10"/>
        <v>24</v>
      </c>
      <c r="R21" s="11">
        <f t="shared" ca="1" si="11"/>
        <v>18</v>
      </c>
      <c r="S21" s="2">
        <f t="shared" ca="1" si="12"/>
        <v>0.75</v>
      </c>
    </row>
    <row r="22" spans="1:19" x14ac:dyDescent="0.45">
      <c r="A22" s="61">
        <v>32143</v>
      </c>
      <c r="B22" s="15">
        <f>COUNTIFS(发射纪录!B:B,"&lt;&gt;-",发射纪录!G:G,"&gt;="&amp;DATE(YEAR(A22),1,1),发射纪录!G:G,"&lt;="&amp;DATE(YEAR(A22),12,31),发射纪录!N:N,"&lt;&gt;")</f>
        <v>4</v>
      </c>
      <c r="C22" s="11">
        <f>COUNTIFS(发射纪录!B:B,"&lt;&gt;-",发射纪录!G:G,"&gt;="&amp;DATE(YEAR(A22),1,1),发射纪录!G:G,"&lt;="&amp;DATE(YEAR(A22),12,31),发射纪录!N:N,"=成功",发射纪录!N:N,"&lt;&gt;")</f>
        <v>4</v>
      </c>
      <c r="D22" s="1">
        <v>1</v>
      </c>
      <c r="E22" s="11">
        <f t="shared" si="0"/>
        <v>20</v>
      </c>
      <c r="F22" s="11">
        <f t="shared" si="1"/>
        <v>18</v>
      </c>
      <c r="G22" s="2">
        <f t="shared" si="2"/>
        <v>0.9</v>
      </c>
      <c r="H22" s="11">
        <f ca="1">COUNTIFS(发射纪录!C:C,"&lt;&gt;-",发射纪录!G:G,"&gt;="&amp;DATE(YEAR(A22),1,1),发射纪录!G:G,"&lt;="&amp;DATE(YEAR(A22),12,31),发射纪录!N:N,"&lt;&gt;")</f>
        <v>0</v>
      </c>
      <c r="I22" s="11">
        <f ca="1">COUNTIFS(发射纪录!C:C,"&lt;&gt;-",发射纪录!G:G,"&gt;="&amp;DATE(YEAR(A22),1,1),发射纪录!G:G,"&lt;="&amp;DATE(YEAR(A22),12,31),发射纪录!N:N,"=成功",发射纪录!N:N,"&lt;&gt;")</f>
        <v>0</v>
      </c>
      <c r="J22" s="1" t="str">
        <f t="shared" ca="1" si="3"/>
        <v>-</v>
      </c>
      <c r="K22" s="11">
        <f t="shared" ca="1" si="4"/>
        <v>8</v>
      </c>
      <c r="L22" s="11">
        <f t="shared" ca="1" si="5"/>
        <v>4</v>
      </c>
      <c r="M22" s="2">
        <f t="shared" ca="1" si="6"/>
        <v>0.5</v>
      </c>
      <c r="N22" s="11">
        <f t="shared" ca="1" si="7"/>
        <v>4</v>
      </c>
      <c r="O22" s="11">
        <f t="shared" ca="1" si="8"/>
        <v>4</v>
      </c>
      <c r="P22" s="1">
        <f t="shared" ca="1" si="9"/>
        <v>1</v>
      </c>
      <c r="Q22" s="11">
        <f t="shared" ca="1" si="10"/>
        <v>28</v>
      </c>
      <c r="R22" s="11">
        <f t="shared" ca="1" si="11"/>
        <v>22</v>
      </c>
      <c r="S22" s="2">
        <f t="shared" ca="1" si="12"/>
        <v>0.7857142857142857</v>
      </c>
    </row>
    <row r="23" spans="1:19" x14ac:dyDescent="0.45">
      <c r="A23" s="61">
        <v>32509</v>
      </c>
      <c r="B23" s="15">
        <f>COUNTIFS(发射纪录!B:B,"&lt;&gt;-",发射纪录!G:G,"&gt;="&amp;DATE(YEAR(A23),1,1),发射纪录!G:G,"&lt;="&amp;DATE(YEAR(A23),12,31),发射纪录!N:N,"&lt;&gt;")</f>
        <v>0</v>
      </c>
      <c r="C23" s="11">
        <f>COUNTIFS(发射纪录!B:B,"&lt;&gt;-",发射纪录!G:G,"&gt;="&amp;DATE(YEAR(A23),1,1),发射纪录!G:G,"&lt;="&amp;DATE(YEAR(A23),12,31),发射纪录!N:N,"=成功",发射纪录!N:N,"&lt;&gt;")</f>
        <v>0</v>
      </c>
      <c r="D23" s="1" t="str">
        <f>IF(B23=0,"-",C23/B23)</f>
        <v>-</v>
      </c>
      <c r="E23" s="11">
        <f t="shared" si="0"/>
        <v>20</v>
      </c>
      <c r="F23" s="11">
        <f t="shared" si="1"/>
        <v>18</v>
      </c>
      <c r="G23" s="2">
        <f t="shared" si="2"/>
        <v>0.9</v>
      </c>
      <c r="H23" s="11">
        <f ca="1">COUNTIFS(发射纪录!C:C,"&lt;&gt;-",发射纪录!G:G,"&gt;="&amp;DATE(YEAR(A23),1,1),发射纪录!G:G,"&lt;="&amp;DATE(YEAR(A23),12,31),发射纪录!N:N,"&lt;&gt;")</f>
        <v>0</v>
      </c>
      <c r="I23" s="11">
        <f ca="1">COUNTIFS(发射纪录!C:C,"&lt;&gt;-",发射纪录!G:G,"&gt;="&amp;DATE(YEAR(A23),1,1),发射纪录!G:G,"&lt;="&amp;DATE(YEAR(A23),12,31),发射纪录!N:N,"=成功",发射纪录!N:N,"&lt;&gt;")</f>
        <v>0</v>
      </c>
      <c r="J23" s="1" t="str">
        <f t="shared" ca="1" si="3"/>
        <v>-</v>
      </c>
      <c r="K23" s="11">
        <f t="shared" ca="1" si="4"/>
        <v>8</v>
      </c>
      <c r="L23" s="11">
        <f t="shared" ca="1" si="5"/>
        <v>4</v>
      </c>
      <c r="M23" s="2">
        <f t="shared" ca="1" si="6"/>
        <v>0.5</v>
      </c>
      <c r="N23" s="11">
        <f t="shared" ca="1" si="7"/>
        <v>0</v>
      </c>
      <c r="O23" s="11">
        <f t="shared" ca="1" si="8"/>
        <v>0</v>
      </c>
      <c r="P23" s="1" t="str">
        <f t="shared" ca="1" si="9"/>
        <v>-</v>
      </c>
      <c r="Q23" s="11">
        <f t="shared" ca="1" si="10"/>
        <v>28</v>
      </c>
      <c r="R23" s="11">
        <f t="shared" ca="1" si="11"/>
        <v>22</v>
      </c>
      <c r="S23" s="2">
        <f t="shared" ca="1" si="12"/>
        <v>0.7857142857142857</v>
      </c>
    </row>
    <row r="24" spans="1:19" x14ac:dyDescent="0.45">
      <c r="A24" s="61">
        <v>32874</v>
      </c>
      <c r="B24" s="15">
        <f>COUNTIFS(发射纪录!B:B,"&lt;&gt;-",发射纪录!G:G,"&gt;="&amp;DATE(YEAR(A24),1,1),发射纪录!G:G,"&lt;="&amp;DATE(YEAR(A24),12,31),发射纪录!N:N,"&lt;&gt;")</f>
        <v>5</v>
      </c>
      <c r="C24" s="11">
        <f>COUNTIFS(发射纪录!B:B,"&lt;&gt;-",发射纪录!G:G,"&gt;="&amp;DATE(YEAR(A24),1,1),发射纪录!G:G,"&lt;="&amp;DATE(YEAR(A24),12,31),发射纪录!N:N,"=成功",发射纪录!N:N,"&lt;&gt;")</f>
        <v>5</v>
      </c>
      <c r="D24" s="1">
        <f>IF(B24=0,"-",C24/B24)</f>
        <v>1</v>
      </c>
      <c r="E24" s="11">
        <f t="shared" si="0"/>
        <v>25</v>
      </c>
      <c r="F24" s="11">
        <f t="shared" si="1"/>
        <v>23</v>
      </c>
      <c r="G24" s="2">
        <f t="shared" si="2"/>
        <v>0.92</v>
      </c>
      <c r="H24" s="11">
        <f ca="1">COUNTIFS(发射纪录!C:C,"&lt;&gt;-",发射纪录!G:G,"&gt;="&amp;DATE(YEAR(A24),1,1),发射纪录!G:G,"&lt;="&amp;DATE(YEAR(A24),12,31),发射纪录!N:N,"&lt;&gt;")</f>
        <v>0</v>
      </c>
      <c r="I24" s="11">
        <f ca="1">COUNTIFS(发射纪录!C:C,"&lt;&gt;-",发射纪录!G:G,"&gt;="&amp;DATE(YEAR(A24),1,1),发射纪录!G:G,"&lt;="&amp;DATE(YEAR(A24),12,31),发射纪录!N:N,"=成功",发射纪录!N:N,"&lt;&gt;")</f>
        <v>0</v>
      </c>
      <c r="J24" s="1" t="str">
        <f t="shared" ca="1" si="3"/>
        <v>-</v>
      </c>
      <c r="K24" s="11">
        <f t="shared" ca="1" si="4"/>
        <v>8</v>
      </c>
      <c r="L24" s="11">
        <f t="shared" ca="1" si="5"/>
        <v>4</v>
      </c>
      <c r="M24" s="2">
        <f t="shared" ca="1" si="6"/>
        <v>0.5</v>
      </c>
      <c r="N24" s="11">
        <f t="shared" ca="1" si="7"/>
        <v>5</v>
      </c>
      <c r="O24" s="11">
        <f t="shared" ca="1" si="8"/>
        <v>5</v>
      </c>
      <c r="P24" s="1">
        <f t="shared" ca="1" si="9"/>
        <v>1</v>
      </c>
      <c r="Q24" s="11">
        <f t="shared" ca="1" si="10"/>
        <v>33</v>
      </c>
      <c r="R24" s="11">
        <f t="shared" ca="1" si="11"/>
        <v>27</v>
      </c>
      <c r="S24" s="2">
        <f t="shared" ca="1" si="12"/>
        <v>0.81818181818181823</v>
      </c>
    </row>
    <row r="25" spans="1:19" x14ac:dyDescent="0.45">
      <c r="A25" s="61">
        <v>33239</v>
      </c>
      <c r="B25" s="15">
        <f>COUNTIFS(发射纪录!B:B,"&lt;&gt;-",发射纪录!G:G,"&gt;="&amp;DATE(YEAR(A25),1,1),发射纪录!G:G,"&lt;="&amp;DATE(YEAR(A25),12,31),发射纪录!N:N,"&lt;&gt;")</f>
        <v>1</v>
      </c>
      <c r="C25" s="11">
        <f>COUNTIFS(发射纪录!B:B,"&lt;&gt;-",发射纪录!G:G,"&gt;="&amp;DATE(YEAR(A25),1,1),发射纪录!G:G,"&lt;="&amp;DATE(YEAR(A25),12,31),发射纪录!N:N,"=成功",发射纪录!N:N,"&lt;&gt;")</f>
        <v>0</v>
      </c>
      <c r="D25" s="1">
        <f>IF(B25=0,"-",C25/B25)</f>
        <v>0</v>
      </c>
      <c r="E25" s="11">
        <f t="shared" si="0"/>
        <v>26</v>
      </c>
      <c r="F25" s="11">
        <f t="shared" si="1"/>
        <v>23</v>
      </c>
      <c r="G25" s="2">
        <f t="shared" si="2"/>
        <v>0.88461538461538458</v>
      </c>
      <c r="H25" s="11">
        <f ca="1">COUNTIFS(发射纪录!C:C,"&lt;&gt;-",发射纪录!G:G,"&gt;="&amp;DATE(YEAR(A25),1,1),发射纪录!G:G,"&lt;="&amp;DATE(YEAR(A25),12,31),发射纪录!N:N,"&lt;&gt;")</f>
        <v>0</v>
      </c>
      <c r="I25" s="11">
        <f ca="1">COUNTIFS(发射纪录!C:C,"&lt;&gt;-",发射纪录!G:G,"&gt;="&amp;DATE(YEAR(A25),1,1),发射纪录!G:G,"&lt;="&amp;DATE(YEAR(A25),12,31),发射纪录!N:N,"=成功",发射纪录!N:N,"&lt;&gt;")</f>
        <v>0</v>
      </c>
      <c r="J25" s="1" t="str">
        <f t="shared" ca="1" si="3"/>
        <v>-</v>
      </c>
      <c r="K25" s="11">
        <f t="shared" ca="1" si="4"/>
        <v>8</v>
      </c>
      <c r="L25" s="11">
        <f t="shared" ca="1" si="5"/>
        <v>4</v>
      </c>
      <c r="M25" s="2">
        <f t="shared" ca="1" si="6"/>
        <v>0.5</v>
      </c>
      <c r="N25" s="11">
        <f t="shared" ca="1" si="7"/>
        <v>1</v>
      </c>
      <c r="O25" s="11">
        <f t="shared" ca="1" si="8"/>
        <v>0</v>
      </c>
      <c r="P25" s="1">
        <f t="shared" ca="1" si="9"/>
        <v>0</v>
      </c>
      <c r="Q25" s="11">
        <f t="shared" ca="1" si="10"/>
        <v>34</v>
      </c>
      <c r="R25" s="11">
        <f t="shared" ca="1" si="11"/>
        <v>27</v>
      </c>
      <c r="S25" s="2">
        <f t="shared" ca="1" si="12"/>
        <v>0.79411764705882348</v>
      </c>
    </row>
    <row r="26" spans="1:19" x14ac:dyDescent="0.45">
      <c r="A26" s="61">
        <v>33604</v>
      </c>
      <c r="B26" s="15">
        <f>COUNTIFS(发射纪录!B:B,"&lt;&gt;-",发射纪录!G:G,"&gt;="&amp;DATE(YEAR(A26),1,1),发射纪录!G:G,"&lt;="&amp;DATE(YEAR(A26),12,31),发射纪录!N:N,"&lt;&gt;")</f>
        <v>4</v>
      </c>
      <c r="C26" s="11">
        <f>COUNTIFS(发射纪录!B:B,"&lt;&gt;-",发射纪录!G:G,"&gt;="&amp;DATE(YEAR(A26),1,1),发射纪录!G:G,"&lt;="&amp;DATE(YEAR(A26),12,31),发射纪录!N:N,"=成功",发射纪录!N:N,"&lt;&gt;")</f>
        <v>3</v>
      </c>
      <c r="D26" s="1">
        <f>IF(B26=0,"-",C26/B26)</f>
        <v>0.75</v>
      </c>
      <c r="E26" s="11">
        <f t="shared" si="0"/>
        <v>30</v>
      </c>
      <c r="F26" s="11">
        <f t="shared" si="1"/>
        <v>26</v>
      </c>
      <c r="G26" s="2">
        <f t="shared" si="2"/>
        <v>0.8666666666666667</v>
      </c>
      <c r="H26" s="11">
        <f ca="1">COUNTIFS(发射纪录!C:C,"&lt;&gt;-",发射纪录!G:G,"&gt;="&amp;DATE(YEAR(A26),1,1),发射纪录!G:G,"&lt;="&amp;DATE(YEAR(A26),12,31),发射纪录!N:N,"&lt;&gt;")</f>
        <v>0</v>
      </c>
      <c r="I26" s="11">
        <f ca="1">COUNTIFS(发射纪录!C:C,"&lt;&gt;-",发射纪录!G:G,"&gt;="&amp;DATE(YEAR(A26),1,1),发射纪录!G:G,"&lt;="&amp;DATE(YEAR(A26),12,31),发射纪录!N:N,"=成功",发射纪录!N:N,"&lt;&gt;")</f>
        <v>0</v>
      </c>
      <c r="J26" s="1" t="str">
        <f t="shared" ca="1" si="3"/>
        <v>-</v>
      </c>
      <c r="K26" s="11">
        <f t="shared" ca="1" si="4"/>
        <v>8</v>
      </c>
      <c r="L26" s="11">
        <f t="shared" ca="1" si="5"/>
        <v>4</v>
      </c>
      <c r="M26" s="2">
        <f t="shared" ca="1" si="6"/>
        <v>0.5</v>
      </c>
      <c r="N26" s="11">
        <f t="shared" ca="1" si="7"/>
        <v>4</v>
      </c>
      <c r="O26" s="11">
        <f t="shared" ca="1" si="8"/>
        <v>3</v>
      </c>
      <c r="P26" s="1">
        <f t="shared" ca="1" si="9"/>
        <v>0.75</v>
      </c>
      <c r="Q26" s="11">
        <f t="shared" ca="1" si="10"/>
        <v>38</v>
      </c>
      <c r="R26" s="11">
        <f t="shared" ca="1" si="11"/>
        <v>30</v>
      </c>
      <c r="S26" s="2">
        <f t="shared" ca="1" si="12"/>
        <v>0.78947368421052633</v>
      </c>
    </row>
    <row r="27" spans="1:19" x14ac:dyDescent="0.45">
      <c r="A27" s="61">
        <v>33970</v>
      </c>
      <c r="B27" s="15">
        <f>COUNTIFS(发射纪录!B:B,"&lt;&gt;-",发射纪录!G:G,"&gt;="&amp;DATE(YEAR(A27),1,1),发射纪录!G:G,"&lt;="&amp;DATE(YEAR(A27),12,31),发射纪录!N:N,"&lt;&gt;")</f>
        <v>1</v>
      </c>
      <c r="C27" s="11">
        <f>COUNTIFS(发射纪录!B:B,"&lt;&gt;-",发射纪录!G:G,"&gt;="&amp;DATE(YEAR(A27),1,1),发射纪录!G:G,"&lt;="&amp;DATE(YEAR(A27),12,31),发射纪录!N:N,"=成功",发射纪录!N:N,"&lt;&gt;")</f>
        <v>1</v>
      </c>
      <c r="D27" s="1">
        <v>1</v>
      </c>
      <c r="E27" s="11">
        <f t="shared" si="0"/>
        <v>31</v>
      </c>
      <c r="F27" s="11">
        <f t="shared" si="1"/>
        <v>27</v>
      </c>
      <c r="G27" s="2">
        <f t="shared" si="2"/>
        <v>0.87096774193548387</v>
      </c>
      <c r="H27" s="11">
        <f ca="1">COUNTIFS(发射纪录!C:C,"&lt;&gt;-",发射纪录!G:G,"&gt;="&amp;DATE(YEAR(A27),1,1),发射纪录!G:G,"&lt;="&amp;DATE(YEAR(A27),12,31),发射纪录!N:N,"&lt;&gt;")</f>
        <v>0</v>
      </c>
      <c r="I27" s="11">
        <f ca="1">COUNTIFS(发射纪录!C:C,"&lt;&gt;-",发射纪录!G:G,"&gt;="&amp;DATE(YEAR(A27),1,1),发射纪录!G:G,"&lt;="&amp;DATE(YEAR(A27),12,31),发射纪录!N:N,"=成功",发射纪录!N:N,"&lt;&gt;")</f>
        <v>0</v>
      </c>
      <c r="J27" s="1" t="str">
        <f t="shared" ca="1" si="3"/>
        <v>-</v>
      </c>
      <c r="K27" s="11">
        <f t="shared" ca="1" si="4"/>
        <v>8</v>
      </c>
      <c r="L27" s="11">
        <f t="shared" ca="1" si="5"/>
        <v>4</v>
      </c>
      <c r="M27" s="2">
        <f t="shared" ca="1" si="6"/>
        <v>0.5</v>
      </c>
      <c r="N27" s="11">
        <f t="shared" ca="1" si="7"/>
        <v>1</v>
      </c>
      <c r="O27" s="11">
        <f t="shared" ca="1" si="8"/>
        <v>1</v>
      </c>
      <c r="P27" s="1">
        <f t="shared" ca="1" si="9"/>
        <v>1</v>
      </c>
      <c r="Q27" s="11">
        <f t="shared" ca="1" si="10"/>
        <v>39</v>
      </c>
      <c r="R27" s="11">
        <f t="shared" ca="1" si="11"/>
        <v>31</v>
      </c>
      <c r="S27" s="2">
        <f t="shared" ca="1" si="12"/>
        <v>0.79487179487179482</v>
      </c>
    </row>
    <row r="28" spans="1:19" x14ac:dyDescent="0.45">
      <c r="A28" s="61">
        <v>34335</v>
      </c>
      <c r="B28" s="15">
        <f>COUNTIFS(发射纪录!B:B,"&lt;&gt;-",发射纪录!G:G,"&gt;="&amp;DATE(YEAR(A28),1,1),发射纪录!G:G,"&lt;="&amp;DATE(YEAR(A28),12,31),发射纪录!N:N,"&lt;&gt;")</f>
        <v>5</v>
      </c>
      <c r="C28" s="11">
        <f>COUNTIFS(发射纪录!B:B,"&lt;&gt;-",发射纪录!G:G,"&gt;="&amp;DATE(YEAR(A28),1,1),发射纪录!G:G,"&lt;="&amp;DATE(YEAR(A28),12,31),发射纪录!N:N,"=成功",发射纪录!N:N,"&lt;&gt;")</f>
        <v>5</v>
      </c>
      <c r="D28" s="1">
        <v>1</v>
      </c>
      <c r="E28" s="11">
        <f t="shared" si="0"/>
        <v>36</v>
      </c>
      <c r="F28" s="11">
        <f t="shared" si="1"/>
        <v>32</v>
      </c>
      <c r="G28" s="2">
        <f t="shared" si="2"/>
        <v>0.88888888888888884</v>
      </c>
      <c r="H28" s="11">
        <f ca="1">COUNTIFS(发射纪录!C:C,"&lt;&gt;-",发射纪录!G:G,"&gt;="&amp;DATE(YEAR(A28),1,1),发射纪录!G:G,"&lt;="&amp;DATE(YEAR(A28),12,31),发射纪录!N:N,"&lt;&gt;")</f>
        <v>0</v>
      </c>
      <c r="I28" s="11">
        <f ca="1">COUNTIFS(发射纪录!C:C,"&lt;&gt;-",发射纪录!G:G,"&gt;="&amp;DATE(YEAR(A28),1,1),发射纪录!G:G,"&lt;="&amp;DATE(YEAR(A28),12,31),发射纪录!N:N,"=成功",发射纪录!N:N,"&lt;&gt;")</f>
        <v>0</v>
      </c>
      <c r="J28" s="1" t="str">
        <f t="shared" ca="1" si="3"/>
        <v>-</v>
      </c>
      <c r="K28" s="11">
        <f t="shared" ca="1" si="4"/>
        <v>8</v>
      </c>
      <c r="L28" s="11">
        <f t="shared" ca="1" si="5"/>
        <v>4</v>
      </c>
      <c r="M28" s="2">
        <f t="shared" ca="1" si="6"/>
        <v>0.5</v>
      </c>
      <c r="N28" s="11">
        <f t="shared" ca="1" si="7"/>
        <v>5</v>
      </c>
      <c r="O28" s="11">
        <f t="shared" ca="1" si="8"/>
        <v>5</v>
      </c>
      <c r="P28" s="1">
        <f t="shared" ca="1" si="9"/>
        <v>1</v>
      </c>
      <c r="Q28" s="11">
        <f t="shared" ca="1" si="10"/>
        <v>44</v>
      </c>
      <c r="R28" s="11">
        <f t="shared" ca="1" si="11"/>
        <v>36</v>
      </c>
      <c r="S28" s="2">
        <f t="shared" ca="1" si="12"/>
        <v>0.81818181818181823</v>
      </c>
    </row>
    <row r="29" spans="1:19" x14ac:dyDescent="0.45">
      <c r="A29" s="61">
        <v>34700</v>
      </c>
      <c r="B29" s="15">
        <f>COUNTIFS(发射纪录!B:B,"&lt;&gt;-",发射纪录!G:G,"&gt;="&amp;DATE(YEAR(A29),1,1),发射纪录!G:G,"&lt;="&amp;DATE(YEAR(A29),12,31),发射纪录!N:N,"&lt;&gt;")</f>
        <v>3</v>
      </c>
      <c r="C29" s="11">
        <f>COUNTIFS(发射纪录!B:B,"&lt;&gt;-",发射纪录!G:G,"&gt;="&amp;DATE(YEAR(A29),1,1),发射纪录!G:G,"&lt;="&amp;DATE(YEAR(A29),12,31),发射纪录!N:N,"=成功",发射纪录!N:N,"&lt;&gt;")</f>
        <v>2</v>
      </c>
      <c r="D29" s="1">
        <f>IF(B29=0,"-",C29/B29)</f>
        <v>0.66666666666666663</v>
      </c>
      <c r="E29" s="11">
        <f t="shared" si="0"/>
        <v>39</v>
      </c>
      <c r="F29" s="11">
        <f t="shared" si="1"/>
        <v>34</v>
      </c>
      <c r="G29" s="2">
        <f t="shared" si="2"/>
        <v>0.87179487179487181</v>
      </c>
      <c r="H29" s="11">
        <f ca="1">COUNTIFS(发射纪录!C:C,"&lt;&gt;-",发射纪录!G:G,"&gt;="&amp;DATE(YEAR(A29),1,1),发射纪录!G:G,"&lt;="&amp;DATE(YEAR(A29),12,31),发射纪录!N:N,"&lt;&gt;")</f>
        <v>0</v>
      </c>
      <c r="I29" s="11">
        <f ca="1">COUNTIFS(发射纪录!C:C,"&lt;&gt;-",发射纪录!G:G,"&gt;="&amp;DATE(YEAR(A29),1,1),发射纪录!G:G,"&lt;="&amp;DATE(YEAR(A29),12,31),发射纪录!N:N,"=成功",发射纪录!N:N,"&lt;&gt;")</f>
        <v>0</v>
      </c>
      <c r="J29" s="1" t="str">
        <f t="shared" ca="1" si="3"/>
        <v>-</v>
      </c>
      <c r="K29" s="11">
        <f t="shared" ca="1" si="4"/>
        <v>8</v>
      </c>
      <c r="L29" s="11">
        <f t="shared" ca="1" si="5"/>
        <v>4</v>
      </c>
      <c r="M29" s="2">
        <f t="shared" ca="1" si="6"/>
        <v>0.5</v>
      </c>
      <c r="N29" s="11">
        <f t="shared" ca="1" si="7"/>
        <v>3</v>
      </c>
      <c r="O29" s="11">
        <f t="shared" ca="1" si="8"/>
        <v>2</v>
      </c>
      <c r="P29" s="1">
        <f t="shared" ca="1" si="9"/>
        <v>0.66666666666666663</v>
      </c>
      <c r="Q29" s="11">
        <f t="shared" ca="1" si="10"/>
        <v>47</v>
      </c>
      <c r="R29" s="11">
        <f t="shared" ca="1" si="11"/>
        <v>38</v>
      </c>
      <c r="S29" s="2">
        <f t="shared" ca="1" si="12"/>
        <v>0.80851063829787229</v>
      </c>
    </row>
    <row r="30" spans="1:19" x14ac:dyDescent="0.45">
      <c r="A30" s="61">
        <v>35065</v>
      </c>
      <c r="B30" s="15">
        <f>COUNTIFS(发射纪录!B:B,"&lt;&gt;-",发射纪录!G:G,"&gt;="&amp;DATE(YEAR(A30),1,1),发射纪录!G:G,"&lt;="&amp;DATE(YEAR(A30),12,31),发射纪录!N:N,"&lt;&gt;")</f>
        <v>4</v>
      </c>
      <c r="C30" s="11">
        <f>COUNTIFS(发射纪录!B:B,"&lt;&gt;-",发射纪录!G:G,"&gt;="&amp;DATE(YEAR(A30),1,1),发射纪录!G:G,"&lt;="&amp;DATE(YEAR(A30),12,31),发射纪录!N:N,"=成功",发射纪录!N:N,"&lt;&gt;")</f>
        <v>2</v>
      </c>
      <c r="D30" s="1">
        <f>IF(B30=0,"-",C30/B30)</f>
        <v>0.5</v>
      </c>
      <c r="E30" s="11">
        <f t="shared" si="0"/>
        <v>43</v>
      </c>
      <c r="F30" s="11">
        <f t="shared" si="1"/>
        <v>36</v>
      </c>
      <c r="G30" s="2">
        <f t="shared" si="2"/>
        <v>0.83720930232558144</v>
      </c>
      <c r="H30" s="11">
        <f ca="1">COUNTIFS(发射纪录!C:C,"&lt;&gt;-",发射纪录!G:G,"&gt;="&amp;DATE(YEAR(A30),1,1),发射纪录!G:G,"&lt;="&amp;DATE(YEAR(A30),12,31),发射纪录!N:N,"&lt;&gt;")</f>
        <v>0</v>
      </c>
      <c r="I30" s="11">
        <f ca="1">COUNTIFS(发射纪录!C:C,"&lt;&gt;-",发射纪录!G:G,"&gt;="&amp;DATE(YEAR(A30),1,1),发射纪录!G:G,"&lt;="&amp;DATE(YEAR(A30),12,31),发射纪录!N:N,"=成功",发射纪录!N:N,"&lt;&gt;")</f>
        <v>0</v>
      </c>
      <c r="J30" s="1" t="str">
        <f t="shared" ca="1" si="3"/>
        <v>-</v>
      </c>
      <c r="K30" s="11">
        <f t="shared" ca="1" si="4"/>
        <v>8</v>
      </c>
      <c r="L30" s="11">
        <f t="shared" ca="1" si="5"/>
        <v>4</v>
      </c>
      <c r="M30" s="2">
        <f t="shared" ca="1" si="6"/>
        <v>0.5</v>
      </c>
      <c r="N30" s="11">
        <f t="shared" ca="1" si="7"/>
        <v>4</v>
      </c>
      <c r="O30" s="11">
        <f t="shared" ca="1" si="8"/>
        <v>2</v>
      </c>
      <c r="P30" s="1">
        <f t="shared" ca="1" si="9"/>
        <v>0.5</v>
      </c>
      <c r="Q30" s="11">
        <f t="shared" ca="1" si="10"/>
        <v>51</v>
      </c>
      <c r="R30" s="11">
        <f t="shared" ca="1" si="11"/>
        <v>40</v>
      </c>
      <c r="S30" s="2">
        <f t="shared" ca="1" si="12"/>
        <v>0.78431372549019607</v>
      </c>
    </row>
    <row r="31" spans="1:19" x14ac:dyDescent="0.45">
      <c r="A31" s="61">
        <v>35431</v>
      </c>
      <c r="B31" s="15">
        <f>COUNTIFS(发射纪录!B:B,"&lt;&gt;-",发射纪录!G:G,"&gt;="&amp;DATE(YEAR(A31),1,1),发射纪录!G:G,"&lt;="&amp;DATE(YEAR(A31),12,31),发射纪录!N:N,"&lt;&gt;")</f>
        <v>6</v>
      </c>
      <c r="C31" s="11">
        <f>COUNTIFS(发射纪录!B:B,"&lt;&gt;-",发射纪录!G:G,"&gt;="&amp;DATE(YEAR(A31),1,1),发射纪录!G:G,"&lt;="&amp;DATE(YEAR(A31),12,31),发射纪录!N:N,"=成功",发射纪录!N:N,"&lt;&gt;")</f>
        <v>6</v>
      </c>
      <c r="D31" s="1">
        <v>1</v>
      </c>
      <c r="E31" s="11">
        <f t="shared" si="0"/>
        <v>49</v>
      </c>
      <c r="F31" s="11">
        <f t="shared" si="1"/>
        <v>42</v>
      </c>
      <c r="G31" s="2">
        <f t="shared" si="2"/>
        <v>0.8571428571428571</v>
      </c>
      <c r="H31" s="11">
        <f ca="1">COUNTIFS(发射纪录!C:C,"&lt;&gt;-",发射纪录!G:G,"&gt;="&amp;DATE(YEAR(A31),1,1),发射纪录!G:G,"&lt;="&amp;DATE(YEAR(A31),12,31),发射纪录!N:N,"&lt;&gt;")</f>
        <v>0</v>
      </c>
      <c r="I31" s="11">
        <f ca="1">COUNTIFS(发射纪录!C:C,"&lt;&gt;-",发射纪录!G:G,"&gt;="&amp;DATE(YEAR(A31),1,1),发射纪录!G:G,"&lt;="&amp;DATE(YEAR(A31),12,31),发射纪录!N:N,"=成功",发射纪录!N:N,"&lt;&gt;")</f>
        <v>0</v>
      </c>
      <c r="J31" s="1" t="str">
        <f t="shared" ca="1" si="3"/>
        <v>-</v>
      </c>
      <c r="K31" s="11">
        <f t="shared" ca="1" si="4"/>
        <v>8</v>
      </c>
      <c r="L31" s="11">
        <f t="shared" ca="1" si="5"/>
        <v>4</v>
      </c>
      <c r="M31" s="2">
        <f t="shared" ca="1" si="6"/>
        <v>0.5</v>
      </c>
      <c r="N31" s="11">
        <f t="shared" ca="1" si="7"/>
        <v>6</v>
      </c>
      <c r="O31" s="11">
        <f t="shared" ca="1" si="8"/>
        <v>6</v>
      </c>
      <c r="P31" s="1">
        <f t="shared" ca="1" si="9"/>
        <v>1</v>
      </c>
      <c r="Q31" s="11">
        <f t="shared" ca="1" si="10"/>
        <v>57</v>
      </c>
      <c r="R31" s="11">
        <f t="shared" ca="1" si="11"/>
        <v>46</v>
      </c>
      <c r="S31" s="2">
        <f t="shared" ca="1" si="12"/>
        <v>0.80701754385964908</v>
      </c>
    </row>
    <row r="32" spans="1:19" x14ac:dyDescent="0.45">
      <c r="A32" s="61">
        <v>35796</v>
      </c>
      <c r="B32" s="15">
        <f>COUNTIFS(发射纪录!B:B,"&lt;&gt;-",发射纪录!G:G,"&gt;="&amp;DATE(YEAR(A32),1,1),发射纪录!G:G,"&lt;="&amp;DATE(YEAR(A32),12,31),发射纪录!N:N,"&lt;&gt;")</f>
        <v>6</v>
      </c>
      <c r="C32" s="11">
        <f>COUNTIFS(发射纪录!B:B,"&lt;&gt;-",发射纪录!G:G,"&gt;="&amp;DATE(YEAR(A32),1,1),发射纪录!G:G,"&lt;="&amp;DATE(YEAR(A32),12,31),发射纪录!N:N,"=成功",发射纪录!N:N,"&lt;&gt;")</f>
        <v>6</v>
      </c>
      <c r="D32" s="1">
        <v>1</v>
      </c>
      <c r="E32" s="11">
        <f t="shared" si="0"/>
        <v>55</v>
      </c>
      <c r="F32" s="11">
        <f t="shared" si="1"/>
        <v>48</v>
      </c>
      <c r="G32" s="2">
        <f t="shared" si="2"/>
        <v>0.87272727272727268</v>
      </c>
      <c r="H32" s="11">
        <f ca="1">COUNTIFS(发射纪录!C:C,"&lt;&gt;-",发射纪录!G:G,"&gt;="&amp;DATE(YEAR(A32),1,1),发射纪录!G:G,"&lt;="&amp;DATE(YEAR(A32),12,31),发射纪录!N:N,"&lt;&gt;")</f>
        <v>0</v>
      </c>
      <c r="I32" s="11">
        <f ca="1">COUNTIFS(发射纪录!C:C,"&lt;&gt;-",发射纪录!G:G,"&gt;="&amp;DATE(YEAR(A32),1,1),发射纪录!G:G,"&lt;="&amp;DATE(YEAR(A32),12,31),发射纪录!N:N,"=成功",发射纪录!N:N,"&lt;&gt;")</f>
        <v>0</v>
      </c>
      <c r="J32" s="1" t="str">
        <f t="shared" ca="1" si="3"/>
        <v>-</v>
      </c>
      <c r="K32" s="11">
        <f t="shared" ca="1" si="4"/>
        <v>8</v>
      </c>
      <c r="L32" s="11">
        <f t="shared" ca="1" si="5"/>
        <v>4</v>
      </c>
      <c r="M32" s="2">
        <f t="shared" ca="1" si="6"/>
        <v>0.5</v>
      </c>
      <c r="N32" s="11">
        <f t="shared" ca="1" si="7"/>
        <v>6</v>
      </c>
      <c r="O32" s="11">
        <f t="shared" ca="1" si="8"/>
        <v>6</v>
      </c>
      <c r="P32" s="1">
        <f t="shared" ca="1" si="9"/>
        <v>1</v>
      </c>
      <c r="Q32" s="11">
        <f t="shared" ca="1" si="10"/>
        <v>63</v>
      </c>
      <c r="R32" s="11">
        <f t="shared" ca="1" si="11"/>
        <v>52</v>
      </c>
      <c r="S32" s="2">
        <f t="shared" ca="1" si="12"/>
        <v>0.82539682539682535</v>
      </c>
    </row>
    <row r="33" spans="1:19" x14ac:dyDescent="0.45">
      <c r="A33" s="61">
        <v>36161</v>
      </c>
      <c r="B33" s="15">
        <f>COUNTIFS(发射纪录!B:B,"&lt;&gt;-",发射纪录!G:G,"&gt;="&amp;DATE(YEAR(A33),1,1),发射纪录!G:G,"&lt;="&amp;DATE(YEAR(A33),12,31),发射纪录!N:N,"&lt;&gt;")</f>
        <v>4</v>
      </c>
      <c r="C33" s="11">
        <f>COUNTIFS(发射纪录!B:B,"&lt;&gt;-",发射纪录!G:G,"&gt;="&amp;DATE(YEAR(A33),1,1),发射纪录!G:G,"&lt;="&amp;DATE(YEAR(A33),12,31),发射纪录!N:N,"=成功",发射纪录!N:N,"&lt;&gt;")</f>
        <v>4</v>
      </c>
      <c r="D33" s="1">
        <v>1</v>
      </c>
      <c r="E33" s="11">
        <f t="shared" si="0"/>
        <v>59</v>
      </c>
      <c r="F33" s="11">
        <f t="shared" si="1"/>
        <v>52</v>
      </c>
      <c r="G33" s="2">
        <f t="shared" si="2"/>
        <v>0.88135593220338981</v>
      </c>
      <c r="H33" s="11">
        <f ca="1">COUNTIFS(发射纪录!C:C,"&lt;&gt;-",发射纪录!G:G,"&gt;="&amp;DATE(YEAR(A33),1,1),发射纪录!G:G,"&lt;="&amp;DATE(YEAR(A33),12,31),发射纪录!N:N,"&lt;&gt;")</f>
        <v>0</v>
      </c>
      <c r="I33" s="11">
        <f ca="1">COUNTIFS(发射纪录!C:C,"&lt;&gt;-",发射纪录!G:G,"&gt;="&amp;DATE(YEAR(A33),1,1),发射纪录!G:G,"&lt;="&amp;DATE(YEAR(A33),12,31),发射纪录!N:N,"=成功",发射纪录!N:N,"&lt;&gt;")</f>
        <v>0</v>
      </c>
      <c r="J33" s="1" t="str">
        <f t="shared" ca="1" si="3"/>
        <v>-</v>
      </c>
      <c r="K33" s="11">
        <f t="shared" ca="1" si="4"/>
        <v>8</v>
      </c>
      <c r="L33" s="11">
        <f t="shared" ca="1" si="5"/>
        <v>4</v>
      </c>
      <c r="M33" s="2">
        <f t="shared" ca="1" si="6"/>
        <v>0.5</v>
      </c>
      <c r="N33" s="11">
        <f t="shared" ca="1" si="7"/>
        <v>4</v>
      </c>
      <c r="O33" s="11">
        <f t="shared" ca="1" si="8"/>
        <v>4</v>
      </c>
      <c r="P33" s="1">
        <f t="shared" ca="1" si="9"/>
        <v>1</v>
      </c>
      <c r="Q33" s="11">
        <f t="shared" ca="1" si="10"/>
        <v>67</v>
      </c>
      <c r="R33" s="11">
        <f t="shared" ca="1" si="11"/>
        <v>56</v>
      </c>
      <c r="S33" s="2">
        <f t="shared" ca="1" si="12"/>
        <v>0.83582089552238803</v>
      </c>
    </row>
    <row r="34" spans="1:19" x14ac:dyDescent="0.45">
      <c r="A34" s="61">
        <v>36526</v>
      </c>
      <c r="B34" s="15">
        <f>COUNTIFS(发射纪录!B:B,"&lt;&gt;-",发射纪录!G:G,"&gt;="&amp;DATE(YEAR(A34),1,1),发射纪录!G:G,"&lt;="&amp;DATE(YEAR(A34),12,31),发射纪录!N:N,"&lt;&gt;")</f>
        <v>5</v>
      </c>
      <c r="C34" s="11">
        <f>COUNTIFS(发射纪录!B:B,"&lt;&gt;-",发射纪录!G:G,"&gt;="&amp;DATE(YEAR(A34),1,1),发射纪录!G:G,"&lt;="&amp;DATE(YEAR(A34),12,31),发射纪录!N:N,"=成功",发射纪录!N:N,"&lt;&gt;")</f>
        <v>5</v>
      </c>
      <c r="D34" s="1">
        <v>1</v>
      </c>
      <c r="E34" s="11">
        <f t="shared" si="0"/>
        <v>64</v>
      </c>
      <c r="F34" s="11">
        <f t="shared" si="1"/>
        <v>57</v>
      </c>
      <c r="G34" s="2">
        <f t="shared" si="2"/>
        <v>0.890625</v>
      </c>
      <c r="H34" s="11">
        <f ca="1">COUNTIFS(发射纪录!C:C,"&lt;&gt;-",发射纪录!G:G,"&gt;="&amp;DATE(YEAR(A34),1,1),发射纪录!G:G,"&lt;="&amp;DATE(YEAR(A34),12,31),发射纪录!N:N,"&lt;&gt;")</f>
        <v>0</v>
      </c>
      <c r="I34" s="11">
        <f ca="1">COUNTIFS(发射纪录!C:C,"&lt;&gt;-",发射纪录!G:G,"&gt;="&amp;DATE(YEAR(A34),1,1),发射纪录!G:G,"&lt;="&amp;DATE(YEAR(A34),12,31),发射纪录!N:N,"=成功",发射纪录!N:N,"&lt;&gt;")</f>
        <v>0</v>
      </c>
      <c r="J34" s="1" t="str">
        <f t="shared" ca="1" si="3"/>
        <v>-</v>
      </c>
      <c r="K34" s="11">
        <f t="shared" ca="1" si="4"/>
        <v>8</v>
      </c>
      <c r="L34" s="11">
        <f t="shared" ca="1" si="5"/>
        <v>4</v>
      </c>
      <c r="M34" s="2">
        <f t="shared" ca="1" si="6"/>
        <v>0.5</v>
      </c>
      <c r="N34" s="11">
        <f t="shared" ca="1" si="7"/>
        <v>5</v>
      </c>
      <c r="O34" s="11">
        <f t="shared" ca="1" si="8"/>
        <v>5</v>
      </c>
      <c r="P34" s="1">
        <f t="shared" ca="1" si="9"/>
        <v>1</v>
      </c>
      <c r="Q34" s="11">
        <f t="shared" ca="1" si="10"/>
        <v>72</v>
      </c>
      <c r="R34" s="11">
        <f t="shared" ca="1" si="11"/>
        <v>61</v>
      </c>
      <c r="S34" s="2">
        <f t="shared" ca="1" si="12"/>
        <v>0.84722222222222221</v>
      </c>
    </row>
    <row r="35" spans="1:19" x14ac:dyDescent="0.45">
      <c r="A35" s="61">
        <v>36892</v>
      </c>
      <c r="B35" s="15">
        <f>COUNTIFS(发射纪录!B:B,"&lt;&gt;-",发射纪录!G:G,"&gt;="&amp;DATE(YEAR(A35),1,1),发射纪录!G:G,"&lt;="&amp;DATE(YEAR(A35),12,31),发射纪录!N:N,"&lt;&gt;")</f>
        <v>1</v>
      </c>
      <c r="C35" s="11">
        <f>COUNTIFS(发射纪录!B:B,"&lt;&gt;-",发射纪录!G:G,"&gt;="&amp;DATE(YEAR(A35),1,1),发射纪录!G:G,"&lt;="&amp;DATE(YEAR(A35),12,31),发射纪录!N:N,"=成功",发射纪录!N:N,"&lt;&gt;")</f>
        <v>1</v>
      </c>
      <c r="D35" s="1">
        <v>1</v>
      </c>
      <c r="E35" s="11">
        <f t="shared" si="0"/>
        <v>65</v>
      </c>
      <c r="F35" s="11">
        <f t="shared" si="1"/>
        <v>58</v>
      </c>
      <c r="G35" s="2">
        <f t="shared" si="2"/>
        <v>0.89230769230769236</v>
      </c>
      <c r="H35" s="11">
        <f ca="1">COUNTIFS(发射纪录!C:C,"&lt;&gt;-",发射纪录!G:G,"&gt;="&amp;DATE(YEAR(A35),1,1),发射纪录!G:G,"&lt;="&amp;DATE(YEAR(A35),12,31),发射纪录!N:N,"&lt;&gt;")</f>
        <v>0</v>
      </c>
      <c r="I35" s="11">
        <f ca="1">COUNTIFS(发射纪录!C:C,"&lt;&gt;-",发射纪录!G:G,"&gt;="&amp;DATE(YEAR(A35),1,1),发射纪录!G:G,"&lt;="&amp;DATE(YEAR(A35),12,31),发射纪录!N:N,"=成功",发射纪录!N:N,"&lt;&gt;")</f>
        <v>0</v>
      </c>
      <c r="J35" s="1" t="str">
        <f t="shared" ca="1" si="3"/>
        <v>-</v>
      </c>
      <c r="K35" s="11">
        <f t="shared" ca="1" si="4"/>
        <v>8</v>
      </c>
      <c r="L35" s="11">
        <f t="shared" ca="1" si="5"/>
        <v>4</v>
      </c>
      <c r="M35" s="2">
        <f t="shared" ca="1" si="6"/>
        <v>0.5</v>
      </c>
      <c r="N35" s="11">
        <f t="shared" ca="1" si="7"/>
        <v>1</v>
      </c>
      <c r="O35" s="11">
        <f t="shared" ca="1" si="8"/>
        <v>1</v>
      </c>
      <c r="P35" s="1">
        <f t="shared" ca="1" si="9"/>
        <v>1</v>
      </c>
      <c r="Q35" s="11">
        <f t="shared" ca="1" si="10"/>
        <v>73</v>
      </c>
      <c r="R35" s="11">
        <f t="shared" ca="1" si="11"/>
        <v>62</v>
      </c>
      <c r="S35" s="2">
        <f t="shared" ca="1" si="12"/>
        <v>0.84931506849315064</v>
      </c>
    </row>
    <row r="36" spans="1:19" x14ac:dyDescent="0.45">
      <c r="A36" s="61">
        <v>37257</v>
      </c>
      <c r="B36" s="15">
        <f>COUNTIFS(发射纪录!B:B,"&lt;&gt;-",发射纪录!G:G,"&gt;="&amp;DATE(YEAR(A36),1,1),发射纪录!G:G,"&lt;="&amp;DATE(YEAR(A36),12,31),发射纪录!N:N,"&lt;&gt;")</f>
        <v>4</v>
      </c>
      <c r="C36" s="11">
        <f>COUNTIFS(发射纪录!B:B,"&lt;&gt;-",发射纪录!G:G,"&gt;="&amp;DATE(YEAR(A36),1,1),发射纪录!G:G,"&lt;="&amp;DATE(YEAR(A36),12,31),发射纪录!N:N,"=成功",发射纪录!N:N,"&lt;&gt;")</f>
        <v>4</v>
      </c>
      <c r="D36" s="1">
        <v>1</v>
      </c>
      <c r="E36" s="11">
        <f t="shared" si="0"/>
        <v>69</v>
      </c>
      <c r="F36" s="11">
        <f t="shared" si="1"/>
        <v>62</v>
      </c>
      <c r="G36" s="2">
        <f t="shared" si="2"/>
        <v>0.89855072463768115</v>
      </c>
      <c r="H36" s="11">
        <f ca="1">COUNTIFS(发射纪录!C:C,"&lt;&gt;-",发射纪录!G:G,"&gt;="&amp;DATE(YEAR(A36),1,1),发射纪录!G:G,"&lt;="&amp;DATE(YEAR(A36),12,31),发射纪录!N:N,"&lt;&gt;")</f>
        <v>1</v>
      </c>
      <c r="I36" s="11">
        <f ca="1">COUNTIFS(发射纪录!C:C,"&lt;&gt;-",发射纪录!G:G,"&gt;="&amp;DATE(YEAR(A36),1,1),发射纪录!G:G,"&lt;="&amp;DATE(YEAR(A36),12,31),发射纪录!N:N,"=成功",发射纪录!N:N,"&lt;&gt;")</f>
        <v>0</v>
      </c>
      <c r="J36" s="1">
        <f t="shared" ca="1" si="3"/>
        <v>0</v>
      </c>
      <c r="K36" s="11">
        <f t="shared" ca="1" si="4"/>
        <v>9</v>
      </c>
      <c r="L36" s="11">
        <f t="shared" ca="1" si="5"/>
        <v>4</v>
      </c>
      <c r="M36" s="2">
        <f t="shared" ca="1" si="6"/>
        <v>0.44444444444444442</v>
      </c>
      <c r="N36" s="11">
        <f t="shared" ca="1" si="7"/>
        <v>5</v>
      </c>
      <c r="O36" s="11">
        <f t="shared" ca="1" si="8"/>
        <v>4</v>
      </c>
      <c r="P36" s="1">
        <f t="shared" ca="1" si="9"/>
        <v>0.8</v>
      </c>
      <c r="Q36" s="11">
        <f t="shared" ca="1" si="10"/>
        <v>78</v>
      </c>
      <c r="R36" s="11">
        <f t="shared" ca="1" si="11"/>
        <v>66</v>
      </c>
      <c r="S36" s="2">
        <f t="shared" ca="1" si="12"/>
        <v>0.84615384615384615</v>
      </c>
    </row>
    <row r="37" spans="1:19" x14ac:dyDescent="0.45">
      <c r="A37" s="61">
        <v>37622</v>
      </c>
      <c r="B37" s="15">
        <f>COUNTIFS(发射纪录!B:B,"&lt;&gt;-",发射纪录!G:G,"&gt;="&amp;DATE(YEAR(A37),1,1),发射纪录!G:G,"&lt;="&amp;DATE(YEAR(A37),12,31),发射纪录!N:N,"&lt;&gt;")</f>
        <v>6</v>
      </c>
      <c r="C37" s="11">
        <f>COUNTIFS(发射纪录!B:B,"&lt;&gt;-",发射纪录!G:G,"&gt;="&amp;DATE(YEAR(A37),1,1),发射纪录!G:G,"&lt;="&amp;DATE(YEAR(A37),12,31),发射纪录!N:N,"=成功",发射纪录!N:N,"&lt;&gt;")</f>
        <v>6</v>
      </c>
      <c r="D37" s="1">
        <v>1</v>
      </c>
      <c r="E37" s="11">
        <f t="shared" si="0"/>
        <v>75</v>
      </c>
      <c r="F37" s="11">
        <f t="shared" si="1"/>
        <v>68</v>
      </c>
      <c r="G37" s="2">
        <f t="shared" si="2"/>
        <v>0.90666666666666662</v>
      </c>
      <c r="H37" s="11">
        <f ca="1">COUNTIFS(发射纪录!C:C,"&lt;&gt;-",发射纪录!G:G,"&gt;="&amp;DATE(YEAR(A37),1,1),发射纪录!G:G,"&lt;="&amp;DATE(YEAR(A37),12,31),发射纪录!N:N,"&lt;&gt;")</f>
        <v>1</v>
      </c>
      <c r="I37" s="11">
        <f ca="1">COUNTIFS(发射纪录!C:C,"&lt;&gt;-",发射纪录!G:G,"&gt;="&amp;DATE(YEAR(A37),1,1),发射纪录!G:G,"&lt;="&amp;DATE(YEAR(A37),12,31),发射纪录!N:N,"=成功",发射纪录!N:N,"&lt;&gt;")</f>
        <v>0</v>
      </c>
      <c r="J37" s="1">
        <f t="shared" ca="1" si="3"/>
        <v>0</v>
      </c>
      <c r="K37" s="11">
        <f t="shared" ca="1" si="4"/>
        <v>10</v>
      </c>
      <c r="L37" s="11">
        <f t="shared" ca="1" si="5"/>
        <v>4</v>
      </c>
      <c r="M37" s="2">
        <f t="shared" ca="1" si="6"/>
        <v>0.4</v>
      </c>
      <c r="N37" s="11">
        <f t="shared" ca="1" si="7"/>
        <v>7</v>
      </c>
      <c r="O37" s="11">
        <f t="shared" ca="1" si="8"/>
        <v>6</v>
      </c>
      <c r="P37" s="1">
        <f t="shared" ca="1" si="9"/>
        <v>0.8571428571428571</v>
      </c>
      <c r="Q37" s="11">
        <f t="shared" ca="1" si="10"/>
        <v>85</v>
      </c>
      <c r="R37" s="11">
        <f t="shared" ca="1" si="11"/>
        <v>72</v>
      </c>
      <c r="S37" s="2">
        <f t="shared" ca="1" si="12"/>
        <v>0.84705882352941175</v>
      </c>
    </row>
    <row r="38" spans="1:19" x14ac:dyDescent="0.45">
      <c r="A38" s="61">
        <v>37987</v>
      </c>
      <c r="B38" s="15">
        <f>COUNTIFS(发射纪录!B:B,"&lt;&gt;-",发射纪录!G:G,"&gt;="&amp;DATE(YEAR(A38),1,1),发射纪录!G:G,"&lt;="&amp;DATE(YEAR(A38),12,31),发射纪录!N:N,"&lt;&gt;")</f>
        <v>8</v>
      </c>
      <c r="C38" s="11">
        <f>COUNTIFS(发射纪录!B:B,"&lt;&gt;-",发射纪录!G:G,"&gt;="&amp;DATE(YEAR(A38),1,1),发射纪录!G:G,"&lt;="&amp;DATE(YEAR(A38),12,31),发射纪录!N:N,"=成功",发射纪录!N:N,"&lt;&gt;")</f>
        <v>8</v>
      </c>
      <c r="D38" s="1">
        <v>1</v>
      </c>
      <c r="E38" s="11">
        <f t="shared" si="0"/>
        <v>83</v>
      </c>
      <c r="F38" s="11">
        <f t="shared" si="1"/>
        <v>76</v>
      </c>
      <c r="G38" s="2">
        <f t="shared" si="2"/>
        <v>0.91566265060240959</v>
      </c>
      <c r="H38" s="11">
        <f ca="1">COUNTIFS(发射纪录!C:C,"&lt;&gt;-",发射纪录!G:G,"&gt;="&amp;DATE(YEAR(A38),1,1),发射纪录!G:G,"&lt;="&amp;DATE(YEAR(A38),12,31),发射纪录!N:N,"&lt;&gt;")</f>
        <v>0</v>
      </c>
      <c r="I38" s="11">
        <f ca="1">COUNTIFS(发射纪录!C:C,"&lt;&gt;-",发射纪录!G:G,"&gt;="&amp;DATE(YEAR(A38),1,1),发射纪录!G:G,"&lt;="&amp;DATE(YEAR(A38),12,31),发射纪录!N:N,"=成功",发射纪录!N:N,"&lt;&gt;")</f>
        <v>0</v>
      </c>
      <c r="J38" s="1" t="str">
        <f t="shared" ca="1" si="3"/>
        <v>-</v>
      </c>
      <c r="K38" s="11">
        <f t="shared" ca="1" si="4"/>
        <v>10</v>
      </c>
      <c r="L38" s="11">
        <f t="shared" ca="1" si="5"/>
        <v>4</v>
      </c>
      <c r="M38" s="2">
        <f t="shared" ca="1" si="6"/>
        <v>0.4</v>
      </c>
      <c r="N38" s="11">
        <f t="shared" ca="1" si="7"/>
        <v>8</v>
      </c>
      <c r="O38" s="11">
        <f t="shared" ca="1" si="8"/>
        <v>8</v>
      </c>
      <c r="P38" s="1">
        <f t="shared" ca="1" si="9"/>
        <v>1</v>
      </c>
      <c r="Q38" s="11">
        <f t="shared" ca="1" si="10"/>
        <v>93</v>
      </c>
      <c r="R38" s="11">
        <f t="shared" ca="1" si="11"/>
        <v>80</v>
      </c>
      <c r="S38" s="2">
        <f t="shared" ca="1" si="12"/>
        <v>0.86021505376344087</v>
      </c>
    </row>
    <row r="39" spans="1:19" x14ac:dyDescent="0.45">
      <c r="A39" s="61">
        <v>38353</v>
      </c>
      <c r="B39" s="15">
        <f>COUNTIFS(发射纪录!B:B,"&lt;&gt;-",发射纪录!G:G,"&gt;="&amp;DATE(YEAR(A39),1,1),发射纪录!G:G,"&lt;="&amp;DATE(YEAR(A39),12,31),发射纪录!N:N,"&lt;&gt;")</f>
        <v>5</v>
      </c>
      <c r="C39" s="11">
        <f>COUNTIFS(发射纪录!B:B,"&lt;&gt;-",发射纪录!G:G,"&gt;="&amp;DATE(YEAR(A39),1,1),发射纪录!G:G,"&lt;="&amp;DATE(YEAR(A39),12,31),发射纪录!N:N,"=成功",发射纪录!N:N,"&lt;&gt;")</f>
        <v>5</v>
      </c>
      <c r="D39" s="1">
        <v>1</v>
      </c>
      <c r="E39" s="11">
        <f t="shared" si="0"/>
        <v>88</v>
      </c>
      <c r="F39" s="11">
        <f t="shared" si="1"/>
        <v>81</v>
      </c>
      <c r="G39" s="2">
        <f t="shared" si="2"/>
        <v>0.92045454545454541</v>
      </c>
      <c r="H39" s="11">
        <f ca="1">COUNTIFS(发射纪录!C:C,"&lt;&gt;-",发射纪录!G:G,"&gt;="&amp;DATE(YEAR(A39),1,1),发射纪录!G:G,"&lt;="&amp;DATE(YEAR(A39),12,31),发射纪录!N:N,"&lt;&gt;")</f>
        <v>1</v>
      </c>
      <c r="I39" s="11">
        <f ca="1">COUNTIFS(发射纪录!C:C,"&lt;&gt;-",发射纪录!G:G,"&gt;="&amp;DATE(YEAR(A39),1,1),发射纪录!G:G,"&lt;="&amp;DATE(YEAR(A39),12,31),发射纪录!N:N,"=成功",发射纪录!N:N,"&lt;&gt;")</f>
        <v>0</v>
      </c>
      <c r="J39" s="1">
        <f t="shared" ca="1" si="3"/>
        <v>0</v>
      </c>
      <c r="K39" s="11">
        <f t="shared" ca="1" si="4"/>
        <v>11</v>
      </c>
      <c r="L39" s="11">
        <f t="shared" ca="1" si="5"/>
        <v>4</v>
      </c>
      <c r="M39" s="2">
        <f t="shared" ca="1" si="6"/>
        <v>0.36363636363636365</v>
      </c>
      <c r="N39" s="11">
        <f t="shared" ca="1" si="7"/>
        <v>6</v>
      </c>
      <c r="O39" s="11">
        <f t="shared" ca="1" si="8"/>
        <v>5</v>
      </c>
      <c r="P39" s="1">
        <f t="shared" ca="1" si="9"/>
        <v>0.83333333333333337</v>
      </c>
      <c r="Q39" s="11">
        <f t="shared" ca="1" si="10"/>
        <v>99</v>
      </c>
      <c r="R39" s="11">
        <f t="shared" ca="1" si="11"/>
        <v>85</v>
      </c>
      <c r="S39" s="2">
        <f t="shared" ca="1" si="12"/>
        <v>0.85858585858585856</v>
      </c>
    </row>
    <row r="40" spans="1:19" x14ac:dyDescent="0.45">
      <c r="A40" s="61">
        <v>38718</v>
      </c>
      <c r="B40" s="15">
        <f>COUNTIFS(发射纪录!B:B,"&lt;&gt;-",发射纪录!G:G,"&gt;="&amp;DATE(YEAR(A40),1,1),发射纪录!G:G,"&lt;="&amp;DATE(YEAR(A40),12,31),发射纪录!N:N,"&lt;&gt;")</f>
        <v>6</v>
      </c>
      <c r="C40" s="11">
        <f>COUNTIFS(发射纪录!B:B,"&lt;&gt;-",发射纪录!G:G,"&gt;="&amp;DATE(YEAR(A40),1,1),发射纪录!G:G,"&lt;="&amp;DATE(YEAR(A40),12,31),发射纪录!N:N,"=成功",发射纪录!N:N,"&lt;&gt;")</f>
        <v>6</v>
      </c>
      <c r="D40" s="1">
        <v>1</v>
      </c>
      <c r="E40" s="11">
        <f t="shared" si="0"/>
        <v>94</v>
      </c>
      <c r="F40" s="11">
        <f t="shared" si="1"/>
        <v>87</v>
      </c>
      <c r="G40" s="2">
        <f t="shared" si="2"/>
        <v>0.92553191489361697</v>
      </c>
      <c r="H40" s="11">
        <f ca="1">COUNTIFS(发射纪录!C:C,"&lt;&gt;-",发射纪录!G:G,"&gt;="&amp;DATE(YEAR(A40),1,1),发射纪录!G:G,"&lt;="&amp;DATE(YEAR(A40),12,31),发射纪录!N:N,"&lt;&gt;")</f>
        <v>0</v>
      </c>
      <c r="I40" s="11">
        <f ca="1">COUNTIFS(发射纪录!C:C,"&lt;&gt;-",发射纪录!G:G,"&gt;="&amp;DATE(YEAR(A40),1,1),发射纪录!G:G,"&lt;="&amp;DATE(YEAR(A40),12,31),发射纪录!N:N,"=成功",发射纪录!N:N,"&lt;&gt;")</f>
        <v>0</v>
      </c>
      <c r="J40" s="1" t="str">
        <f t="shared" ca="1" si="3"/>
        <v>-</v>
      </c>
      <c r="K40" s="11">
        <f t="shared" ca="1" si="4"/>
        <v>11</v>
      </c>
      <c r="L40" s="11">
        <f t="shared" ca="1" si="5"/>
        <v>4</v>
      </c>
      <c r="M40" s="2">
        <f t="shared" ca="1" si="6"/>
        <v>0.36363636363636365</v>
      </c>
      <c r="N40" s="11">
        <f t="shared" ca="1" si="7"/>
        <v>6</v>
      </c>
      <c r="O40" s="11">
        <f t="shared" ca="1" si="8"/>
        <v>6</v>
      </c>
      <c r="P40" s="1">
        <f t="shared" ca="1" si="9"/>
        <v>1</v>
      </c>
      <c r="Q40" s="11">
        <f t="shared" ca="1" si="10"/>
        <v>105</v>
      </c>
      <c r="R40" s="11">
        <f t="shared" ca="1" si="11"/>
        <v>91</v>
      </c>
      <c r="S40" s="2">
        <f t="shared" ca="1" si="12"/>
        <v>0.8666666666666667</v>
      </c>
    </row>
    <row r="41" spans="1:19" x14ac:dyDescent="0.45">
      <c r="A41" s="61">
        <v>39083</v>
      </c>
      <c r="B41" s="15">
        <f>COUNTIFS(发射纪录!B:B,"&lt;&gt;-",发射纪录!G:G,"&gt;="&amp;DATE(YEAR(A41),1,1),发射纪录!G:G,"&lt;="&amp;DATE(YEAR(A41),12,31),发射纪录!N:N,"&lt;&gt;")</f>
        <v>10</v>
      </c>
      <c r="C41" s="11">
        <f>COUNTIFS(发射纪录!B:B,"&lt;&gt;-",发射纪录!G:G,"&gt;="&amp;DATE(YEAR(A41),1,1),发射纪录!G:G,"&lt;="&amp;DATE(YEAR(A41),12,31),发射纪录!N:N,"=成功",发射纪录!N:N,"&lt;&gt;")</f>
        <v>10</v>
      </c>
      <c r="D41" s="1">
        <v>1</v>
      </c>
      <c r="E41" s="11">
        <f t="shared" si="0"/>
        <v>104</v>
      </c>
      <c r="F41" s="11">
        <f t="shared" si="1"/>
        <v>97</v>
      </c>
      <c r="G41" s="2">
        <f t="shared" si="2"/>
        <v>0.93269230769230771</v>
      </c>
      <c r="H41" s="11">
        <f ca="1">COUNTIFS(发射纪录!C:C,"&lt;&gt;-",发射纪录!G:G,"&gt;="&amp;DATE(YEAR(A41),1,1),发射纪录!G:G,"&lt;="&amp;DATE(YEAR(A41),12,31),发射纪录!N:N,"&lt;&gt;")</f>
        <v>0</v>
      </c>
      <c r="I41" s="11">
        <f ca="1">COUNTIFS(发射纪录!C:C,"&lt;&gt;-",发射纪录!G:G,"&gt;="&amp;DATE(YEAR(A41),1,1),发射纪录!G:G,"&lt;="&amp;DATE(YEAR(A41),12,31),发射纪录!N:N,"=成功",发射纪录!N:N,"&lt;&gt;")</f>
        <v>0</v>
      </c>
      <c r="J41" s="1" t="str">
        <f t="shared" ca="1" si="3"/>
        <v>-</v>
      </c>
      <c r="K41" s="11">
        <f t="shared" ca="1" si="4"/>
        <v>11</v>
      </c>
      <c r="L41" s="11">
        <f t="shared" ca="1" si="5"/>
        <v>4</v>
      </c>
      <c r="M41" s="2">
        <f t="shared" ca="1" si="6"/>
        <v>0.36363636363636365</v>
      </c>
      <c r="N41" s="11">
        <f t="shared" ca="1" si="7"/>
        <v>10</v>
      </c>
      <c r="O41" s="11">
        <f t="shared" ca="1" si="8"/>
        <v>10</v>
      </c>
      <c r="P41" s="1">
        <f t="shared" ca="1" si="9"/>
        <v>1</v>
      </c>
      <c r="Q41" s="11">
        <f t="shared" ca="1" si="10"/>
        <v>115</v>
      </c>
      <c r="R41" s="11">
        <f t="shared" ca="1" si="11"/>
        <v>101</v>
      </c>
      <c r="S41" s="2">
        <f t="shared" ca="1" si="12"/>
        <v>0.87826086956521743</v>
      </c>
    </row>
    <row r="42" spans="1:19" x14ac:dyDescent="0.45">
      <c r="A42" s="61">
        <v>39448</v>
      </c>
      <c r="B42" s="15">
        <f>COUNTIFS(发射纪录!B:B,"&lt;&gt;-",发射纪录!G:G,"&gt;="&amp;DATE(YEAR(A42),1,1),发射纪录!G:G,"&lt;="&amp;DATE(YEAR(A42),12,31),发射纪录!N:N,"&lt;&gt;")</f>
        <v>11</v>
      </c>
      <c r="C42" s="11">
        <f>COUNTIFS(发射纪录!B:B,"&lt;&gt;-",发射纪录!G:G,"&gt;="&amp;DATE(YEAR(A42),1,1),发射纪录!G:G,"&lt;="&amp;DATE(YEAR(A42),12,31),发射纪录!N:N,"=成功",发射纪录!N:N,"&lt;&gt;")</f>
        <v>11</v>
      </c>
      <c r="D42" s="1">
        <v>1</v>
      </c>
      <c r="E42" s="11">
        <f t="shared" si="0"/>
        <v>115</v>
      </c>
      <c r="F42" s="11">
        <f t="shared" si="1"/>
        <v>108</v>
      </c>
      <c r="G42" s="2">
        <f t="shared" si="2"/>
        <v>0.93913043478260871</v>
      </c>
      <c r="H42" s="11">
        <f ca="1">COUNTIFS(发射纪录!C:C,"&lt;&gt;-",发射纪录!G:G,"&gt;="&amp;DATE(YEAR(A42),1,1),发射纪录!G:G,"&lt;="&amp;DATE(YEAR(A42),12,31),发射纪录!N:N,"&lt;&gt;")</f>
        <v>0</v>
      </c>
      <c r="I42" s="11">
        <f ca="1">COUNTIFS(发射纪录!C:C,"&lt;&gt;-",发射纪录!G:G,"&gt;="&amp;DATE(YEAR(A42),1,1),发射纪录!G:G,"&lt;="&amp;DATE(YEAR(A42),12,31),发射纪录!N:N,"=成功",发射纪录!N:N,"&lt;&gt;")</f>
        <v>0</v>
      </c>
      <c r="J42" s="1" t="str">
        <f t="shared" ca="1" si="3"/>
        <v>-</v>
      </c>
      <c r="K42" s="11">
        <f t="shared" ca="1" si="4"/>
        <v>11</v>
      </c>
      <c r="L42" s="11">
        <f t="shared" ca="1" si="5"/>
        <v>4</v>
      </c>
      <c r="M42" s="2">
        <f t="shared" ca="1" si="6"/>
        <v>0.36363636363636365</v>
      </c>
      <c r="N42" s="11">
        <f t="shared" ca="1" si="7"/>
        <v>11</v>
      </c>
      <c r="O42" s="11">
        <f t="shared" ca="1" si="8"/>
        <v>11</v>
      </c>
      <c r="P42" s="1">
        <f t="shared" ca="1" si="9"/>
        <v>1</v>
      </c>
      <c r="Q42" s="11">
        <f t="shared" ca="1" si="10"/>
        <v>126</v>
      </c>
      <c r="R42" s="11">
        <f t="shared" ca="1" si="11"/>
        <v>112</v>
      </c>
      <c r="S42" s="2">
        <f t="shared" ca="1" si="12"/>
        <v>0.88888888888888884</v>
      </c>
    </row>
    <row r="43" spans="1:19" x14ac:dyDescent="0.45">
      <c r="A43" s="61">
        <v>39814</v>
      </c>
      <c r="B43" s="15">
        <f>COUNTIFS(发射纪录!B:B,"&lt;&gt;-",发射纪录!G:G,"&gt;="&amp;DATE(YEAR(A43),1,1),发射纪录!G:G,"&lt;="&amp;DATE(YEAR(A43),12,31),发射纪录!N:N,"&lt;&gt;")</f>
        <v>6</v>
      </c>
      <c r="C43" s="11">
        <f>COUNTIFS(发射纪录!B:B,"&lt;&gt;-",发射纪录!G:G,"&gt;="&amp;DATE(YEAR(A43),1,1),发射纪录!G:G,"&lt;="&amp;DATE(YEAR(A43),12,31),发射纪录!N:N,"=成功",发射纪录!N:N,"&lt;&gt;")</f>
        <v>5</v>
      </c>
      <c r="D43" s="1">
        <f>IF(B43=0,"-",C43/B43)</f>
        <v>0.83333333333333337</v>
      </c>
      <c r="E43" s="11">
        <f t="shared" si="0"/>
        <v>121</v>
      </c>
      <c r="F43" s="11">
        <f t="shared" si="1"/>
        <v>113</v>
      </c>
      <c r="G43" s="2">
        <f t="shared" si="2"/>
        <v>0.93388429752066116</v>
      </c>
      <c r="H43" s="11">
        <f ca="1">COUNTIFS(发射纪录!C:C,"&lt;&gt;-",发射纪录!G:G,"&gt;="&amp;DATE(YEAR(A43),1,1),发射纪录!G:G,"&lt;="&amp;DATE(YEAR(A43),12,31),发射纪录!N:N,"&lt;&gt;")</f>
        <v>0</v>
      </c>
      <c r="I43" s="11">
        <f ca="1">COUNTIFS(发射纪录!C:C,"&lt;&gt;-",发射纪录!G:G,"&gt;="&amp;DATE(YEAR(A43),1,1),发射纪录!G:G,"&lt;="&amp;DATE(YEAR(A43),12,31),发射纪录!N:N,"=成功",发射纪录!N:N,"&lt;&gt;")</f>
        <v>0</v>
      </c>
      <c r="J43" s="1" t="str">
        <f t="shared" ca="1" si="3"/>
        <v>-</v>
      </c>
      <c r="K43" s="11">
        <f t="shared" ca="1" si="4"/>
        <v>11</v>
      </c>
      <c r="L43" s="11">
        <f t="shared" ca="1" si="5"/>
        <v>4</v>
      </c>
      <c r="M43" s="2">
        <f t="shared" ca="1" si="6"/>
        <v>0.36363636363636365</v>
      </c>
      <c r="N43" s="11">
        <f t="shared" ca="1" si="7"/>
        <v>6</v>
      </c>
      <c r="O43" s="11">
        <f t="shared" ca="1" si="8"/>
        <v>5</v>
      </c>
      <c r="P43" s="1">
        <f t="shared" ca="1" si="9"/>
        <v>0.83333333333333337</v>
      </c>
      <c r="Q43" s="11">
        <f t="shared" ca="1" si="10"/>
        <v>132</v>
      </c>
      <c r="R43" s="11">
        <f t="shared" ca="1" si="11"/>
        <v>117</v>
      </c>
      <c r="S43" s="2">
        <f t="shared" ca="1" si="12"/>
        <v>0.88636363636363635</v>
      </c>
    </row>
    <row r="44" spans="1:19" x14ac:dyDescent="0.45">
      <c r="A44" s="61">
        <v>40179</v>
      </c>
      <c r="B44" s="15">
        <f>COUNTIFS(发射纪录!B:B,"&lt;&gt;-",发射纪录!G:G,"&gt;="&amp;DATE(YEAR(A44),1,1),发射纪录!G:G,"&lt;="&amp;DATE(YEAR(A44),12,31),发射纪录!N:N,"&lt;&gt;")</f>
        <v>15</v>
      </c>
      <c r="C44" s="11">
        <f>COUNTIFS(发射纪录!B:B,"&lt;&gt;-",发射纪录!G:G,"&gt;="&amp;DATE(YEAR(A44),1,1),发射纪录!G:G,"&lt;="&amp;DATE(YEAR(A44),12,31),发射纪录!N:N,"=成功",发射纪录!N:N,"&lt;&gt;")</f>
        <v>15</v>
      </c>
      <c r="D44" s="1">
        <v>1</v>
      </c>
      <c r="E44" s="11">
        <f t="shared" si="0"/>
        <v>136</v>
      </c>
      <c r="F44" s="11">
        <f t="shared" si="1"/>
        <v>128</v>
      </c>
      <c r="G44" s="2">
        <f t="shared" si="2"/>
        <v>0.94117647058823528</v>
      </c>
      <c r="H44" s="11">
        <f ca="1">COUNTIFS(发射纪录!C:C,"&lt;&gt;-",发射纪录!G:G,"&gt;="&amp;DATE(YEAR(A44),1,1),发射纪录!G:G,"&lt;="&amp;DATE(YEAR(A44),12,31),发射纪录!N:N,"&lt;&gt;")</f>
        <v>0</v>
      </c>
      <c r="I44" s="11">
        <f ca="1">COUNTIFS(发射纪录!C:C,"&lt;&gt;-",发射纪录!G:G,"&gt;="&amp;DATE(YEAR(A44),1,1),发射纪录!G:G,"&lt;="&amp;DATE(YEAR(A44),12,31),发射纪录!N:N,"=成功",发射纪录!N:N,"&lt;&gt;")</f>
        <v>0</v>
      </c>
      <c r="J44" s="1" t="str">
        <f t="shared" ca="1" si="3"/>
        <v>-</v>
      </c>
      <c r="K44" s="11">
        <f t="shared" ca="1" si="4"/>
        <v>11</v>
      </c>
      <c r="L44" s="11">
        <f t="shared" ca="1" si="5"/>
        <v>4</v>
      </c>
      <c r="M44" s="2">
        <f t="shared" ca="1" si="6"/>
        <v>0.36363636363636365</v>
      </c>
      <c r="N44" s="11">
        <f t="shared" ca="1" si="7"/>
        <v>15</v>
      </c>
      <c r="O44" s="11">
        <f t="shared" ca="1" si="8"/>
        <v>15</v>
      </c>
      <c r="P44" s="1">
        <f t="shared" ca="1" si="9"/>
        <v>1</v>
      </c>
      <c r="Q44" s="11">
        <f t="shared" ca="1" si="10"/>
        <v>147</v>
      </c>
      <c r="R44" s="11">
        <f t="shared" ca="1" si="11"/>
        <v>132</v>
      </c>
      <c r="S44" s="2">
        <f t="shared" ca="1" si="12"/>
        <v>0.89795918367346939</v>
      </c>
    </row>
    <row r="45" spans="1:19" x14ac:dyDescent="0.45">
      <c r="A45" s="61">
        <v>40544</v>
      </c>
      <c r="B45" s="15">
        <f>COUNTIFS(发射纪录!B:B,"&lt;&gt;-",发射纪录!G:G,"&gt;="&amp;DATE(YEAR(A45),1,1),发射纪录!G:G,"&lt;="&amp;DATE(YEAR(A45),12,31),发射纪录!N:N,"&lt;&gt;")</f>
        <v>19</v>
      </c>
      <c r="C45" s="11">
        <f>COUNTIFS(发射纪录!B:B,"&lt;&gt;-",发射纪录!G:G,"&gt;="&amp;DATE(YEAR(A45),1,1),发射纪录!G:G,"&lt;="&amp;DATE(YEAR(A45),12,31),发射纪录!N:N,"=成功",发射纪录!N:N,"&lt;&gt;")</f>
        <v>18</v>
      </c>
      <c r="D45" s="1">
        <f>IF(B45=0,"-",C45/B45)</f>
        <v>0.94736842105263153</v>
      </c>
      <c r="E45" s="11">
        <f t="shared" si="0"/>
        <v>155</v>
      </c>
      <c r="F45" s="11">
        <f t="shared" si="1"/>
        <v>146</v>
      </c>
      <c r="G45" s="2">
        <f t="shared" si="2"/>
        <v>0.9419354838709677</v>
      </c>
      <c r="H45" s="11">
        <f ca="1">COUNTIFS(发射纪录!C:C,"&lt;&gt;-",发射纪录!G:G,"&gt;="&amp;DATE(YEAR(A45),1,1),发射纪录!G:G,"&lt;="&amp;DATE(YEAR(A45),12,31),发射纪录!N:N,"&lt;&gt;")</f>
        <v>0</v>
      </c>
      <c r="I45" s="11">
        <f ca="1">COUNTIFS(发射纪录!C:C,"&lt;&gt;-",发射纪录!G:G,"&gt;="&amp;DATE(YEAR(A45),1,1),发射纪录!G:G,"&lt;="&amp;DATE(YEAR(A45),12,31),发射纪录!N:N,"=成功",发射纪录!N:N,"&lt;&gt;")</f>
        <v>0</v>
      </c>
      <c r="J45" s="1" t="str">
        <f t="shared" ca="1" si="3"/>
        <v>-</v>
      </c>
      <c r="K45" s="11">
        <f t="shared" ca="1" si="4"/>
        <v>11</v>
      </c>
      <c r="L45" s="11">
        <f t="shared" ca="1" si="5"/>
        <v>4</v>
      </c>
      <c r="M45" s="2">
        <f t="shared" ca="1" si="6"/>
        <v>0.36363636363636365</v>
      </c>
      <c r="N45" s="11">
        <f t="shared" ca="1" si="7"/>
        <v>19</v>
      </c>
      <c r="O45" s="11">
        <f t="shared" ca="1" si="8"/>
        <v>18</v>
      </c>
      <c r="P45" s="1">
        <f t="shared" ca="1" si="9"/>
        <v>0.94736842105263153</v>
      </c>
      <c r="Q45" s="11">
        <f t="shared" ca="1" si="10"/>
        <v>166</v>
      </c>
      <c r="R45" s="11">
        <f t="shared" ca="1" si="11"/>
        <v>150</v>
      </c>
      <c r="S45" s="2">
        <f t="shared" ca="1" si="12"/>
        <v>0.90361445783132532</v>
      </c>
    </row>
    <row r="46" spans="1:19" x14ac:dyDescent="0.45">
      <c r="A46" s="61">
        <v>40909</v>
      </c>
      <c r="B46" s="15">
        <f>COUNTIFS(发射纪录!B:B,"&lt;&gt;-",发射纪录!G:G,"&gt;="&amp;DATE(YEAR(A46),1,1),发射纪录!G:G,"&lt;="&amp;DATE(YEAR(A46),12,31),发射纪录!N:N,"&lt;&gt;")</f>
        <v>19</v>
      </c>
      <c r="C46" s="11">
        <f>COUNTIFS(发射纪录!B:B,"&lt;&gt;-",发射纪录!G:G,"&gt;="&amp;DATE(YEAR(A46),1,1),发射纪录!G:G,"&lt;="&amp;DATE(YEAR(A46),12,31),发射纪录!N:N,"=成功",发射纪录!N:N,"&lt;&gt;")</f>
        <v>19</v>
      </c>
      <c r="D46" s="1">
        <v>1</v>
      </c>
      <c r="E46" s="11">
        <f t="shared" si="0"/>
        <v>174</v>
      </c>
      <c r="F46" s="11">
        <f t="shared" si="1"/>
        <v>165</v>
      </c>
      <c r="G46" s="2">
        <f t="shared" si="2"/>
        <v>0.94827586206896552</v>
      </c>
      <c r="H46" s="11">
        <f ca="1">COUNTIFS(发射纪录!C:C,"&lt;&gt;-",发射纪录!G:G,"&gt;="&amp;DATE(YEAR(A46),1,1),发射纪录!G:G,"&lt;="&amp;DATE(YEAR(A46),12,31),发射纪录!N:N,"&lt;&gt;")</f>
        <v>0</v>
      </c>
      <c r="I46" s="11">
        <f ca="1">COUNTIFS(发射纪录!C:C,"&lt;&gt;-",发射纪录!G:G,"&gt;="&amp;DATE(YEAR(A46),1,1),发射纪录!G:G,"&lt;="&amp;DATE(YEAR(A46),12,31),发射纪录!N:N,"=成功",发射纪录!N:N,"&lt;&gt;")</f>
        <v>0</v>
      </c>
      <c r="J46" s="1" t="str">
        <f t="shared" ca="1" si="3"/>
        <v>-</v>
      </c>
      <c r="K46" s="11">
        <f t="shared" ca="1" si="4"/>
        <v>11</v>
      </c>
      <c r="L46" s="11">
        <f t="shared" ca="1" si="5"/>
        <v>4</v>
      </c>
      <c r="M46" s="2">
        <f t="shared" ca="1" si="6"/>
        <v>0.36363636363636365</v>
      </c>
      <c r="N46" s="11">
        <f t="shared" ca="1" si="7"/>
        <v>19</v>
      </c>
      <c r="O46" s="11">
        <f t="shared" ca="1" si="8"/>
        <v>19</v>
      </c>
      <c r="P46" s="1">
        <f t="shared" ca="1" si="9"/>
        <v>1</v>
      </c>
      <c r="Q46" s="11">
        <f t="shared" ca="1" si="10"/>
        <v>185</v>
      </c>
      <c r="R46" s="11">
        <f t="shared" ca="1" si="11"/>
        <v>169</v>
      </c>
      <c r="S46" s="2">
        <f t="shared" ca="1" si="12"/>
        <v>0.91351351351351351</v>
      </c>
    </row>
    <row r="47" spans="1:19" x14ac:dyDescent="0.45">
      <c r="A47" s="61">
        <v>41275</v>
      </c>
      <c r="B47" s="15">
        <f>COUNTIFS(发射纪录!B:B,"&lt;&gt;-",发射纪录!G:G,"&gt;="&amp;DATE(YEAR(A47),1,1),发射纪录!G:G,"&lt;="&amp;DATE(YEAR(A47),12,31),发射纪录!N:N,"&lt;&gt;")</f>
        <v>14</v>
      </c>
      <c r="C47" s="11">
        <f>COUNTIFS(发射纪录!B:B,"&lt;&gt;-",发射纪录!G:G,"&gt;="&amp;DATE(YEAR(A47),1,1),发射纪录!G:G,"&lt;="&amp;DATE(YEAR(A47),12,31),发射纪录!N:N,"=成功",发射纪录!N:N,"&lt;&gt;")</f>
        <v>13</v>
      </c>
      <c r="D47" s="1">
        <f>IF(B47=0,"-",C47/B47)</f>
        <v>0.9285714285714286</v>
      </c>
      <c r="E47" s="11">
        <f t="shared" si="0"/>
        <v>188</v>
      </c>
      <c r="F47" s="11">
        <f t="shared" si="1"/>
        <v>178</v>
      </c>
      <c r="G47" s="2">
        <f t="shared" si="2"/>
        <v>0.94680851063829785</v>
      </c>
      <c r="H47" s="11">
        <f ca="1">COUNTIFS(发射纪录!C:C,"&lt;&gt;-",发射纪录!G:G,"&gt;="&amp;DATE(YEAR(A47),1,1),发射纪录!G:G,"&lt;="&amp;DATE(YEAR(A47),12,31),发射纪录!N:N,"&lt;&gt;")</f>
        <v>1</v>
      </c>
      <c r="I47" s="11">
        <f ca="1">COUNTIFS(发射纪录!C:C,"&lt;&gt;-",发射纪录!G:G,"&gt;="&amp;DATE(YEAR(A47),1,1),发射纪录!G:G,"&lt;="&amp;DATE(YEAR(A47),12,31),发射纪录!N:N,"=成功",发射纪录!N:N,"&lt;&gt;")</f>
        <v>1</v>
      </c>
      <c r="J47" s="1">
        <f t="shared" ca="1" si="3"/>
        <v>1</v>
      </c>
      <c r="K47" s="11">
        <f t="shared" ca="1" si="4"/>
        <v>12</v>
      </c>
      <c r="L47" s="11">
        <f t="shared" ca="1" si="5"/>
        <v>5</v>
      </c>
      <c r="M47" s="2">
        <f t="shared" ca="1" si="6"/>
        <v>0.41666666666666669</v>
      </c>
      <c r="N47" s="11">
        <f t="shared" ca="1" si="7"/>
        <v>15</v>
      </c>
      <c r="O47" s="11">
        <f t="shared" ca="1" si="8"/>
        <v>14</v>
      </c>
      <c r="P47" s="1">
        <f t="shared" ca="1" si="9"/>
        <v>0.93333333333333335</v>
      </c>
      <c r="Q47" s="11">
        <f t="shared" ca="1" si="10"/>
        <v>200</v>
      </c>
      <c r="R47" s="11">
        <f t="shared" ca="1" si="11"/>
        <v>183</v>
      </c>
      <c r="S47" s="2">
        <f t="shared" ca="1" si="12"/>
        <v>0.91500000000000004</v>
      </c>
    </row>
    <row r="48" spans="1:19" x14ac:dyDescent="0.45">
      <c r="A48" s="61">
        <v>41640</v>
      </c>
      <c r="B48" s="15">
        <f>COUNTIFS(发射纪录!B:B,"&lt;&gt;-",发射纪录!G:G,"&gt;="&amp;DATE(YEAR(A48),1,1),发射纪录!G:G,"&lt;="&amp;DATE(YEAR(A48),12,31),发射纪录!N:N,"&lt;&gt;")</f>
        <v>15</v>
      </c>
      <c r="C48" s="11">
        <f>COUNTIFS(发射纪录!B:B,"&lt;&gt;-",发射纪录!G:G,"&gt;="&amp;DATE(YEAR(A48),1,1),发射纪录!G:G,"&lt;="&amp;DATE(YEAR(A48),12,31),发射纪录!N:N,"=成功",发射纪录!N:N,"&lt;&gt;")</f>
        <v>15</v>
      </c>
      <c r="D48" s="1">
        <v>1</v>
      </c>
      <c r="E48" s="11">
        <f t="shared" si="0"/>
        <v>203</v>
      </c>
      <c r="F48" s="11">
        <f t="shared" si="1"/>
        <v>193</v>
      </c>
      <c r="G48" s="2">
        <f t="shared" si="2"/>
        <v>0.95073891625615758</v>
      </c>
      <c r="H48" s="11">
        <f ca="1">COUNTIFS(发射纪录!C:C,"&lt;&gt;-",发射纪录!G:G,"&gt;="&amp;DATE(YEAR(A48),1,1),发射纪录!G:G,"&lt;="&amp;DATE(YEAR(A48),12,31),发射纪录!N:N,"&lt;&gt;")</f>
        <v>1</v>
      </c>
      <c r="I48" s="11">
        <f ca="1">COUNTIFS(发射纪录!C:C,"&lt;&gt;-",发射纪录!G:G,"&gt;="&amp;DATE(YEAR(A48),1,1),发射纪录!G:G,"&lt;="&amp;DATE(YEAR(A48),12,31),发射纪录!N:N,"=成功",发射纪录!N:N,"&lt;&gt;")</f>
        <v>1</v>
      </c>
      <c r="J48" s="1">
        <f t="shared" ca="1" si="3"/>
        <v>1</v>
      </c>
      <c r="K48" s="11">
        <f t="shared" ca="1" si="4"/>
        <v>13</v>
      </c>
      <c r="L48" s="11">
        <f t="shared" ca="1" si="5"/>
        <v>6</v>
      </c>
      <c r="M48" s="2">
        <f t="shared" ca="1" si="6"/>
        <v>0.46153846153846156</v>
      </c>
      <c r="N48" s="11">
        <f t="shared" ca="1" si="7"/>
        <v>16</v>
      </c>
      <c r="O48" s="11">
        <f t="shared" ca="1" si="8"/>
        <v>16</v>
      </c>
      <c r="P48" s="1">
        <f t="shared" ca="1" si="9"/>
        <v>1</v>
      </c>
      <c r="Q48" s="11">
        <f t="shared" ca="1" si="10"/>
        <v>216</v>
      </c>
      <c r="R48" s="11">
        <f t="shared" ca="1" si="11"/>
        <v>199</v>
      </c>
      <c r="S48" s="2">
        <f t="shared" ca="1" si="12"/>
        <v>0.92129629629629628</v>
      </c>
    </row>
    <row r="49" spans="1:19" x14ac:dyDescent="0.45">
      <c r="A49" s="61">
        <v>42005</v>
      </c>
      <c r="B49" s="15">
        <f>COUNTIFS(发射纪录!B:B,"&lt;&gt;-",发射纪录!G:G,"&gt;="&amp;DATE(YEAR(A49),1,1),发射纪录!G:G,"&lt;="&amp;DATE(YEAR(A49),12,31),发射纪录!N:N,"&lt;&gt;")</f>
        <v>19</v>
      </c>
      <c r="C49" s="11">
        <f>COUNTIFS(发射纪录!B:B,"&lt;&gt;-",发射纪录!G:G,"&gt;="&amp;DATE(YEAR(A49),1,1),发射纪录!G:G,"&lt;="&amp;DATE(YEAR(A49),12,31),发射纪录!N:N,"=成功",发射纪录!N:N,"&lt;&gt;")</f>
        <v>19</v>
      </c>
      <c r="D49" s="1">
        <v>1</v>
      </c>
      <c r="E49" s="11">
        <f t="shared" si="0"/>
        <v>222</v>
      </c>
      <c r="F49" s="11">
        <f t="shared" si="1"/>
        <v>212</v>
      </c>
      <c r="G49" s="2">
        <f t="shared" si="2"/>
        <v>0.95495495495495497</v>
      </c>
      <c r="H49" s="11">
        <f ca="1">COUNTIFS(发射纪录!C:C,"&lt;&gt;-",发射纪录!G:G,"&gt;="&amp;DATE(YEAR(A49),1,1),发射纪录!G:G,"&lt;="&amp;DATE(YEAR(A49),12,31),发射纪录!N:N,"&lt;&gt;")</f>
        <v>0</v>
      </c>
      <c r="I49" s="11">
        <f ca="1">COUNTIFS(发射纪录!C:C,"&lt;&gt;-",发射纪录!G:G,"&gt;="&amp;DATE(YEAR(A49),1,1),发射纪录!G:G,"&lt;="&amp;DATE(YEAR(A49),12,31),发射纪录!N:N,"=成功",发射纪录!N:N,"&lt;&gt;")</f>
        <v>0</v>
      </c>
      <c r="J49" s="1" t="str">
        <f t="shared" ca="1" si="3"/>
        <v>-</v>
      </c>
      <c r="K49" s="11">
        <f t="shared" ca="1" si="4"/>
        <v>13</v>
      </c>
      <c r="L49" s="11">
        <f t="shared" ca="1" si="5"/>
        <v>6</v>
      </c>
      <c r="M49" s="2">
        <f t="shared" ca="1" si="6"/>
        <v>0.46153846153846156</v>
      </c>
      <c r="N49" s="11">
        <f t="shared" ca="1" si="7"/>
        <v>19</v>
      </c>
      <c r="O49" s="11">
        <f t="shared" ca="1" si="8"/>
        <v>19</v>
      </c>
      <c r="P49" s="1">
        <f t="shared" ca="1" si="9"/>
        <v>1</v>
      </c>
      <c r="Q49" s="11">
        <f t="shared" ca="1" si="10"/>
        <v>235</v>
      </c>
      <c r="R49" s="11">
        <f t="shared" ca="1" si="11"/>
        <v>218</v>
      </c>
      <c r="S49" s="2">
        <f t="shared" ca="1" si="12"/>
        <v>0.92765957446808511</v>
      </c>
    </row>
    <row r="50" spans="1:19" x14ac:dyDescent="0.45">
      <c r="A50" s="61">
        <v>42370</v>
      </c>
      <c r="B50" s="15">
        <f>COUNTIFS(发射纪录!B:B,"&lt;&gt;-",发射纪录!G:G,"&gt;="&amp;DATE(YEAR(A50),1,1),发射纪录!G:G,"&lt;="&amp;DATE(YEAR(A50),12,31),发射纪录!N:N,"&lt;&gt;")</f>
        <v>22</v>
      </c>
      <c r="C50" s="11">
        <f>COUNTIFS(发射纪录!B:B,"&lt;&gt;-",发射纪录!G:G,"&gt;="&amp;DATE(YEAR(A50),1,1),发射纪录!G:G,"&lt;="&amp;DATE(YEAR(A50),12,31),发射纪录!N:N,"=成功",发射纪录!N:N,"&lt;&gt;")</f>
        <v>20</v>
      </c>
      <c r="D50" s="1">
        <v>1</v>
      </c>
      <c r="E50" s="11">
        <f t="shared" si="0"/>
        <v>244</v>
      </c>
      <c r="F50" s="11">
        <f t="shared" si="1"/>
        <v>232</v>
      </c>
      <c r="G50" s="2">
        <f t="shared" si="2"/>
        <v>0.95081967213114749</v>
      </c>
      <c r="H50" s="11">
        <f ca="1">COUNTIFS(发射纪录!C:C,"&lt;&gt;-",发射纪录!G:G,"&gt;="&amp;DATE(YEAR(A50),1,1),发射纪录!G:G,"&lt;="&amp;DATE(YEAR(A50),12,31),发射纪录!N:N,"&lt;&gt;")</f>
        <v>0</v>
      </c>
      <c r="I50" s="11">
        <f ca="1">COUNTIFS(发射纪录!C:C,"&lt;&gt;-",发射纪录!G:G,"&gt;="&amp;DATE(YEAR(A50),1,1),发射纪录!G:G,"&lt;="&amp;DATE(YEAR(A50),12,31),发射纪录!N:N,"=成功",发射纪录!N:N,"&lt;&gt;")</f>
        <v>0</v>
      </c>
      <c r="J50" s="1" t="str">
        <f t="shared" ca="1" si="3"/>
        <v>-</v>
      </c>
      <c r="K50" s="11">
        <f t="shared" ca="1" si="4"/>
        <v>13</v>
      </c>
      <c r="L50" s="11">
        <f t="shared" ca="1" si="5"/>
        <v>6</v>
      </c>
      <c r="M50" s="2">
        <f t="shared" ca="1" si="6"/>
        <v>0.46153846153846156</v>
      </c>
      <c r="N50" s="11">
        <f t="shared" ca="1" si="7"/>
        <v>22</v>
      </c>
      <c r="O50" s="11">
        <f t="shared" ca="1" si="8"/>
        <v>20</v>
      </c>
      <c r="P50" s="1">
        <f t="shared" ca="1" si="9"/>
        <v>0.90909090909090906</v>
      </c>
      <c r="Q50" s="11">
        <f t="shared" ca="1" si="10"/>
        <v>257</v>
      </c>
      <c r="R50" s="11">
        <f t="shared" ca="1" si="11"/>
        <v>238</v>
      </c>
      <c r="S50" s="2">
        <f t="shared" ca="1" si="12"/>
        <v>0.92607003891050588</v>
      </c>
    </row>
    <row r="51" spans="1:19" x14ac:dyDescent="0.45">
      <c r="A51" s="61">
        <v>42736</v>
      </c>
      <c r="B51" s="15">
        <f>COUNTIFS(发射纪录!B:B,"&lt;&gt;-",发射纪录!G:G,"&gt;="&amp;DATE(YEAR(A51),1,1),发射纪录!G:G,"&lt;="&amp;DATE(YEAR(A51),12,31),发射纪录!N:N,"&lt;&gt;")</f>
        <v>16</v>
      </c>
      <c r="C51" s="11">
        <f>COUNTIFS(发射纪录!B:B,"&lt;&gt;-",发射纪录!G:G,"&gt;="&amp;DATE(YEAR(A51),1,1),发射纪录!G:G,"&lt;="&amp;DATE(YEAR(A51),12,31),发射纪录!N:N,"=成功",发射纪录!N:N,"&lt;&gt;")</f>
        <v>14</v>
      </c>
      <c r="D51" s="1">
        <f>IF(B51=0,"-",C51/B51)</f>
        <v>0.875</v>
      </c>
      <c r="E51" s="11">
        <f t="shared" si="0"/>
        <v>260</v>
      </c>
      <c r="F51" s="11">
        <f t="shared" si="1"/>
        <v>246</v>
      </c>
      <c r="G51" s="2">
        <f t="shared" si="2"/>
        <v>0.94615384615384612</v>
      </c>
      <c r="H51" s="11">
        <f ca="1">COUNTIFS(发射纪录!C:C,"&lt;&gt;-",发射纪录!G:G,"&gt;="&amp;DATE(YEAR(A51),1,1),发射纪录!G:G,"&lt;="&amp;DATE(YEAR(A51),12,31),发射纪录!N:N,"&lt;&gt;")</f>
        <v>2</v>
      </c>
      <c r="I51" s="11">
        <f ca="1">COUNTIFS(发射纪录!C:C,"&lt;&gt;-",发射纪录!G:G,"&gt;="&amp;DATE(YEAR(A51),1,1),发射纪录!G:G,"&lt;="&amp;DATE(YEAR(A51),12,31),发射纪录!N:N,"=成功",发射纪录!N:N,"&lt;&gt;")</f>
        <v>2</v>
      </c>
      <c r="J51" s="1">
        <f t="shared" ca="1" si="3"/>
        <v>1</v>
      </c>
      <c r="K51" s="11">
        <f t="shared" ca="1" si="4"/>
        <v>15</v>
      </c>
      <c r="L51" s="11">
        <f t="shared" ca="1" si="5"/>
        <v>8</v>
      </c>
      <c r="M51" s="2">
        <f t="shared" ca="1" si="6"/>
        <v>0.53333333333333333</v>
      </c>
      <c r="N51" s="11">
        <f t="shared" ca="1" si="7"/>
        <v>18</v>
      </c>
      <c r="O51" s="11">
        <f t="shared" ca="1" si="8"/>
        <v>16</v>
      </c>
      <c r="P51" s="1">
        <f t="shared" ca="1" si="9"/>
        <v>0.88888888888888884</v>
      </c>
      <c r="Q51" s="11">
        <f t="shared" ca="1" si="10"/>
        <v>275</v>
      </c>
      <c r="R51" s="11">
        <f t="shared" ca="1" si="11"/>
        <v>254</v>
      </c>
      <c r="S51" s="2">
        <f t="shared" ca="1" si="12"/>
        <v>0.92363636363636359</v>
      </c>
    </row>
    <row r="52" spans="1:19" x14ac:dyDescent="0.45">
      <c r="A52" s="61">
        <v>43101</v>
      </c>
      <c r="B52" s="15">
        <f>COUNTIFS(发射纪录!B:B,"&lt;&gt;-",发射纪录!G:G,"&gt;="&amp;DATE(YEAR(A52),1,1),发射纪录!G:G,"&lt;="&amp;DATE(YEAR(A52),12,31),发射纪录!N:N,"&lt;&gt;")</f>
        <v>37</v>
      </c>
      <c r="C52" s="11">
        <f>COUNTIFS(发射纪录!B:B,"&lt;&gt;-",发射纪录!G:G,"&gt;="&amp;DATE(YEAR(A52),1,1),发射纪录!G:G,"&lt;="&amp;DATE(YEAR(A52),12,31),发射纪录!N:N,"=成功",发射纪录!N:N,"&lt;&gt;")</f>
        <v>37</v>
      </c>
      <c r="D52" s="1">
        <v>1</v>
      </c>
      <c r="E52" s="11">
        <f t="shared" si="0"/>
        <v>297</v>
      </c>
      <c r="F52" s="11">
        <f t="shared" si="1"/>
        <v>283</v>
      </c>
      <c r="G52" s="2">
        <f t="shared" si="2"/>
        <v>0.95286195286195285</v>
      </c>
      <c r="H52" s="11">
        <f ca="1">COUNTIFS(发射纪录!C:C,"&lt;&gt;-",发射纪录!G:G,"&gt;="&amp;DATE(YEAR(A52),1,1),发射纪录!G:G,"&lt;="&amp;DATE(YEAR(A52),12,31),发射纪录!N:N,"&lt;&gt;")</f>
        <v>2</v>
      </c>
      <c r="I52" s="11">
        <f ca="1">COUNTIFS(发射纪录!C:C,"&lt;&gt;-",发射纪录!G:G,"&gt;="&amp;DATE(YEAR(A52),1,1),发射纪录!G:G,"&lt;="&amp;DATE(YEAR(A52),12,31),发射纪录!N:N,"=成功",发射纪录!N:N,"&lt;&gt;")</f>
        <v>1</v>
      </c>
      <c r="J52" s="1">
        <f t="shared" ca="1" si="3"/>
        <v>0.5</v>
      </c>
      <c r="K52" s="11">
        <f t="shared" ca="1" si="4"/>
        <v>17</v>
      </c>
      <c r="L52" s="11">
        <f t="shared" ca="1" si="5"/>
        <v>9</v>
      </c>
      <c r="M52" s="2">
        <f t="shared" ca="1" si="6"/>
        <v>0.52941176470588236</v>
      </c>
      <c r="N52" s="11">
        <f t="shared" ca="1" si="7"/>
        <v>39</v>
      </c>
      <c r="O52" s="11">
        <f t="shared" ca="1" si="8"/>
        <v>38</v>
      </c>
      <c r="P52" s="1">
        <f t="shared" ca="1" si="9"/>
        <v>0.97435897435897434</v>
      </c>
      <c r="Q52" s="11">
        <f t="shared" ca="1" si="10"/>
        <v>314</v>
      </c>
      <c r="R52" s="11">
        <f t="shared" ca="1" si="11"/>
        <v>292</v>
      </c>
      <c r="S52" s="2">
        <f t="shared" ca="1" si="12"/>
        <v>0.92993630573248409</v>
      </c>
    </row>
    <row r="53" spans="1:19" x14ac:dyDescent="0.45">
      <c r="A53" s="61">
        <v>43466</v>
      </c>
      <c r="B53" s="15">
        <f>COUNTIFS(发射纪录!B:B,"&lt;&gt;-",发射纪录!G:G,"&gt;="&amp;DATE(YEAR(A53),1,1),发射纪录!G:G,"&lt;="&amp;DATE(YEAR(A53),12,31),发射纪录!N:N,"&lt;&gt;")</f>
        <v>26</v>
      </c>
      <c r="C53" s="11">
        <f>COUNTIFS(发射纪录!B:B,"&lt;&gt;-",发射纪录!G:G,"&gt;="&amp;DATE(YEAR(A53),1,1),发射纪录!G:G,"&lt;="&amp;DATE(YEAR(A53),12,31),发射纪录!N:N,"=成功",发射纪录!N:N,"&lt;&gt;")</f>
        <v>25</v>
      </c>
      <c r="D53" s="1">
        <f>IF(B53=0,"-",C53/B53)</f>
        <v>0.96153846153846156</v>
      </c>
      <c r="E53" s="11">
        <f t="shared" si="0"/>
        <v>323</v>
      </c>
      <c r="F53" s="11">
        <f t="shared" si="1"/>
        <v>308</v>
      </c>
      <c r="G53" s="2">
        <f t="shared" si="2"/>
        <v>0.95356037151702788</v>
      </c>
      <c r="H53" s="11">
        <f ca="1">COUNTIFS(发射纪录!C:C,"&lt;&gt;-",发射纪录!G:G,"&gt;="&amp;DATE(YEAR(A53),1,1),发射纪录!G:G,"&lt;="&amp;DATE(YEAR(A53),12,31),发射纪录!N:N,"&lt;&gt;")</f>
        <v>8</v>
      </c>
      <c r="I53" s="11">
        <f ca="1">COUNTIFS(发射纪录!C:C,"&lt;&gt;-",发射纪录!G:G,"&gt;="&amp;DATE(YEAR(A53),1,1),发射纪录!G:G,"&lt;="&amp;DATE(YEAR(A53),12,31),发射纪录!N:N,"=成功",发射纪录!N:N,"&lt;&gt;")</f>
        <v>7</v>
      </c>
      <c r="J53" s="1">
        <f t="shared" ca="1" si="3"/>
        <v>0.875</v>
      </c>
      <c r="K53" s="11">
        <f t="shared" ca="1" si="4"/>
        <v>25</v>
      </c>
      <c r="L53" s="11">
        <f t="shared" ca="1" si="5"/>
        <v>16</v>
      </c>
      <c r="M53" s="2">
        <f t="shared" ca="1" si="6"/>
        <v>0.64</v>
      </c>
      <c r="N53" s="11">
        <f t="shared" ca="1" si="7"/>
        <v>34</v>
      </c>
      <c r="O53" s="11">
        <f t="shared" ca="1" si="8"/>
        <v>32</v>
      </c>
      <c r="P53" s="1">
        <f t="shared" ca="1" si="9"/>
        <v>0.94117647058823528</v>
      </c>
      <c r="Q53" s="11">
        <f t="shared" ca="1" si="10"/>
        <v>348</v>
      </c>
      <c r="R53" s="11">
        <f t="shared" ca="1" si="11"/>
        <v>324</v>
      </c>
      <c r="S53" s="2">
        <f t="shared" ca="1" si="12"/>
        <v>0.93103448275862066</v>
      </c>
    </row>
    <row r="54" spans="1:19" x14ac:dyDescent="0.45">
      <c r="A54" s="61">
        <v>43831</v>
      </c>
      <c r="B54" s="15">
        <f>COUNTIFS(发射纪录!B:B,"&lt;&gt;-",发射纪录!G:G,"&gt;="&amp;DATE(YEAR(A54),1,1),发射纪录!G:G,"&lt;="&amp;DATE(YEAR(A54),12,31),发射纪录!N:N,"&lt;&gt;")</f>
        <v>34</v>
      </c>
      <c r="C54" s="11">
        <f>COUNTIFS(发射纪录!B:B,"&lt;&gt;-",发射纪录!G:G,"&gt;="&amp;DATE(YEAR(A54),1,1),发射纪录!G:G,"&lt;="&amp;DATE(YEAR(A54),12,31),发射纪录!N:N,"=成功",发射纪录!N:N,"&lt;&gt;")</f>
        <v>32</v>
      </c>
      <c r="D54" s="1">
        <f>IF(B54=0,"-",C54/B54)</f>
        <v>0.94117647058823528</v>
      </c>
      <c r="E54" s="11">
        <f t="shared" si="0"/>
        <v>357</v>
      </c>
      <c r="F54" s="11">
        <f t="shared" si="1"/>
        <v>340</v>
      </c>
      <c r="G54" s="2">
        <f t="shared" si="2"/>
        <v>0.95238095238095233</v>
      </c>
      <c r="H54" s="11">
        <f ca="1">COUNTIFS(发射纪录!C:C,"&lt;&gt;-",发射纪录!G:G,"&gt;="&amp;DATE(YEAR(A54),1,1),发射纪录!G:G,"&lt;="&amp;DATE(YEAR(A54),12,31),发射纪录!N:N,"&lt;&gt;")</f>
        <v>5</v>
      </c>
      <c r="I54" s="11">
        <f ca="1">COUNTIFS(发射纪录!C:C,"&lt;&gt;-",发射纪录!G:G,"&gt;="&amp;DATE(YEAR(A54),1,1),发射纪录!G:G,"&lt;="&amp;DATE(YEAR(A54),12,31),发射纪录!N:N,"=成功",发射纪录!N:N,"&lt;&gt;")</f>
        <v>3</v>
      </c>
      <c r="J54" s="1">
        <f t="shared" ca="1" si="3"/>
        <v>0.6</v>
      </c>
      <c r="K54" s="11">
        <f t="shared" ca="1" si="4"/>
        <v>30</v>
      </c>
      <c r="L54" s="11">
        <f t="shared" ca="1" si="5"/>
        <v>19</v>
      </c>
      <c r="M54" s="2">
        <f t="shared" ca="1" si="6"/>
        <v>0.6333333333333333</v>
      </c>
      <c r="N54" s="11">
        <f t="shared" ca="1" si="7"/>
        <v>39</v>
      </c>
      <c r="O54" s="11">
        <f t="shared" ca="1" si="8"/>
        <v>35</v>
      </c>
      <c r="P54" s="1">
        <f t="shared" ca="1" si="9"/>
        <v>0.89743589743589747</v>
      </c>
      <c r="Q54" s="11">
        <f t="shared" ca="1" si="10"/>
        <v>387</v>
      </c>
      <c r="R54" s="11">
        <f t="shared" ca="1" si="11"/>
        <v>359</v>
      </c>
      <c r="S54" s="2">
        <f t="shared" ca="1" si="12"/>
        <v>0.92764857881136953</v>
      </c>
    </row>
    <row r="55" spans="1:19" x14ac:dyDescent="0.45">
      <c r="A55" s="61">
        <v>44197</v>
      </c>
      <c r="B55" s="15">
        <f>COUNTIFS(发射纪录!B:B,"&lt;&gt;-",发射纪录!G:G,"&gt;="&amp;DATE(YEAR(A55),1,1),发射纪录!G:G,"&lt;="&amp;DATE(YEAR(A55),12,31),发射纪录!N:N,"&lt;&gt;")</f>
        <v>48</v>
      </c>
      <c r="C55" s="11">
        <f>COUNTIFS(发射纪录!B:B,"&lt;&gt;-",发射纪录!G:G,"&gt;="&amp;DATE(YEAR(A55),1,1),发射纪录!G:G,"&lt;="&amp;DATE(YEAR(A55),12,31),发射纪录!N:N,"=成功",发射纪录!N:N,"&lt;&gt;")</f>
        <v>48</v>
      </c>
      <c r="D55" s="1">
        <v>1</v>
      </c>
      <c r="E55" s="11">
        <f t="shared" si="0"/>
        <v>405</v>
      </c>
      <c r="F55" s="11">
        <f t="shared" si="1"/>
        <v>388</v>
      </c>
      <c r="G55" s="2">
        <f t="shared" si="2"/>
        <v>0.9580246913580247</v>
      </c>
      <c r="H55" s="11">
        <f ca="1">COUNTIFS(发射纪录!C:C,"&lt;&gt;-",发射纪录!G:G,"&gt;="&amp;DATE(YEAR(A55),1,1),发射纪录!G:G,"&lt;="&amp;DATE(YEAR(A55),12,31),发射纪录!N:N,"&lt;&gt;")</f>
        <v>7</v>
      </c>
      <c r="I55" s="11">
        <f ca="1">COUNTIFS(发射纪录!C:C,"&lt;&gt;-",发射纪录!G:G,"&gt;="&amp;DATE(YEAR(A55),1,1),发射纪录!G:G,"&lt;="&amp;DATE(YEAR(A55),12,31),发射纪录!N:N,"=成功",发射纪录!N:N,"&lt;&gt;")</f>
        <v>4</v>
      </c>
      <c r="J55" s="1">
        <f t="shared" ca="1" si="3"/>
        <v>0.5714285714285714</v>
      </c>
      <c r="K55" s="11">
        <f t="shared" ca="1" si="4"/>
        <v>37</v>
      </c>
      <c r="L55" s="11">
        <f t="shared" ca="1" si="5"/>
        <v>23</v>
      </c>
      <c r="M55" s="2">
        <f t="shared" ca="1" si="6"/>
        <v>0.6216216216216216</v>
      </c>
      <c r="N55" s="11">
        <f t="shared" ca="1" si="7"/>
        <v>55</v>
      </c>
      <c r="O55" s="11">
        <f t="shared" ca="1" si="8"/>
        <v>52</v>
      </c>
      <c r="P55" s="1">
        <f t="shared" ca="1" si="9"/>
        <v>0.94545454545454544</v>
      </c>
      <c r="Q55" s="11">
        <f t="shared" ca="1" si="10"/>
        <v>442</v>
      </c>
      <c r="R55" s="11">
        <f t="shared" ca="1" si="11"/>
        <v>411</v>
      </c>
      <c r="S55" s="2">
        <f t="shared" ca="1" si="12"/>
        <v>0.92986425339366519</v>
      </c>
    </row>
    <row r="56" spans="1:19" x14ac:dyDescent="0.45">
      <c r="A56" s="61">
        <v>44562</v>
      </c>
      <c r="B56" s="15">
        <f>COUNTIFS(发射纪录!B:B,"&lt;&gt;-",发射纪录!G:G,"&gt;="&amp;DATE(YEAR(A56),1,1),发射纪录!G:G,"&lt;="&amp;DATE(YEAR(A56),12,31),发射纪录!N:N,"&lt;&gt;")</f>
        <v>53</v>
      </c>
      <c r="C56" s="11">
        <f>COUNTIFS(发射纪录!B:B,"&lt;&gt;-",发射纪录!G:G,"&gt;="&amp;DATE(YEAR(A56),1,1),发射纪录!G:G,"&lt;="&amp;DATE(YEAR(A56),12,31),发射纪录!N:N,"=成功",发射纪录!N:N,"&lt;&gt;")</f>
        <v>53</v>
      </c>
      <c r="D56" s="1">
        <v>1</v>
      </c>
      <c r="E56" s="11">
        <f t="shared" si="0"/>
        <v>458</v>
      </c>
      <c r="F56" s="11">
        <f t="shared" si="1"/>
        <v>441</v>
      </c>
      <c r="G56" s="2">
        <f t="shared" si="2"/>
        <v>0.96288209606986896</v>
      </c>
      <c r="H56" s="11">
        <f ca="1">COUNTIFS(发射纪录!C:C,"&lt;&gt;-",发射纪录!G:G,"&gt;="&amp;DATE(YEAR(A56),1,1),发射纪录!G:G,"&lt;="&amp;DATE(YEAR(A56),12,31),发射纪录!N:N,"&lt;&gt;")</f>
        <v>11</v>
      </c>
      <c r="I56" s="11">
        <f ca="1">COUNTIFS(发射纪录!C:C,"&lt;&gt;-",发射纪录!G:G,"&gt;="&amp;DATE(YEAR(A56),1,1),发射纪录!G:G,"&lt;="&amp;DATE(YEAR(A56),12,31),发射纪录!N:N,"=成功",发射纪录!N:N,"&lt;&gt;")</f>
        <v>9</v>
      </c>
      <c r="J56" s="1">
        <f t="shared" ca="1" si="3"/>
        <v>0.81818181818181823</v>
      </c>
      <c r="K56" s="11">
        <f t="shared" ca="1" si="4"/>
        <v>48</v>
      </c>
      <c r="L56" s="11">
        <f t="shared" ca="1" si="5"/>
        <v>32</v>
      </c>
      <c r="M56" s="2">
        <f t="shared" ca="1" si="6"/>
        <v>0.66666666666666663</v>
      </c>
      <c r="N56" s="11">
        <f t="shared" ca="1" si="7"/>
        <v>64</v>
      </c>
      <c r="O56" s="11">
        <f t="shared" ca="1" si="8"/>
        <v>62</v>
      </c>
      <c r="P56" s="1">
        <f t="shared" ca="1" si="9"/>
        <v>0.96875</v>
      </c>
      <c r="Q56" s="11">
        <f t="shared" ca="1" si="10"/>
        <v>506</v>
      </c>
      <c r="R56" s="11">
        <f t="shared" ca="1" si="11"/>
        <v>473</v>
      </c>
      <c r="S56" s="2">
        <f t="shared" ca="1" si="12"/>
        <v>0.93478260869565222</v>
      </c>
    </row>
    <row r="57" spans="1:19" s="105" customFormat="1" x14ac:dyDescent="0.45">
      <c r="A57" s="61">
        <v>44927</v>
      </c>
      <c r="B57" s="15">
        <f>COUNTIFS(发射纪录!B:B,"&lt;&gt;-",发射纪录!G:G,"&gt;="&amp;DATE(YEAR(A57),1,1),发射纪录!G:G,"&lt;="&amp;DATE(YEAR(A57),12,31),发射纪录!N:N,"&lt;&gt;")</f>
        <v>47</v>
      </c>
      <c r="C57" s="11">
        <f>COUNTIFS(发射纪录!B:B,"&lt;&gt;-",发射纪录!G:G,"&gt;="&amp;DATE(YEAR(A57),1,1),发射纪录!G:G,"&lt;="&amp;DATE(YEAR(A57),12,31),发射纪录!N:N,"=成功",发射纪录!N:N,"&lt;&gt;")</f>
        <v>47</v>
      </c>
      <c r="D57" s="1">
        <f>IF(B57=0,"-",C57/B57)</f>
        <v>1</v>
      </c>
      <c r="E57" s="11">
        <f t="shared" ref="E57:F59" si="13">E56+B57</f>
        <v>505</v>
      </c>
      <c r="F57" s="11">
        <f t="shared" si="13"/>
        <v>488</v>
      </c>
      <c r="G57" s="2">
        <f>IF(E57=0,"-",F57/E57)</f>
        <v>0.96633663366336631</v>
      </c>
      <c r="H57" s="11">
        <f ca="1">COUNTIFS(发射纪录!C:C,"&lt;&gt;-",发射纪录!G:G,"&gt;="&amp;DATE(YEAR(A57),1,1),发射纪录!G:G,"&lt;="&amp;DATE(YEAR(A57),12,31),发射纪录!N:N,"&lt;&gt;")</f>
        <v>20</v>
      </c>
      <c r="I57" s="11">
        <f ca="1">COUNTIFS(发射纪录!C:C,"&lt;&gt;-",发射纪录!G:G,"&gt;="&amp;DATE(YEAR(A57),1,1),发射纪录!G:G,"&lt;="&amp;DATE(YEAR(A57),12,31),发射纪录!N:N,"=成功",发射纪录!N:N,"&lt;&gt;")</f>
        <v>19</v>
      </c>
      <c r="J57" s="1">
        <f ca="1">IF(H57=0,"-",I57/H57)</f>
        <v>0.95</v>
      </c>
      <c r="K57" s="11">
        <f t="shared" ref="K57:L59" ca="1" si="14">K56+H57</f>
        <v>68</v>
      </c>
      <c r="L57" s="11">
        <f t="shared" ca="1" si="14"/>
        <v>51</v>
      </c>
      <c r="M57" s="2">
        <f ca="1">IF(K57=0,"-",L57/K57)</f>
        <v>0.75</v>
      </c>
      <c r="N57" s="11">
        <f t="shared" ref="N57:O59" ca="1" si="15">B57+H57</f>
        <v>67</v>
      </c>
      <c r="O57" s="11">
        <f t="shared" ca="1" si="15"/>
        <v>66</v>
      </c>
      <c r="P57" s="1">
        <f ca="1">IF(N57=0,"-",O57/N57)</f>
        <v>0.9850746268656716</v>
      </c>
      <c r="Q57" s="11">
        <f t="shared" ref="Q57:R59" ca="1" si="16">Q56+N57</f>
        <v>573</v>
      </c>
      <c r="R57" s="11">
        <f t="shared" ca="1" si="16"/>
        <v>539</v>
      </c>
      <c r="S57" s="2">
        <f ca="1">IF(Q57=0,"-",R57/Q57)</f>
        <v>0.94066317626527052</v>
      </c>
    </row>
    <row r="58" spans="1:19" s="105" customFormat="1" x14ac:dyDescent="0.45">
      <c r="A58" s="61">
        <v>45292</v>
      </c>
      <c r="B58" s="15">
        <f>COUNTIFS(发射纪录!B:B,"&lt;&gt;-",发射纪录!G:G,"&gt;="&amp;DATE(YEAR(A58),1,1),发射纪录!G:G,"&lt;="&amp;DATE(YEAR(A58),12,31),发射纪录!N:N,"&lt;&gt;")</f>
        <v>49</v>
      </c>
      <c r="C58" s="11">
        <f>COUNTIFS(发射纪录!B:B,"&lt;&gt;-",发射纪录!G:G,"&gt;="&amp;DATE(YEAR(A58),1,1),发射纪录!G:G,"&lt;="&amp;DATE(YEAR(A58),12,31),发射纪录!N:N,"=成功",发射纪录!N:N,"&lt;&gt;")</f>
        <v>48</v>
      </c>
      <c r="D58" s="1">
        <f>IF(B58=0,"-",C58/B58)</f>
        <v>0.97959183673469385</v>
      </c>
      <c r="E58" s="11">
        <f t="shared" si="13"/>
        <v>554</v>
      </c>
      <c r="F58" s="11">
        <f t="shared" si="13"/>
        <v>536</v>
      </c>
      <c r="G58" s="2">
        <f>IF(E58=0,"-",F58/E58)</f>
        <v>0.96750902527075811</v>
      </c>
      <c r="H58" s="11">
        <f ca="1">COUNTIFS(发射纪录!C:C,"&lt;&gt;-",发射纪录!G:G,"&gt;="&amp;DATE(YEAR(A58),1,1),发射纪录!G:G,"&lt;="&amp;DATE(YEAR(A58),12,31),发射纪录!N:N,"&lt;&gt;")</f>
        <v>19</v>
      </c>
      <c r="I58" s="11">
        <f ca="1">COUNTIFS(发射纪录!C:C,"&lt;&gt;-",发射纪录!G:G,"&gt;="&amp;DATE(YEAR(A58),1,1),发射纪录!G:G,"&lt;="&amp;DATE(YEAR(A58),12,31),发射纪录!N:N,"=成功",发射纪录!N:N,"&lt;&gt;")</f>
        <v>17</v>
      </c>
      <c r="J58" s="1">
        <f ca="1">IF(H58=0,"-",I58/H58)</f>
        <v>0.89473684210526316</v>
      </c>
      <c r="K58" s="11">
        <f t="shared" ca="1" si="14"/>
        <v>87</v>
      </c>
      <c r="L58" s="11">
        <f t="shared" ca="1" si="14"/>
        <v>68</v>
      </c>
      <c r="M58" s="2">
        <f ca="1">IF(K58=0,"-",L58/K58)</f>
        <v>0.7816091954022989</v>
      </c>
      <c r="N58" s="11">
        <f t="shared" ca="1" si="15"/>
        <v>68</v>
      </c>
      <c r="O58" s="11">
        <f t="shared" ca="1" si="15"/>
        <v>65</v>
      </c>
      <c r="P58" s="1">
        <f ca="1">IF(N58=0,"-",O58/N58)</f>
        <v>0.95588235294117652</v>
      </c>
      <c r="Q58" s="11">
        <f t="shared" ca="1" si="16"/>
        <v>641</v>
      </c>
      <c r="R58" s="11">
        <f t="shared" ca="1" si="16"/>
        <v>604</v>
      </c>
      <c r="S58" s="2">
        <f ca="1">IF(Q58=0,"-",R58/Q58)</f>
        <v>0.94227769110764426</v>
      </c>
    </row>
    <row r="59" spans="1:19" x14ac:dyDescent="0.45">
      <c r="A59" s="687">
        <v>45658</v>
      </c>
      <c r="B59" s="688">
        <f>COUNTIFS(发射纪录!B:B,"&lt;&gt;-",发射纪录!G:G,"&gt;="&amp;DATE(YEAR(A59),1,1),发射纪录!G:G,"&lt;="&amp;DATE(YEAR(A59),12,31),发射纪录!N:N,"&lt;&gt;")</f>
        <v>69</v>
      </c>
      <c r="C59" s="689">
        <f>COUNTIFS(发射纪录!B:B,"&lt;&gt;-",发射纪录!G:G,"&gt;="&amp;DATE(YEAR(A59),1,1),发射纪录!G:G,"&lt;="&amp;DATE(YEAR(A59),12,31),发射纪录!N:N,"=成功",发射纪录!N:N,"&lt;&gt;")</f>
        <v>69</v>
      </c>
      <c r="D59" s="690">
        <f>IF(B59=0,"-",C59/B59)</f>
        <v>1</v>
      </c>
      <c r="E59" s="689">
        <f t="shared" si="13"/>
        <v>623</v>
      </c>
      <c r="F59" s="689">
        <f t="shared" si="13"/>
        <v>605</v>
      </c>
      <c r="G59" s="691">
        <f>IF(E59=0,"-",F59/E59)</f>
        <v>0.971107544141252</v>
      </c>
      <c r="H59" s="689">
        <f ca="1">COUNTIFS(发射纪录!C:C,"&lt;&gt;-",发射纪录!G:G,"&gt;="&amp;DATE(YEAR(A59),1,1),发射纪录!G:G,"&lt;="&amp;DATE(YEAR(A59),12,31),发射纪录!N:N,"&lt;&gt;")</f>
        <v>23</v>
      </c>
      <c r="I59" s="689">
        <f ca="1">COUNTIFS(发射纪录!C:C,"&lt;&gt;-",发射纪录!G:G,"&gt;="&amp;DATE(YEAR(A59),1,1),发射纪录!G:G,"&lt;="&amp;DATE(YEAR(A59),12,31),发射纪录!N:N,"=成功",发射纪录!N:N,"&lt;&gt;")</f>
        <v>21</v>
      </c>
      <c r="J59" s="690">
        <f ca="1">IF(H59=0,"-",I59/H59)</f>
        <v>0.91304347826086951</v>
      </c>
      <c r="K59" s="689">
        <f t="shared" ca="1" si="14"/>
        <v>110</v>
      </c>
      <c r="L59" s="689">
        <f t="shared" ca="1" si="14"/>
        <v>89</v>
      </c>
      <c r="M59" s="691">
        <f ca="1">IF(K59=0,"-",L59/K59)</f>
        <v>0.80909090909090908</v>
      </c>
      <c r="N59" s="689">
        <f t="shared" ca="1" si="15"/>
        <v>92</v>
      </c>
      <c r="O59" s="689">
        <f t="shared" ca="1" si="15"/>
        <v>90</v>
      </c>
      <c r="P59" s="690">
        <f ca="1">IF(N59=0,"-",O59/N59)</f>
        <v>0.97826086956521741</v>
      </c>
      <c r="Q59" s="689">
        <f t="shared" ca="1" si="16"/>
        <v>733</v>
      </c>
      <c r="R59" s="689">
        <f t="shared" ca="1" si="16"/>
        <v>694</v>
      </c>
      <c r="S59" s="691">
        <f ca="1">IF(Q59=0,"-",R59/Q59)</f>
        <v>0.94679399727148705</v>
      </c>
    </row>
    <row r="60" spans="1:19" x14ac:dyDescent="0.45">
      <c r="A60" s="682">
        <v>46024</v>
      </c>
      <c r="B60" s="683">
        <f>COUNTIFS(发射纪录!B:B,"&lt;&gt;-",发射纪录!G:G,"&gt;="&amp;DATE(YEAR(A60),1,1),发射纪录!G:G,"&lt;="&amp;DATE(YEAR(A60),12,31),发射纪录!N:N,"&lt;&gt;")</f>
        <v>33</v>
      </c>
      <c r="C60" s="684">
        <f>COUNTIFS(发射纪录!B:B,"&lt;&gt;-",发射纪录!G:G,"&gt;="&amp;DATE(YEAR(A60),1,1),发射纪录!G:G,"&lt;="&amp;DATE(YEAR(A60),12,31),发射纪录!N:N,"=成功",发射纪录!N:N,"&lt;&gt;")</f>
        <v>32</v>
      </c>
      <c r="D60" s="685">
        <f>IF(B60=0,"-",C60/B60)</f>
        <v>0.96969696969696972</v>
      </c>
      <c r="E60" s="684">
        <f t="shared" ref="E60" si="17">E59+B60</f>
        <v>656</v>
      </c>
      <c r="F60" s="684">
        <f t="shared" ref="F60" si="18">F59+C60</f>
        <v>637</v>
      </c>
      <c r="G60" s="686">
        <f>IF(E60=0,"-",F60/E60)</f>
        <v>0.97103658536585369</v>
      </c>
      <c r="H60" s="684">
        <f ca="1">COUNTIFS(发射纪录!C:C,"&lt;&gt;-",发射纪录!G:G,"&gt;="&amp;DATE(YEAR(A60),1,1),发射纪录!G:G,"&lt;="&amp;DATE(YEAR(A60),12,31),发射纪录!N:N,"&lt;&gt;")</f>
        <v>14</v>
      </c>
      <c r="I60" s="684">
        <f ca="1">COUNTIFS(发射纪录!C:C,"&lt;&gt;-",发射纪录!G:G,"&gt;="&amp;DATE(YEAR(A60),1,1),发射纪录!G:G,"&lt;="&amp;DATE(YEAR(A60),12,31),发射纪录!N:N,"=成功",发射纪录!N:N,"&lt;&gt;")</f>
        <v>12</v>
      </c>
      <c r="J60" s="685">
        <f ca="1">IF(H60=0,"-",I60/H60)</f>
        <v>0.8571428571428571</v>
      </c>
      <c r="K60" s="684">
        <f t="shared" ref="K60" ca="1" si="19">K59+H60</f>
        <v>124</v>
      </c>
      <c r="L60" s="684">
        <f t="shared" ref="L60" ca="1" si="20">L59+I60</f>
        <v>101</v>
      </c>
      <c r="M60" s="686">
        <f ca="1">IF(K60=0,"-",L60/K60)</f>
        <v>0.81451612903225812</v>
      </c>
      <c r="N60" s="684">
        <f t="shared" ref="N60" ca="1" si="21">B60+H60</f>
        <v>47</v>
      </c>
      <c r="O60" s="684">
        <f t="shared" ref="O60" ca="1" si="22">C60+I60</f>
        <v>44</v>
      </c>
      <c r="P60" s="685">
        <f ca="1">IF(N60=0,"-",O60/N60)</f>
        <v>0.93617021276595747</v>
      </c>
      <c r="Q60" s="684">
        <f t="shared" ref="Q60" ca="1" si="23">Q59+N60</f>
        <v>780</v>
      </c>
      <c r="R60" s="684">
        <f t="shared" ref="R60" ca="1" si="24">R59+O60</f>
        <v>738</v>
      </c>
      <c r="S60" s="686">
        <f ca="1">IF(Q60=0,"-",R60/Q60)</f>
        <v>0.94615384615384612</v>
      </c>
    </row>
    <row r="61" spans="1:19" x14ac:dyDescent="0.45">
      <c r="B61" s="163"/>
      <c r="E61" s="5"/>
      <c r="F61" s="195"/>
      <c r="G61" s="163"/>
      <c r="N61" s="195"/>
      <c r="O61" s="195"/>
    </row>
    <row r="62" spans="1:19" x14ac:dyDescent="0.45">
      <c r="B62" s="163"/>
      <c r="E62" s="5"/>
      <c r="F62" s="195"/>
      <c r="G62" s="163"/>
      <c r="N62" s="195"/>
      <c r="O62" s="195"/>
    </row>
    <row r="63" spans="1:19" x14ac:dyDescent="0.45">
      <c r="B63" s="163"/>
      <c r="E63" s="5"/>
      <c r="F63" s="195"/>
      <c r="G63" s="163"/>
      <c r="N63" s="195"/>
      <c r="O63" s="195"/>
    </row>
    <row r="64" spans="1:19" x14ac:dyDescent="0.45">
      <c r="B64" s="163"/>
      <c r="E64" s="5"/>
      <c r="G64" s="163"/>
      <c r="N64" s="195"/>
      <c r="O64" s="195"/>
    </row>
    <row r="65" spans="2:7" x14ac:dyDescent="0.45">
      <c r="B65" s="163"/>
      <c r="E65" s="5"/>
      <c r="G65" s="163"/>
    </row>
    <row r="66" spans="2:7" x14ac:dyDescent="0.45">
      <c r="B66" s="163"/>
      <c r="E66" s="5"/>
      <c r="G66" s="196"/>
    </row>
  </sheetData>
  <mergeCells count="5">
    <mergeCell ref="B2:G2"/>
    <mergeCell ref="N2:S2"/>
    <mergeCell ref="H2:M2"/>
    <mergeCell ref="A1:S1"/>
    <mergeCell ref="A2:A3"/>
  </mergeCells>
  <phoneticPr fontId="2"/>
  <conditionalFormatting sqref="A59:S60">
    <cfRule type="expression" dxfId="38" priority="1">
      <formula>YEAR($A59)=YEAR(TODAY())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2"/>
  <sheetViews>
    <sheetView zoomScaleNormal="100"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Y55" sqref="Y55"/>
    </sheetView>
  </sheetViews>
  <sheetFormatPr defaultRowHeight="18" x14ac:dyDescent="0.45"/>
  <cols>
    <col min="1" max="1" width="8.59765625" style="59" bestFit="1" customWidth="1"/>
    <col min="2" max="15" width="5" style="5" bestFit="1" customWidth="1"/>
    <col min="16" max="22" width="5" style="59" bestFit="1" customWidth="1"/>
    <col min="23" max="23" width="2.09765625" style="59" customWidth="1"/>
  </cols>
  <sheetData>
    <row r="1" spans="1:22" x14ac:dyDescent="0.45">
      <c r="A1" s="1954" t="str">
        <f ca="1">CONCATENATE("截止",YEAR(TODAY()),"年",MONTH(TODAY()),"月",DAY(TODAY()),"日")</f>
        <v>截止2026年7月6日</v>
      </c>
      <c r="B1" s="1955"/>
      <c r="C1" s="1955"/>
      <c r="D1" s="1955"/>
      <c r="E1" s="1955"/>
      <c r="F1" s="1955"/>
      <c r="G1" s="1955"/>
      <c r="H1" s="1955"/>
      <c r="I1" s="1955"/>
      <c r="J1" s="1955"/>
      <c r="K1" s="1955"/>
      <c r="L1" s="1955"/>
      <c r="M1" s="1955"/>
      <c r="N1" s="1955"/>
      <c r="O1" s="1955"/>
      <c r="P1" s="1955"/>
      <c r="Q1" s="1955"/>
      <c r="R1" s="1955"/>
      <c r="S1" s="1955"/>
      <c r="T1" s="1955"/>
      <c r="U1" s="1955"/>
      <c r="V1" s="1956"/>
    </row>
    <row r="2" spans="1:22" x14ac:dyDescent="0.45">
      <c r="A2" s="1960" t="s">
        <v>810</v>
      </c>
      <c r="B2" s="1959" t="s">
        <v>835</v>
      </c>
      <c r="C2" s="1950"/>
      <c r="D2" s="1950"/>
      <c r="E2" s="1950"/>
      <c r="F2" s="1950"/>
      <c r="G2" s="1950"/>
      <c r="H2" s="1951"/>
      <c r="I2" s="1953" t="s">
        <v>836</v>
      </c>
      <c r="J2" s="1950"/>
      <c r="K2" s="1950"/>
      <c r="L2" s="1950"/>
      <c r="M2" s="1950"/>
      <c r="N2" s="1950"/>
      <c r="O2" s="1951"/>
      <c r="P2" s="1952" t="s">
        <v>837</v>
      </c>
      <c r="Q2" s="1950"/>
      <c r="R2" s="1950"/>
      <c r="S2" s="1950"/>
      <c r="T2" s="1950"/>
      <c r="U2" s="1950"/>
      <c r="V2" s="1951"/>
    </row>
    <row r="3" spans="1:22" x14ac:dyDescent="0.45">
      <c r="A3" s="1961"/>
      <c r="B3" s="290" t="s">
        <v>9</v>
      </c>
      <c r="C3" s="291" t="s">
        <v>71</v>
      </c>
      <c r="D3" s="291" t="s">
        <v>503</v>
      </c>
      <c r="E3" s="291" t="s">
        <v>52</v>
      </c>
      <c r="F3" s="291" t="s">
        <v>388</v>
      </c>
      <c r="G3" s="428" t="s">
        <v>1931</v>
      </c>
      <c r="H3" s="292" t="s">
        <v>838</v>
      </c>
      <c r="I3" s="293" t="s">
        <v>9</v>
      </c>
      <c r="J3" s="293" t="s">
        <v>71</v>
      </c>
      <c r="K3" s="293" t="s">
        <v>503</v>
      </c>
      <c r="L3" s="293" t="s">
        <v>52</v>
      </c>
      <c r="M3" s="293" t="s">
        <v>388</v>
      </c>
      <c r="N3" s="433" t="s">
        <v>1931</v>
      </c>
      <c r="O3" s="294" t="s">
        <v>838</v>
      </c>
      <c r="P3" s="295" t="s">
        <v>9</v>
      </c>
      <c r="Q3" s="295" t="s">
        <v>71</v>
      </c>
      <c r="R3" s="295" t="s">
        <v>503</v>
      </c>
      <c r="S3" s="295" t="s">
        <v>52</v>
      </c>
      <c r="T3" s="295" t="s">
        <v>388</v>
      </c>
      <c r="U3" s="435" t="s">
        <v>1931</v>
      </c>
      <c r="V3" s="296" t="s">
        <v>838</v>
      </c>
    </row>
    <row r="4" spans="1:22" ht="19.5" customHeight="1" thickBot="1" x14ac:dyDescent="0.5">
      <c r="A4" s="56" t="s">
        <v>839</v>
      </c>
      <c r="B4" s="20">
        <f t="shared" ref="B4:H4" si="0">SUM(B5:B61)</f>
        <v>196</v>
      </c>
      <c r="C4" s="21">
        <f t="shared" si="0"/>
        <v>151</v>
      </c>
      <c r="D4" s="21">
        <f t="shared" si="0"/>
        <v>6</v>
      </c>
      <c r="E4" s="21">
        <f t="shared" si="0"/>
        <v>236</v>
      </c>
      <c r="F4" s="21">
        <f t="shared" si="0"/>
        <v>49</v>
      </c>
      <c r="G4" s="429">
        <f t="shared" si="0"/>
        <v>18</v>
      </c>
      <c r="H4" s="22">
        <f t="shared" si="0"/>
        <v>656</v>
      </c>
      <c r="I4" s="23">
        <f ca="1">SUM(I5:I61)</f>
        <v>94</v>
      </c>
      <c r="J4" s="23">
        <f t="shared" ref="J4:V4" ca="1" si="1">SUM(J5:J61)</f>
        <v>6</v>
      </c>
      <c r="K4" s="23">
        <f t="shared" ca="1" si="1"/>
        <v>19</v>
      </c>
      <c r="L4" s="23">
        <f t="shared" ca="1" si="1"/>
        <v>5</v>
      </c>
      <c r="M4" s="23">
        <f t="shared" ca="1" si="1"/>
        <v>0</v>
      </c>
      <c r="N4" s="434">
        <f t="shared" ca="1" si="1"/>
        <v>0</v>
      </c>
      <c r="O4" s="24">
        <f t="shared" ca="1" si="1"/>
        <v>124</v>
      </c>
      <c r="P4" s="25">
        <f t="shared" ca="1" si="1"/>
        <v>290</v>
      </c>
      <c r="Q4" s="25">
        <f t="shared" ca="1" si="1"/>
        <v>157</v>
      </c>
      <c r="R4" s="25">
        <f t="shared" ca="1" si="1"/>
        <v>25</v>
      </c>
      <c r="S4" s="25">
        <f t="shared" ca="1" si="1"/>
        <v>241</v>
      </c>
      <c r="T4" s="25">
        <f t="shared" ca="1" si="1"/>
        <v>49</v>
      </c>
      <c r="U4" s="436">
        <f t="shared" ca="1" si="1"/>
        <v>18</v>
      </c>
      <c r="V4" s="26">
        <f t="shared" ca="1" si="1"/>
        <v>780</v>
      </c>
    </row>
    <row r="5" spans="1:22" x14ac:dyDescent="0.45">
      <c r="A5" s="60">
        <v>25569</v>
      </c>
      <c r="B5" s="14">
        <v>1</v>
      </c>
      <c r="C5" s="10">
        <v>0</v>
      </c>
      <c r="D5" s="10">
        <v>0</v>
      </c>
      <c r="E5" s="10">
        <v>0</v>
      </c>
      <c r="F5" s="10">
        <v>0</v>
      </c>
      <c r="G5" s="430">
        <v>0</v>
      </c>
      <c r="H5" s="9">
        <v>1</v>
      </c>
      <c r="I5" s="10">
        <v>0</v>
      </c>
      <c r="J5" s="10">
        <v>0</v>
      </c>
      <c r="K5" s="10">
        <v>0</v>
      </c>
      <c r="L5" s="11">
        <v>0</v>
      </c>
      <c r="M5" s="10">
        <v>0</v>
      </c>
      <c r="N5" s="430">
        <v>0</v>
      </c>
      <c r="O5" s="9">
        <v>0</v>
      </c>
      <c r="P5" s="10">
        <v>1</v>
      </c>
      <c r="Q5" s="10">
        <v>0</v>
      </c>
      <c r="R5" s="10">
        <v>0</v>
      </c>
      <c r="S5" s="10">
        <v>0</v>
      </c>
      <c r="T5" s="10">
        <v>0</v>
      </c>
      <c r="U5" s="430">
        <v>0</v>
      </c>
      <c r="V5" s="9">
        <v>1</v>
      </c>
    </row>
    <row r="6" spans="1:22" x14ac:dyDescent="0.45">
      <c r="A6" s="61">
        <v>25934</v>
      </c>
      <c r="B6" s="15">
        <v>1</v>
      </c>
      <c r="C6" s="11">
        <v>0</v>
      </c>
      <c r="D6" s="11">
        <v>0</v>
      </c>
      <c r="E6" s="11">
        <v>0</v>
      </c>
      <c r="F6" s="11">
        <v>0</v>
      </c>
      <c r="G6" s="430">
        <v>0</v>
      </c>
      <c r="H6" s="9">
        <v>1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430">
        <v>0</v>
      </c>
      <c r="O6" s="9">
        <v>0</v>
      </c>
      <c r="P6" s="11">
        <v>1</v>
      </c>
      <c r="Q6" s="11">
        <v>0</v>
      </c>
      <c r="R6" s="11">
        <v>0</v>
      </c>
      <c r="S6" s="11">
        <v>0</v>
      </c>
      <c r="T6" s="11">
        <v>0</v>
      </c>
      <c r="U6" s="430">
        <v>0</v>
      </c>
      <c r="V6" s="9">
        <v>1</v>
      </c>
    </row>
    <row r="7" spans="1:22" x14ac:dyDescent="0.45">
      <c r="A7" s="61">
        <v>26299</v>
      </c>
      <c r="B7" s="15">
        <v>0</v>
      </c>
      <c r="C7" s="11">
        <v>0</v>
      </c>
      <c r="D7" s="11">
        <v>0</v>
      </c>
      <c r="E7" s="11">
        <v>0</v>
      </c>
      <c r="F7" s="11">
        <v>0</v>
      </c>
      <c r="G7" s="430">
        <v>0</v>
      </c>
      <c r="H7" s="9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430">
        <v>0</v>
      </c>
      <c r="O7" s="9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430">
        <v>0</v>
      </c>
      <c r="V7" s="9">
        <v>0</v>
      </c>
    </row>
    <row r="8" spans="1:22" x14ac:dyDescent="0.45">
      <c r="A8" s="61">
        <v>26665</v>
      </c>
      <c r="B8" s="15">
        <v>0</v>
      </c>
      <c r="C8" s="11">
        <v>0</v>
      </c>
      <c r="D8" s="11">
        <v>0</v>
      </c>
      <c r="E8" s="11">
        <v>0</v>
      </c>
      <c r="F8" s="11">
        <v>0</v>
      </c>
      <c r="G8" s="430">
        <v>0</v>
      </c>
      <c r="H8" s="9">
        <v>0</v>
      </c>
      <c r="I8" s="11">
        <v>1</v>
      </c>
      <c r="J8" s="11">
        <v>0</v>
      </c>
      <c r="K8" s="11">
        <v>0</v>
      </c>
      <c r="L8" s="11">
        <v>0</v>
      </c>
      <c r="M8" s="11">
        <v>0</v>
      </c>
      <c r="N8" s="430">
        <v>0</v>
      </c>
      <c r="O8" s="9">
        <v>1</v>
      </c>
      <c r="P8" s="11">
        <v>1</v>
      </c>
      <c r="Q8" s="11">
        <v>0</v>
      </c>
      <c r="R8" s="11">
        <v>0</v>
      </c>
      <c r="S8" s="11">
        <v>0</v>
      </c>
      <c r="T8" s="11">
        <v>0</v>
      </c>
      <c r="U8" s="430">
        <v>0</v>
      </c>
      <c r="V8" s="9">
        <v>1</v>
      </c>
    </row>
    <row r="9" spans="1:22" x14ac:dyDescent="0.45">
      <c r="A9" s="61">
        <v>27030</v>
      </c>
      <c r="B9" s="15">
        <v>1</v>
      </c>
      <c r="C9" s="11">
        <v>0</v>
      </c>
      <c r="D9" s="11">
        <v>0</v>
      </c>
      <c r="E9" s="11">
        <v>0</v>
      </c>
      <c r="F9" s="11">
        <v>0</v>
      </c>
      <c r="G9" s="430">
        <v>0</v>
      </c>
      <c r="H9" s="9">
        <v>1</v>
      </c>
      <c r="I9" s="11">
        <v>1</v>
      </c>
      <c r="J9" s="11">
        <v>0</v>
      </c>
      <c r="K9" s="11">
        <v>0</v>
      </c>
      <c r="L9" s="11">
        <v>0</v>
      </c>
      <c r="M9" s="11">
        <v>0</v>
      </c>
      <c r="N9" s="430">
        <v>0</v>
      </c>
      <c r="O9" s="9">
        <v>1</v>
      </c>
      <c r="P9" s="11">
        <v>2</v>
      </c>
      <c r="Q9" s="11">
        <v>0</v>
      </c>
      <c r="R9" s="11">
        <v>0</v>
      </c>
      <c r="S9" s="11">
        <v>0</v>
      </c>
      <c r="T9" s="11">
        <v>0</v>
      </c>
      <c r="U9" s="430">
        <v>0</v>
      </c>
      <c r="V9" s="9">
        <v>2</v>
      </c>
    </row>
    <row r="10" spans="1:22" x14ac:dyDescent="0.45">
      <c r="A10" s="61">
        <v>27395</v>
      </c>
      <c r="B10" s="15">
        <v>1</v>
      </c>
      <c r="C10" s="11">
        <v>0</v>
      </c>
      <c r="D10" s="11">
        <v>0</v>
      </c>
      <c r="E10" s="11">
        <v>0</v>
      </c>
      <c r="F10" s="11">
        <v>0</v>
      </c>
      <c r="G10" s="430">
        <v>0</v>
      </c>
      <c r="H10" s="9">
        <v>1</v>
      </c>
      <c r="I10" s="11">
        <v>2</v>
      </c>
      <c r="J10" s="11">
        <v>0</v>
      </c>
      <c r="K10" s="11">
        <v>0</v>
      </c>
      <c r="L10" s="11">
        <v>0</v>
      </c>
      <c r="M10" s="11">
        <v>0</v>
      </c>
      <c r="N10" s="430">
        <v>0</v>
      </c>
      <c r="O10" s="9">
        <v>2</v>
      </c>
      <c r="P10" s="11">
        <v>3</v>
      </c>
      <c r="Q10" s="11">
        <v>0</v>
      </c>
      <c r="R10" s="11">
        <v>0</v>
      </c>
      <c r="S10" s="11">
        <v>0</v>
      </c>
      <c r="T10" s="11">
        <v>0</v>
      </c>
      <c r="U10" s="430">
        <v>0</v>
      </c>
      <c r="V10" s="9">
        <v>3</v>
      </c>
    </row>
    <row r="11" spans="1:22" x14ac:dyDescent="0.45">
      <c r="A11" s="61">
        <v>27760</v>
      </c>
      <c r="B11" s="15">
        <v>1</v>
      </c>
      <c r="C11" s="11">
        <v>0</v>
      </c>
      <c r="D11" s="11">
        <v>0</v>
      </c>
      <c r="E11" s="11">
        <v>0</v>
      </c>
      <c r="F11" s="11">
        <v>0</v>
      </c>
      <c r="G11" s="430">
        <v>0</v>
      </c>
      <c r="H11" s="9">
        <v>1</v>
      </c>
      <c r="I11" s="11">
        <v>2</v>
      </c>
      <c r="J11" s="11">
        <v>0</v>
      </c>
      <c r="K11" s="11">
        <v>0</v>
      </c>
      <c r="L11" s="11">
        <v>0</v>
      </c>
      <c r="M11" s="11">
        <v>0</v>
      </c>
      <c r="N11" s="430">
        <v>0</v>
      </c>
      <c r="O11" s="9">
        <v>2</v>
      </c>
      <c r="P11" s="11">
        <v>3</v>
      </c>
      <c r="Q11" s="11">
        <v>0</v>
      </c>
      <c r="R11" s="11">
        <v>0</v>
      </c>
      <c r="S11" s="11">
        <v>0</v>
      </c>
      <c r="T11" s="11">
        <v>0</v>
      </c>
      <c r="U11" s="430">
        <v>0</v>
      </c>
      <c r="V11" s="9">
        <v>3</v>
      </c>
    </row>
    <row r="12" spans="1:22" x14ac:dyDescent="0.45">
      <c r="A12" s="61">
        <v>28126</v>
      </c>
      <c r="B12" s="15">
        <v>0</v>
      </c>
      <c r="C12" s="11">
        <v>0</v>
      </c>
      <c r="D12" s="11">
        <v>0</v>
      </c>
      <c r="E12" s="11">
        <v>0</v>
      </c>
      <c r="F12" s="11">
        <v>0</v>
      </c>
      <c r="G12" s="430">
        <v>0</v>
      </c>
      <c r="H12" s="9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430">
        <v>0</v>
      </c>
      <c r="O12" s="9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430">
        <v>0</v>
      </c>
      <c r="V12" s="9">
        <v>0</v>
      </c>
    </row>
    <row r="13" spans="1:22" x14ac:dyDescent="0.45">
      <c r="A13" s="61">
        <v>28491</v>
      </c>
      <c r="B13" s="15">
        <v>1</v>
      </c>
      <c r="C13" s="11">
        <v>0</v>
      </c>
      <c r="D13" s="11">
        <v>0</v>
      </c>
      <c r="E13" s="11">
        <v>0</v>
      </c>
      <c r="F13" s="11">
        <v>0</v>
      </c>
      <c r="G13" s="430">
        <v>0</v>
      </c>
      <c r="H13" s="9">
        <v>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430">
        <v>0</v>
      </c>
      <c r="O13" s="9">
        <v>0</v>
      </c>
      <c r="P13" s="11">
        <v>1</v>
      </c>
      <c r="Q13" s="11">
        <v>0</v>
      </c>
      <c r="R13" s="11">
        <v>0</v>
      </c>
      <c r="S13" s="11">
        <v>0</v>
      </c>
      <c r="T13" s="11">
        <v>0</v>
      </c>
      <c r="U13" s="430">
        <v>0</v>
      </c>
      <c r="V13" s="9">
        <v>1</v>
      </c>
    </row>
    <row r="14" spans="1:22" x14ac:dyDescent="0.45">
      <c r="A14" s="61">
        <v>28856</v>
      </c>
      <c r="B14" s="15">
        <v>0</v>
      </c>
      <c r="C14" s="11">
        <v>0</v>
      </c>
      <c r="D14" s="11">
        <v>0</v>
      </c>
      <c r="E14" s="11">
        <v>0</v>
      </c>
      <c r="F14" s="11">
        <v>0</v>
      </c>
      <c r="G14" s="430">
        <v>0</v>
      </c>
      <c r="H14" s="9">
        <v>0</v>
      </c>
      <c r="I14" s="11">
        <v>1</v>
      </c>
      <c r="J14" s="11">
        <v>0</v>
      </c>
      <c r="K14" s="11">
        <v>0</v>
      </c>
      <c r="L14" s="11">
        <v>0</v>
      </c>
      <c r="M14" s="11">
        <v>0</v>
      </c>
      <c r="N14" s="430">
        <v>0</v>
      </c>
      <c r="O14" s="9">
        <v>1</v>
      </c>
      <c r="P14" s="11">
        <v>1</v>
      </c>
      <c r="Q14" s="11">
        <v>0</v>
      </c>
      <c r="R14" s="11">
        <v>0</v>
      </c>
      <c r="S14" s="11">
        <v>0</v>
      </c>
      <c r="T14" s="11">
        <v>0</v>
      </c>
      <c r="U14" s="430">
        <v>0</v>
      </c>
      <c r="V14" s="9">
        <v>1</v>
      </c>
    </row>
    <row r="15" spans="1:22" x14ac:dyDescent="0.45">
      <c r="A15" s="61">
        <v>29221</v>
      </c>
      <c r="B15" s="15">
        <v>0</v>
      </c>
      <c r="C15" s="11">
        <v>0</v>
      </c>
      <c r="D15" s="11">
        <v>0</v>
      </c>
      <c r="E15" s="11">
        <v>0</v>
      </c>
      <c r="F15" s="11">
        <v>0</v>
      </c>
      <c r="G15" s="430">
        <v>0</v>
      </c>
      <c r="H15" s="9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430">
        <v>0</v>
      </c>
      <c r="O15" s="9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430">
        <v>0</v>
      </c>
      <c r="V15" s="9">
        <v>0</v>
      </c>
    </row>
    <row r="16" spans="1:22" x14ac:dyDescent="0.45">
      <c r="A16" s="61">
        <v>29587</v>
      </c>
      <c r="B16" s="15">
        <v>0</v>
      </c>
      <c r="C16" s="11">
        <v>0</v>
      </c>
      <c r="D16" s="11">
        <v>0</v>
      </c>
      <c r="E16" s="11">
        <v>0</v>
      </c>
      <c r="F16" s="11">
        <v>0</v>
      </c>
      <c r="G16" s="430">
        <v>0</v>
      </c>
      <c r="H16" s="9">
        <v>0</v>
      </c>
      <c r="I16" s="11">
        <v>1</v>
      </c>
      <c r="J16" s="11">
        <v>0</v>
      </c>
      <c r="K16" s="11">
        <v>0</v>
      </c>
      <c r="L16" s="11">
        <v>0</v>
      </c>
      <c r="M16" s="11">
        <v>0</v>
      </c>
      <c r="N16" s="430">
        <v>0</v>
      </c>
      <c r="O16" s="9">
        <v>1</v>
      </c>
      <c r="P16" s="11">
        <v>1</v>
      </c>
      <c r="Q16" s="11">
        <v>0</v>
      </c>
      <c r="R16" s="11">
        <v>0</v>
      </c>
      <c r="S16" s="11">
        <v>0</v>
      </c>
      <c r="T16" s="11">
        <v>0</v>
      </c>
      <c r="U16" s="430">
        <v>0</v>
      </c>
      <c r="V16" s="9">
        <v>1</v>
      </c>
    </row>
    <row r="17" spans="1:22" x14ac:dyDescent="0.45">
      <c r="A17" s="61">
        <v>29952</v>
      </c>
      <c r="B17" s="15">
        <v>1</v>
      </c>
      <c r="C17" s="11">
        <v>0</v>
      </c>
      <c r="D17" s="11">
        <v>0</v>
      </c>
      <c r="E17" s="11">
        <v>0</v>
      </c>
      <c r="F17" s="11">
        <v>0</v>
      </c>
      <c r="G17" s="430">
        <v>0</v>
      </c>
      <c r="H17" s="9">
        <v>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430">
        <v>0</v>
      </c>
      <c r="O17" s="9">
        <v>0</v>
      </c>
      <c r="P17" s="11">
        <v>1</v>
      </c>
      <c r="Q17" s="11">
        <v>0</v>
      </c>
      <c r="R17" s="11">
        <v>0</v>
      </c>
      <c r="S17" s="11">
        <v>0</v>
      </c>
      <c r="T17" s="11">
        <v>0</v>
      </c>
      <c r="U17" s="430">
        <v>0</v>
      </c>
      <c r="V17" s="9">
        <v>1</v>
      </c>
    </row>
    <row r="18" spans="1:22" x14ac:dyDescent="0.45">
      <c r="A18" s="61">
        <v>30317</v>
      </c>
      <c r="B18" s="15">
        <v>1</v>
      </c>
      <c r="C18" s="11">
        <v>0</v>
      </c>
      <c r="D18" s="11">
        <v>0</v>
      </c>
      <c r="E18" s="11">
        <v>0</v>
      </c>
      <c r="F18" s="11">
        <v>0</v>
      </c>
      <c r="G18" s="430">
        <v>0</v>
      </c>
      <c r="H18" s="9">
        <v>1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430">
        <v>0</v>
      </c>
      <c r="O18" s="9">
        <v>0</v>
      </c>
      <c r="P18" s="11">
        <v>1</v>
      </c>
      <c r="Q18" s="11">
        <v>0</v>
      </c>
      <c r="R18" s="11">
        <v>0</v>
      </c>
      <c r="S18" s="11">
        <v>0</v>
      </c>
      <c r="T18" s="11">
        <v>0</v>
      </c>
      <c r="U18" s="430">
        <v>0</v>
      </c>
      <c r="V18" s="9">
        <v>1</v>
      </c>
    </row>
    <row r="19" spans="1:22" x14ac:dyDescent="0.45">
      <c r="A19" s="61">
        <v>30682</v>
      </c>
      <c r="B19" s="15">
        <v>1</v>
      </c>
      <c r="C19" s="11">
        <v>0</v>
      </c>
      <c r="D19" s="11">
        <v>0</v>
      </c>
      <c r="E19" s="11">
        <v>2</v>
      </c>
      <c r="F19" s="11">
        <v>0</v>
      </c>
      <c r="G19" s="430">
        <v>0</v>
      </c>
      <c r="H19" s="9">
        <v>3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430">
        <v>0</v>
      </c>
      <c r="O19" s="9">
        <v>0</v>
      </c>
      <c r="P19" s="11">
        <v>1</v>
      </c>
      <c r="Q19" s="11">
        <v>0</v>
      </c>
      <c r="R19" s="11">
        <v>0</v>
      </c>
      <c r="S19" s="11">
        <v>2</v>
      </c>
      <c r="T19" s="11">
        <v>0</v>
      </c>
      <c r="U19" s="430">
        <v>0</v>
      </c>
      <c r="V19" s="9">
        <v>3</v>
      </c>
    </row>
    <row r="20" spans="1:22" x14ac:dyDescent="0.45">
      <c r="A20" s="61">
        <v>31048</v>
      </c>
      <c r="B20" s="15">
        <v>1</v>
      </c>
      <c r="C20" s="11">
        <v>0</v>
      </c>
      <c r="D20" s="11">
        <v>0</v>
      </c>
      <c r="E20" s="11">
        <v>0</v>
      </c>
      <c r="F20" s="11">
        <v>0</v>
      </c>
      <c r="G20" s="430">
        <v>0</v>
      </c>
      <c r="H20" s="9">
        <v>1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430">
        <v>0</v>
      </c>
      <c r="O20" s="9">
        <v>0</v>
      </c>
      <c r="P20" s="11">
        <v>1</v>
      </c>
      <c r="Q20" s="11">
        <v>0</v>
      </c>
      <c r="R20" s="11">
        <v>0</v>
      </c>
      <c r="S20" s="11">
        <v>0</v>
      </c>
      <c r="T20" s="11">
        <v>0</v>
      </c>
      <c r="U20" s="430">
        <v>0</v>
      </c>
      <c r="V20" s="9">
        <v>1</v>
      </c>
    </row>
    <row r="21" spans="1:22" x14ac:dyDescent="0.45">
      <c r="A21" s="61">
        <v>31413</v>
      </c>
      <c r="B21" s="15">
        <v>1</v>
      </c>
      <c r="C21" s="11">
        <v>0</v>
      </c>
      <c r="D21" s="11">
        <v>0</v>
      </c>
      <c r="E21" s="11">
        <v>1</v>
      </c>
      <c r="F21" s="11">
        <v>0</v>
      </c>
      <c r="G21" s="430">
        <v>0</v>
      </c>
      <c r="H21" s="9">
        <v>2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430">
        <v>0</v>
      </c>
      <c r="O21" s="9">
        <v>0</v>
      </c>
      <c r="P21" s="11">
        <v>1</v>
      </c>
      <c r="Q21" s="11">
        <v>0</v>
      </c>
      <c r="R21" s="11">
        <v>0</v>
      </c>
      <c r="S21" s="11">
        <v>1</v>
      </c>
      <c r="T21" s="11">
        <v>0</v>
      </c>
      <c r="U21" s="430">
        <v>0</v>
      </c>
      <c r="V21" s="9">
        <v>2</v>
      </c>
    </row>
    <row r="22" spans="1:22" x14ac:dyDescent="0.45">
      <c r="A22" s="61">
        <v>31778</v>
      </c>
      <c r="B22" s="15">
        <v>2</v>
      </c>
      <c r="C22" s="11">
        <v>0</v>
      </c>
      <c r="D22" s="11">
        <v>0</v>
      </c>
      <c r="E22" s="11">
        <v>0</v>
      </c>
      <c r="F22" s="11">
        <v>0</v>
      </c>
      <c r="G22" s="430">
        <v>0</v>
      </c>
      <c r="H22" s="9">
        <v>2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430">
        <v>0</v>
      </c>
      <c r="O22" s="9">
        <v>0</v>
      </c>
      <c r="P22" s="11">
        <v>2</v>
      </c>
      <c r="Q22" s="11">
        <v>0</v>
      </c>
      <c r="R22" s="11">
        <v>0</v>
      </c>
      <c r="S22" s="11">
        <v>0</v>
      </c>
      <c r="T22" s="11">
        <v>0</v>
      </c>
      <c r="U22" s="430">
        <v>0</v>
      </c>
      <c r="V22" s="9">
        <v>2</v>
      </c>
    </row>
    <row r="23" spans="1:22" x14ac:dyDescent="0.45">
      <c r="A23" s="61">
        <v>32143</v>
      </c>
      <c r="B23" s="15">
        <v>1</v>
      </c>
      <c r="C23" s="11">
        <v>1</v>
      </c>
      <c r="D23" s="11">
        <v>0</v>
      </c>
      <c r="E23" s="11">
        <v>2</v>
      </c>
      <c r="F23" s="11">
        <v>0</v>
      </c>
      <c r="G23" s="430">
        <v>0</v>
      </c>
      <c r="H23" s="9">
        <v>4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430">
        <v>0</v>
      </c>
      <c r="O23" s="9">
        <v>0</v>
      </c>
      <c r="P23" s="11">
        <v>1</v>
      </c>
      <c r="Q23" s="11">
        <v>1</v>
      </c>
      <c r="R23" s="11">
        <v>0</v>
      </c>
      <c r="S23" s="11">
        <v>2</v>
      </c>
      <c r="T23" s="11">
        <v>0</v>
      </c>
      <c r="U23" s="430">
        <v>0</v>
      </c>
      <c r="V23" s="9">
        <v>4</v>
      </c>
    </row>
    <row r="24" spans="1:22" x14ac:dyDescent="0.45">
      <c r="A24" s="61">
        <v>32509</v>
      </c>
      <c r="B24" s="15">
        <v>0</v>
      </c>
      <c r="C24" s="11">
        <v>0</v>
      </c>
      <c r="D24" s="11">
        <v>0</v>
      </c>
      <c r="E24" s="11">
        <v>0</v>
      </c>
      <c r="F24" s="11">
        <v>0</v>
      </c>
      <c r="G24" s="430">
        <v>0</v>
      </c>
      <c r="H24" s="9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430">
        <v>0</v>
      </c>
      <c r="O24" s="9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430">
        <v>0</v>
      </c>
      <c r="V24" s="9">
        <v>0</v>
      </c>
    </row>
    <row r="25" spans="1:22" x14ac:dyDescent="0.45">
      <c r="A25" s="61">
        <v>32874</v>
      </c>
      <c r="B25" s="15">
        <v>1</v>
      </c>
      <c r="C25" s="11">
        <v>1</v>
      </c>
      <c r="D25" s="11">
        <v>0</v>
      </c>
      <c r="E25" s="11">
        <v>3</v>
      </c>
      <c r="F25" s="11">
        <v>0</v>
      </c>
      <c r="G25" s="430">
        <v>0</v>
      </c>
      <c r="H25" s="9">
        <v>5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430">
        <v>0</v>
      </c>
      <c r="O25" s="9">
        <v>0</v>
      </c>
      <c r="P25" s="11">
        <v>1</v>
      </c>
      <c r="Q25" s="11">
        <v>1</v>
      </c>
      <c r="R25" s="11">
        <v>0</v>
      </c>
      <c r="S25" s="11">
        <v>3</v>
      </c>
      <c r="T25" s="11">
        <v>0</v>
      </c>
      <c r="U25" s="430">
        <v>0</v>
      </c>
      <c r="V25" s="9">
        <v>5</v>
      </c>
    </row>
    <row r="26" spans="1:22" x14ac:dyDescent="0.45">
      <c r="A26" s="61">
        <v>33239</v>
      </c>
      <c r="B26" s="15">
        <v>0</v>
      </c>
      <c r="C26" s="11">
        <v>0</v>
      </c>
      <c r="D26" s="11">
        <v>0</v>
      </c>
      <c r="E26" s="11">
        <v>1</v>
      </c>
      <c r="F26" s="11">
        <v>0</v>
      </c>
      <c r="G26" s="430">
        <v>0</v>
      </c>
      <c r="H26" s="9">
        <v>1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430">
        <v>0</v>
      </c>
      <c r="O26" s="9">
        <v>0</v>
      </c>
      <c r="P26" s="11">
        <v>0</v>
      </c>
      <c r="Q26" s="11">
        <v>0</v>
      </c>
      <c r="R26" s="11">
        <v>0</v>
      </c>
      <c r="S26" s="11">
        <v>1</v>
      </c>
      <c r="T26" s="11">
        <v>0</v>
      </c>
      <c r="U26" s="430">
        <v>0</v>
      </c>
      <c r="V26" s="9">
        <v>1</v>
      </c>
    </row>
    <row r="27" spans="1:22" x14ac:dyDescent="0.45">
      <c r="A27" s="61">
        <v>33604</v>
      </c>
      <c r="B27" s="15">
        <v>2</v>
      </c>
      <c r="C27" s="11">
        <v>0</v>
      </c>
      <c r="D27" s="11">
        <v>0</v>
      </c>
      <c r="E27" s="11">
        <v>2</v>
      </c>
      <c r="F27" s="11">
        <v>0</v>
      </c>
      <c r="G27" s="430">
        <v>0</v>
      </c>
      <c r="H27" s="9">
        <v>4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430">
        <v>0</v>
      </c>
      <c r="O27" s="9">
        <v>0</v>
      </c>
      <c r="P27" s="11">
        <v>2</v>
      </c>
      <c r="Q27" s="11">
        <v>0</v>
      </c>
      <c r="R27" s="11">
        <v>0</v>
      </c>
      <c r="S27" s="11">
        <v>2</v>
      </c>
      <c r="T27" s="11">
        <v>0</v>
      </c>
      <c r="U27" s="430">
        <v>0</v>
      </c>
      <c r="V27" s="9">
        <v>4</v>
      </c>
    </row>
    <row r="28" spans="1:22" x14ac:dyDescent="0.45">
      <c r="A28" s="61">
        <v>33970</v>
      </c>
      <c r="B28" s="15">
        <v>1</v>
      </c>
      <c r="C28" s="11">
        <v>0</v>
      </c>
      <c r="D28" s="11">
        <v>0</v>
      </c>
      <c r="E28" s="11">
        <v>0</v>
      </c>
      <c r="F28" s="11">
        <v>0</v>
      </c>
      <c r="G28" s="430">
        <v>0</v>
      </c>
      <c r="H28" s="9">
        <v>1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430">
        <v>0</v>
      </c>
      <c r="O28" s="9">
        <v>0</v>
      </c>
      <c r="P28" s="11">
        <v>1</v>
      </c>
      <c r="Q28" s="11">
        <v>0</v>
      </c>
      <c r="R28" s="11">
        <v>0</v>
      </c>
      <c r="S28" s="11">
        <v>0</v>
      </c>
      <c r="T28" s="11">
        <v>0</v>
      </c>
      <c r="U28" s="430">
        <v>0</v>
      </c>
      <c r="V28" s="9">
        <v>1</v>
      </c>
    </row>
    <row r="29" spans="1:22" x14ac:dyDescent="0.45">
      <c r="A29" s="61">
        <v>34335</v>
      </c>
      <c r="B29" s="15">
        <v>1</v>
      </c>
      <c r="C29" s="11">
        <v>0</v>
      </c>
      <c r="D29" s="11">
        <v>0</v>
      </c>
      <c r="E29" s="11">
        <v>4</v>
      </c>
      <c r="F29" s="11">
        <v>0</v>
      </c>
      <c r="G29" s="430">
        <v>0</v>
      </c>
      <c r="H29" s="9">
        <v>5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430">
        <v>0</v>
      </c>
      <c r="O29" s="9">
        <v>0</v>
      </c>
      <c r="P29" s="11">
        <v>1</v>
      </c>
      <c r="Q29" s="11">
        <v>0</v>
      </c>
      <c r="R29" s="11">
        <v>0</v>
      </c>
      <c r="S29" s="11">
        <v>4</v>
      </c>
      <c r="T29" s="11">
        <v>0</v>
      </c>
      <c r="U29" s="430">
        <v>0</v>
      </c>
      <c r="V29" s="9">
        <v>5</v>
      </c>
    </row>
    <row r="30" spans="1:22" x14ac:dyDescent="0.45">
      <c r="A30" s="61">
        <v>34700</v>
      </c>
      <c r="B30" s="15">
        <v>0</v>
      </c>
      <c r="C30" s="11">
        <v>0</v>
      </c>
      <c r="D30" s="11">
        <v>0</v>
      </c>
      <c r="E30" s="11">
        <v>3</v>
      </c>
      <c r="F30" s="11">
        <v>0</v>
      </c>
      <c r="G30" s="430">
        <v>0</v>
      </c>
      <c r="H30" s="9">
        <v>3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430">
        <v>0</v>
      </c>
      <c r="O30" s="9">
        <v>0</v>
      </c>
      <c r="P30" s="11">
        <v>0</v>
      </c>
      <c r="Q30" s="11">
        <v>0</v>
      </c>
      <c r="R30" s="11">
        <v>0</v>
      </c>
      <c r="S30" s="11">
        <v>3</v>
      </c>
      <c r="T30" s="11">
        <v>0</v>
      </c>
      <c r="U30" s="430">
        <v>0</v>
      </c>
      <c r="V30" s="9">
        <v>3</v>
      </c>
    </row>
    <row r="31" spans="1:22" x14ac:dyDescent="0.45">
      <c r="A31" s="61">
        <v>35065</v>
      </c>
      <c r="B31" s="15">
        <v>1</v>
      </c>
      <c r="C31" s="11">
        <v>0</v>
      </c>
      <c r="D31" s="11">
        <v>0</v>
      </c>
      <c r="E31" s="11">
        <v>3</v>
      </c>
      <c r="F31" s="11">
        <v>0</v>
      </c>
      <c r="G31" s="430">
        <v>0</v>
      </c>
      <c r="H31" s="9">
        <v>4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430">
        <v>0</v>
      </c>
      <c r="O31" s="9">
        <v>0</v>
      </c>
      <c r="P31" s="11">
        <v>1</v>
      </c>
      <c r="Q31" s="11">
        <v>0</v>
      </c>
      <c r="R31" s="11">
        <v>0</v>
      </c>
      <c r="S31" s="11">
        <v>3</v>
      </c>
      <c r="T31" s="11">
        <v>0</v>
      </c>
      <c r="U31" s="430">
        <v>0</v>
      </c>
      <c r="V31" s="9">
        <v>4</v>
      </c>
    </row>
    <row r="32" spans="1:22" x14ac:dyDescent="0.45">
      <c r="A32" s="61">
        <v>35431</v>
      </c>
      <c r="B32" s="15">
        <v>0</v>
      </c>
      <c r="C32" s="11">
        <v>2</v>
      </c>
      <c r="D32" s="11">
        <v>0</v>
      </c>
      <c r="E32" s="11">
        <v>4</v>
      </c>
      <c r="F32" s="11">
        <v>0</v>
      </c>
      <c r="G32" s="430">
        <v>0</v>
      </c>
      <c r="H32" s="9">
        <v>6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430">
        <v>0</v>
      </c>
      <c r="O32" s="9">
        <v>0</v>
      </c>
      <c r="P32" s="11">
        <v>0</v>
      </c>
      <c r="Q32" s="11">
        <v>2</v>
      </c>
      <c r="R32" s="11">
        <v>0</v>
      </c>
      <c r="S32" s="11">
        <v>4</v>
      </c>
      <c r="T32" s="11">
        <v>0</v>
      </c>
      <c r="U32" s="430">
        <v>0</v>
      </c>
      <c r="V32" s="9">
        <v>6</v>
      </c>
    </row>
    <row r="33" spans="1:22" x14ac:dyDescent="0.45">
      <c r="A33" s="61">
        <v>35796</v>
      </c>
      <c r="B33" s="15">
        <v>0</v>
      </c>
      <c r="C33" s="11">
        <v>4</v>
      </c>
      <c r="D33" s="11">
        <v>0</v>
      </c>
      <c r="E33" s="11">
        <v>2</v>
      </c>
      <c r="F33" s="11">
        <v>0</v>
      </c>
      <c r="G33" s="430">
        <v>0</v>
      </c>
      <c r="H33" s="9">
        <v>6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430">
        <v>0</v>
      </c>
      <c r="O33" s="9">
        <v>0</v>
      </c>
      <c r="P33" s="11">
        <v>0</v>
      </c>
      <c r="Q33" s="11">
        <v>4</v>
      </c>
      <c r="R33" s="11">
        <v>0</v>
      </c>
      <c r="S33" s="11">
        <v>2</v>
      </c>
      <c r="T33" s="11">
        <v>0</v>
      </c>
      <c r="U33" s="430">
        <v>0</v>
      </c>
      <c r="V33" s="9">
        <v>6</v>
      </c>
    </row>
    <row r="34" spans="1:22" x14ac:dyDescent="0.45">
      <c r="A34" s="61">
        <v>36161</v>
      </c>
      <c r="B34" s="15">
        <v>1</v>
      </c>
      <c r="C34" s="11">
        <v>3</v>
      </c>
      <c r="D34" s="11">
        <v>0</v>
      </c>
      <c r="E34" s="11">
        <v>0</v>
      </c>
      <c r="F34" s="11">
        <v>0</v>
      </c>
      <c r="G34" s="430">
        <v>0</v>
      </c>
      <c r="H34" s="9">
        <v>4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430">
        <v>0</v>
      </c>
      <c r="O34" s="9">
        <v>0</v>
      </c>
      <c r="P34" s="11">
        <v>1</v>
      </c>
      <c r="Q34" s="11">
        <v>3</v>
      </c>
      <c r="R34" s="11">
        <v>0</v>
      </c>
      <c r="S34" s="11">
        <v>0</v>
      </c>
      <c r="T34" s="11">
        <v>0</v>
      </c>
      <c r="U34" s="430">
        <v>0</v>
      </c>
      <c r="V34" s="9">
        <v>4</v>
      </c>
    </row>
    <row r="35" spans="1:22" x14ac:dyDescent="0.45">
      <c r="A35" s="61">
        <v>36526</v>
      </c>
      <c r="B35" s="15">
        <v>0</v>
      </c>
      <c r="C35" s="11">
        <v>1</v>
      </c>
      <c r="D35" s="11">
        <v>0</v>
      </c>
      <c r="E35" s="11">
        <v>4</v>
      </c>
      <c r="F35" s="11">
        <v>0</v>
      </c>
      <c r="G35" s="430">
        <v>0</v>
      </c>
      <c r="H35" s="9">
        <v>5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430">
        <v>0</v>
      </c>
      <c r="O35" s="9">
        <v>0</v>
      </c>
      <c r="P35" s="11">
        <v>0</v>
      </c>
      <c r="Q35" s="11">
        <v>1</v>
      </c>
      <c r="R35" s="11">
        <v>0</v>
      </c>
      <c r="S35" s="11">
        <v>4</v>
      </c>
      <c r="T35" s="11">
        <v>0</v>
      </c>
      <c r="U35" s="430">
        <v>0</v>
      </c>
      <c r="V35" s="9">
        <v>5</v>
      </c>
    </row>
    <row r="36" spans="1:22" x14ac:dyDescent="0.45">
      <c r="A36" s="61">
        <v>36892</v>
      </c>
      <c r="B36" s="15">
        <v>1</v>
      </c>
      <c r="C36" s="11">
        <v>0</v>
      </c>
      <c r="D36" s="11">
        <v>0</v>
      </c>
      <c r="E36" s="11">
        <v>0</v>
      </c>
      <c r="F36" s="11">
        <v>0</v>
      </c>
      <c r="G36" s="430">
        <v>0</v>
      </c>
      <c r="H36" s="9">
        <v>1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430">
        <v>0</v>
      </c>
      <c r="O36" s="9">
        <v>0</v>
      </c>
      <c r="P36" s="11">
        <v>1</v>
      </c>
      <c r="Q36" s="11">
        <v>0</v>
      </c>
      <c r="R36" s="11">
        <v>0</v>
      </c>
      <c r="S36" s="11">
        <v>0</v>
      </c>
      <c r="T36" s="11">
        <v>0</v>
      </c>
      <c r="U36" s="430">
        <v>0</v>
      </c>
      <c r="V36" s="9">
        <v>1</v>
      </c>
    </row>
    <row r="37" spans="1:22" x14ac:dyDescent="0.45">
      <c r="A37" s="61">
        <v>37257</v>
      </c>
      <c r="B37" s="15">
        <v>2</v>
      </c>
      <c r="C37" s="11">
        <v>2</v>
      </c>
      <c r="D37" s="11">
        <v>0</v>
      </c>
      <c r="E37" s="11">
        <v>0</v>
      </c>
      <c r="F37" s="11">
        <v>0</v>
      </c>
      <c r="G37" s="430">
        <v>0</v>
      </c>
      <c r="H37" s="9">
        <v>4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430">
        <v>0</v>
      </c>
      <c r="O37" s="9">
        <v>1</v>
      </c>
      <c r="P37" s="11">
        <v>2</v>
      </c>
      <c r="Q37" s="11">
        <v>3</v>
      </c>
      <c r="R37" s="11">
        <v>0</v>
      </c>
      <c r="S37" s="11">
        <v>0</v>
      </c>
      <c r="T37" s="11">
        <v>0</v>
      </c>
      <c r="U37" s="430">
        <v>0</v>
      </c>
      <c r="V37" s="9">
        <v>5</v>
      </c>
    </row>
    <row r="38" spans="1:22" x14ac:dyDescent="0.45">
      <c r="A38" s="61">
        <v>37622</v>
      </c>
      <c r="B38" s="15">
        <v>2</v>
      </c>
      <c r="C38" s="11">
        <v>1</v>
      </c>
      <c r="D38" s="11">
        <v>0</v>
      </c>
      <c r="E38" s="11">
        <v>3</v>
      </c>
      <c r="F38" s="11">
        <v>0</v>
      </c>
      <c r="G38" s="430">
        <v>0</v>
      </c>
      <c r="H38" s="9">
        <v>6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430">
        <v>0</v>
      </c>
      <c r="O38" s="9">
        <v>1</v>
      </c>
      <c r="P38" s="11">
        <v>2</v>
      </c>
      <c r="Q38" s="11">
        <v>2</v>
      </c>
      <c r="R38" s="11">
        <v>0</v>
      </c>
      <c r="S38" s="11">
        <v>3</v>
      </c>
      <c r="T38" s="11">
        <v>0</v>
      </c>
      <c r="U38" s="430">
        <v>0</v>
      </c>
      <c r="V38" s="9">
        <v>7</v>
      </c>
    </row>
    <row r="39" spans="1:22" x14ac:dyDescent="0.45">
      <c r="A39" s="61">
        <v>37987</v>
      </c>
      <c r="B39" s="15">
        <v>2</v>
      </c>
      <c r="C39" s="11">
        <v>3</v>
      </c>
      <c r="D39" s="11">
        <v>0</v>
      </c>
      <c r="E39" s="11">
        <v>3</v>
      </c>
      <c r="F39" s="11">
        <v>0</v>
      </c>
      <c r="G39" s="430">
        <v>0</v>
      </c>
      <c r="H39" s="9">
        <v>8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430">
        <v>0</v>
      </c>
      <c r="O39" s="9">
        <v>0</v>
      </c>
      <c r="P39" s="11">
        <v>2</v>
      </c>
      <c r="Q39" s="11">
        <v>3</v>
      </c>
      <c r="R39" s="11">
        <v>0</v>
      </c>
      <c r="S39" s="11">
        <v>3</v>
      </c>
      <c r="T39" s="11">
        <v>0</v>
      </c>
      <c r="U39" s="430">
        <v>0</v>
      </c>
      <c r="V39" s="9">
        <v>8</v>
      </c>
    </row>
    <row r="40" spans="1:22" x14ac:dyDescent="0.45">
      <c r="A40" s="61">
        <v>38353</v>
      </c>
      <c r="B40" s="15">
        <v>4</v>
      </c>
      <c r="C40" s="11">
        <v>0</v>
      </c>
      <c r="D40" s="11">
        <v>0</v>
      </c>
      <c r="E40" s="11">
        <v>1</v>
      </c>
      <c r="F40" s="11">
        <v>0</v>
      </c>
      <c r="G40" s="430">
        <v>0</v>
      </c>
      <c r="H40" s="9">
        <v>5</v>
      </c>
      <c r="I40" s="11">
        <v>0</v>
      </c>
      <c r="J40" s="11">
        <v>1</v>
      </c>
      <c r="K40" s="11">
        <v>0</v>
      </c>
      <c r="L40" s="11">
        <v>0</v>
      </c>
      <c r="M40" s="11">
        <v>0</v>
      </c>
      <c r="N40" s="430">
        <v>0</v>
      </c>
      <c r="O40" s="9">
        <v>1</v>
      </c>
      <c r="P40" s="11">
        <v>4</v>
      </c>
      <c r="Q40" s="11">
        <v>1</v>
      </c>
      <c r="R40" s="11">
        <v>0</v>
      </c>
      <c r="S40" s="11">
        <v>1</v>
      </c>
      <c r="T40" s="11">
        <v>0</v>
      </c>
      <c r="U40" s="430">
        <v>0</v>
      </c>
      <c r="V40" s="9">
        <v>6</v>
      </c>
    </row>
    <row r="41" spans="1:22" x14ac:dyDescent="0.45">
      <c r="A41" s="61">
        <v>38718</v>
      </c>
      <c r="B41" s="15">
        <v>1</v>
      </c>
      <c r="C41" s="11">
        <v>2</v>
      </c>
      <c r="D41" s="11">
        <v>0</v>
      </c>
      <c r="E41" s="11">
        <v>3</v>
      </c>
      <c r="F41" s="11">
        <v>0</v>
      </c>
      <c r="G41" s="430">
        <v>0</v>
      </c>
      <c r="H41" s="9">
        <v>6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430">
        <v>0</v>
      </c>
      <c r="O41" s="9">
        <v>0</v>
      </c>
      <c r="P41" s="11">
        <v>1</v>
      </c>
      <c r="Q41" s="11">
        <v>2</v>
      </c>
      <c r="R41" s="11">
        <v>0</v>
      </c>
      <c r="S41" s="11">
        <v>3</v>
      </c>
      <c r="T41" s="11">
        <v>0</v>
      </c>
      <c r="U41" s="430">
        <v>0</v>
      </c>
      <c r="V41" s="9">
        <v>6</v>
      </c>
    </row>
    <row r="42" spans="1:22" x14ac:dyDescent="0.45">
      <c r="A42" s="61">
        <v>39083</v>
      </c>
      <c r="B42" s="15">
        <v>1</v>
      </c>
      <c r="C42" s="11">
        <v>3</v>
      </c>
      <c r="D42" s="11">
        <v>0</v>
      </c>
      <c r="E42" s="11">
        <v>6</v>
      </c>
      <c r="F42" s="11">
        <v>0</v>
      </c>
      <c r="G42" s="430">
        <v>0</v>
      </c>
      <c r="H42" s="9">
        <v>10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430">
        <v>0</v>
      </c>
      <c r="O42" s="9">
        <v>0</v>
      </c>
      <c r="P42" s="11">
        <v>1</v>
      </c>
      <c r="Q42" s="11">
        <v>3</v>
      </c>
      <c r="R42" s="11">
        <v>0</v>
      </c>
      <c r="S42" s="11">
        <v>6</v>
      </c>
      <c r="T42" s="11">
        <v>0</v>
      </c>
      <c r="U42" s="430">
        <v>0</v>
      </c>
      <c r="V42" s="9">
        <v>10</v>
      </c>
    </row>
    <row r="43" spans="1:22" x14ac:dyDescent="0.45">
      <c r="A43" s="61">
        <v>39448</v>
      </c>
      <c r="B43" s="15">
        <v>3</v>
      </c>
      <c r="C43" s="11">
        <v>4</v>
      </c>
      <c r="D43" s="11">
        <v>0</v>
      </c>
      <c r="E43" s="11">
        <v>4</v>
      </c>
      <c r="F43" s="11">
        <v>0</v>
      </c>
      <c r="G43" s="430">
        <v>0</v>
      </c>
      <c r="H43" s="9">
        <v>11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430">
        <v>0</v>
      </c>
      <c r="O43" s="9">
        <v>0</v>
      </c>
      <c r="P43" s="11">
        <v>3</v>
      </c>
      <c r="Q43" s="11">
        <v>4</v>
      </c>
      <c r="R43" s="11">
        <v>0</v>
      </c>
      <c r="S43" s="11">
        <v>4</v>
      </c>
      <c r="T43" s="11">
        <v>0</v>
      </c>
      <c r="U43" s="430">
        <v>0</v>
      </c>
      <c r="V43" s="9">
        <v>11</v>
      </c>
    </row>
    <row r="44" spans="1:22" x14ac:dyDescent="0.45">
      <c r="A44" s="61">
        <v>39814</v>
      </c>
      <c r="B44" s="15">
        <v>2</v>
      </c>
      <c r="C44" s="11">
        <v>2</v>
      </c>
      <c r="D44" s="11">
        <v>0</v>
      </c>
      <c r="E44" s="11">
        <v>2</v>
      </c>
      <c r="F44" s="11">
        <v>0</v>
      </c>
      <c r="G44" s="430">
        <v>0</v>
      </c>
      <c r="H44" s="9">
        <v>6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430">
        <v>0</v>
      </c>
      <c r="O44" s="9">
        <v>0</v>
      </c>
      <c r="P44" s="11">
        <v>2</v>
      </c>
      <c r="Q44" s="11">
        <v>2</v>
      </c>
      <c r="R44" s="11">
        <v>0</v>
      </c>
      <c r="S44" s="11">
        <v>2</v>
      </c>
      <c r="T44" s="11">
        <v>0</v>
      </c>
      <c r="U44" s="430">
        <v>0</v>
      </c>
      <c r="V44" s="9">
        <v>6</v>
      </c>
    </row>
    <row r="45" spans="1:22" x14ac:dyDescent="0.45">
      <c r="A45" s="61">
        <v>40179</v>
      </c>
      <c r="B45" s="15">
        <v>4</v>
      </c>
      <c r="C45" s="11">
        <v>3</v>
      </c>
      <c r="D45" s="11">
        <v>0</v>
      </c>
      <c r="E45" s="11">
        <v>8</v>
      </c>
      <c r="F45" s="11">
        <v>0</v>
      </c>
      <c r="G45" s="430">
        <v>0</v>
      </c>
      <c r="H45" s="9">
        <v>15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430">
        <v>0</v>
      </c>
      <c r="O45" s="9">
        <v>0</v>
      </c>
      <c r="P45" s="11">
        <v>4</v>
      </c>
      <c r="Q45" s="11">
        <v>3</v>
      </c>
      <c r="R45" s="11">
        <v>0</v>
      </c>
      <c r="S45" s="11">
        <v>8</v>
      </c>
      <c r="T45" s="11">
        <v>0</v>
      </c>
      <c r="U45" s="430">
        <v>0</v>
      </c>
      <c r="V45" s="9">
        <v>15</v>
      </c>
    </row>
    <row r="46" spans="1:22" x14ac:dyDescent="0.45">
      <c r="A46" s="61">
        <v>40544</v>
      </c>
      <c r="B46" s="15">
        <v>6</v>
      </c>
      <c r="C46" s="11">
        <v>4</v>
      </c>
      <c r="D46" s="11">
        <v>0</v>
      </c>
      <c r="E46" s="11">
        <v>9</v>
      </c>
      <c r="F46" s="11">
        <v>0</v>
      </c>
      <c r="G46" s="430">
        <v>0</v>
      </c>
      <c r="H46" s="9">
        <v>19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430">
        <v>0</v>
      </c>
      <c r="O46" s="9">
        <v>0</v>
      </c>
      <c r="P46" s="11">
        <v>6</v>
      </c>
      <c r="Q46" s="11">
        <v>4</v>
      </c>
      <c r="R46" s="11">
        <v>0</v>
      </c>
      <c r="S46" s="11">
        <v>9</v>
      </c>
      <c r="T46" s="11">
        <v>0</v>
      </c>
      <c r="U46" s="430">
        <v>0</v>
      </c>
      <c r="V46" s="9">
        <v>19</v>
      </c>
    </row>
    <row r="47" spans="1:22" x14ac:dyDescent="0.45">
      <c r="A47" s="61">
        <v>40909</v>
      </c>
      <c r="B47" s="15">
        <f>COUNTIFS(发射纪录!$B:$B,"&lt;&gt;-",发射纪录!$G:$G,"&gt;="&amp;DATE(YEAR($A47),1,1),发射纪录!$G:$G,"&lt;="&amp;DATE(YEAR($A47),12,31),发射纪录!$N:$N,"&lt;&gt;",发射纪录!$J:$J,"="&amp;发射地年間統計!B$3)</f>
        <v>5</v>
      </c>
      <c r="C47" s="11">
        <f>COUNTIFS(发射纪录!$B:$B,"&lt;&gt;-",发射纪录!$G:$G,"&gt;="&amp;DATE(YEAR($A47),1,1),发射纪录!$G:$G,"&lt;="&amp;DATE(YEAR($A47),12,31),发射纪录!$N:$N,"&lt;&gt;",发射纪录!$J:$J,"="&amp;发射地年間統計!C$3)</f>
        <v>5</v>
      </c>
      <c r="D47" s="11">
        <f>COUNTIFS(发射纪录!$B:$B,"&lt;&gt;-",发射纪录!$G:$G,"&gt;="&amp;DATE(YEAR($A47),1,1),发射纪录!$G:$G,"&lt;="&amp;DATE(YEAR($A47),12,31),发射纪录!$N:$N,"&lt;&gt;",发射纪录!$J:$J,"="&amp;发射地年間統計!D$3)</f>
        <v>0</v>
      </c>
      <c r="E47" s="11">
        <f>COUNTIFS(发射纪录!$B:$B,"&lt;&gt;-",发射纪录!$G:$G,"&gt;="&amp;DATE(YEAR($A47),1,1),发射纪录!$G:$G,"&lt;="&amp;DATE(YEAR($A47),12,31),发射纪录!$N:$N,"&lt;&gt;",发射纪录!$J:$J,"="&amp;发射地年間統計!E$3)</f>
        <v>9</v>
      </c>
      <c r="F47" s="11">
        <f>COUNTIFS(发射纪录!$B:$B,"&lt;&gt;-",发射纪录!$G:$G,"&gt;="&amp;DATE(YEAR($A47),1,1),发射纪录!$G:$G,"&lt;="&amp;DATE(YEAR($A47),12,31),发射纪录!$N:$N,"&lt;&gt;",发射纪录!$J:$J,"="&amp;发射地年間統計!F$3)</f>
        <v>0</v>
      </c>
      <c r="G47" s="430">
        <f>COUNTIFS(发射纪录!$B:$B,"&lt;&gt;-",发射纪录!$G:$G,"&gt;="&amp;DATE(YEAR($A47),1,1),发射纪录!$G:$G,"&lt;="&amp;DATE(YEAR($A47),12,31),发射纪录!$N:$N,"&lt;&gt;",发射纪录!$J:$J,"="&amp;发射地年間統計!G$3)</f>
        <v>0</v>
      </c>
      <c r="H47" s="9">
        <f t="shared" ref="H47:H60" si="2">SUM(B47:G47)</f>
        <v>19</v>
      </c>
      <c r="I47" s="11">
        <f>COUNTIFS(发射纪录!$C:$C,"&lt;&gt;-",发射纪录!$G:$G,"&gt;="&amp;DATE(YEAR($A47),1,1),发射纪录!$G:$G,"&lt;="&amp;DATE(YEAR($A47),12,31),发射纪录!$N:$N,"&lt;&gt;",发射纪录!$J:$J,"="&amp;发射地年間統計!I$3)</f>
        <v>0</v>
      </c>
      <c r="J47" s="11">
        <f>COUNTIFS(发射纪录!$C:$C,"&lt;&gt;-",发射纪录!$G:$G,"&gt;="&amp;DATE(YEAR($A47),1,1),发射纪录!$G:$G,"&lt;="&amp;DATE(YEAR($A47),12,31),发射纪录!$N:$N,"&lt;&gt;",发射纪录!$J:$J,"="&amp;发射地年間統計!J$3)</f>
        <v>0</v>
      </c>
      <c r="K47" s="11">
        <f>COUNTIFS(发射纪录!$C:$C,"&lt;&gt;-",发射纪录!$G:$G,"&gt;="&amp;DATE(YEAR($A47),1,1),发射纪录!$G:$G,"&lt;="&amp;DATE(YEAR($A47),12,31),发射纪录!$N:$N,"&lt;&gt;",发射纪录!$J:$J,"="&amp;发射地年間統計!K$3)</f>
        <v>0</v>
      </c>
      <c r="L47" s="11">
        <f>COUNTIFS(发射纪录!$C:$C,"&lt;&gt;-",发射纪录!$G:$G,"&gt;="&amp;DATE(YEAR($A47),1,1),发射纪录!$G:$G,"&lt;="&amp;DATE(YEAR($A47),12,31),发射纪录!$N:$N,"&lt;&gt;",发射纪录!$J:$J,"="&amp;发射地年間統計!L$3)</f>
        <v>0</v>
      </c>
      <c r="M47" s="11">
        <f>COUNTIFS(发射纪录!$C:$C,"&lt;&gt;-",发射纪录!$G:$G,"&gt;="&amp;DATE(YEAR($A47),1,1),发射纪录!$G:$G,"&lt;="&amp;DATE(YEAR($A47),12,31),发射纪录!$N:$N,"&lt;&gt;",发射纪录!$J:$J,"="&amp;发射地年間統計!M$3)</f>
        <v>0</v>
      </c>
      <c r="N47" s="430">
        <f>COUNTIFS(发射纪录!$C:$C,"&lt;&gt;-",发射纪录!$G:$G,"&gt;="&amp;DATE(YEAR($A47),1,1),发射纪录!$G:$G,"&lt;="&amp;DATE(YEAR($A47),12,31),发射纪录!$N:$N,"&lt;&gt;",发射纪录!$J:$J,"="&amp;发射地年間統計!N$3)</f>
        <v>0</v>
      </c>
      <c r="O47" s="9">
        <f t="shared" ref="O47:O60" si="3">SUM(I47:N47)</f>
        <v>0</v>
      </c>
      <c r="P47" s="11">
        <f t="shared" ref="P47:P60" si="4">B47+I47</f>
        <v>5</v>
      </c>
      <c r="Q47" s="11">
        <f t="shared" ref="Q47:Q60" si="5">C47+J47</f>
        <v>5</v>
      </c>
      <c r="R47" s="11">
        <f t="shared" ref="R47:R60" si="6">D47+K47</f>
        <v>0</v>
      </c>
      <c r="S47" s="11">
        <f t="shared" ref="S47:S60" si="7">E47+L47</f>
        <v>9</v>
      </c>
      <c r="T47" s="11">
        <f t="shared" ref="T47:T60" si="8">F47+M47</f>
        <v>0</v>
      </c>
      <c r="U47" s="430">
        <f t="shared" ref="U47:U60" si="9">G47+N47</f>
        <v>0</v>
      </c>
      <c r="V47" s="9">
        <f t="shared" ref="V47:V60" si="10">SUM(P47:U47)</f>
        <v>19</v>
      </c>
    </row>
    <row r="48" spans="1:22" x14ac:dyDescent="0.45">
      <c r="A48" s="61">
        <v>41275</v>
      </c>
      <c r="B48" s="15">
        <f>COUNTIFS(发射纪录!$B:$B,"&lt;&gt;-",发射纪录!$G:$G,"&gt;="&amp;DATE(YEAR($A48),1,1),发射纪录!$G:$G,"&lt;="&amp;DATE(YEAR($A48),12,31),发射纪录!$N:$N,"&lt;&gt;",发射纪录!$J:$J,"="&amp;发射地年間統計!B$3)</f>
        <v>6</v>
      </c>
      <c r="C48" s="11">
        <f>COUNTIFS(发射纪录!$B:$B,"&lt;&gt;-",发射纪录!$G:$G,"&gt;="&amp;DATE(YEAR($A48),1,1),发射纪录!$G:$G,"&lt;="&amp;DATE(YEAR($A48),12,31),发射纪录!$N:$N,"&lt;&gt;",发射纪录!$J:$J,"="&amp;发射地年間統計!C$3)</f>
        <v>5</v>
      </c>
      <c r="D48" s="11">
        <f>COUNTIFS(发射纪录!$B:$B,"&lt;&gt;-",发射纪录!$G:$G,"&gt;="&amp;DATE(YEAR($A48),1,1),发射纪录!$G:$G,"&lt;="&amp;DATE(YEAR($A48),12,31),发射纪录!$N:$N,"&lt;&gt;",发射纪录!$J:$J,"="&amp;发射地年間統計!D$3)</f>
        <v>0</v>
      </c>
      <c r="E48" s="11">
        <f>COUNTIFS(发射纪录!$B:$B,"&lt;&gt;-",发射纪录!$G:$G,"&gt;="&amp;DATE(YEAR($A48),1,1),发射纪录!$G:$G,"&lt;="&amp;DATE(YEAR($A48),12,31),发射纪录!$N:$N,"&lt;&gt;",发射纪录!$J:$J,"="&amp;发射地年間統計!E$3)</f>
        <v>3</v>
      </c>
      <c r="F48" s="11">
        <f>COUNTIFS(发射纪录!$B:$B,"&lt;&gt;-",发射纪录!$G:$G,"&gt;="&amp;DATE(YEAR($A48),1,1),发射纪录!$G:$G,"&lt;="&amp;DATE(YEAR($A48),12,31),发射纪录!$N:$N,"&lt;&gt;",发射纪录!$J:$J,"="&amp;发射地年間統計!F$3)</f>
        <v>0</v>
      </c>
      <c r="G48" s="430">
        <f>COUNTIFS(发射纪录!$B:$B,"&lt;&gt;-",发射纪录!$G:$G,"&gt;="&amp;DATE(YEAR($A48),1,1),发射纪录!$G:$G,"&lt;="&amp;DATE(YEAR($A48),12,31),发射纪录!$N:$N,"&lt;&gt;",发射纪录!$J:$J,"="&amp;发射地年間統計!G$3)</f>
        <v>0</v>
      </c>
      <c r="H48" s="9">
        <f t="shared" si="2"/>
        <v>14</v>
      </c>
      <c r="I48" s="11">
        <f>COUNTIFS(发射纪录!$C:$C,"&lt;&gt;-",发射纪录!$G:$G,"&gt;="&amp;DATE(YEAR($A48),1,1),发射纪录!$G:$G,"&lt;="&amp;DATE(YEAR($A48),12,31),发射纪录!$N:$N,"&lt;&gt;",发射纪录!$J:$J,"="&amp;发射地年間統計!I$3)</f>
        <v>1</v>
      </c>
      <c r="J48" s="11">
        <f>COUNTIFS(发射纪录!$C:$C,"&lt;&gt;-",发射纪录!$G:$G,"&gt;="&amp;DATE(YEAR($A48),1,1),发射纪录!$G:$G,"&lt;="&amp;DATE(YEAR($A48),12,31),发射纪录!$N:$N,"&lt;&gt;",发射纪录!$J:$J,"="&amp;发射地年間統計!J$3)</f>
        <v>0</v>
      </c>
      <c r="K48" s="11">
        <f>COUNTIFS(发射纪录!$C:$C,"&lt;&gt;-",发射纪录!$G:$G,"&gt;="&amp;DATE(YEAR($A48),1,1),发射纪录!$G:$G,"&lt;="&amp;DATE(YEAR($A48),12,31),发射纪录!$N:$N,"&lt;&gt;",发射纪录!$J:$J,"="&amp;发射地年間統計!K$3)</f>
        <v>0</v>
      </c>
      <c r="L48" s="11">
        <f>COUNTIFS(发射纪录!$C:$C,"&lt;&gt;-",发射纪录!$G:$G,"&gt;="&amp;DATE(YEAR($A48),1,1),发射纪录!$G:$G,"&lt;="&amp;DATE(YEAR($A48),12,31),发射纪录!$N:$N,"&lt;&gt;",发射纪录!$J:$J,"="&amp;发射地年間統計!L$3)</f>
        <v>0</v>
      </c>
      <c r="M48" s="11">
        <f>COUNTIFS(发射纪录!$C:$C,"&lt;&gt;-",发射纪录!$G:$G,"&gt;="&amp;DATE(YEAR($A48),1,1),发射纪录!$G:$G,"&lt;="&amp;DATE(YEAR($A48),12,31),发射纪录!$N:$N,"&lt;&gt;",发射纪录!$J:$J,"="&amp;发射地年間統計!M$3)</f>
        <v>0</v>
      </c>
      <c r="N48" s="430">
        <f>COUNTIFS(发射纪录!$C:$C,"&lt;&gt;-",发射纪录!$G:$G,"&gt;="&amp;DATE(YEAR($A48),1,1),发射纪录!$G:$G,"&lt;="&amp;DATE(YEAR($A48),12,31),发射纪录!$N:$N,"&lt;&gt;",发射纪录!$J:$J,"="&amp;发射地年間統計!N$3)</f>
        <v>0</v>
      </c>
      <c r="O48" s="9">
        <f t="shared" si="3"/>
        <v>1</v>
      </c>
      <c r="P48" s="11">
        <f t="shared" si="4"/>
        <v>7</v>
      </c>
      <c r="Q48" s="11">
        <f t="shared" si="5"/>
        <v>5</v>
      </c>
      <c r="R48" s="11">
        <f t="shared" si="6"/>
        <v>0</v>
      </c>
      <c r="S48" s="11">
        <f t="shared" si="7"/>
        <v>3</v>
      </c>
      <c r="T48" s="11">
        <f t="shared" si="8"/>
        <v>0</v>
      </c>
      <c r="U48" s="430">
        <f t="shared" si="9"/>
        <v>0</v>
      </c>
      <c r="V48" s="9">
        <f t="shared" si="10"/>
        <v>15</v>
      </c>
    </row>
    <row r="49" spans="1:23" x14ac:dyDescent="0.45">
      <c r="A49" s="61">
        <v>41640</v>
      </c>
      <c r="B49" s="15">
        <f>COUNTIFS(发射纪录!$B:$B,"&lt;&gt;-",发射纪录!$G:$G,"&gt;="&amp;DATE(YEAR($A49),1,1),发射纪录!$G:$G,"&lt;="&amp;DATE(YEAR($A49),12,31),发射纪录!$N:$N,"&lt;&gt;",发射纪录!$J:$J,"="&amp;发射地年間統計!B$3)</f>
        <v>7</v>
      </c>
      <c r="C49" s="11">
        <f>COUNTIFS(发射纪录!$B:$B,"&lt;&gt;-",发射纪录!$G:$G,"&gt;="&amp;DATE(YEAR($A49),1,1),发射纪录!$G:$G,"&lt;="&amp;DATE(YEAR($A49),12,31),发射纪录!$N:$N,"&lt;&gt;",发射纪录!$J:$J,"="&amp;发射地年間統計!C$3)</f>
        <v>6</v>
      </c>
      <c r="D49" s="11">
        <f>COUNTIFS(发射纪录!$B:$B,"&lt;&gt;-",发射纪录!$G:$G,"&gt;="&amp;DATE(YEAR($A49),1,1),发射纪录!$G:$G,"&lt;="&amp;DATE(YEAR($A49),12,31),发射纪录!$N:$N,"&lt;&gt;",发射纪录!$J:$J,"="&amp;发射地年間統計!D$3)</f>
        <v>0</v>
      </c>
      <c r="E49" s="11">
        <f>COUNTIFS(发射纪录!$B:$B,"&lt;&gt;-",发射纪录!$G:$G,"&gt;="&amp;DATE(YEAR($A49),1,1),发射纪录!$G:$G,"&lt;="&amp;DATE(YEAR($A49),12,31),发射纪录!$N:$N,"&lt;&gt;",发射纪录!$J:$J,"="&amp;发射地年間統計!E$3)</f>
        <v>2</v>
      </c>
      <c r="F49" s="11">
        <f>COUNTIFS(发射纪录!$B:$B,"&lt;&gt;-",发射纪录!$G:$G,"&gt;="&amp;DATE(YEAR($A49),1,1),发射纪录!$G:$G,"&lt;="&amp;DATE(YEAR($A49),12,31),发射纪录!$N:$N,"&lt;&gt;",发射纪录!$J:$J,"="&amp;发射地年間統計!F$3)</f>
        <v>0</v>
      </c>
      <c r="G49" s="430">
        <f>COUNTIFS(发射纪录!$B:$B,"&lt;&gt;-",发射纪录!$G:$G,"&gt;="&amp;DATE(YEAR($A49),1,1),发射纪录!$G:$G,"&lt;="&amp;DATE(YEAR($A49),12,31),发射纪录!$N:$N,"&lt;&gt;",发射纪录!$J:$J,"="&amp;发射地年間統計!G$3)</f>
        <v>0</v>
      </c>
      <c r="H49" s="9">
        <f t="shared" si="2"/>
        <v>15</v>
      </c>
      <c r="I49" s="11">
        <f>COUNTIFS(发射纪录!$C:$C,"&lt;&gt;-",发射纪录!$G:$G,"&gt;="&amp;DATE(YEAR($A49),1,1),发射纪录!$G:$G,"&lt;="&amp;DATE(YEAR($A49),12,31),发射纪录!$N:$N,"&lt;&gt;",发射纪录!$J:$J,"="&amp;发射地年間統計!I$3)</f>
        <v>1</v>
      </c>
      <c r="J49" s="11">
        <f>COUNTIFS(发射纪录!$C:$C,"&lt;&gt;-",发射纪录!$G:$G,"&gt;="&amp;DATE(YEAR($A49),1,1),发射纪录!$G:$G,"&lt;="&amp;DATE(YEAR($A49),12,31),发射纪录!$N:$N,"&lt;&gt;",发射纪录!$J:$J,"="&amp;发射地年間統計!J$3)</f>
        <v>0</v>
      </c>
      <c r="K49" s="11">
        <f>COUNTIFS(发射纪录!$C:$C,"&lt;&gt;-",发射纪录!$G:$G,"&gt;="&amp;DATE(YEAR($A49),1,1),发射纪录!$G:$G,"&lt;="&amp;DATE(YEAR($A49),12,31),发射纪录!$N:$N,"&lt;&gt;",发射纪录!$J:$J,"="&amp;发射地年間統計!K$3)</f>
        <v>0</v>
      </c>
      <c r="L49" s="11">
        <f>COUNTIFS(发射纪录!$C:$C,"&lt;&gt;-",发射纪录!$G:$G,"&gt;="&amp;DATE(YEAR($A49),1,1),发射纪录!$G:$G,"&lt;="&amp;DATE(YEAR($A49),12,31),发射纪录!$N:$N,"&lt;&gt;",发射纪录!$J:$J,"="&amp;发射地年間統計!L$3)</f>
        <v>0</v>
      </c>
      <c r="M49" s="11">
        <f>COUNTIFS(发射纪录!$C:$C,"&lt;&gt;-",发射纪录!$G:$G,"&gt;="&amp;DATE(YEAR($A49),1,1),发射纪录!$G:$G,"&lt;="&amp;DATE(YEAR($A49),12,31),发射纪录!$N:$N,"&lt;&gt;",发射纪录!$J:$J,"="&amp;发射地年間統計!M$3)</f>
        <v>0</v>
      </c>
      <c r="N49" s="430">
        <f>COUNTIFS(发射纪录!$C:$C,"&lt;&gt;-",发射纪录!$G:$G,"&gt;="&amp;DATE(YEAR($A49),1,1),发射纪录!$G:$G,"&lt;="&amp;DATE(YEAR($A49),12,31),发射纪录!$N:$N,"&lt;&gt;",发射纪录!$J:$J,"="&amp;发射地年間統計!N$3)</f>
        <v>0</v>
      </c>
      <c r="O49" s="9">
        <f t="shared" si="3"/>
        <v>1</v>
      </c>
      <c r="P49" s="11">
        <f t="shared" si="4"/>
        <v>8</v>
      </c>
      <c r="Q49" s="11">
        <f t="shared" si="5"/>
        <v>6</v>
      </c>
      <c r="R49" s="11">
        <f t="shared" si="6"/>
        <v>0</v>
      </c>
      <c r="S49" s="11">
        <f t="shared" si="7"/>
        <v>2</v>
      </c>
      <c r="T49" s="11">
        <f t="shared" si="8"/>
        <v>0</v>
      </c>
      <c r="U49" s="430">
        <f t="shared" si="9"/>
        <v>0</v>
      </c>
      <c r="V49" s="9">
        <f t="shared" si="10"/>
        <v>16</v>
      </c>
    </row>
    <row r="50" spans="1:23" x14ac:dyDescent="0.45">
      <c r="A50" s="61">
        <v>42005</v>
      </c>
      <c r="B50" s="15">
        <f>COUNTIFS(发射纪录!$B:$B,"&lt;&gt;-",发射纪录!$G:$G,"&gt;="&amp;DATE(YEAR($A50),1,1),发射纪录!$G:$G,"&lt;="&amp;DATE(YEAR($A50),12,31),发射纪录!$N:$N,"&lt;&gt;",发射纪录!$J:$J,"="&amp;发射地年間統計!B$3)</f>
        <v>5</v>
      </c>
      <c r="C50" s="11">
        <f>COUNTIFS(发射纪录!$B:$B,"&lt;&gt;-",发射纪录!$G:$G,"&gt;="&amp;DATE(YEAR($A50),1,1),发射纪录!$G:$G,"&lt;="&amp;DATE(YEAR($A50),12,31),发射纪录!$N:$N,"&lt;&gt;",发射纪录!$J:$J,"="&amp;发射地年間統計!C$3)</f>
        <v>5</v>
      </c>
      <c r="D50" s="11">
        <f>COUNTIFS(发射纪录!$B:$B,"&lt;&gt;-",发射纪录!$G:$G,"&gt;="&amp;DATE(YEAR($A50),1,1),发射纪录!$G:$G,"&lt;="&amp;DATE(YEAR($A50),12,31),发射纪录!$N:$N,"&lt;&gt;",发射纪录!$J:$J,"="&amp;发射地年間統計!D$3)</f>
        <v>0</v>
      </c>
      <c r="E50" s="11">
        <f>COUNTIFS(发射纪录!$B:$B,"&lt;&gt;-",发射纪录!$G:$G,"&gt;="&amp;DATE(YEAR($A50),1,1),发射纪录!$G:$G,"&lt;="&amp;DATE(YEAR($A50),12,31),发射纪录!$N:$N,"&lt;&gt;",发射纪录!$J:$J,"="&amp;发射地年間統計!E$3)</f>
        <v>9</v>
      </c>
      <c r="F50" s="11">
        <f>COUNTIFS(发射纪录!$B:$B,"&lt;&gt;-",发射纪录!$G:$G,"&gt;="&amp;DATE(YEAR($A50),1,1),发射纪录!$G:$G,"&lt;="&amp;DATE(YEAR($A50),12,31),发射纪录!$N:$N,"&lt;&gt;",发射纪录!$J:$J,"="&amp;发射地年間統計!F$3)</f>
        <v>0</v>
      </c>
      <c r="G50" s="430">
        <f>COUNTIFS(发射纪录!$B:$B,"&lt;&gt;-",发射纪录!$G:$G,"&gt;="&amp;DATE(YEAR($A50),1,1),发射纪录!$G:$G,"&lt;="&amp;DATE(YEAR($A50),12,31),发射纪录!$N:$N,"&lt;&gt;",发射纪录!$J:$J,"="&amp;发射地年間統計!G$3)</f>
        <v>0</v>
      </c>
      <c r="H50" s="9">
        <f t="shared" si="2"/>
        <v>19</v>
      </c>
      <c r="I50" s="11">
        <f ca="1">COUNTIFS(发射纪录!$C:$C,"&lt;&gt;-",发射纪录!$G:$G,"&gt;="&amp;DATE(YEAR($A50),1,1),发射纪录!$G:$G,"&lt;="&amp;DATE(YEAR($A50),12,31),发射纪录!$N:$N,"&lt;&gt;",发射纪录!$J:$J,"="&amp;发射地年間統計!I$3)</f>
        <v>0</v>
      </c>
      <c r="J50" s="11">
        <f>COUNTIFS(发射纪录!$C:$C,"&lt;&gt;-",发射纪录!$G:$G,"&gt;="&amp;DATE(YEAR($A50),1,1),发射纪录!$G:$G,"&lt;="&amp;DATE(YEAR($A50),12,31),发射纪录!$N:$N,"&lt;&gt;",发射纪录!$J:$J,"="&amp;发射地年間統計!J$3)</f>
        <v>0</v>
      </c>
      <c r="K50" s="11">
        <f>COUNTIFS(发射纪录!$C:$C,"&lt;&gt;-",发射纪录!$G:$G,"&gt;="&amp;DATE(YEAR($A50),1,1),发射纪录!$G:$G,"&lt;="&amp;DATE(YEAR($A50),12,31),发射纪录!$N:$N,"&lt;&gt;",发射纪录!$J:$J,"="&amp;发射地年間統計!K$3)</f>
        <v>0</v>
      </c>
      <c r="L50" s="11">
        <f>COUNTIFS(发射纪录!$C:$C,"&lt;&gt;-",发射纪录!$G:$G,"&gt;="&amp;DATE(YEAR($A50),1,1),发射纪录!$G:$G,"&lt;="&amp;DATE(YEAR($A50),12,31),发射纪录!$N:$N,"&lt;&gt;",发射纪录!$J:$J,"="&amp;发射地年間統計!L$3)</f>
        <v>0</v>
      </c>
      <c r="M50" s="11">
        <f>COUNTIFS(发射纪录!$C:$C,"&lt;&gt;-",发射纪录!$G:$G,"&gt;="&amp;DATE(YEAR($A50),1,1),发射纪录!$G:$G,"&lt;="&amp;DATE(YEAR($A50),12,31),发射纪录!$N:$N,"&lt;&gt;",发射纪录!$J:$J,"="&amp;发射地年間統計!M$3)</f>
        <v>0</v>
      </c>
      <c r="N50" s="430">
        <f>COUNTIFS(发射纪录!$C:$C,"&lt;&gt;-",发射纪录!$G:$G,"&gt;="&amp;DATE(YEAR($A50),1,1),发射纪录!$G:$G,"&lt;="&amp;DATE(YEAR($A50),12,31),发射纪录!$N:$N,"&lt;&gt;",发射纪录!$J:$J,"="&amp;发射地年間統計!N$3)</f>
        <v>0</v>
      </c>
      <c r="O50" s="9">
        <f t="shared" ca="1" si="3"/>
        <v>0</v>
      </c>
      <c r="P50" s="11">
        <f t="shared" ca="1" si="4"/>
        <v>5</v>
      </c>
      <c r="Q50" s="11">
        <f t="shared" si="5"/>
        <v>5</v>
      </c>
      <c r="R50" s="11">
        <f t="shared" si="6"/>
        <v>0</v>
      </c>
      <c r="S50" s="11">
        <f t="shared" si="7"/>
        <v>9</v>
      </c>
      <c r="T50" s="11">
        <f t="shared" si="8"/>
        <v>0</v>
      </c>
      <c r="U50" s="430">
        <f t="shared" si="9"/>
        <v>0</v>
      </c>
      <c r="V50" s="9">
        <f t="shared" ca="1" si="10"/>
        <v>19</v>
      </c>
    </row>
    <row r="51" spans="1:23" x14ac:dyDescent="0.45">
      <c r="A51" s="61">
        <v>42370</v>
      </c>
      <c r="B51" s="15">
        <f>COUNTIFS(发射纪录!$B:$B,"&lt;&gt;-",发射纪录!$G:$G,"&gt;="&amp;DATE(YEAR($A51),1,1),发射纪录!$G:$G,"&lt;="&amp;DATE(YEAR($A51),12,31),发射纪录!$N:$N,"&lt;&gt;",发射纪录!$J:$J,"="&amp;发射地年間統計!B$3)</f>
        <v>9</v>
      </c>
      <c r="C51" s="11">
        <f>COUNTIFS(发射纪录!$B:$B,"&lt;&gt;-",发射纪录!$G:$G,"&gt;="&amp;DATE(YEAR($A51),1,1),发射纪录!$G:$G,"&lt;="&amp;DATE(YEAR($A51),12,31),发射纪录!$N:$N,"&lt;&gt;",发射纪录!$J:$J,"="&amp;发射地年間統計!C$3)</f>
        <v>4</v>
      </c>
      <c r="D51" s="11">
        <f>COUNTIFS(发射纪录!$B:$B,"&lt;&gt;-",发射纪录!$G:$G,"&gt;="&amp;DATE(YEAR($A51),1,1),发射纪录!$G:$G,"&lt;="&amp;DATE(YEAR($A51),12,31),发射纪录!$N:$N,"&lt;&gt;",发射纪录!$J:$J,"="&amp;发射地年間統計!D$3)</f>
        <v>0</v>
      </c>
      <c r="E51" s="11">
        <f>COUNTIFS(发射纪录!$B:$B,"&lt;&gt;-",发射纪录!$G:$G,"&gt;="&amp;DATE(YEAR($A51),1,1),发射纪录!$G:$G,"&lt;="&amp;DATE(YEAR($A51),12,31),发射纪录!$N:$N,"&lt;&gt;",发射纪录!$J:$J,"="&amp;发射地年間統計!E$3)</f>
        <v>7</v>
      </c>
      <c r="F51" s="11">
        <f>COUNTIFS(发射纪录!$B:$B,"&lt;&gt;-",发射纪录!$G:$G,"&gt;="&amp;DATE(YEAR($A51),1,1),发射纪录!$G:$G,"&lt;="&amp;DATE(YEAR($A51),12,31),发射纪录!$N:$N,"&lt;&gt;",发射纪录!$J:$J,"="&amp;发射地年間統計!F$3)</f>
        <v>2</v>
      </c>
      <c r="G51" s="430">
        <f>COUNTIFS(发射纪录!$B:$B,"&lt;&gt;-",发射纪录!$G:$G,"&gt;="&amp;DATE(YEAR($A51),1,1),发射纪录!$G:$G,"&lt;="&amp;DATE(YEAR($A51),12,31),发射纪录!$N:$N,"&lt;&gt;",发射纪录!$J:$J,"="&amp;发射地年間統計!G$3)</f>
        <v>0</v>
      </c>
      <c r="H51" s="9">
        <f t="shared" si="2"/>
        <v>22</v>
      </c>
      <c r="I51" s="11">
        <f>COUNTIFS(发射纪录!$C:$C,"&lt;&gt;-",发射纪录!$G:$G,"&gt;="&amp;DATE(YEAR($A51),1,1),发射纪录!$G:$G,"&lt;="&amp;DATE(YEAR($A51),12,31),发射纪录!$N:$N,"&lt;&gt;",发射纪录!$J:$J,"="&amp;发射地年間統計!I$3)</f>
        <v>0</v>
      </c>
      <c r="J51" s="11">
        <f>COUNTIFS(发射纪录!$C:$C,"&lt;&gt;-",发射纪录!$G:$G,"&gt;="&amp;DATE(YEAR($A51),1,1),发射纪录!$G:$G,"&lt;="&amp;DATE(YEAR($A51),12,31),发射纪录!$N:$N,"&lt;&gt;",发射纪录!$J:$J,"="&amp;发射地年間統計!J$3)</f>
        <v>0</v>
      </c>
      <c r="K51" s="11">
        <f>COUNTIFS(发射纪录!$C:$C,"&lt;&gt;-",发射纪录!$G:$G,"&gt;="&amp;DATE(YEAR($A51),1,1),发射纪录!$G:$G,"&lt;="&amp;DATE(YEAR($A51),12,31),发射纪录!$N:$N,"&lt;&gt;",发射纪录!$J:$J,"="&amp;发射地年間統計!K$3)</f>
        <v>0</v>
      </c>
      <c r="L51" s="11">
        <f>COUNTIFS(发射纪录!$C:$C,"&lt;&gt;-",发射纪录!$G:$G,"&gt;="&amp;DATE(YEAR($A51),1,1),发射纪录!$G:$G,"&lt;="&amp;DATE(YEAR($A51),12,31),发射纪录!$N:$N,"&lt;&gt;",发射纪录!$J:$J,"="&amp;发射地年間統計!L$3)</f>
        <v>0</v>
      </c>
      <c r="M51" s="11">
        <f>COUNTIFS(发射纪录!$C:$C,"&lt;&gt;-",发射纪录!$G:$G,"&gt;="&amp;DATE(YEAR($A51),1,1),发射纪录!$G:$G,"&lt;="&amp;DATE(YEAR($A51),12,31),发射纪录!$N:$N,"&lt;&gt;",发射纪录!$J:$J,"="&amp;发射地年間統計!M$3)</f>
        <v>0</v>
      </c>
      <c r="N51" s="430">
        <f>COUNTIFS(发射纪录!$C:$C,"&lt;&gt;-",发射纪录!$G:$G,"&gt;="&amp;DATE(YEAR($A51),1,1),发射纪录!$G:$G,"&lt;="&amp;DATE(YEAR($A51),12,31),发射纪录!$N:$N,"&lt;&gt;",发射纪录!$J:$J,"="&amp;发射地年間統計!N$3)</f>
        <v>0</v>
      </c>
      <c r="O51" s="9">
        <f t="shared" si="3"/>
        <v>0</v>
      </c>
      <c r="P51" s="11">
        <f t="shared" si="4"/>
        <v>9</v>
      </c>
      <c r="Q51" s="11">
        <f t="shared" si="5"/>
        <v>4</v>
      </c>
      <c r="R51" s="11">
        <f t="shared" si="6"/>
        <v>0</v>
      </c>
      <c r="S51" s="11">
        <f t="shared" si="7"/>
        <v>7</v>
      </c>
      <c r="T51" s="11">
        <f t="shared" si="8"/>
        <v>2</v>
      </c>
      <c r="U51" s="430">
        <f t="shared" si="9"/>
        <v>0</v>
      </c>
      <c r="V51" s="9">
        <f t="shared" si="10"/>
        <v>22</v>
      </c>
    </row>
    <row r="52" spans="1:23" x14ac:dyDescent="0.45">
      <c r="A52" s="61">
        <v>42736</v>
      </c>
      <c r="B52" s="15">
        <f>COUNTIFS(发射纪录!$B:$B,"&lt;&gt;-",发射纪录!$G:$G,"&gt;="&amp;DATE(YEAR($A52),1,1),发射纪录!$G:$G,"&lt;="&amp;DATE(YEAR($A52),12,31),发射纪录!$N:$N,"&lt;&gt;",发射纪录!$J:$J,"="&amp;发射地年間統計!B$3)</f>
        <v>4</v>
      </c>
      <c r="C52" s="11">
        <f>COUNTIFS(发射纪录!$B:$B,"&lt;&gt;-",发射纪录!$G:$G,"&gt;="&amp;DATE(YEAR($A52),1,1),发射纪录!$G:$G,"&lt;="&amp;DATE(YEAR($A52),12,31),发射纪录!$N:$N,"&lt;&gt;",发射纪录!$J:$J,"="&amp;发射地年間統計!C$3)</f>
        <v>2</v>
      </c>
      <c r="D52" s="11">
        <f>COUNTIFS(发射纪录!$B:$B,"&lt;&gt;-",发射纪录!$G:$G,"&gt;="&amp;DATE(YEAR($A52),1,1),发射纪录!$G:$G,"&lt;="&amp;DATE(YEAR($A52),12,31),发射纪录!$N:$N,"&lt;&gt;",发射纪录!$J:$J,"="&amp;发射地年間統計!D$3)</f>
        <v>0</v>
      </c>
      <c r="E52" s="11">
        <f>COUNTIFS(发射纪录!$B:$B,"&lt;&gt;-",发射纪录!$G:$G,"&gt;="&amp;DATE(YEAR($A52),1,1),发射纪录!$G:$G,"&lt;="&amp;DATE(YEAR($A52),12,31),发射纪录!$N:$N,"&lt;&gt;",发射纪录!$J:$J,"="&amp;发射地年間統計!E$3)</f>
        <v>8</v>
      </c>
      <c r="F52" s="11">
        <f>COUNTIFS(发射纪录!$B:$B,"&lt;&gt;-",发射纪录!$G:$G,"&gt;="&amp;DATE(YEAR($A52),1,1),发射纪录!$G:$G,"&lt;="&amp;DATE(YEAR($A52),12,31),发射纪录!$N:$N,"&lt;&gt;",发射纪录!$J:$J,"="&amp;发射地年間統計!F$3)</f>
        <v>2</v>
      </c>
      <c r="G52" s="430">
        <f>COUNTIFS(发射纪录!$B:$B,"&lt;&gt;-",发射纪录!$G:$G,"&gt;="&amp;DATE(YEAR($A52),1,1),发射纪录!$G:$G,"&lt;="&amp;DATE(YEAR($A52),12,31),发射纪录!$N:$N,"&lt;&gt;",发射纪录!$J:$J,"="&amp;发射地年間統計!G$3)</f>
        <v>0</v>
      </c>
      <c r="H52" s="9">
        <f t="shared" si="2"/>
        <v>16</v>
      </c>
      <c r="I52" s="11">
        <f>COUNTIFS(发射纪录!$C:$C,"&lt;&gt;-",发射纪录!$G:$G,"&gt;="&amp;DATE(YEAR($A52),1,1),发射纪录!$G:$G,"&lt;="&amp;DATE(YEAR($A52),12,31),发射纪录!$N:$N,"&lt;&gt;",发射纪录!$J:$J,"="&amp;发射地年間統計!I$3)</f>
        <v>2</v>
      </c>
      <c r="J52" s="11">
        <f>COUNTIFS(发射纪录!$C:$C,"&lt;&gt;-",发射纪录!$G:$G,"&gt;="&amp;DATE(YEAR($A52),1,1),发射纪录!$G:$G,"&lt;="&amp;DATE(YEAR($A52),12,31),发射纪录!$N:$N,"&lt;&gt;",发射纪录!$J:$J,"="&amp;发射地年間統計!J$3)</f>
        <v>0</v>
      </c>
      <c r="K52" s="11">
        <f>COUNTIFS(发射纪录!$C:$C,"&lt;&gt;-",发射纪录!$G:$G,"&gt;="&amp;DATE(YEAR($A52),1,1),发射纪录!$G:$G,"&lt;="&amp;DATE(YEAR($A52),12,31),发射纪录!$N:$N,"&lt;&gt;",发射纪录!$J:$J,"="&amp;发射地年間統計!K$3)</f>
        <v>0</v>
      </c>
      <c r="L52" s="11">
        <f>COUNTIFS(发射纪录!$C:$C,"&lt;&gt;-",发射纪录!$G:$G,"&gt;="&amp;DATE(YEAR($A52),1,1),发射纪录!$G:$G,"&lt;="&amp;DATE(YEAR($A52),12,31),发射纪录!$N:$N,"&lt;&gt;",发射纪录!$J:$J,"="&amp;发射地年間統計!L$3)</f>
        <v>0</v>
      </c>
      <c r="M52" s="11">
        <f>COUNTIFS(发射纪录!$C:$C,"&lt;&gt;-",发射纪录!$G:$G,"&gt;="&amp;DATE(YEAR($A52),1,1),发射纪录!$G:$G,"&lt;="&amp;DATE(YEAR($A52),12,31),发射纪录!$N:$N,"&lt;&gt;",发射纪录!$J:$J,"="&amp;发射地年間統計!M$3)</f>
        <v>0</v>
      </c>
      <c r="N52" s="430">
        <f>COUNTIFS(发射纪录!$C:$C,"&lt;&gt;-",发射纪录!$G:$G,"&gt;="&amp;DATE(YEAR($A52),1,1),发射纪录!$G:$G,"&lt;="&amp;DATE(YEAR($A52),12,31),发射纪录!$N:$N,"&lt;&gt;",发射纪录!$J:$J,"="&amp;发射地年間統計!N$3)</f>
        <v>0</v>
      </c>
      <c r="O52" s="9">
        <f t="shared" si="3"/>
        <v>2</v>
      </c>
      <c r="P52" s="11">
        <f t="shared" si="4"/>
        <v>6</v>
      </c>
      <c r="Q52" s="11">
        <f t="shared" si="5"/>
        <v>2</v>
      </c>
      <c r="R52" s="11">
        <f t="shared" si="6"/>
        <v>0</v>
      </c>
      <c r="S52" s="11">
        <f t="shared" si="7"/>
        <v>8</v>
      </c>
      <c r="T52" s="11">
        <f t="shared" si="8"/>
        <v>2</v>
      </c>
      <c r="U52" s="430">
        <f t="shared" si="9"/>
        <v>0</v>
      </c>
      <c r="V52" s="9">
        <f t="shared" si="10"/>
        <v>18</v>
      </c>
    </row>
    <row r="53" spans="1:23" x14ac:dyDescent="0.45">
      <c r="A53" s="61">
        <v>43101</v>
      </c>
      <c r="B53" s="15">
        <f>COUNTIFS(发射纪录!$B:$B,"&lt;&gt;-",发射纪录!$G:$G,"&gt;="&amp;DATE(YEAR($A53),1,1),发射纪录!$G:$G,"&lt;="&amp;DATE(YEAR($A53),12,31),发射纪录!$N:$N,"&lt;&gt;",发射纪录!$J:$J,"="&amp;发射地年間統計!B$3)</f>
        <v>14</v>
      </c>
      <c r="C53" s="11">
        <f>COUNTIFS(发射纪录!$B:$B,"&lt;&gt;-",发射纪录!$G:$G,"&gt;="&amp;DATE(YEAR($A53),1,1),发射纪录!$G:$G,"&lt;="&amp;DATE(YEAR($A53),12,31),发射纪录!$N:$N,"&lt;&gt;",发射纪录!$J:$J,"="&amp;发射地年間統計!C$3)</f>
        <v>6</v>
      </c>
      <c r="D53" s="11">
        <f>COUNTIFS(发射纪录!$B:$B,"&lt;&gt;-",发射纪录!$G:$G,"&gt;="&amp;DATE(YEAR($A53),1,1),发射纪录!$G:$G,"&lt;="&amp;DATE(YEAR($A53),12,31),发射纪录!$N:$N,"&lt;&gt;",发射纪录!$J:$J,"="&amp;发射地年間統計!D$3)</f>
        <v>0</v>
      </c>
      <c r="E53" s="11">
        <f>COUNTIFS(发射纪录!$B:$B,"&lt;&gt;-",发射纪录!$G:$G,"&gt;="&amp;DATE(YEAR($A53),1,1),发射纪录!$G:$G,"&lt;="&amp;DATE(YEAR($A53),12,31),发射纪录!$N:$N,"&lt;&gt;",发射纪录!$J:$J,"="&amp;发射地年間統計!E$3)</f>
        <v>17</v>
      </c>
      <c r="F53" s="11">
        <f>COUNTIFS(发射纪录!$B:$B,"&lt;&gt;-",发射纪录!$G:$G,"&gt;="&amp;DATE(YEAR($A53),1,1),发射纪录!$G:$G,"&lt;="&amp;DATE(YEAR($A53),12,31),发射纪录!$N:$N,"&lt;&gt;",发射纪录!$J:$J,"="&amp;发射地年間統計!F$3)</f>
        <v>0</v>
      </c>
      <c r="G53" s="430">
        <f>COUNTIFS(发射纪录!$B:$B,"&lt;&gt;-",发射纪录!$G:$G,"&gt;="&amp;DATE(YEAR($A53),1,1),发射纪录!$G:$G,"&lt;="&amp;DATE(YEAR($A53),12,31),发射纪录!$N:$N,"&lt;&gt;",发射纪录!$J:$J,"="&amp;发射地年間統計!G$3)</f>
        <v>0</v>
      </c>
      <c r="H53" s="9">
        <f t="shared" si="2"/>
        <v>37</v>
      </c>
      <c r="I53" s="11">
        <f>COUNTIFS(发射纪录!$C:$C,"&lt;&gt;-",发射纪录!$G:$G,"&gt;="&amp;DATE(YEAR($A53),1,1),发射纪录!$G:$G,"&lt;="&amp;DATE(YEAR($A53),12,31),发射纪录!$N:$N,"&lt;&gt;",发射纪录!$J:$J,"="&amp;发射地年間統計!I$3)</f>
        <v>2</v>
      </c>
      <c r="J53" s="11">
        <f>COUNTIFS(发射纪录!$C:$C,"&lt;&gt;-",发射纪录!$G:$G,"&gt;="&amp;DATE(YEAR($A53),1,1),发射纪录!$G:$G,"&lt;="&amp;DATE(YEAR($A53),12,31),发射纪录!$N:$N,"&lt;&gt;",发射纪录!$J:$J,"="&amp;发射地年間統計!J$3)</f>
        <v>0</v>
      </c>
      <c r="K53" s="11">
        <f>COUNTIFS(发射纪录!$C:$C,"&lt;&gt;-",发射纪录!$G:$G,"&gt;="&amp;DATE(YEAR($A53),1,1),发射纪录!$G:$G,"&lt;="&amp;DATE(YEAR($A53),12,31),发射纪录!$N:$N,"&lt;&gt;",发射纪录!$J:$J,"="&amp;发射地年間統計!K$3)</f>
        <v>0</v>
      </c>
      <c r="L53" s="11">
        <f>COUNTIFS(发射纪录!$C:$C,"&lt;&gt;-",发射纪录!$G:$G,"&gt;="&amp;DATE(YEAR($A53),1,1),发射纪录!$G:$G,"&lt;="&amp;DATE(YEAR($A53),12,31),发射纪录!$N:$N,"&lt;&gt;",发射纪录!$J:$J,"="&amp;发射地年間統計!L$3)</f>
        <v>0</v>
      </c>
      <c r="M53" s="11">
        <f>COUNTIFS(发射纪录!$C:$C,"&lt;&gt;-",发射纪录!$G:$G,"&gt;="&amp;DATE(YEAR($A53),1,1),发射纪录!$G:$G,"&lt;="&amp;DATE(YEAR($A53),12,31),发射纪录!$N:$N,"&lt;&gt;",发射纪录!$J:$J,"="&amp;发射地年間統計!M$3)</f>
        <v>0</v>
      </c>
      <c r="N53" s="430">
        <f>COUNTIFS(发射纪录!$C:$C,"&lt;&gt;-",发射纪录!$G:$G,"&gt;="&amp;DATE(YEAR($A53),1,1),发射纪录!$G:$G,"&lt;="&amp;DATE(YEAR($A53),12,31),发射纪录!$N:$N,"&lt;&gt;",发射纪录!$J:$J,"="&amp;发射地年間統計!N$3)</f>
        <v>0</v>
      </c>
      <c r="O53" s="9">
        <f t="shared" si="3"/>
        <v>2</v>
      </c>
      <c r="P53" s="11">
        <f t="shared" si="4"/>
        <v>16</v>
      </c>
      <c r="Q53" s="11">
        <f t="shared" si="5"/>
        <v>6</v>
      </c>
      <c r="R53" s="11">
        <f t="shared" si="6"/>
        <v>0</v>
      </c>
      <c r="S53" s="11">
        <f t="shared" si="7"/>
        <v>17</v>
      </c>
      <c r="T53" s="11">
        <f t="shared" si="8"/>
        <v>0</v>
      </c>
      <c r="U53" s="430">
        <f t="shared" si="9"/>
        <v>0</v>
      </c>
      <c r="V53" s="9">
        <f t="shared" si="10"/>
        <v>39</v>
      </c>
    </row>
    <row r="54" spans="1:23" x14ac:dyDescent="0.45">
      <c r="A54" s="61">
        <v>43466</v>
      </c>
      <c r="B54" s="15">
        <f>COUNTIFS(发射纪录!$B:$B,"&lt;&gt;-",发射纪录!$G:$G,"&gt;="&amp;DATE(YEAR($A54),1,1),发射纪录!$G:$G,"&lt;="&amp;DATE(YEAR($A54),12,31),发射纪录!$N:$N,"&lt;&gt;",发射纪录!$J:$J,"="&amp;发射地年間統計!B$3)</f>
        <v>3</v>
      </c>
      <c r="C54" s="11">
        <f>COUNTIFS(发射纪录!$B:$B,"&lt;&gt;-",发射纪录!$G:$G,"&gt;="&amp;DATE(YEAR($A54),1,1),发射纪录!$G:$G,"&lt;="&amp;DATE(YEAR($A54),12,31),发射纪录!$N:$N,"&lt;&gt;",发射纪录!$J:$J,"="&amp;发射地年間統計!C$3)</f>
        <v>8</v>
      </c>
      <c r="D54" s="11">
        <f>COUNTIFS(发射纪录!$B:$B,"&lt;&gt;-",发射纪录!$G:$G,"&gt;="&amp;DATE(YEAR($A54),1,1),发射纪录!$G:$G,"&lt;="&amp;DATE(YEAR($A54),12,31),发射纪录!$N:$N,"&lt;&gt;",发射纪录!$J:$J,"="&amp;发射地年間統計!D$3)</f>
        <v>1</v>
      </c>
      <c r="E54" s="11">
        <f>COUNTIFS(发射纪录!$B:$B,"&lt;&gt;-",发射纪录!$G:$G,"&gt;="&amp;DATE(YEAR($A54),1,1),发射纪录!$G:$G,"&lt;="&amp;DATE(YEAR($A54),12,31),发射纪录!$N:$N,"&lt;&gt;",发射纪录!$J:$J,"="&amp;发射地年間統計!E$3)</f>
        <v>13</v>
      </c>
      <c r="F54" s="11">
        <f>COUNTIFS(发射纪录!$B:$B,"&lt;&gt;-",发射纪录!$G:$G,"&gt;="&amp;DATE(YEAR($A54),1,1),发射纪录!$G:$G,"&lt;="&amp;DATE(YEAR($A54),12,31),发射纪录!$N:$N,"&lt;&gt;",发射纪录!$J:$J,"="&amp;发射地年間統計!F$3)</f>
        <v>1</v>
      </c>
      <c r="G54" s="430">
        <f>COUNTIFS(发射纪录!$B:$B,"&lt;&gt;-",发射纪录!$G:$G,"&gt;="&amp;DATE(YEAR($A54),1,1),发射纪录!$G:$G,"&lt;="&amp;DATE(YEAR($A54),12,31),发射纪录!$N:$N,"&lt;&gt;",发射纪录!$J:$J,"="&amp;发射地年間統計!G$3)</f>
        <v>0</v>
      </c>
      <c r="H54" s="9">
        <f t="shared" si="2"/>
        <v>26</v>
      </c>
      <c r="I54" s="11">
        <f>COUNTIFS(发射纪录!$C:$C,"&lt;&gt;-",发射纪录!$G:$G,"&gt;="&amp;DATE(YEAR($A54),1,1),发射纪录!$G:$G,"&lt;="&amp;DATE(YEAR($A54),12,31),发射纪录!$N:$N,"&lt;&gt;",发射纪录!$J:$J,"="&amp;发射地年間統計!I$3)</f>
        <v>6</v>
      </c>
      <c r="J54" s="11">
        <f>COUNTIFS(发射纪录!$C:$C,"&lt;&gt;-",发射纪录!$G:$G,"&gt;="&amp;DATE(YEAR($A54),1,1),发射纪录!$G:$G,"&lt;="&amp;DATE(YEAR($A54),12,31),发射纪录!$N:$N,"&lt;&gt;",发射纪录!$J:$J,"="&amp;发射地年間統計!J$3)</f>
        <v>2</v>
      </c>
      <c r="K54" s="11">
        <f>COUNTIFS(发射纪录!$C:$C,"&lt;&gt;-",发射纪录!$G:$G,"&gt;="&amp;DATE(YEAR($A54),1,1),发射纪录!$G:$G,"&lt;="&amp;DATE(YEAR($A54),12,31),发射纪录!$N:$N,"&lt;&gt;",发射纪录!$J:$J,"="&amp;发射地年間統計!K$3)</f>
        <v>0</v>
      </c>
      <c r="L54" s="11">
        <f>COUNTIFS(发射纪录!$C:$C,"&lt;&gt;-",发射纪录!$G:$G,"&gt;="&amp;DATE(YEAR($A54),1,1),发射纪录!$G:$G,"&lt;="&amp;DATE(YEAR($A54),12,31),发射纪录!$N:$N,"&lt;&gt;",发射纪录!$J:$J,"="&amp;发射地年間統計!L$3)</f>
        <v>0</v>
      </c>
      <c r="M54" s="11">
        <f>COUNTIFS(发射纪录!$C:$C,"&lt;&gt;-",发射纪录!$G:$G,"&gt;="&amp;DATE(YEAR($A54),1,1),发射纪录!$G:$G,"&lt;="&amp;DATE(YEAR($A54),12,31),发射纪录!$N:$N,"&lt;&gt;",发射纪录!$J:$J,"="&amp;发射地年間統計!M$3)</f>
        <v>0</v>
      </c>
      <c r="N54" s="430">
        <f>COUNTIFS(发射纪录!$C:$C,"&lt;&gt;-",发射纪录!$G:$G,"&gt;="&amp;DATE(YEAR($A54),1,1),发射纪录!$G:$G,"&lt;="&amp;DATE(YEAR($A54),12,31),发射纪录!$N:$N,"&lt;&gt;",发射纪录!$J:$J,"="&amp;发射地年間統計!N$3)</f>
        <v>0</v>
      </c>
      <c r="O54" s="9">
        <f t="shared" si="3"/>
        <v>8</v>
      </c>
      <c r="P54" s="11">
        <f t="shared" si="4"/>
        <v>9</v>
      </c>
      <c r="Q54" s="11">
        <f t="shared" si="5"/>
        <v>10</v>
      </c>
      <c r="R54" s="11">
        <f t="shared" si="6"/>
        <v>1</v>
      </c>
      <c r="S54" s="11">
        <f t="shared" si="7"/>
        <v>13</v>
      </c>
      <c r="T54" s="11">
        <f t="shared" si="8"/>
        <v>1</v>
      </c>
      <c r="U54" s="430">
        <f t="shared" si="9"/>
        <v>0</v>
      </c>
      <c r="V54" s="9">
        <f t="shared" si="10"/>
        <v>34</v>
      </c>
    </row>
    <row r="55" spans="1:23" x14ac:dyDescent="0.45">
      <c r="A55" s="61">
        <v>43831</v>
      </c>
      <c r="B55" s="15">
        <f>COUNTIFS(发射纪录!$B:$B,"&lt;&gt;-",发射纪录!$G:$G,"&gt;="&amp;DATE(YEAR($A55),1,1),发射纪录!$G:$G,"&lt;="&amp;DATE(YEAR($A55),12,31),发射纪录!$N:$N,"&lt;&gt;",发射纪录!$J:$J,"="&amp;发射地年間統計!B$3)</f>
        <v>8</v>
      </c>
      <c r="C55" s="11">
        <f>COUNTIFS(发射纪录!$B:$B,"&lt;&gt;-",发射纪录!$G:$G,"&gt;="&amp;DATE(YEAR($A55),1,1),发射纪录!$G:$G,"&lt;="&amp;DATE(YEAR($A55),12,31),发射纪录!$N:$N,"&lt;&gt;",发射纪录!$J:$J,"="&amp;发射地年間統計!C$3)</f>
        <v>7</v>
      </c>
      <c r="D55" s="11">
        <f>COUNTIFS(发射纪录!$B:$B,"&lt;&gt;-",发射纪录!$G:$G,"&gt;="&amp;DATE(YEAR($A55),1,1),发射纪录!$G:$G,"&lt;="&amp;DATE(YEAR($A55),12,31),发射纪录!$N:$N,"&lt;&gt;",发射纪录!$J:$J,"="&amp;发射地年間統計!D$3)</f>
        <v>1</v>
      </c>
      <c r="E55" s="11">
        <f>COUNTIFS(发射纪录!$B:$B,"&lt;&gt;-",发射纪录!$G:$G,"&gt;="&amp;DATE(YEAR($A55),1,1),发射纪录!$G:$G,"&lt;="&amp;DATE(YEAR($A55),12,31),发射纪录!$N:$N,"&lt;&gt;",发射纪录!$J:$J,"="&amp;发射地年間統計!E$3)</f>
        <v>13</v>
      </c>
      <c r="F55" s="11">
        <f>COUNTIFS(发射纪录!$B:$B,"&lt;&gt;-",发射纪录!$G:$G,"&gt;="&amp;DATE(YEAR($A55),1,1),发射纪录!$G:$G,"&lt;="&amp;DATE(YEAR($A55),12,31),发射纪录!$N:$N,"&lt;&gt;",发射纪录!$J:$J,"="&amp;发射地年間統計!F$3)</f>
        <v>5</v>
      </c>
      <c r="G55" s="430">
        <f>COUNTIFS(发射纪录!$B:$B,"&lt;&gt;-",发射纪录!$G:$G,"&gt;="&amp;DATE(YEAR($A55),1,1),发射纪录!$G:$G,"&lt;="&amp;DATE(YEAR($A55),12,31),发射纪录!$N:$N,"&lt;&gt;",发射纪录!$J:$J,"="&amp;发射地年間統計!G$3)</f>
        <v>0</v>
      </c>
      <c r="H55" s="9">
        <f t="shared" si="2"/>
        <v>34</v>
      </c>
      <c r="I55" s="11">
        <f>COUNTIFS(发射纪录!$C:$C,"&lt;&gt;-",发射纪录!$G:$G,"&gt;="&amp;DATE(YEAR($A55),1,1),发射纪录!$G:$G,"&lt;="&amp;DATE(YEAR($A55),12,31),发射纪录!$N:$N,"&lt;&gt;",发射纪录!$J:$J,"="&amp;发射地年間統計!I$3)</f>
        <v>5</v>
      </c>
      <c r="J55" s="11">
        <f>COUNTIFS(发射纪录!$C:$C,"&lt;&gt;-",发射纪录!$G:$G,"&gt;="&amp;DATE(YEAR($A55),1,1),发射纪录!$G:$G,"&lt;="&amp;DATE(YEAR($A55),12,31),发射纪录!$N:$N,"&lt;&gt;",发射纪录!$J:$J,"="&amp;发射地年間統計!J$3)</f>
        <v>0</v>
      </c>
      <c r="K55" s="11">
        <f>COUNTIFS(发射纪录!$C:$C,"&lt;&gt;-",发射纪录!$G:$G,"&gt;="&amp;DATE(YEAR($A55),1,1),发射纪录!$G:$G,"&lt;="&amp;DATE(YEAR($A55),12,31),发射纪录!$N:$N,"&lt;&gt;",发射纪录!$J:$J,"="&amp;发射地年間統計!K$3)</f>
        <v>0</v>
      </c>
      <c r="L55" s="11">
        <f>COUNTIFS(发射纪录!$C:$C,"&lt;&gt;-",发射纪录!$G:$G,"&gt;="&amp;DATE(YEAR($A55),1,1),发射纪录!$G:$G,"&lt;="&amp;DATE(YEAR($A55),12,31),发射纪录!$N:$N,"&lt;&gt;",发射纪录!$J:$J,"="&amp;发射地年間統計!L$3)</f>
        <v>0</v>
      </c>
      <c r="M55" s="11">
        <f>COUNTIFS(发射纪录!$C:$C,"&lt;&gt;-",发射纪录!$G:$G,"&gt;="&amp;DATE(YEAR($A55),1,1),发射纪录!$G:$G,"&lt;="&amp;DATE(YEAR($A55),12,31),发射纪录!$N:$N,"&lt;&gt;",发射纪录!$J:$J,"="&amp;发射地年間統計!M$3)</f>
        <v>0</v>
      </c>
      <c r="N55" s="430">
        <f>COUNTIFS(发射纪录!$C:$C,"&lt;&gt;-",发射纪录!$G:$G,"&gt;="&amp;DATE(YEAR($A55),1,1),发射纪录!$G:$G,"&lt;="&amp;DATE(YEAR($A55),12,31),发射纪录!$N:$N,"&lt;&gt;",发射纪录!$J:$J,"="&amp;发射地年間統計!N$3)</f>
        <v>0</v>
      </c>
      <c r="O55" s="9">
        <f t="shared" si="3"/>
        <v>5</v>
      </c>
      <c r="P55" s="11">
        <f t="shared" si="4"/>
        <v>13</v>
      </c>
      <c r="Q55" s="11">
        <f t="shared" si="5"/>
        <v>7</v>
      </c>
      <c r="R55" s="11">
        <f t="shared" si="6"/>
        <v>1</v>
      </c>
      <c r="S55" s="11">
        <f t="shared" si="7"/>
        <v>13</v>
      </c>
      <c r="T55" s="11">
        <f t="shared" si="8"/>
        <v>5</v>
      </c>
      <c r="U55" s="430">
        <f t="shared" si="9"/>
        <v>0</v>
      </c>
      <c r="V55" s="9">
        <f t="shared" si="10"/>
        <v>39</v>
      </c>
    </row>
    <row r="56" spans="1:23" x14ac:dyDescent="0.45">
      <c r="A56" s="61">
        <v>44197</v>
      </c>
      <c r="B56" s="15">
        <f>COUNTIFS(发射纪录!$B:$B,"&lt;&gt;-",发射纪录!$G:$G,"&gt;="&amp;DATE(YEAR($A56),1,1),发射纪录!$G:$G,"&lt;="&amp;DATE(YEAR($A56),12,31),发射纪录!$N:$N,"&lt;&gt;",发射纪录!$J:$J,"="&amp;发射地年間統計!B$3)</f>
        <v>15</v>
      </c>
      <c r="C56" s="11">
        <f>COUNTIFS(发射纪录!$B:$B,"&lt;&gt;-",发射纪录!$G:$G,"&gt;="&amp;DATE(YEAR($A56),1,1),发射纪录!$G:$G,"&lt;="&amp;DATE(YEAR($A56),12,31),发射纪录!$N:$N,"&lt;&gt;",发射纪录!$J:$J,"="&amp;发射地年間統計!C$3)</f>
        <v>12</v>
      </c>
      <c r="D56" s="11">
        <f>COUNTIFS(发射纪录!$B:$B,"&lt;&gt;-",发射纪录!$G:$G,"&gt;="&amp;DATE(YEAR($A56),1,1),发射纪录!$G:$G,"&lt;="&amp;DATE(YEAR($A56),12,31),发射纪录!$N:$N,"&lt;&gt;",发射纪录!$J:$J,"="&amp;发射地年間統計!D$3)</f>
        <v>0</v>
      </c>
      <c r="E56" s="11">
        <f>COUNTIFS(发射纪录!$B:$B,"&lt;&gt;-",发射纪录!$G:$G,"&gt;="&amp;DATE(YEAR($A56),1,1),发射纪录!$G:$G,"&lt;="&amp;DATE(YEAR($A56),12,31),发射纪录!$N:$N,"&lt;&gt;",发射纪录!$J:$J,"="&amp;发射地年間統計!E$3)</f>
        <v>16</v>
      </c>
      <c r="F56" s="11">
        <f>COUNTIFS(发射纪录!$B:$B,"&lt;&gt;-",发射纪录!$G:$G,"&gt;="&amp;DATE(YEAR($A56),1,1),发射纪录!$G:$G,"&lt;="&amp;DATE(YEAR($A56),12,31),发射纪录!$N:$N,"&lt;&gt;",发射纪录!$J:$J,"="&amp;发射地年間統計!F$3)</f>
        <v>5</v>
      </c>
      <c r="G56" s="430">
        <f>COUNTIFS(发射纪录!$B:$B,"&lt;&gt;-",发射纪录!$G:$G,"&gt;="&amp;DATE(YEAR($A56),1,1),发射纪录!$G:$G,"&lt;="&amp;DATE(YEAR($A56),12,31),发射纪录!$N:$N,"&lt;&gt;",发射纪录!$J:$J,"="&amp;发射地年間統計!G$3)</f>
        <v>0</v>
      </c>
      <c r="H56" s="9">
        <f t="shared" si="2"/>
        <v>48</v>
      </c>
      <c r="I56" s="11">
        <f>COUNTIFS(发射纪录!$C:$C,"&lt;&gt;-",发射纪录!$G:$G,"&gt;="&amp;DATE(YEAR($A56),1,1),发射纪录!$G:$G,"&lt;="&amp;DATE(YEAR($A56),12,31),发射纪录!$N:$N,"&lt;&gt;",发射纪录!$J:$J,"="&amp;发射地年間統計!I$3)</f>
        <v>7</v>
      </c>
      <c r="J56" s="11">
        <f>COUNTIFS(发射纪录!$C:$C,"&lt;&gt;-",发射纪录!$G:$G,"&gt;="&amp;DATE(YEAR($A56),1,1),发射纪录!$G:$G,"&lt;="&amp;DATE(YEAR($A56),12,31),发射纪录!$N:$N,"&lt;&gt;",发射纪录!$J:$J,"="&amp;发射地年間統計!J$3)</f>
        <v>0</v>
      </c>
      <c r="K56" s="11">
        <f>COUNTIFS(发射纪录!$C:$C,"&lt;&gt;-",发射纪录!$G:$G,"&gt;="&amp;DATE(YEAR($A56),1,1),发射纪录!$G:$G,"&lt;="&amp;DATE(YEAR($A56),12,31),发射纪录!$N:$N,"&lt;&gt;",发射纪录!$J:$J,"="&amp;发射地年間統計!K$3)</f>
        <v>0</v>
      </c>
      <c r="L56" s="11">
        <f>COUNTIFS(发射纪录!$C:$C,"&lt;&gt;-",发射纪录!$G:$G,"&gt;="&amp;DATE(YEAR($A56),1,1),发射纪录!$G:$G,"&lt;="&amp;DATE(YEAR($A56),12,31),发射纪录!$N:$N,"&lt;&gt;",发射纪录!$J:$J,"="&amp;发射地年間統計!L$3)</f>
        <v>0</v>
      </c>
      <c r="M56" s="11">
        <f>COUNTIFS(发射纪录!$C:$C,"&lt;&gt;-",发射纪录!$G:$G,"&gt;="&amp;DATE(YEAR($A56),1,1),发射纪录!$G:$G,"&lt;="&amp;DATE(YEAR($A56),12,31),发射纪录!$N:$N,"&lt;&gt;",发射纪录!$J:$J,"="&amp;发射地年間統計!M$3)</f>
        <v>0</v>
      </c>
      <c r="N56" s="430">
        <f>COUNTIFS(发射纪录!$C:$C,"&lt;&gt;-",发射纪录!$G:$G,"&gt;="&amp;DATE(YEAR($A56),1,1),发射纪录!$G:$G,"&lt;="&amp;DATE(YEAR($A56),12,31),发射纪录!$N:$N,"&lt;&gt;",发射纪录!$J:$J,"="&amp;发射地年間統計!N$3)</f>
        <v>0</v>
      </c>
      <c r="O56" s="9">
        <f t="shared" si="3"/>
        <v>7</v>
      </c>
      <c r="P56" s="11">
        <f t="shared" si="4"/>
        <v>22</v>
      </c>
      <c r="Q56" s="11">
        <f t="shared" si="5"/>
        <v>12</v>
      </c>
      <c r="R56" s="11">
        <f t="shared" si="6"/>
        <v>0</v>
      </c>
      <c r="S56" s="11">
        <f t="shared" si="7"/>
        <v>16</v>
      </c>
      <c r="T56" s="11">
        <f t="shared" si="8"/>
        <v>5</v>
      </c>
      <c r="U56" s="430">
        <f t="shared" si="9"/>
        <v>0</v>
      </c>
      <c r="V56" s="9">
        <f t="shared" si="10"/>
        <v>55</v>
      </c>
    </row>
    <row r="57" spans="1:23" x14ac:dyDescent="0.45">
      <c r="A57" s="61">
        <v>44562</v>
      </c>
      <c r="B57" s="15">
        <f>COUNTIFS(发射纪录!$B:$B,"&lt;&gt;-",发射纪录!$G:$G,"&gt;="&amp;DATE(YEAR($A57),1,1),发射纪录!$G:$G,"&lt;="&amp;DATE(YEAR($A57),12,31),发射纪录!$N:$N,"&lt;&gt;",发射纪录!$J:$J,"="&amp;发射地年間統計!B$3)</f>
        <v>17</v>
      </c>
      <c r="C57" s="11">
        <f>COUNTIFS(发射纪录!$B:$B,"&lt;&gt;-",发射纪录!$G:$G,"&gt;="&amp;DATE(YEAR($A57),1,1),发射纪录!$G:$G,"&lt;="&amp;DATE(YEAR($A57),12,31),发射纪录!$N:$N,"&lt;&gt;",发射纪录!$J:$J,"="&amp;发射地年間統計!C$3)</f>
        <v>13</v>
      </c>
      <c r="D57" s="11">
        <f>COUNTIFS(发射纪录!$B:$B,"&lt;&gt;-",发射纪录!$G:$G,"&gt;="&amp;DATE(YEAR($A57),1,1),发射纪录!$G:$G,"&lt;="&amp;DATE(YEAR($A57),12,31),发射纪录!$N:$N,"&lt;&gt;",发射纪录!$J:$J,"="&amp;发射地年間統計!D$3)</f>
        <v>2</v>
      </c>
      <c r="E57" s="11">
        <f>COUNTIFS(发射纪录!$B:$B,"&lt;&gt;-",发射纪录!$G:$G,"&gt;="&amp;DATE(YEAR($A57),1,1),发射纪录!$G:$G,"&lt;="&amp;DATE(YEAR($A57),12,31),发射纪录!$N:$N,"&lt;&gt;",发射纪录!$J:$J,"="&amp;发射地年間統計!E$3)</f>
        <v>15</v>
      </c>
      <c r="F57" s="11">
        <f>COUNTIFS(发射纪录!$B:$B,"&lt;&gt;-",发射纪录!$G:$G,"&gt;="&amp;DATE(YEAR($A57),1,1),发射纪录!$G:$G,"&lt;="&amp;DATE(YEAR($A57),12,31),发射纪录!$N:$N,"&lt;&gt;",发射纪录!$J:$J,"="&amp;发射地年間統計!F$3)</f>
        <v>6</v>
      </c>
      <c r="G57" s="430">
        <f>COUNTIFS(发射纪录!$B:$B,"&lt;&gt;-",发射纪录!$G:$G,"&gt;="&amp;DATE(YEAR($A57),1,1),发射纪录!$G:$G,"&lt;="&amp;DATE(YEAR($A57),12,31),发射纪录!$N:$N,"&lt;&gt;",发射纪录!$J:$J,"="&amp;发射地年間統計!G$3)</f>
        <v>0</v>
      </c>
      <c r="H57" s="9">
        <f t="shared" si="2"/>
        <v>53</v>
      </c>
      <c r="I57" s="11">
        <f ca="1">COUNTIFS(发射纪录!$C:$C,"&lt;&gt;-",发射纪录!$G:$G,"&gt;="&amp;DATE(YEAR($A57),1,1),发射纪录!$G:$G,"&lt;="&amp;DATE(YEAR($A57),12,31),发射纪录!$N:$N,"&lt;&gt;",发射纪录!$J:$J,"="&amp;发射地年間統計!I$3)</f>
        <v>8</v>
      </c>
      <c r="J57" s="11">
        <f ca="1">COUNTIFS(发射纪录!$C:$C,"&lt;&gt;-",发射纪录!$G:$G,"&gt;="&amp;DATE(YEAR($A57),1,1),发射纪录!$G:$G,"&lt;="&amp;DATE(YEAR($A57),12,31),发射纪录!$N:$N,"&lt;&gt;",发射纪录!$J:$J,"="&amp;发射地年間統計!J$3)</f>
        <v>1</v>
      </c>
      <c r="K57" s="11">
        <f ca="1">COUNTIFS(发射纪录!$C:$C,"&lt;&gt;-",发射纪录!$G:$G,"&gt;="&amp;DATE(YEAR($A57),1,1),发射纪录!$G:$G,"&lt;="&amp;DATE(YEAR($A57),12,31),发射纪录!$N:$N,"&lt;&gt;",发射纪录!$J:$J,"="&amp;发射地年間統計!K$3)</f>
        <v>1</v>
      </c>
      <c r="L57" s="11">
        <f ca="1">COUNTIFS(发射纪录!$C:$C,"&lt;&gt;-",发射纪录!$G:$G,"&gt;="&amp;DATE(YEAR($A57),1,1),发射纪录!$G:$G,"&lt;="&amp;DATE(YEAR($A57),12,31),发射纪录!$N:$N,"&lt;&gt;",发射纪录!$J:$J,"="&amp;发射地年間統計!L$3)</f>
        <v>1</v>
      </c>
      <c r="M57" s="11">
        <f ca="1">COUNTIFS(发射纪录!$C:$C,"&lt;&gt;-",发射纪录!$G:$G,"&gt;="&amp;DATE(YEAR($A57),1,1),发射纪录!$G:$G,"&lt;="&amp;DATE(YEAR($A57),12,31),发射纪录!$N:$N,"&lt;&gt;",发射纪录!$J:$J,"="&amp;发射地年間統計!M$3)</f>
        <v>0</v>
      </c>
      <c r="N57" s="430">
        <f ca="1">COUNTIFS(发射纪录!$C:$C,"&lt;&gt;-",发射纪录!$G:$G,"&gt;="&amp;DATE(YEAR($A57),1,1),发射纪录!$G:$G,"&lt;="&amp;DATE(YEAR($A57),12,31),发射纪录!$N:$N,"&lt;&gt;",发射纪录!$J:$J,"="&amp;发射地年間統計!N$3)</f>
        <v>0</v>
      </c>
      <c r="O57" s="9">
        <f t="shared" ca="1" si="3"/>
        <v>11</v>
      </c>
      <c r="P57" s="11">
        <f t="shared" ca="1" si="4"/>
        <v>25</v>
      </c>
      <c r="Q57" s="11">
        <f t="shared" ca="1" si="5"/>
        <v>14</v>
      </c>
      <c r="R57" s="11">
        <f t="shared" ca="1" si="6"/>
        <v>3</v>
      </c>
      <c r="S57" s="11">
        <f t="shared" ca="1" si="7"/>
        <v>16</v>
      </c>
      <c r="T57" s="11">
        <f t="shared" ca="1" si="8"/>
        <v>6</v>
      </c>
      <c r="U57" s="430">
        <f t="shared" ca="1" si="9"/>
        <v>0</v>
      </c>
      <c r="V57" s="9">
        <f t="shared" ca="1" si="10"/>
        <v>64</v>
      </c>
    </row>
    <row r="58" spans="1:23" s="105" customFormat="1" x14ac:dyDescent="0.45">
      <c r="A58" s="152">
        <v>44927</v>
      </c>
      <c r="B58" s="153">
        <f>COUNTIFS(发射纪录!$B:$B,"&lt;&gt;-",发射纪录!$G:$G,"&gt;="&amp;DATE(YEAR($A58),1,1),发射纪录!$G:$G,"&lt;="&amp;DATE(YEAR($A58),12,31),发射纪录!$N:$N,"&lt;&gt;",发射纪录!$J:$J,"="&amp;发射地年間統計!B$3)</f>
        <v>19</v>
      </c>
      <c r="C58" s="154">
        <f>COUNTIFS(发射纪录!$B:$B,"&lt;&gt;-",发射纪录!$G:$G,"&gt;="&amp;DATE(YEAR($A58),1,1),发射纪录!$G:$G,"&lt;="&amp;DATE(YEAR($A58),12,31),发射纪录!$N:$N,"&lt;&gt;",发射纪录!$J:$J,"="&amp;发射地年間統計!C$3)</f>
        <v>9</v>
      </c>
      <c r="D58" s="154">
        <f>COUNTIFS(发射纪录!$B:$B,"&lt;&gt;-",发射纪录!$G:$G,"&gt;="&amp;DATE(YEAR($A58),1,1),发射纪录!$G:$G,"&lt;="&amp;DATE(YEAR($A58),12,31),发射纪录!$N:$N,"&lt;&gt;",发射纪录!$J:$J,"="&amp;发射地年間統計!D$3)</f>
        <v>1</v>
      </c>
      <c r="E58" s="154">
        <f>COUNTIFS(发射纪录!$B:$B,"&lt;&gt;-",发射纪录!$G:$G,"&gt;="&amp;DATE(YEAR($A58),1,1),发射纪录!$G:$G,"&lt;="&amp;DATE(YEAR($A58),12,31),发射纪录!$N:$N,"&lt;&gt;",发射纪录!$J:$J,"="&amp;发射地年間統計!E$3)</f>
        <v>14</v>
      </c>
      <c r="F58" s="154">
        <f>COUNTIFS(发射纪录!$B:$B,"&lt;&gt;-",发射纪录!$G:$G,"&gt;="&amp;DATE(YEAR($A58),1,1),发射纪录!$G:$G,"&lt;="&amp;DATE(YEAR($A58),12,31),发射纪录!$N:$N,"&lt;&gt;",发射纪录!$J:$J,"="&amp;发射地年間統計!F$3)</f>
        <v>4</v>
      </c>
      <c r="G58" s="431">
        <f>COUNTIFS(发射纪录!$B:$B,"&lt;&gt;-",发射纪录!$G:$G,"&gt;="&amp;DATE(YEAR($A58),1,1),发射纪录!$G:$G,"&lt;="&amp;DATE(YEAR($A58),12,31),发射纪录!$N:$N,"&lt;&gt;",发射纪录!$J:$J,"="&amp;发射地年間統計!G$3)</f>
        <v>0</v>
      </c>
      <c r="H58" s="155">
        <f t="shared" si="2"/>
        <v>47</v>
      </c>
      <c r="I58" s="154">
        <f>COUNTIFS(发射纪录!$C:$C,"&lt;&gt;-",发射纪录!$G:$G,"&gt;="&amp;DATE(YEAR($A58),1,1),发射纪录!$G:$G,"&lt;="&amp;DATE(YEAR($A58),12,31),发射纪录!$N:$N,"&lt;&gt;",发射纪录!$J:$J,"="&amp;发射地年間統計!I$3)</f>
        <v>17</v>
      </c>
      <c r="J58" s="154">
        <f>COUNTIFS(发射纪录!$C:$C,"&lt;&gt;-",发射纪录!$G:$G,"&gt;="&amp;DATE(YEAR($A58),1,1),发射纪录!$G:$G,"&lt;="&amp;DATE(YEAR($A58),12,31),发射纪录!$N:$N,"&lt;&gt;",发射纪录!$J:$J,"="&amp;发射地年間統計!J$3)</f>
        <v>0</v>
      </c>
      <c r="K58" s="154">
        <f ca="1">COUNTIFS(发射纪录!$C:$C,"&lt;&gt;-",发射纪录!$G:$G,"&gt;="&amp;DATE(YEAR($A58),1,1),发射纪录!$G:$G,"&lt;="&amp;DATE(YEAR($A58),12,31),发射纪录!$N:$N,"&lt;&gt;",发射纪录!$J:$J,"="&amp;发射地年間統計!K$3)</f>
        <v>2</v>
      </c>
      <c r="L58" s="154">
        <f>COUNTIFS(发射纪录!$C:$C,"&lt;&gt;-",发射纪录!$G:$G,"&gt;="&amp;DATE(YEAR($A58),1,1),发射纪录!$G:$G,"&lt;="&amp;DATE(YEAR($A58),12,31),发射纪录!$N:$N,"&lt;&gt;",发射纪录!$J:$J,"="&amp;发射地年間統計!L$3)</f>
        <v>1</v>
      </c>
      <c r="M58" s="154">
        <f>COUNTIFS(发射纪录!$C:$C,"&lt;&gt;-",发射纪录!$G:$G,"&gt;="&amp;DATE(YEAR($A58),1,1),发射纪录!$G:$G,"&lt;="&amp;DATE(YEAR($A58),12,31),发射纪录!$N:$N,"&lt;&gt;",发射纪录!$J:$J,"="&amp;发射地年間統計!M$3)</f>
        <v>0</v>
      </c>
      <c r="N58" s="431">
        <f>COUNTIFS(发射纪录!$C:$C,"&lt;&gt;-",发射纪录!$G:$G,"&gt;="&amp;DATE(YEAR($A58),1,1),发射纪录!$G:$G,"&lt;="&amp;DATE(YEAR($A58),12,31),发射纪录!$N:$N,"&lt;&gt;",发射纪录!$J:$J,"="&amp;发射地年間統計!N$3)</f>
        <v>0</v>
      </c>
      <c r="O58" s="155">
        <f t="shared" ca="1" si="3"/>
        <v>20</v>
      </c>
      <c r="P58" s="154">
        <f t="shared" si="4"/>
        <v>36</v>
      </c>
      <c r="Q58" s="154">
        <f t="shared" si="5"/>
        <v>9</v>
      </c>
      <c r="R58" s="154">
        <f t="shared" ca="1" si="6"/>
        <v>3</v>
      </c>
      <c r="S58" s="154">
        <f t="shared" si="7"/>
        <v>15</v>
      </c>
      <c r="T58" s="154">
        <f t="shared" si="8"/>
        <v>4</v>
      </c>
      <c r="U58" s="431">
        <f t="shared" si="9"/>
        <v>0</v>
      </c>
      <c r="V58" s="155">
        <f t="shared" ca="1" si="10"/>
        <v>67</v>
      </c>
      <c r="W58" s="59"/>
    </row>
    <row r="59" spans="1:23" s="105" customFormat="1" x14ac:dyDescent="0.45">
      <c r="A59" s="152">
        <v>45292</v>
      </c>
      <c r="B59" s="153">
        <f>COUNTIFS(发射纪录!$B:$B,"&lt;&gt;-",发射纪录!$G:$G,"&gt;="&amp;DATE(YEAR($A59),1,1),发射纪录!$G:$G,"&lt;="&amp;DATE(YEAR($A59),12,31),发射纪录!$N:$N,"&lt;&gt;",发射纪录!$J:$J,"="&amp;发射地年間統計!B$3)</f>
        <v>10</v>
      </c>
      <c r="C59" s="154">
        <f>COUNTIFS(发射纪录!$B:$B,"&lt;&gt;-",发射纪录!$G:$G,"&gt;="&amp;DATE(YEAR($A59),1,1),发射纪录!$G:$G,"&lt;="&amp;DATE(YEAR($A59),12,31),发射纪录!$N:$N,"&lt;&gt;",发射纪录!$J:$J,"="&amp;发射地年間統計!C$3)</f>
        <v>13</v>
      </c>
      <c r="D59" s="154">
        <f>COUNTIFS(发射纪录!$B:$B,"&lt;&gt;-",发射纪录!$G:$G,"&gt;="&amp;DATE(YEAR($A59),1,1),发射纪录!$G:$G,"&lt;="&amp;DATE(YEAR($A59),12,31),发射纪录!$N:$N,"&lt;&gt;",发射纪录!$J:$J,"="&amp;发射地年間統計!D$3)</f>
        <v>0</v>
      </c>
      <c r="E59" s="154">
        <f>COUNTIFS(发射纪录!$B:$B,"&lt;&gt;-",发射纪录!$G:$G,"&gt;="&amp;DATE(YEAR($A59),1,1),发射纪录!$G:$G,"&lt;="&amp;DATE(YEAR($A59),12,31),发射纪录!$N:$N,"&lt;&gt;",发射纪录!$J:$J,"="&amp;发射地年間統計!E$3)</f>
        <v>17</v>
      </c>
      <c r="F59" s="154">
        <f>COUNTIFS(发射纪录!$B:$B,"&lt;&gt;-",发射纪录!$G:$G,"&gt;="&amp;DATE(YEAR($A59),1,1),发射纪录!$G:$G,"&lt;="&amp;DATE(YEAR($A59),12,31),发射纪录!$N:$N,"&lt;&gt;",发射纪录!$J:$J,"="&amp;发射地年間統計!F$3)</f>
        <v>8</v>
      </c>
      <c r="G59" s="431">
        <f>COUNTIFS(发射纪录!$B:$B,"&lt;&gt;-",发射纪录!$G:$G,"&gt;="&amp;DATE(YEAR($A59),1,1),发射纪录!$G:$G,"&lt;="&amp;DATE(YEAR($A59),12,31),发射纪录!$N:$N,"&lt;&gt;",发射纪录!$J:$J,"="&amp;发射地年間統計!G$3)</f>
        <v>1</v>
      </c>
      <c r="H59" s="155">
        <f t="shared" si="2"/>
        <v>49</v>
      </c>
      <c r="I59" s="154">
        <f>COUNTIFS(发射纪录!$C:$C,"&lt;&gt;-",发射纪录!$G:$G,"&gt;="&amp;DATE(YEAR($A59),1,1),发射纪录!$G:$G,"&lt;="&amp;DATE(YEAR($A59),12,31),发射纪录!$N:$N,"&lt;&gt;",发射纪录!$J:$J,"="&amp;发射地年間統計!I$3)</f>
        <v>11</v>
      </c>
      <c r="J59" s="154">
        <f>COUNTIFS(发射纪录!$C:$C,"&lt;&gt;-",发射纪录!$G:$G,"&gt;="&amp;DATE(YEAR($A59),1,1),发射纪录!$G:$G,"&lt;="&amp;DATE(YEAR($A59),12,31),发射纪录!$N:$N,"&lt;&gt;",发射纪录!$J:$J,"="&amp;发射地年間統計!J$3)</f>
        <v>0</v>
      </c>
      <c r="K59" s="154">
        <f>COUNTIFS(发射纪录!$C:$C,"&lt;&gt;-",发射纪录!$G:$G,"&gt;="&amp;DATE(YEAR($A59),1,1),发射纪录!$G:$G,"&lt;="&amp;DATE(YEAR($A59),12,31),发射纪录!$N:$N,"&lt;&gt;",发射纪录!$J:$J,"="&amp;发射地年間統計!K$3)</f>
        <v>6</v>
      </c>
      <c r="L59" s="154">
        <f>COUNTIFS(发射纪录!$C:$C,"&lt;&gt;-",发射纪录!$G:$G,"&gt;="&amp;DATE(YEAR($A59),1,1),发射纪录!$G:$G,"&lt;="&amp;DATE(YEAR($A59),12,31),发射纪录!$N:$N,"&lt;&gt;",发射纪录!$J:$J,"="&amp;发射地年間統計!L$3)</f>
        <v>2</v>
      </c>
      <c r="M59" s="154">
        <f>COUNTIFS(发射纪录!$C:$C,"&lt;&gt;-",发射纪录!$G:$G,"&gt;="&amp;DATE(YEAR($A59),1,1),发射纪录!$G:$G,"&lt;="&amp;DATE(YEAR($A59),12,31),发射纪录!$N:$N,"&lt;&gt;",发射纪录!$J:$J,"="&amp;发射地年間統計!M$3)</f>
        <v>0</v>
      </c>
      <c r="N59" s="431">
        <f>COUNTIFS(发射纪录!$C:$C,"&lt;&gt;-",发射纪录!$G:$G,"&gt;="&amp;DATE(YEAR($A59),1,1),发射纪录!$G:$G,"&lt;="&amp;DATE(YEAR($A59),12,31),发射纪录!$N:$N,"&lt;&gt;",发射纪录!$J:$J,"="&amp;发射地年間統計!N$3)</f>
        <v>0</v>
      </c>
      <c r="O59" s="155">
        <f t="shared" si="3"/>
        <v>19</v>
      </c>
      <c r="P59" s="154">
        <f t="shared" si="4"/>
        <v>21</v>
      </c>
      <c r="Q59" s="154">
        <f t="shared" si="5"/>
        <v>13</v>
      </c>
      <c r="R59" s="154">
        <f t="shared" si="6"/>
        <v>6</v>
      </c>
      <c r="S59" s="154">
        <f t="shared" si="7"/>
        <v>19</v>
      </c>
      <c r="T59" s="154">
        <f t="shared" si="8"/>
        <v>8</v>
      </c>
      <c r="U59" s="431">
        <f t="shared" si="9"/>
        <v>1</v>
      </c>
      <c r="V59" s="155">
        <f t="shared" si="10"/>
        <v>68</v>
      </c>
      <c r="W59" s="59"/>
    </row>
    <row r="60" spans="1:23" ht="19.5" customHeight="1" x14ac:dyDescent="0.45">
      <c r="A60" s="62">
        <v>45658</v>
      </c>
      <c r="B60" s="16">
        <f>COUNTIFS(发射纪录!$B:$B,"&lt;&gt;-",发射纪录!$G:$G,"&gt;="&amp;DATE(YEAR($A60),1,1),发射纪录!$G:$G,"&lt;="&amp;DATE(YEAR($A60),12,31),发射纪录!$N:$N,"&lt;&gt;",发射纪录!$J:$J,"="&amp;发射地年間統計!B$3)</f>
        <v>17</v>
      </c>
      <c r="C60" s="42">
        <f>COUNTIFS(发射纪录!$B:$B,"&lt;&gt;-",发射纪录!$G:$G,"&gt;="&amp;DATE(YEAR($A60),1,1),发射纪录!$G:$G,"&lt;="&amp;DATE(YEAR($A60),12,31),发射纪录!$N:$N,"&lt;&gt;",发射纪录!$J:$J,"="&amp;发射地年間統計!C$3)</f>
        <v>12</v>
      </c>
      <c r="D60" s="42">
        <f>COUNTIFS(发射纪录!$B:$B,"&lt;&gt;-",发射纪录!$G:$G,"&gt;="&amp;DATE(YEAR($A60),1,1),发射纪录!$G:$G,"&lt;="&amp;DATE(YEAR($A60),12,31),发射纪录!$N:$N,"&lt;&gt;",发射纪录!$J:$J,"="&amp;发射地年間統計!D$3)</f>
        <v>1</v>
      </c>
      <c r="E60" s="42">
        <f>COUNTIFS(发射纪录!$B:$B,"&lt;&gt;-",发射纪录!$G:$G,"&gt;="&amp;DATE(YEAR($A60),1,1),发射纪录!$G:$G,"&lt;="&amp;DATE(YEAR($A60),12,31),发射纪录!$N:$N,"&lt;&gt;",发射纪录!$J:$J,"="&amp;发射地年間統計!E$3)</f>
        <v>18</v>
      </c>
      <c r="F60" s="42">
        <f>COUNTIFS(发射纪录!$B:$B,"&lt;&gt;-",发射纪录!$G:$G,"&gt;="&amp;DATE(YEAR($A60),1,1),发射纪录!$G:$G,"&lt;="&amp;DATE(YEAR($A60),12,31),发射纪录!$N:$N,"&lt;&gt;",发射纪录!$J:$J,"="&amp;发射地年間統計!F$3)</f>
        <v>12</v>
      </c>
      <c r="G60" s="438">
        <f>COUNTIFS(发射纪录!$B:$B,"&lt;&gt;-",发射纪录!$G:$G,"&gt;="&amp;DATE(YEAR($A60),1,1),发射纪录!$G:$G,"&lt;="&amp;DATE(YEAR($A60),12,31),发射纪录!$N:$N,"&lt;&gt;",发射纪录!$J:$J,"="&amp;发射地年間統計!G$3)</f>
        <v>9</v>
      </c>
      <c r="H60" s="43">
        <f t="shared" si="2"/>
        <v>69</v>
      </c>
      <c r="I60" s="42">
        <f ca="1">COUNTIFS(发射纪录!$C:$C,"&lt;&gt;-",发射纪录!$G:$G,"&gt;="&amp;DATE(YEAR($A60),1,1),发射纪录!$G:$G,"&lt;="&amp;DATE(YEAR($A60),12,31),发射纪录!$N:$N,"&lt;&gt;",发射纪录!$J:$J,"="&amp;发射地年間統計!I$3)</f>
        <v>16</v>
      </c>
      <c r="J60" s="42">
        <f ca="1">COUNTIFS(发射纪录!$C:$C,"&lt;&gt;-",发射纪录!$G:$G,"&gt;="&amp;DATE(YEAR($A60),1,1),发射纪录!$G:$G,"&lt;="&amp;DATE(YEAR($A60),12,31),发射纪录!$N:$N,"&lt;&gt;",发射纪录!$J:$J,"="&amp;发射地年間統計!J$3)</f>
        <v>0</v>
      </c>
      <c r="K60" s="42">
        <f ca="1">COUNTIFS(发射纪录!$C:$C,"&lt;&gt;-",发射纪录!$G:$G,"&gt;="&amp;DATE(YEAR($A60),1,1),发射纪录!$G:$G,"&lt;="&amp;DATE(YEAR($A60),12,31),发射纪录!$N:$N,"&lt;&gt;",发射纪录!$J:$J,"="&amp;发射地年間統計!K$3)</f>
        <v>6</v>
      </c>
      <c r="L60" s="42">
        <f ca="1">COUNTIFS(发射纪录!$C:$C,"&lt;&gt;-",发射纪录!$G:$G,"&gt;="&amp;DATE(YEAR($A60),1,1),发射纪录!$G:$G,"&lt;="&amp;DATE(YEAR($A60),12,31),发射纪录!$N:$N,"&lt;&gt;",发射纪录!$J:$J,"="&amp;发射地年間統計!L$3)</f>
        <v>1</v>
      </c>
      <c r="M60" s="42">
        <f ca="1">COUNTIFS(发射纪录!$C:$C,"&lt;&gt;-",发射纪录!$G:$G,"&gt;="&amp;DATE(YEAR($A60),1,1),发射纪录!$G:$G,"&lt;="&amp;DATE(YEAR($A60),12,31),发射纪录!$N:$N,"&lt;&gt;",发射纪录!$J:$J,"="&amp;发射地年間統計!M$3)</f>
        <v>0</v>
      </c>
      <c r="N60" s="438">
        <f ca="1">COUNTIFS(发射纪录!$C:$C,"&lt;&gt;-",发射纪录!$G:$G,"&gt;="&amp;DATE(YEAR($A60),1,1),发射纪录!$G:$G,"&lt;="&amp;DATE(YEAR($A60),12,31),发射纪录!$N:$N,"&lt;&gt;",发射纪录!$J:$J,"="&amp;发射地年間統計!N$3)</f>
        <v>0</v>
      </c>
      <c r="O60" s="43">
        <f t="shared" ca="1" si="3"/>
        <v>23</v>
      </c>
      <c r="P60" s="42">
        <f t="shared" ca="1" si="4"/>
        <v>33</v>
      </c>
      <c r="Q60" s="42">
        <f t="shared" ca="1" si="5"/>
        <v>12</v>
      </c>
      <c r="R60" s="42">
        <f t="shared" ca="1" si="6"/>
        <v>7</v>
      </c>
      <c r="S60" s="42">
        <f t="shared" ca="1" si="7"/>
        <v>19</v>
      </c>
      <c r="T60" s="42">
        <f t="shared" ca="1" si="8"/>
        <v>12</v>
      </c>
      <c r="U60" s="438">
        <f t="shared" ca="1" si="9"/>
        <v>9</v>
      </c>
      <c r="V60" s="43">
        <f t="shared" ca="1" si="10"/>
        <v>92</v>
      </c>
    </row>
    <row r="61" spans="1:23" ht="19.5" customHeight="1" thickBot="1" x14ac:dyDescent="0.5">
      <c r="A61" s="681">
        <v>46024</v>
      </c>
      <c r="B61" s="39">
        <f>COUNTIFS(发射纪录!$B:$B,"&lt;&gt;-",发射纪录!$G:$G,"&gt;="&amp;DATE(YEAR($A61),1,1),发射纪录!$G:$G,"&lt;="&amp;DATE(YEAR($A61),12,31),发射纪录!$N:$N,"&lt;&gt;",发射纪录!$J:$J,"="&amp;发射地年間統計!B$3)</f>
        <v>8</v>
      </c>
      <c r="C61" s="40">
        <f>COUNTIFS(发射纪录!$B:$B,"&lt;&gt;-",发射纪录!$G:$G,"&gt;="&amp;DATE(YEAR($A61),1,1),发射纪录!$G:$G,"&lt;="&amp;DATE(YEAR($A61),12,31),发射纪录!$N:$N,"&lt;&gt;",发射纪录!$J:$J,"="&amp;发射地年間統計!C$3)</f>
        <v>8</v>
      </c>
      <c r="D61" s="40">
        <f>COUNTIFS(发射纪录!$B:$B,"&lt;&gt;-",发射纪录!$G:$G,"&gt;="&amp;DATE(YEAR($A61),1,1),发射纪录!$G:$G,"&lt;="&amp;DATE(YEAR($A61),12,31),发射纪录!$N:$N,"&lt;&gt;",发射纪录!$J:$J,"="&amp;发射地年間統計!D$3)</f>
        <v>0</v>
      </c>
      <c r="E61" s="40">
        <f>COUNTIFS(发射纪录!$B:$B,"&lt;&gt;-",发射纪录!$G:$G,"&gt;="&amp;DATE(YEAR($A61),1,1),发射纪录!$G:$G,"&lt;="&amp;DATE(YEAR($A61),12,31),发射纪录!$N:$N,"&lt;&gt;",发射纪录!$J:$J,"="&amp;发射地年間統計!E$3)</f>
        <v>5</v>
      </c>
      <c r="F61" s="40">
        <f>COUNTIFS(发射纪录!$B:$B,"&lt;&gt;-",发射纪录!$G:$G,"&gt;="&amp;DATE(YEAR($A61),1,1),发射纪录!$G:$G,"&lt;="&amp;DATE(YEAR($A61),12,31),发射纪录!$N:$N,"&lt;&gt;",发射纪录!$J:$J,"="&amp;发射地年間統計!F$3)</f>
        <v>4</v>
      </c>
      <c r="G61" s="439">
        <f>COUNTIFS(发射纪录!$B:$B,"&lt;&gt;-",发射纪录!$G:$G,"&gt;="&amp;DATE(YEAR($A61),1,1),发射纪录!$G:$G,"&lt;="&amp;DATE(YEAR($A61),12,31),发射纪录!$N:$N,"&lt;&gt;",发射纪录!$J:$J,"="&amp;发射地年間統計!G$3)</f>
        <v>8</v>
      </c>
      <c r="H61" s="41">
        <f>SUM(B61:G61)</f>
        <v>33</v>
      </c>
      <c r="I61" s="40">
        <f ca="1">COUNTIFS(发射纪录!$C:$C,"&lt;&gt;-",发射纪录!$G:$G,"&gt;="&amp;DATE(YEAR($A61),1,1),发射纪录!$G:$G,"&lt;="&amp;DATE(YEAR($A61),12,31),发射纪录!$N:$N,"&lt;&gt;",发射纪录!$J:$J,"="&amp;发射地年間統計!I$3)</f>
        <v>10</v>
      </c>
      <c r="J61" s="40">
        <f ca="1">COUNTIFS(发射纪录!$C:$C,"&lt;&gt;-",发射纪录!$G:$G,"&gt;="&amp;DATE(YEAR($A61),1,1),发射纪录!$G:$G,"&lt;="&amp;DATE(YEAR($A61),12,31),发射纪录!$N:$N,"&lt;&gt;",发射纪录!$J:$J,"="&amp;发射地年間統計!J$3)</f>
        <v>0</v>
      </c>
      <c r="K61" s="40">
        <f ca="1">COUNTIFS(发射纪录!$C:$C,"&lt;&gt;-",发射纪录!$G:$G,"&gt;="&amp;DATE(YEAR($A61),1,1),发射纪录!$G:$G,"&lt;="&amp;DATE(YEAR($A61),12,31),发射纪录!$N:$N,"&lt;&gt;",发射纪录!$J:$J,"="&amp;发射地年間統計!K$3)</f>
        <v>4</v>
      </c>
      <c r="L61" s="40">
        <f ca="1">COUNTIFS(发射纪录!$C:$C,"&lt;&gt;-",发射纪录!$G:$G,"&gt;="&amp;DATE(YEAR($A61),1,1),发射纪录!$G:$G,"&lt;="&amp;DATE(YEAR($A61),12,31),发射纪录!$N:$N,"&lt;&gt;",发射纪录!$J:$J,"="&amp;发射地年間統計!L$3)</f>
        <v>0</v>
      </c>
      <c r="M61" s="40">
        <f ca="1">COUNTIFS(发射纪录!$C:$C,"&lt;&gt;-",发射纪录!$G:$G,"&gt;="&amp;DATE(YEAR($A61),1,1),发射纪录!$G:$G,"&lt;="&amp;DATE(YEAR($A61),12,31),发射纪录!$N:$N,"&lt;&gt;",发射纪录!$J:$J,"="&amp;发射地年間統計!M$3)</f>
        <v>0</v>
      </c>
      <c r="N61" s="439">
        <f ca="1">COUNTIFS(发射纪录!$C:$C,"&lt;&gt;-",发射纪录!$G:$G,"&gt;="&amp;DATE(YEAR($A61),1,1),发射纪录!$G:$G,"&lt;="&amp;DATE(YEAR($A61),12,31),发射纪录!$N:$N,"&lt;&gt;",发射纪录!$J:$J,"="&amp;发射地年間統計!N$3)</f>
        <v>0</v>
      </c>
      <c r="O61" s="41">
        <f ca="1">SUM(I61:N61)</f>
        <v>14</v>
      </c>
      <c r="P61" s="40">
        <f t="shared" ref="P61" ca="1" si="11">B61+I61</f>
        <v>18</v>
      </c>
      <c r="Q61" s="40">
        <f t="shared" ref="Q61" ca="1" si="12">C61+J61</f>
        <v>8</v>
      </c>
      <c r="R61" s="40">
        <f t="shared" ref="R61" ca="1" si="13">D61+K61</f>
        <v>4</v>
      </c>
      <c r="S61" s="40">
        <f t="shared" ref="S61" ca="1" si="14">E61+L61</f>
        <v>5</v>
      </c>
      <c r="T61" s="40">
        <f t="shared" ref="T61" ca="1" si="15">F61+M61</f>
        <v>4</v>
      </c>
      <c r="U61" s="439">
        <f t="shared" ref="U61" ca="1" si="16">G61+N61</f>
        <v>8</v>
      </c>
      <c r="V61" s="41">
        <f ca="1">SUM(P61:U61)</f>
        <v>47</v>
      </c>
    </row>
    <row r="62" spans="1:23" ht="18.600000000000001" thickTop="1" x14ac:dyDescent="0.45"/>
  </sheetData>
  <mergeCells count="5">
    <mergeCell ref="B2:H2"/>
    <mergeCell ref="P2:V2"/>
    <mergeCell ref="A1:V1"/>
    <mergeCell ref="A2:A3"/>
    <mergeCell ref="I2:O2"/>
  </mergeCells>
  <phoneticPr fontId="2"/>
  <conditionalFormatting sqref="A60:V69">
    <cfRule type="expression" dxfId="37" priority="1">
      <formula>YEAR($A60)=YEAR(TODAY())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88"/>
  <sheetViews>
    <sheetView zoomScaleNormal="100" workbookViewId="0">
      <pane xSplit="1" ySplit="3" topLeftCell="B670" activePane="bottomRight" state="frozen"/>
      <selection pane="topRight" activeCell="B1" sqref="B1"/>
      <selection pane="bottomLeft" activeCell="A4" sqref="A4"/>
      <selection pane="bottomRight" activeCell="W676" sqref="W676"/>
    </sheetView>
  </sheetViews>
  <sheetFormatPr defaultRowHeight="18" x14ac:dyDescent="0.45"/>
  <cols>
    <col min="1" max="1" width="11.09765625" style="59" bestFit="1" customWidth="1"/>
    <col min="2" max="3" width="6.796875" style="59" bestFit="1" customWidth="1"/>
    <col min="4" max="4" width="8.296875" style="59" bestFit="1" customWidth="1"/>
    <col min="5" max="6" width="6.796875" style="59" bestFit="1" customWidth="1"/>
    <col min="7" max="7" width="8.296875" style="59" bestFit="1" customWidth="1"/>
    <col min="8" max="9" width="6.796875" style="5" bestFit="1" customWidth="1"/>
    <col min="10" max="10" width="8.296875" style="5" bestFit="1" customWidth="1"/>
    <col min="11" max="12" width="6.796875" style="5" bestFit="1" customWidth="1"/>
    <col min="13" max="13" width="7.296875" style="5" bestFit="1" customWidth="1"/>
    <col min="14" max="15" width="6.796875" style="59" bestFit="1" customWidth="1"/>
    <col min="16" max="16" width="8.296875" style="59" bestFit="1" customWidth="1"/>
    <col min="17" max="18" width="6.796875" style="59" bestFit="1" customWidth="1"/>
    <col min="19" max="19" width="8.296875" style="59" bestFit="1" customWidth="1"/>
    <col min="20" max="20" width="3.3984375" style="5" bestFit="1" customWidth="1"/>
    <col min="21" max="21" width="4.3984375" style="5" bestFit="1" customWidth="1"/>
    <col min="22" max="22" width="3.3984375" style="5" bestFit="1" customWidth="1"/>
  </cols>
  <sheetData>
    <row r="1" spans="1:20" x14ac:dyDescent="0.45">
      <c r="A1" s="1954" t="str">
        <f ca="1">CONCATENATE("截止",YEAR(TODAY()),"年",MONTH(TODAY()),"月",DAY(TODAY()),"日")</f>
        <v>截止2026年7月6日</v>
      </c>
      <c r="B1" s="1955"/>
      <c r="C1" s="1955"/>
      <c r="D1" s="1955"/>
      <c r="E1" s="1955"/>
      <c r="F1" s="1955"/>
      <c r="G1" s="1955"/>
      <c r="H1" s="1955"/>
      <c r="I1" s="1955"/>
      <c r="J1" s="1955"/>
      <c r="K1" s="1955"/>
      <c r="L1" s="1955"/>
      <c r="M1" s="1955"/>
      <c r="N1" s="1955"/>
      <c r="O1" s="1955"/>
      <c r="P1" s="1955"/>
      <c r="Q1" s="1955"/>
      <c r="R1" s="1955"/>
      <c r="S1" s="1956"/>
      <c r="T1" s="1962" t="s">
        <v>2677</v>
      </c>
    </row>
    <row r="2" spans="1:20" ht="18.600000000000001" thickBot="1" x14ac:dyDescent="0.5">
      <c r="A2" s="1964" t="s">
        <v>840</v>
      </c>
      <c r="B2" s="1949" t="s">
        <v>841</v>
      </c>
      <c r="C2" s="1950"/>
      <c r="D2" s="1950"/>
      <c r="E2" s="1950"/>
      <c r="F2" s="1950"/>
      <c r="G2" s="1951"/>
      <c r="H2" s="1966" t="s">
        <v>842</v>
      </c>
      <c r="I2" s="1950"/>
      <c r="J2" s="1950"/>
      <c r="K2" s="1950"/>
      <c r="L2" s="1950"/>
      <c r="M2" s="1951"/>
      <c r="N2" s="1963" t="s">
        <v>843</v>
      </c>
      <c r="O2" s="1950"/>
      <c r="P2" s="1950"/>
      <c r="Q2" s="1950"/>
      <c r="R2" s="1950"/>
      <c r="S2" s="1951"/>
      <c r="T2" s="1962"/>
    </row>
    <row r="3" spans="1:20" ht="38.25" customHeight="1" thickBot="1" x14ac:dyDescent="0.5">
      <c r="A3" s="1965"/>
      <c r="B3" s="282" t="s">
        <v>844</v>
      </c>
      <c r="C3" s="289" t="s">
        <v>845</v>
      </c>
      <c r="D3" s="283" t="s">
        <v>846</v>
      </c>
      <c r="E3" s="283" t="s">
        <v>832</v>
      </c>
      <c r="F3" s="283" t="s">
        <v>833</v>
      </c>
      <c r="G3" s="284" t="s">
        <v>834</v>
      </c>
      <c r="H3" s="285" t="s">
        <v>844</v>
      </c>
      <c r="I3" s="285" t="s">
        <v>845</v>
      </c>
      <c r="J3" s="285" t="s">
        <v>846</v>
      </c>
      <c r="K3" s="285" t="s">
        <v>832</v>
      </c>
      <c r="L3" s="285" t="s">
        <v>833</v>
      </c>
      <c r="M3" s="286" t="s">
        <v>834</v>
      </c>
      <c r="N3" s="287" t="s">
        <v>844</v>
      </c>
      <c r="O3" s="287" t="s">
        <v>845</v>
      </c>
      <c r="P3" s="287" t="s">
        <v>846</v>
      </c>
      <c r="Q3" s="287" t="s">
        <v>832</v>
      </c>
      <c r="R3" s="287" t="s">
        <v>833</v>
      </c>
      <c r="S3" s="288" t="s">
        <v>834</v>
      </c>
      <c r="T3" s="1962"/>
    </row>
    <row r="4" spans="1:20" x14ac:dyDescent="0.45">
      <c r="A4" s="63">
        <v>25569</v>
      </c>
      <c r="B4" s="14">
        <v>0</v>
      </c>
      <c r="C4" s="10">
        <v>0</v>
      </c>
      <c r="D4" s="3" t="s">
        <v>3</v>
      </c>
      <c r="E4" s="10">
        <v>0</v>
      </c>
      <c r="F4" s="10">
        <v>0</v>
      </c>
      <c r="G4" s="4" t="s">
        <v>3</v>
      </c>
      <c r="H4" s="10">
        <v>0</v>
      </c>
      <c r="I4" s="10">
        <v>0</v>
      </c>
      <c r="J4" s="3" t="s">
        <v>3</v>
      </c>
      <c r="K4" s="10">
        <v>0</v>
      </c>
      <c r="L4" s="10">
        <v>0</v>
      </c>
      <c r="M4" s="4" t="s">
        <v>3</v>
      </c>
      <c r="N4" s="10">
        <v>0</v>
      </c>
      <c r="O4" s="10">
        <v>0</v>
      </c>
      <c r="P4" s="3" t="s">
        <v>3</v>
      </c>
      <c r="Q4" s="10">
        <v>0</v>
      </c>
      <c r="R4" s="10">
        <f t="shared" ref="R4:R67" si="0">F4+L4</f>
        <v>0</v>
      </c>
      <c r="S4" s="4" t="s">
        <v>3</v>
      </c>
      <c r="T4" s="478"/>
    </row>
    <row r="5" spans="1:20" x14ac:dyDescent="0.45">
      <c r="A5" s="64">
        <v>25600</v>
      </c>
      <c r="B5" s="14">
        <v>0</v>
      </c>
      <c r="C5" s="10">
        <v>0</v>
      </c>
      <c r="D5" s="3" t="s">
        <v>3</v>
      </c>
      <c r="E5" s="10">
        <v>0</v>
      </c>
      <c r="F5" s="10">
        <v>0</v>
      </c>
      <c r="G5" s="4" t="s">
        <v>3</v>
      </c>
      <c r="H5" s="10">
        <v>0</v>
      </c>
      <c r="I5" s="10">
        <v>0</v>
      </c>
      <c r="J5" s="1" t="s">
        <v>3</v>
      </c>
      <c r="K5" s="10">
        <v>0</v>
      </c>
      <c r="L5" s="10">
        <v>0</v>
      </c>
      <c r="M5" s="2" t="s">
        <v>3</v>
      </c>
      <c r="N5" s="10">
        <v>0</v>
      </c>
      <c r="O5" s="10">
        <v>0</v>
      </c>
      <c r="P5" s="3" t="s">
        <v>3</v>
      </c>
      <c r="Q5" s="10">
        <v>0</v>
      </c>
      <c r="R5" s="10">
        <f t="shared" si="0"/>
        <v>0</v>
      </c>
      <c r="S5" s="4" t="s">
        <v>3</v>
      </c>
      <c r="T5" s="478"/>
    </row>
    <row r="6" spans="1:20" x14ac:dyDescent="0.45">
      <c r="A6" s="64">
        <v>25628</v>
      </c>
      <c r="B6" s="14">
        <v>0</v>
      </c>
      <c r="C6" s="10">
        <v>0</v>
      </c>
      <c r="D6" s="3" t="s">
        <v>3</v>
      </c>
      <c r="E6" s="10">
        <v>0</v>
      </c>
      <c r="F6" s="10">
        <v>0</v>
      </c>
      <c r="G6" s="4" t="s">
        <v>3</v>
      </c>
      <c r="H6" s="10">
        <v>0</v>
      </c>
      <c r="I6" s="10">
        <v>0</v>
      </c>
      <c r="J6" s="1" t="s">
        <v>3</v>
      </c>
      <c r="K6" s="10">
        <v>0</v>
      </c>
      <c r="L6" s="10">
        <v>0</v>
      </c>
      <c r="M6" s="2" t="s">
        <v>3</v>
      </c>
      <c r="N6" s="10">
        <v>0</v>
      </c>
      <c r="O6" s="10">
        <v>0</v>
      </c>
      <c r="P6" s="3" t="s">
        <v>3</v>
      </c>
      <c r="Q6" s="10">
        <v>0</v>
      </c>
      <c r="R6" s="10">
        <f t="shared" si="0"/>
        <v>0</v>
      </c>
      <c r="S6" s="4" t="s">
        <v>3</v>
      </c>
      <c r="T6" s="478"/>
    </row>
    <row r="7" spans="1:20" x14ac:dyDescent="0.45">
      <c r="A7" s="64">
        <v>25659</v>
      </c>
      <c r="B7" s="14">
        <v>1</v>
      </c>
      <c r="C7" s="10">
        <v>1</v>
      </c>
      <c r="D7" s="3">
        <v>1</v>
      </c>
      <c r="E7" s="10">
        <v>1</v>
      </c>
      <c r="F7" s="10">
        <v>1</v>
      </c>
      <c r="G7" s="4">
        <v>1</v>
      </c>
      <c r="H7" s="10">
        <v>0</v>
      </c>
      <c r="I7" s="10">
        <v>0</v>
      </c>
      <c r="J7" s="1" t="s">
        <v>3</v>
      </c>
      <c r="K7" s="10">
        <v>0</v>
      </c>
      <c r="L7" s="10">
        <v>0</v>
      </c>
      <c r="M7" s="2" t="s">
        <v>3</v>
      </c>
      <c r="N7" s="10">
        <v>1</v>
      </c>
      <c r="O7" s="10">
        <v>1</v>
      </c>
      <c r="P7" s="3">
        <v>1</v>
      </c>
      <c r="Q7" s="10">
        <v>1</v>
      </c>
      <c r="R7" s="10">
        <f t="shared" si="0"/>
        <v>1</v>
      </c>
      <c r="S7" s="4">
        <v>1</v>
      </c>
      <c r="T7" s="478"/>
    </row>
    <row r="8" spans="1:20" x14ac:dyDescent="0.45">
      <c r="A8" s="64">
        <v>25689</v>
      </c>
      <c r="B8" s="14">
        <v>0</v>
      </c>
      <c r="C8" s="10">
        <v>0</v>
      </c>
      <c r="D8" s="3" t="s">
        <v>3</v>
      </c>
      <c r="E8" s="10">
        <v>1</v>
      </c>
      <c r="F8" s="10">
        <v>1</v>
      </c>
      <c r="G8" s="4">
        <v>1</v>
      </c>
      <c r="H8" s="10">
        <v>0</v>
      </c>
      <c r="I8" s="10">
        <v>0</v>
      </c>
      <c r="J8" s="1" t="s">
        <v>3</v>
      </c>
      <c r="K8" s="10">
        <v>0</v>
      </c>
      <c r="L8" s="10">
        <v>0</v>
      </c>
      <c r="M8" s="2" t="s">
        <v>3</v>
      </c>
      <c r="N8" s="10">
        <v>0</v>
      </c>
      <c r="O8" s="10">
        <v>0</v>
      </c>
      <c r="P8" s="3" t="s">
        <v>3</v>
      </c>
      <c r="Q8" s="10">
        <v>1</v>
      </c>
      <c r="R8" s="10">
        <f t="shared" si="0"/>
        <v>1</v>
      </c>
      <c r="S8" s="4">
        <v>1</v>
      </c>
      <c r="T8" s="478"/>
    </row>
    <row r="9" spans="1:20" x14ac:dyDescent="0.45">
      <c r="A9" s="64">
        <v>25720</v>
      </c>
      <c r="B9" s="14">
        <v>0</v>
      </c>
      <c r="C9" s="10">
        <v>0</v>
      </c>
      <c r="D9" s="3" t="s">
        <v>3</v>
      </c>
      <c r="E9" s="10">
        <v>1</v>
      </c>
      <c r="F9" s="10">
        <v>1</v>
      </c>
      <c r="G9" s="4">
        <v>1</v>
      </c>
      <c r="H9" s="10">
        <v>0</v>
      </c>
      <c r="I9" s="10">
        <v>0</v>
      </c>
      <c r="J9" s="1" t="s">
        <v>3</v>
      </c>
      <c r="K9" s="10">
        <v>0</v>
      </c>
      <c r="L9" s="10">
        <v>0</v>
      </c>
      <c r="M9" s="2" t="s">
        <v>3</v>
      </c>
      <c r="N9" s="10">
        <v>0</v>
      </c>
      <c r="O9" s="10">
        <v>0</v>
      </c>
      <c r="P9" s="3" t="s">
        <v>3</v>
      </c>
      <c r="Q9" s="10">
        <v>1</v>
      </c>
      <c r="R9" s="10">
        <f t="shared" si="0"/>
        <v>1</v>
      </c>
      <c r="S9" s="4">
        <v>1</v>
      </c>
      <c r="T9" s="478"/>
    </row>
    <row r="10" spans="1:20" x14ac:dyDescent="0.45">
      <c r="A10" s="64">
        <v>25750</v>
      </c>
      <c r="B10" s="14">
        <v>0</v>
      </c>
      <c r="C10" s="10">
        <v>0</v>
      </c>
      <c r="D10" s="3" t="s">
        <v>3</v>
      </c>
      <c r="E10" s="10">
        <v>1</v>
      </c>
      <c r="F10" s="10">
        <v>1</v>
      </c>
      <c r="G10" s="4">
        <v>1</v>
      </c>
      <c r="H10" s="10">
        <v>0</v>
      </c>
      <c r="I10" s="10">
        <v>0</v>
      </c>
      <c r="J10" s="1" t="s">
        <v>3</v>
      </c>
      <c r="K10" s="10">
        <v>0</v>
      </c>
      <c r="L10" s="10">
        <v>0</v>
      </c>
      <c r="M10" s="2" t="s">
        <v>3</v>
      </c>
      <c r="N10" s="10">
        <v>0</v>
      </c>
      <c r="O10" s="10">
        <v>0</v>
      </c>
      <c r="P10" s="3" t="s">
        <v>3</v>
      </c>
      <c r="Q10" s="10">
        <v>1</v>
      </c>
      <c r="R10" s="10">
        <f t="shared" si="0"/>
        <v>1</v>
      </c>
      <c r="S10" s="4">
        <v>1</v>
      </c>
      <c r="T10" s="478"/>
    </row>
    <row r="11" spans="1:20" x14ac:dyDescent="0.45">
      <c r="A11" s="64">
        <v>25781</v>
      </c>
      <c r="B11" s="14">
        <v>0</v>
      </c>
      <c r="C11" s="10">
        <v>0</v>
      </c>
      <c r="D11" s="3" t="s">
        <v>3</v>
      </c>
      <c r="E11" s="10">
        <v>1</v>
      </c>
      <c r="F11" s="10">
        <v>1</v>
      </c>
      <c r="G11" s="4">
        <v>1</v>
      </c>
      <c r="H11" s="10">
        <v>0</v>
      </c>
      <c r="I11" s="10">
        <v>0</v>
      </c>
      <c r="J11" s="1" t="s">
        <v>3</v>
      </c>
      <c r="K11" s="10">
        <v>0</v>
      </c>
      <c r="L11" s="10">
        <v>0</v>
      </c>
      <c r="M11" s="2" t="s">
        <v>3</v>
      </c>
      <c r="N11" s="10">
        <v>0</v>
      </c>
      <c r="O11" s="10">
        <v>0</v>
      </c>
      <c r="P11" s="3" t="s">
        <v>3</v>
      </c>
      <c r="Q11" s="10">
        <v>1</v>
      </c>
      <c r="R11" s="10">
        <f t="shared" si="0"/>
        <v>1</v>
      </c>
      <c r="S11" s="4">
        <v>1</v>
      </c>
      <c r="T11" s="478"/>
    </row>
    <row r="12" spans="1:20" x14ac:dyDescent="0.45">
      <c r="A12" s="64">
        <v>25812</v>
      </c>
      <c r="B12" s="14">
        <v>0</v>
      </c>
      <c r="C12" s="10">
        <v>0</v>
      </c>
      <c r="D12" s="3" t="s">
        <v>3</v>
      </c>
      <c r="E12" s="10">
        <v>1</v>
      </c>
      <c r="F12" s="10">
        <v>1</v>
      </c>
      <c r="G12" s="4">
        <v>1</v>
      </c>
      <c r="H12" s="10">
        <v>0</v>
      </c>
      <c r="I12" s="10">
        <v>0</v>
      </c>
      <c r="J12" s="1" t="s">
        <v>3</v>
      </c>
      <c r="K12" s="10">
        <v>0</v>
      </c>
      <c r="L12" s="10">
        <v>0</v>
      </c>
      <c r="M12" s="2" t="s">
        <v>3</v>
      </c>
      <c r="N12" s="10">
        <v>0</v>
      </c>
      <c r="O12" s="10">
        <v>0</v>
      </c>
      <c r="P12" s="3" t="s">
        <v>3</v>
      </c>
      <c r="Q12" s="10">
        <v>1</v>
      </c>
      <c r="R12" s="10">
        <f t="shared" si="0"/>
        <v>1</v>
      </c>
      <c r="S12" s="4">
        <v>1</v>
      </c>
      <c r="T12" s="478"/>
    </row>
    <row r="13" spans="1:20" x14ac:dyDescent="0.45">
      <c r="A13" s="64">
        <v>25842</v>
      </c>
      <c r="B13" s="14">
        <v>0</v>
      </c>
      <c r="C13" s="10">
        <v>0</v>
      </c>
      <c r="D13" s="3" t="s">
        <v>3</v>
      </c>
      <c r="E13" s="10">
        <v>1</v>
      </c>
      <c r="F13" s="10">
        <v>1</v>
      </c>
      <c r="G13" s="4">
        <v>1</v>
      </c>
      <c r="H13" s="10">
        <v>0</v>
      </c>
      <c r="I13" s="10">
        <v>0</v>
      </c>
      <c r="J13" s="1" t="s">
        <v>3</v>
      </c>
      <c r="K13" s="10">
        <v>0</v>
      </c>
      <c r="L13" s="10">
        <v>0</v>
      </c>
      <c r="M13" s="2" t="s">
        <v>3</v>
      </c>
      <c r="N13" s="10">
        <v>0</v>
      </c>
      <c r="O13" s="10">
        <v>0</v>
      </c>
      <c r="P13" s="3" t="s">
        <v>3</v>
      </c>
      <c r="Q13" s="10">
        <v>1</v>
      </c>
      <c r="R13" s="10">
        <f t="shared" si="0"/>
        <v>1</v>
      </c>
      <c r="S13" s="4">
        <v>1</v>
      </c>
      <c r="T13" s="478"/>
    </row>
    <row r="14" spans="1:20" x14ac:dyDescent="0.45">
      <c r="A14" s="64">
        <v>25873</v>
      </c>
      <c r="B14" s="14">
        <v>0</v>
      </c>
      <c r="C14" s="10">
        <v>0</v>
      </c>
      <c r="D14" s="3" t="s">
        <v>3</v>
      </c>
      <c r="E14" s="10">
        <v>1</v>
      </c>
      <c r="F14" s="10">
        <v>1</v>
      </c>
      <c r="G14" s="4">
        <v>1</v>
      </c>
      <c r="H14" s="10">
        <v>0</v>
      </c>
      <c r="I14" s="10">
        <v>0</v>
      </c>
      <c r="J14" s="1" t="s">
        <v>3</v>
      </c>
      <c r="K14" s="10">
        <v>0</v>
      </c>
      <c r="L14" s="10">
        <v>0</v>
      </c>
      <c r="M14" s="2" t="s">
        <v>3</v>
      </c>
      <c r="N14" s="10">
        <v>0</v>
      </c>
      <c r="O14" s="10">
        <v>0</v>
      </c>
      <c r="P14" s="3" t="s">
        <v>3</v>
      </c>
      <c r="Q14" s="10">
        <v>1</v>
      </c>
      <c r="R14" s="10">
        <f t="shared" si="0"/>
        <v>1</v>
      </c>
      <c r="S14" s="4">
        <v>1</v>
      </c>
      <c r="T14" s="478"/>
    </row>
    <row r="15" spans="1:20" ht="19.5" customHeight="1" thickBot="1" x14ac:dyDescent="0.5">
      <c r="A15" s="65">
        <v>25903</v>
      </c>
      <c r="B15" s="17">
        <v>0</v>
      </c>
      <c r="C15" s="18">
        <v>0</v>
      </c>
      <c r="D15" s="12" t="s">
        <v>3</v>
      </c>
      <c r="E15" s="18">
        <v>1</v>
      </c>
      <c r="F15" s="18">
        <v>1</v>
      </c>
      <c r="G15" s="13">
        <v>1</v>
      </c>
      <c r="H15" s="18">
        <v>0</v>
      </c>
      <c r="I15" s="18">
        <v>0</v>
      </c>
      <c r="J15" s="12" t="s">
        <v>3</v>
      </c>
      <c r="K15" s="18">
        <v>0</v>
      </c>
      <c r="L15" s="18">
        <v>0</v>
      </c>
      <c r="M15" s="13" t="s">
        <v>3</v>
      </c>
      <c r="N15" s="18">
        <v>0</v>
      </c>
      <c r="O15" s="18">
        <v>0</v>
      </c>
      <c r="P15" s="12" t="s">
        <v>3</v>
      </c>
      <c r="Q15" s="18">
        <v>1</v>
      </c>
      <c r="R15" s="18">
        <f t="shared" si="0"/>
        <v>1</v>
      </c>
      <c r="S15" s="13">
        <v>1</v>
      </c>
      <c r="T15" s="478"/>
    </row>
    <row r="16" spans="1:20" ht="19.5" customHeight="1" thickTop="1" x14ac:dyDescent="0.45">
      <c r="A16" s="63">
        <v>25934</v>
      </c>
      <c r="B16" s="14">
        <v>0</v>
      </c>
      <c r="C16" s="10">
        <v>0</v>
      </c>
      <c r="D16" s="3" t="s">
        <v>3</v>
      </c>
      <c r="E16" s="10">
        <v>1</v>
      </c>
      <c r="F16" s="10">
        <v>1</v>
      </c>
      <c r="G16" s="4">
        <v>1</v>
      </c>
      <c r="H16" s="10">
        <v>0</v>
      </c>
      <c r="I16" s="10">
        <v>0</v>
      </c>
      <c r="J16" s="3" t="s">
        <v>3</v>
      </c>
      <c r="K16" s="10">
        <v>0</v>
      </c>
      <c r="L16" s="10">
        <v>0</v>
      </c>
      <c r="M16" s="4" t="s">
        <v>3</v>
      </c>
      <c r="N16" s="10">
        <v>0</v>
      </c>
      <c r="O16" s="10">
        <v>0</v>
      </c>
      <c r="P16" s="3" t="s">
        <v>3</v>
      </c>
      <c r="Q16" s="10">
        <v>1</v>
      </c>
      <c r="R16" s="10">
        <f t="shared" si="0"/>
        <v>1</v>
      </c>
      <c r="S16" s="4">
        <v>1</v>
      </c>
      <c r="T16" s="478"/>
    </row>
    <row r="17" spans="1:20" x14ac:dyDescent="0.45">
      <c r="A17" s="64">
        <v>25965</v>
      </c>
      <c r="B17" s="14">
        <v>0</v>
      </c>
      <c r="C17" s="10">
        <v>0</v>
      </c>
      <c r="D17" s="1" t="s">
        <v>3</v>
      </c>
      <c r="E17" s="10">
        <v>1</v>
      </c>
      <c r="F17" s="10">
        <v>1</v>
      </c>
      <c r="G17" s="2">
        <v>1</v>
      </c>
      <c r="H17" s="10">
        <v>0</v>
      </c>
      <c r="I17" s="10">
        <v>0</v>
      </c>
      <c r="J17" s="1" t="s">
        <v>3</v>
      </c>
      <c r="K17" s="10">
        <v>0</v>
      </c>
      <c r="L17" s="10">
        <v>0</v>
      </c>
      <c r="M17" s="2" t="s">
        <v>3</v>
      </c>
      <c r="N17" s="10">
        <v>0</v>
      </c>
      <c r="O17" s="10">
        <v>0</v>
      </c>
      <c r="P17" s="3" t="s">
        <v>3</v>
      </c>
      <c r="Q17" s="10">
        <v>1</v>
      </c>
      <c r="R17" s="10">
        <f t="shared" si="0"/>
        <v>1</v>
      </c>
      <c r="S17" s="4">
        <v>1</v>
      </c>
      <c r="T17" s="478"/>
    </row>
    <row r="18" spans="1:20" x14ac:dyDescent="0.45">
      <c r="A18" s="64">
        <v>25993</v>
      </c>
      <c r="B18" s="14">
        <v>1</v>
      </c>
      <c r="C18" s="10">
        <v>1</v>
      </c>
      <c r="D18" s="1">
        <v>1</v>
      </c>
      <c r="E18" s="10">
        <v>2</v>
      </c>
      <c r="F18" s="10">
        <v>2</v>
      </c>
      <c r="G18" s="2">
        <v>1</v>
      </c>
      <c r="H18" s="10">
        <v>0</v>
      </c>
      <c r="I18" s="10">
        <v>0</v>
      </c>
      <c r="J18" s="1" t="s">
        <v>3</v>
      </c>
      <c r="K18" s="10">
        <v>0</v>
      </c>
      <c r="L18" s="10">
        <v>0</v>
      </c>
      <c r="M18" s="2" t="s">
        <v>3</v>
      </c>
      <c r="N18" s="10">
        <v>1</v>
      </c>
      <c r="O18" s="10">
        <v>1</v>
      </c>
      <c r="P18" s="3">
        <v>1</v>
      </c>
      <c r="Q18" s="10">
        <v>2</v>
      </c>
      <c r="R18" s="10">
        <f t="shared" si="0"/>
        <v>2</v>
      </c>
      <c r="S18" s="4">
        <v>1</v>
      </c>
      <c r="T18" s="478"/>
    </row>
    <row r="19" spans="1:20" x14ac:dyDescent="0.45">
      <c r="A19" s="64">
        <v>26024</v>
      </c>
      <c r="B19" s="14">
        <v>0</v>
      </c>
      <c r="C19" s="10">
        <v>0</v>
      </c>
      <c r="D19" s="1" t="s">
        <v>3</v>
      </c>
      <c r="E19" s="10">
        <v>2</v>
      </c>
      <c r="F19" s="10">
        <v>2</v>
      </c>
      <c r="G19" s="2">
        <v>1</v>
      </c>
      <c r="H19" s="10">
        <v>0</v>
      </c>
      <c r="I19" s="10">
        <v>0</v>
      </c>
      <c r="J19" s="1" t="s">
        <v>3</v>
      </c>
      <c r="K19" s="10">
        <v>0</v>
      </c>
      <c r="L19" s="10">
        <v>0</v>
      </c>
      <c r="M19" s="2" t="s">
        <v>3</v>
      </c>
      <c r="N19" s="10">
        <v>0</v>
      </c>
      <c r="O19" s="10">
        <v>0</v>
      </c>
      <c r="P19" s="3" t="s">
        <v>3</v>
      </c>
      <c r="Q19" s="10">
        <v>2</v>
      </c>
      <c r="R19" s="10">
        <f t="shared" si="0"/>
        <v>2</v>
      </c>
      <c r="S19" s="4">
        <v>1</v>
      </c>
      <c r="T19" s="478"/>
    </row>
    <row r="20" spans="1:20" x14ac:dyDescent="0.45">
      <c r="A20" s="64">
        <v>26054</v>
      </c>
      <c r="B20" s="14">
        <v>0</v>
      </c>
      <c r="C20" s="10">
        <v>0</v>
      </c>
      <c r="D20" s="1" t="s">
        <v>3</v>
      </c>
      <c r="E20" s="10">
        <v>2</v>
      </c>
      <c r="F20" s="10">
        <v>2</v>
      </c>
      <c r="G20" s="2">
        <v>1</v>
      </c>
      <c r="H20" s="10">
        <v>0</v>
      </c>
      <c r="I20" s="10">
        <v>0</v>
      </c>
      <c r="J20" s="1" t="s">
        <v>3</v>
      </c>
      <c r="K20" s="10">
        <v>0</v>
      </c>
      <c r="L20" s="10">
        <v>0</v>
      </c>
      <c r="M20" s="2" t="s">
        <v>3</v>
      </c>
      <c r="N20" s="10">
        <v>0</v>
      </c>
      <c r="O20" s="10">
        <v>0</v>
      </c>
      <c r="P20" s="3" t="s">
        <v>3</v>
      </c>
      <c r="Q20" s="10">
        <v>2</v>
      </c>
      <c r="R20" s="10">
        <f t="shared" si="0"/>
        <v>2</v>
      </c>
      <c r="S20" s="4">
        <v>1</v>
      </c>
      <c r="T20" s="478"/>
    </row>
    <row r="21" spans="1:20" x14ac:dyDescent="0.45">
      <c r="A21" s="64">
        <v>26085</v>
      </c>
      <c r="B21" s="14">
        <v>0</v>
      </c>
      <c r="C21" s="10">
        <v>0</v>
      </c>
      <c r="D21" s="1" t="s">
        <v>3</v>
      </c>
      <c r="E21" s="10">
        <v>2</v>
      </c>
      <c r="F21" s="10">
        <v>2</v>
      </c>
      <c r="G21" s="2">
        <v>1</v>
      </c>
      <c r="H21" s="10">
        <v>0</v>
      </c>
      <c r="I21" s="10">
        <v>0</v>
      </c>
      <c r="J21" s="1" t="s">
        <v>3</v>
      </c>
      <c r="K21" s="10">
        <v>0</v>
      </c>
      <c r="L21" s="10">
        <v>0</v>
      </c>
      <c r="M21" s="2" t="s">
        <v>3</v>
      </c>
      <c r="N21" s="10">
        <v>0</v>
      </c>
      <c r="O21" s="10">
        <v>0</v>
      </c>
      <c r="P21" s="3" t="s">
        <v>3</v>
      </c>
      <c r="Q21" s="10">
        <v>2</v>
      </c>
      <c r="R21" s="10">
        <f t="shared" si="0"/>
        <v>2</v>
      </c>
      <c r="S21" s="4">
        <v>1</v>
      </c>
      <c r="T21" s="478"/>
    </row>
    <row r="22" spans="1:20" x14ac:dyDescent="0.45">
      <c r="A22" s="64">
        <v>26115</v>
      </c>
      <c r="B22" s="14">
        <v>0</v>
      </c>
      <c r="C22" s="10">
        <v>0</v>
      </c>
      <c r="D22" s="1" t="s">
        <v>3</v>
      </c>
      <c r="E22" s="10">
        <v>2</v>
      </c>
      <c r="F22" s="10">
        <v>2</v>
      </c>
      <c r="G22" s="2">
        <v>1</v>
      </c>
      <c r="H22" s="10">
        <v>0</v>
      </c>
      <c r="I22" s="10">
        <v>0</v>
      </c>
      <c r="J22" s="1" t="s">
        <v>3</v>
      </c>
      <c r="K22" s="10">
        <v>0</v>
      </c>
      <c r="L22" s="10">
        <v>0</v>
      </c>
      <c r="M22" s="2" t="s">
        <v>3</v>
      </c>
      <c r="N22" s="10">
        <v>0</v>
      </c>
      <c r="O22" s="10">
        <v>0</v>
      </c>
      <c r="P22" s="3" t="s">
        <v>3</v>
      </c>
      <c r="Q22" s="10">
        <v>2</v>
      </c>
      <c r="R22" s="10">
        <f t="shared" si="0"/>
        <v>2</v>
      </c>
      <c r="S22" s="4">
        <v>1</v>
      </c>
      <c r="T22" s="478"/>
    </row>
    <row r="23" spans="1:20" x14ac:dyDescent="0.45">
      <c r="A23" s="64">
        <v>26146</v>
      </c>
      <c r="B23" s="14">
        <v>0</v>
      </c>
      <c r="C23" s="10">
        <v>0</v>
      </c>
      <c r="D23" s="1" t="s">
        <v>3</v>
      </c>
      <c r="E23" s="10">
        <v>2</v>
      </c>
      <c r="F23" s="10">
        <v>2</v>
      </c>
      <c r="G23" s="2">
        <v>1</v>
      </c>
      <c r="H23" s="10">
        <v>0</v>
      </c>
      <c r="I23" s="10">
        <v>0</v>
      </c>
      <c r="J23" s="1" t="s">
        <v>3</v>
      </c>
      <c r="K23" s="10">
        <v>0</v>
      </c>
      <c r="L23" s="10">
        <v>0</v>
      </c>
      <c r="M23" s="2" t="s">
        <v>3</v>
      </c>
      <c r="N23" s="10">
        <v>0</v>
      </c>
      <c r="O23" s="10">
        <v>0</v>
      </c>
      <c r="P23" s="3" t="s">
        <v>3</v>
      </c>
      <c r="Q23" s="10">
        <v>2</v>
      </c>
      <c r="R23" s="10">
        <f t="shared" si="0"/>
        <v>2</v>
      </c>
      <c r="S23" s="4">
        <v>1</v>
      </c>
      <c r="T23" s="478"/>
    </row>
    <row r="24" spans="1:20" x14ac:dyDescent="0.45">
      <c r="A24" s="64">
        <v>26177</v>
      </c>
      <c r="B24" s="14">
        <v>0</v>
      </c>
      <c r="C24" s="10">
        <v>0</v>
      </c>
      <c r="D24" s="1" t="s">
        <v>3</v>
      </c>
      <c r="E24" s="10">
        <v>2</v>
      </c>
      <c r="F24" s="10">
        <v>2</v>
      </c>
      <c r="G24" s="2">
        <v>1</v>
      </c>
      <c r="H24" s="10">
        <v>0</v>
      </c>
      <c r="I24" s="10">
        <v>0</v>
      </c>
      <c r="J24" s="1" t="s">
        <v>3</v>
      </c>
      <c r="K24" s="10">
        <v>0</v>
      </c>
      <c r="L24" s="10">
        <v>0</v>
      </c>
      <c r="M24" s="2" t="s">
        <v>3</v>
      </c>
      <c r="N24" s="10">
        <v>0</v>
      </c>
      <c r="O24" s="10">
        <v>0</v>
      </c>
      <c r="P24" s="3" t="s">
        <v>3</v>
      </c>
      <c r="Q24" s="10">
        <v>2</v>
      </c>
      <c r="R24" s="10">
        <f t="shared" si="0"/>
        <v>2</v>
      </c>
      <c r="S24" s="4">
        <v>1</v>
      </c>
      <c r="T24" s="478"/>
    </row>
    <row r="25" spans="1:20" x14ac:dyDescent="0.45">
      <c r="A25" s="64">
        <v>26207</v>
      </c>
      <c r="B25" s="14">
        <v>0</v>
      </c>
      <c r="C25" s="10">
        <v>0</v>
      </c>
      <c r="D25" s="1" t="s">
        <v>3</v>
      </c>
      <c r="E25" s="10">
        <v>2</v>
      </c>
      <c r="F25" s="10">
        <v>2</v>
      </c>
      <c r="G25" s="2">
        <v>1</v>
      </c>
      <c r="H25" s="10">
        <v>0</v>
      </c>
      <c r="I25" s="10">
        <v>0</v>
      </c>
      <c r="J25" s="1" t="s">
        <v>3</v>
      </c>
      <c r="K25" s="10">
        <v>0</v>
      </c>
      <c r="L25" s="10">
        <v>0</v>
      </c>
      <c r="M25" s="2" t="s">
        <v>3</v>
      </c>
      <c r="N25" s="10">
        <v>0</v>
      </c>
      <c r="O25" s="10">
        <v>0</v>
      </c>
      <c r="P25" s="3" t="s">
        <v>3</v>
      </c>
      <c r="Q25" s="10">
        <v>2</v>
      </c>
      <c r="R25" s="10">
        <f t="shared" si="0"/>
        <v>2</v>
      </c>
      <c r="S25" s="4">
        <v>1</v>
      </c>
      <c r="T25" s="478"/>
    </row>
    <row r="26" spans="1:20" x14ac:dyDescent="0.45">
      <c r="A26" s="64">
        <v>26238</v>
      </c>
      <c r="B26" s="14">
        <v>0</v>
      </c>
      <c r="C26" s="10">
        <v>0</v>
      </c>
      <c r="D26" s="1" t="s">
        <v>3</v>
      </c>
      <c r="E26" s="10">
        <v>2</v>
      </c>
      <c r="F26" s="10">
        <v>2</v>
      </c>
      <c r="G26" s="2">
        <v>1</v>
      </c>
      <c r="H26" s="10">
        <v>0</v>
      </c>
      <c r="I26" s="10">
        <v>0</v>
      </c>
      <c r="J26" s="1" t="s">
        <v>3</v>
      </c>
      <c r="K26" s="10">
        <v>0</v>
      </c>
      <c r="L26" s="10">
        <v>0</v>
      </c>
      <c r="M26" s="2" t="s">
        <v>3</v>
      </c>
      <c r="N26" s="10">
        <v>0</v>
      </c>
      <c r="O26" s="10">
        <v>0</v>
      </c>
      <c r="P26" s="3" t="s">
        <v>3</v>
      </c>
      <c r="Q26" s="10">
        <v>2</v>
      </c>
      <c r="R26" s="10">
        <f t="shared" si="0"/>
        <v>2</v>
      </c>
      <c r="S26" s="4">
        <v>1</v>
      </c>
      <c r="T26" s="478"/>
    </row>
    <row r="27" spans="1:20" ht="19.5" customHeight="1" thickBot="1" x14ac:dyDescent="0.5">
      <c r="A27" s="65">
        <v>26268</v>
      </c>
      <c r="B27" s="17">
        <v>0</v>
      </c>
      <c r="C27" s="18">
        <v>0</v>
      </c>
      <c r="D27" s="12" t="s">
        <v>3</v>
      </c>
      <c r="E27" s="18">
        <v>2</v>
      </c>
      <c r="F27" s="18">
        <v>2</v>
      </c>
      <c r="G27" s="13">
        <v>1</v>
      </c>
      <c r="H27" s="18">
        <v>0</v>
      </c>
      <c r="I27" s="18">
        <v>0</v>
      </c>
      <c r="J27" s="12" t="s">
        <v>3</v>
      </c>
      <c r="K27" s="18">
        <v>0</v>
      </c>
      <c r="L27" s="18">
        <v>0</v>
      </c>
      <c r="M27" s="13" t="s">
        <v>3</v>
      </c>
      <c r="N27" s="18">
        <v>0</v>
      </c>
      <c r="O27" s="18">
        <v>0</v>
      </c>
      <c r="P27" s="12" t="s">
        <v>3</v>
      </c>
      <c r="Q27" s="18">
        <v>2</v>
      </c>
      <c r="R27" s="18">
        <f t="shared" si="0"/>
        <v>2</v>
      </c>
      <c r="S27" s="13">
        <v>1</v>
      </c>
      <c r="T27" s="478"/>
    </row>
    <row r="28" spans="1:20" ht="19.5" customHeight="1" thickTop="1" x14ac:dyDescent="0.45">
      <c r="A28" s="63">
        <v>26299</v>
      </c>
      <c r="B28" s="14">
        <v>0</v>
      </c>
      <c r="C28" s="10">
        <v>0</v>
      </c>
      <c r="D28" s="3" t="s">
        <v>3</v>
      </c>
      <c r="E28" s="10">
        <v>2</v>
      </c>
      <c r="F28" s="10">
        <v>2</v>
      </c>
      <c r="G28" s="4">
        <v>1</v>
      </c>
      <c r="H28" s="10">
        <v>0</v>
      </c>
      <c r="I28" s="10">
        <v>0</v>
      </c>
      <c r="J28" s="3" t="s">
        <v>3</v>
      </c>
      <c r="K28" s="10">
        <v>0</v>
      </c>
      <c r="L28" s="10">
        <v>0</v>
      </c>
      <c r="M28" s="4" t="s">
        <v>3</v>
      </c>
      <c r="N28" s="10">
        <v>0</v>
      </c>
      <c r="O28" s="10">
        <v>0</v>
      </c>
      <c r="P28" s="3" t="s">
        <v>3</v>
      </c>
      <c r="Q28" s="10">
        <v>2</v>
      </c>
      <c r="R28" s="10">
        <f t="shared" si="0"/>
        <v>2</v>
      </c>
      <c r="S28" s="4">
        <v>1</v>
      </c>
      <c r="T28" s="478"/>
    </row>
    <row r="29" spans="1:20" x14ac:dyDescent="0.45">
      <c r="A29" s="64">
        <v>26330</v>
      </c>
      <c r="B29" s="14">
        <v>0</v>
      </c>
      <c r="C29" s="10">
        <v>0</v>
      </c>
      <c r="D29" s="1" t="s">
        <v>3</v>
      </c>
      <c r="E29" s="10">
        <v>2</v>
      </c>
      <c r="F29" s="10">
        <v>2</v>
      </c>
      <c r="G29" s="2">
        <v>1</v>
      </c>
      <c r="H29" s="10">
        <v>0</v>
      </c>
      <c r="I29" s="10">
        <v>0</v>
      </c>
      <c r="J29" s="1" t="s">
        <v>3</v>
      </c>
      <c r="K29" s="10">
        <v>0</v>
      </c>
      <c r="L29" s="10">
        <v>0</v>
      </c>
      <c r="M29" s="2" t="s">
        <v>3</v>
      </c>
      <c r="N29" s="10">
        <v>0</v>
      </c>
      <c r="O29" s="10">
        <v>0</v>
      </c>
      <c r="P29" s="3" t="s">
        <v>3</v>
      </c>
      <c r="Q29" s="10">
        <v>2</v>
      </c>
      <c r="R29" s="10">
        <f t="shared" si="0"/>
        <v>2</v>
      </c>
      <c r="S29" s="4">
        <v>1</v>
      </c>
      <c r="T29" s="478"/>
    </row>
    <row r="30" spans="1:20" x14ac:dyDescent="0.45">
      <c r="A30" s="64">
        <v>26359</v>
      </c>
      <c r="B30" s="14">
        <v>0</v>
      </c>
      <c r="C30" s="10">
        <v>0</v>
      </c>
      <c r="D30" s="1" t="s">
        <v>3</v>
      </c>
      <c r="E30" s="10">
        <v>2</v>
      </c>
      <c r="F30" s="10">
        <v>2</v>
      </c>
      <c r="G30" s="2">
        <v>1</v>
      </c>
      <c r="H30" s="10">
        <v>0</v>
      </c>
      <c r="I30" s="10">
        <v>0</v>
      </c>
      <c r="J30" s="1" t="s">
        <v>3</v>
      </c>
      <c r="K30" s="10">
        <v>0</v>
      </c>
      <c r="L30" s="10">
        <v>0</v>
      </c>
      <c r="M30" s="2" t="s">
        <v>3</v>
      </c>
      <c r="N30" s="10">
        <v>0</v>
      </c>
      <c r="O30" s="10">
        <v>0</v>
      </c>
      <c r="P30" s="3" t="s">
        <v>3</v>
      </c>
      <c r="Q30" s="10">
        <v>2</v>
      </c>
      <c r="R30" s="10">
        <f t="shared" si="0"/>
        <v>2</v>
      </c>
      <c r="S30" s="4">
        <v>1</v>
      </c>
      <c r="T30" s="478"/>
    </row>
    <row r="31" spans="1:20" x14ac:dyDescent="0.45">
      <c r="A31" s="64">
        <v>26390</v>
      </c>
      <c r="B31" s="14">
        <v>0</v>
      </c>
      <c r="C31" s="10">
        <v>0</v>
      </c>
      <c r="D31" s="1" t="s">
        <v>3</v>
      </c>
      <c r="E31" s="10">
        <v>2</v>
      </c>
      <c r="F31" s="10">
        <v>2</v>
      </c>
      <c r="G31" s="2">
        <v>1</v>
      </c>
      <c r="H31" s="10">
        <v>0</v>
      </c>
      <c r="I31" s="10">
        <v>0</v>
      </c>
      <c r="J31" s="1" t="s">
        <v>3</v>
      </c>
      <c r="K31" s="10">
        <v>0</v>
      </c>
      <c r="L31" s="10">
        <v>0</v>
      </c>
      <c r="M31" s="2" t="s">
        <v>3</v>
      </c>
      <c r="N31" s="10">
        <v>0</v>
      </c>
      <c r="O31" s="10">
        <v>0</v>
      </c>
      <c r="P31" s="3" t="s">
        <v>3</v>
      </c>
      <c r="Q31" s="10">
        <v>2</v>
      </c>
      <c r="R31" s="10">
        <f t="shared" si="0"/>
        <v>2</v>
      </c>
      <c r="S31" s="4">
        <v>1</v>
      </c>
      <c r="T31" s="478"/>
    </row>
    <row r="32" spans="1:20" x14ac:dyDescent="0.45">
      <c r="A32" s="64">
        <v>26420</v>
      </c>
      <c r="B32" s="14">
        <v>0</v>
      </c>
      <c r="C32" s="10">
        <v>0</v>
      </c>
      <c r="D32" s="1" t="s">
        <v>3</v>
      </c>
      <c r="E32" s="10">
        <v>2</v>
      </c>
      <c r="F32" s="10">
        <v>2</v>
      </c>
      <c r="G32" s="2">
        <v>1</v>
      </c>
      <c r="H32" s="10">
        <v>0</v>
      </c>
      <c r="I32" s="10">
        <v>0</v>
      </c>
      <c r="J32" s="1" t="s">
        <v>3</v>
      </c>
      <c r="K32" s="10">
        <v>0</v>
      </c>
      <c r="L32" s="10">
        <v>0</v>
      </c>
      <c r="M32" s="2" t="s">
        <v>3</v>
      </c>
      <c r="N32" s="10">
        <v>0</v>
      </c>
      <c r="O32" s="10">
        <v>0</v>
      </c>
      <c r="P32" s="3" t="s">
        <v>3</v>
      </c>
      <c r="Q32" s="10">
        <v>2</v>
      </c>
      <c r="R32" s="10">
        <f t="shared" si="0"/>
        <v>2</v>
      </c>
      <c r="S32" s="4">
        <v>1</v>
      </c>
      <c r="T32" s="478"/>
    </row>
    <row r="33" spans="1:20" x14ac:dyDescent="0.45">
      <c r="A33" s="64">
        <v>26451</v>
      </c>
      <c r="B33" s="14">
        <v>0</v>
      </c>
      <c r="C33" s="10">
        <v>0</v>
      </c>
      <c r="D33" s="1" t="s">
        <v>3</v>
      </c>
      <c r="E33" s="10">
        <v>2</v>
      </c>
      <c r="F33" s="10">
        <v>2</v>
      </c>
      <c r="G33" s="2">
        <v>1</v>
      </c>
      <c r="H33" s="10">
        <v>0</v>
      </c>
      <c r="I33" s="10">
        <v>0</v>
      </c>
      <c r="J33" s="1" t="s">
        <v>3</v>
      </c>
      <c r="K33" s="10">
        <v>0</v>
      </c>
      <c r="L33" s="10">
        <v>0</v>
      </c>
      <c r="M33" s="2" t="s">
        <v>3</v>
      </c>
      <c r="N33" s="10">
        <v>0</v>
      </c>
      <c r="O33" s="10">
        <v>0</v>
      </c>
      <c r="P33" s="3" t="s">
        <v>3</v>
      </c>
      <c r="Q33" s="10">
        <v>2</v>
      </c>
      <c r="R33" s="10">
        <f t="shared" si="0"/>
        <v>2</v>
      </c>
      <c r="S33" s="4">
        <v>1</v>
      </c>
      <c r="T33" s="478"/>
    </row>
    <row r="34" spans="1:20" x14ac:dyDescent="0.45">
      <c r="A34" s="64">
        <v>26481</v>
      </c>
      <c r="B34" s="14">
        <v>0</v>
      </c>
      <c r="C34" s="10">
        <v>0</v>
      </c>
      <c r="D34" s="1" t="s">
        <v>3</v>
      </c>
      <c r="E34" s="10">
        <v>2</v>
      </c>
      <c r="F34" s="10">
        <v>2</v>
      </c>
      <c r="G34" s="2">
        <v>1</v>
      </c>
      <c r="H34" s="10">
        <v>0</v>
      </c>
      <c r="I34" s="10">
        <v>0</v>
      </c>
      <c r="J34" s="1" t="s">
        <v>3</v>
      </c>
      <c r="K34" s="10">
        <v>0</v>
      </c>
      <c r="L34" s="10">
        <v>0</v>
      </c>
      <c r="M34" s="2" t="s">
        <v>3</v>
      </c>
      <c r="N34" s="10">
        <v>0</v>
      </c>
      <c r="O34" s="10">
        <v>0</v>
      </c>
      <c r="P34" s="3" t="s">
        <v>3</v>
      </c>
      <c r="Q34" s="10">
        <v>2</v>
      </c>
      <c r="R34" s="10">
        <f t="shared" si="0"/>
        <v>2</v>
      </c>
      <c r="S34" s="4">
        <v>1</v>
      </c>
      <c r="T34" s="478"/>
    </row>
    <row r="35" spans="1:20" x14ac:dyDescent="0.45">
      <c r="A35" s="64">
        <v>26512</v>
      </c>
      <c r="B35" s="14">
        <v>0</v>
      </c>
      <c r="C35" s="10">
        <v>0</v>
      </c>
      <c r="D35" s="1" t="s">
        <v>3</v>
      </c>
      <c r="E35" s="10">
        <v>2</v>
      </c>
      <c r="F35" s="10">
        <v>2</v>
      </c>
      <c r="G35" s="2">
        <v>1</v>
      </c>
      <c r="H35" s="10">
        <v>0</v>
      </c>
      <c r="I35" s="10">
        <v>0</v>
      </c>
      <c r="J35" s="1" t="s">
        <v>3</v>
      </c>
      <c r="K35" s="10">
        <v>0</v>
      </c>
      <c r="L35" s="10">
        <v>0</v>
      </c>
      <c r="M35" s="2" t="s">
        <v>3</v>
      </c>
      <c r="N35" s="10">
        <v>0</v>
      </c>
      <c r="O35" s="10">
        <v>0</v>
      </c>
      <c r="P35" s="3" t="s">
        <v>3</v>
      </c>
      <c r="Q35" s="10">
        <v>2</v>
      </c>
      <c r="R35" s="10">
        <f t="shared" si="0"/>
        <v>2</v>
      </c>
      <c r="S35" s="4">
        <v>1</v>
      </c>
      <c r="T35" s="478"/>
    </row>
    <row r="36" spans="1:20" x14ac:dyDescent="0.45">
      <c r="A36" s="64">
        <v>26543</v>
      </c>
      <c r="B36" s="14">
        <v>0</v>
      </c>
      <c r="C36" s="10">
        <v>0</v>
      </c>
      <c r="D36" s="1" t="s">
        <v>3</v>
      </c>
      <c r="E36" s="10">
        <v>2</v>
      </c>
      <c r="F36" s="10">
        <v>2</v>
      </c>
      <c r="G36" s="2">
        <v>1</v>
      </c>
      <c r="H36" s="10">
        <v>0</v>
      </c>
      <c r="I36" s="10">
        <v>0</v>
      </c>
      <c r="J36" s="1" t="s">
        <v>3</v>
      </c>
      <c r="K36" s="10">
        <v>0</v>
      </c>
      <c r="L36" s="10">
        <v>0</v>
      </c>
      <c r="M36" s="2" t="s">
        <v>3</v>
      </c>
      <c r="N36" s="10">
        <v>0</v>
      </c>
      <c r="O36" s="10">
        <v>0</v>
      </c>
      <c r="P36" s="3" t="s">
        <v>3</v>
      </c>
      <c r="Q36" s="10">
        <v>2</v>
      </c>
      <c r="R36" s="10">
        <f t="shared" si="0"/>
        <v>2</v>
      </c>
      <c r="S36" s="4">
        <v>1</v>
      </c>
      <c r="T36" s="478"/>
    </row>
    <row r="37" spans="1:20" x14ac:dyDescent="0.45">
      <c r="A37" s="64">
        <v>26573</v>
      </c>
      <c r="B37" s="14">
        <v>0</v>
      </c>
      <c r="C37" s="10">
        <v>0</v>
      </c>
      <c r="D37" s="1" t="s">
        <v>3</v>
      </c>
      <c r="E37" s="10">
        <v>2</v>
      </c>
      <c r="F37" s="10">
        <v>2</v>
      </c>
      <c r="G37" s="2">
        <v>1</v>
      </c>
      <c r="H37" s="10">
        <v>0</v>
      </c>
      <c r="I37" s="10">
        <v>0</v>
      </c>
      <c r="J37" s="1" t="s">
        <v>3</v>
      </c>
      <c r="K37" s="10">
        <v>0</v>
      </c>
      <c r="L37" s="10">
        <v>0</v>
      </c>
      <c r="M37" s="2" t="s">
        <v>3</v>
      </c>
      <c r="N37" s="10">
        <v>0</v>
      </c>
      <c r="O37" s="10">
        <v>0</v>
      </c>
      <c r="P37" s="3" t="s">
        <v>3</v>
      </c>
      <c r="Q37" s="10">
        <v>2</v>
      </c>
      <c r="R37" s="10">
        <f t="shared" si="0"/>
        <v>2</v>
      </c>
      <c r="S37" s="4">
        <v>1</v>
      </c>
      <c r="T37" s="478"/>
    </row>
    <row r="38" spans="1:20" x14ac:dyDescent="0.45">
      <c r="A38" s="64">
        <v>26604</v>
      </c>
      <c r="B38" s="14">
        <v>0</v>
      </c>
      <c r="C38" s="10">
        <v>0</v>
      </c>
      <c r="D38" s="1" t="s">
        <v>3</v>
      </c>
      <c r="E38" s="10">
        <v>2</v>
      </c>
      <c r="F38" s="10">
        <v>2</v>
      </c>
      <c r="G38" s="2">
        <v>1</v>
      </c>
      <c r="H38" s="10">
        <v>0</v>
      </c>
      <c r="I38" s="10">
        <v>0</v>
      </c>
      <c r="J38" s="1" t="s">
        <v>3</v>
      </c>
      <c r="K38" s="10">
        <v>0</v>
      </c>
      <c r="L38" s="10">
        <v>0</v>
      </c>
      <c r="M38" s="2" t="s">
        <v>3</v>
      </c>
      <c r="N38" s="10">
        <v>0</v>
      </c>
      <c r="O38" s="10">
        <v>0</v>
      </c>
      <c r="P38" s="3" t="s">
        <v>3</v>
      </c>
      <c r="Q38" s="10">
        <v>2</v>
      </c>
      <c r="R38" s="10">
        <f t="shared" si="0"/>
        <v>2</v>
      </c>
      <c r="S38" s="4">
        <v>1</v>
      </c>
      <c r="T38" s="478"/>
    </row>
    <row r="39" spans="1:20" ht="19.5" customHeight="1" thickBot="1" x14ac:dyDescent="0.5">
      <c r="A39" s="65">
        <v>26634</v>
      </c>
      <c r="B39" s="17">
        <v>0</v>
      </c>
      <c r="C39" s="18">
        <v>0</v>
      </c>
      <c r="D39" s="12" t="s">
        <v>3</v>
      </c>
      <c r="E39" s="18">
        <v>2</v>
      </c>
      <c r="F39" s="18">
        <v>2</v>
      </c>
      <c r="G39" s="13">
        <v>1</v>
      </c>
      <c r="H39" s="18">
        <v>0</v>
      </c>
      <c r="I39" s="18">
        <v>0</v>
      </c>
      <c r="J39" s="12" t="s">
        <v>3</v>
      </c>
      <c r="K39" s="18">
        <v>0</v>
      </c>
      <c r="L39" s="18">
        <v>0</v>
      </c>
      <c r="M39" s="13" t="s">
        <v>3</v>
      </c>
      <c r="N39" s="18">
        <v>0</v>
      </c>
      <c r="O39" s="18">
        <v>0</v>
      </c>
      <c r="P39" s="12" t="s">
        <v>3</v>
      </c>
      <c r="Q39" s="18">
        <v>2</v>
      </c>
      <c r="R39" s="18">
        <f t="shared" si="0"/>
        <v>2</v>
      </c>
      <c r="S39" s="13">
        <v>1</v>
      </c>
      <c r="T39" s="478"/>
    </row>
    <row r="40" spans="1:20" ht="19.5" customHeight="1" thickTop="1" x14ac:dyDescent="0.45">
      <c r="A40" s="63">
        <v>26665</v>
      </c>
      <c r="B40" s="14">
        <v>0</v>
      </c>
      <c r="C40" s="10">
        <v>0</v>
      </c>
      <c r="D40" s="3" t="s">
        <v>3</v>
      </c>
      <c r="E40" s="10">
        <v>2</v>
      </c>
      <c r="F40" s="10">
        <v>2</v>
      </c>
      <c r="G40" s="4">
        <v>1</v>
      </c>
      <c r="H40" s="10">
        <v>0</v>
      </c>
      <c r="I40" s="10">
        <v>0</v>
      </c>
      <c r="J40" s="3" t="s">
        <v>3</v>
      </c>
      <c r="K40" s="10">
        <v>0</v>
      </c>
      <c r="L40" s="10">
        <v>0</v>
      </c>
      <c r="M40" s="4" t="s">
        <v>3</v>
      </c>
      <c r="N40" s="10">
        <v>0</v>
      </c>
      <c r="O40" s="10">
        <v>0</v>
      </c>
      <c r="P40" s="3" t="s">
        <v>3</v>
      </c>
      <c r="Q40" s="10">
        <v>2</v>
      </c>
      <c r="R40" s="10">
        <f t="shared" si="0"/>
        <v>2</v>
      </c>
      <c r="S40" s="4">
        <v>1</v>
      </c>
      <c r="T40" s="478"/>
    </row>
    <row r="41" spans="1:20" x14ac:dyDescent="0.45">
      <c r="A41" s="64">
        <v>26696</v>
      </c>
      <c r="B41" s="14">
        <v>0</v>
      </c>
      <c r="C41" s="10">
        <v>0</v>
      </c>
      <c r="D41" s="1" t="s">
        <v>3</v>
      </c>
      <c r="E41" s="10">
        <v>2</v>
      </c>
      <c r="F41" s="10">
        <v>2</v>
      </c>
      <c r="G41" s="2">
        <v>1</v>
      </c>
      <c r="H41" s="10">
        <v>0</v>
      </c>
      <c r="I41" s="10">
        <v>0</v>
      </c>
      <c r="J41" s="1" t="s">
        <v>3</v>
      </c>
      <c r="K41" s="10">
        <v>0</v>
      </c>
      <c r="L41" s="10">
        <v>0</v>
      </c>
      <c r="M41" s="2" t="s">
        <v>3</v>
      </c>
      <c r="N41" s="10">
        <v>0</v>
      </c>
      <c r="O41" s="10">
        <v>0</v>
      </c>
      <c r="P41" s="3" t="s">
        <v>3</v>
      </c>
      <c r="Q41" s="10">
        <v>2</v>
      </c>
      <c r="R41" s="10">
        <f t="shared" si="0"/>
        <v>2</v>
      </c>
      <c r="S41" s="4">
        <v>1</v>
      </c>
      <c r="T41" s="478"/>
    </row>
    <row r="42" spans="1:20" x14ac:dyDescent="0.45">
      <c r="A42" s="64">
        <v>26724</v>
      </c>
      <c r="B42" s="14">
        <v>0</v>
      </c>
      <c r="C42" s="10">
        <v>0</v>
      </c>
      <c r="D42" s="1" t="s">
        <v>3</v>
      </c>
      <c r="E42" s="10">
        <v>2</v>
      </c>
      <c r="F42" s="10">
        <v>2</v>
      </c>
      <c r="G42" s="2">
        <v>1</v>
      </c>
      <c r="H42" s="10">
        <v>0</v>
      </c>
      <c r="I42" s="10">
        <v>0</v>
      </c>
      <c r="J42" s="1" t="s">
        <v>3</v>
      </c>
      <c r="K42" s="10">
        <v>0</v>
      </c>
      <c r="L42" s="10">
        <v>0</v>
      </c>
      <c r="M42" s="2" t="s">
        <v>3</v>
      </c>
      <c r="N42" s="10">
        <v>0</v>
      </c>
      <c r="O42" s="10">
        <v>0</v>
      </c>
      <c r="P42" s="3" t="s">
        <v>3</v>
      </c>
      <c r="Q42" s="10">
        <v>2</v>
      </c>
      <c r="R42" s="10">
        <f t="shared" si="0"/>
        <v>2</v>
      </c>
      <c r="S42" s="4">
        <v>1</v>
      </c>
      <c r="T42" s="478"/>
    </row>
    <row r="43" spans="1:20" x14ac:dyDescent="0.45">
      <c r="A43" s="64">
        <v>26755</v>
      </c>
      <c r="B43" s="14">
        <v>0</v>
      </c>
      <c r="C43" s="10">
        <v>0</v>
      </c>
      <c r="D43" s="1" t="s">
        <v>3</v>
      </c>
      <c r="E43" s="10">
        <v>2</v>
      </c>
      <c r="F43" s="10">
        <v>2</v>
      </c>
      <c r="G43" s="2">
        <v>1</v>
      </c>
      <c r="H43" s="10">
        <v>0</v>
      </c>
      <c r="I43" s="10">
        <v>0</v>
      </c>
      <c r="J43" s="1" t="s">
        <v>3</v>
      </c>
      <c r="K43" s="10">
        <v>0</v>
      </c>
      <c r="L43" s="10">
        <v>0</v>
      </c>
      <c r="M43" s="2" t="s">
        <v>3</v>
      </c>
      <c r="N43" s="10">
        <v>0</v>
      </c>
      <c r="O43" s="10">
        <v>0</v>
      </c>
      <c r="P43" s="3" t="s">
        <v>3</v>
      </c>
      <c r="Q43" s="10">
        <v>2</v>
      </c>
      <c r="R43" s="10">
        <f t="shared" si="0"/>
        <v>2</v>
      </c>
      <c r="S43" s="4">
        <v>1</v>
      </c>
      <c r="T43" s="478"/>
    </row>
    <row r="44" spans="1:20" x14ac:dyDescent="0.45">
      <c r="A44" s="64">
        <v>26785</v>
      </c>
      <c r="B44" s="14">
        <v>0</v>
      </c>
      <c r="C44" s="10">
        <v>0</v>
      </c>
      <c r="D44" s="1" t="s">
        <v>3</v>
      </c>
      <c r="E44" s="10">
        <v>2</v>
      </c>
      <c r="F44" s="10">
        <v>2</v>
      </c>
      <c r="G44" s="2">
        <v>1</v>
      </c>
      <c r="H44" s="10">
        <v>0</v>
      </c>
      <c r="I44" s="10">
        <v>0</v>
      </c>
      <c r="J44" s="1" t="s">
        <v>3</v>
      </c>
      <c r="K44" s="10">
        <v>0</v>
      </c>
      <c r="L44" s="10">
        <v>0</v>
      </c>
      <c r="M44" s="2" t="s">
        <v>3</v>
      </c>
      <c r="N44" s="10">
        <v>0</v>
      </c>
      <c r="O44" s="10">
        <v>0</v>
      </c>
      <c r="P44" s="3" t="s">
        <v>3</v>
      </c>
      <c r="Q44" s="10">
        <v>2</v>
      </c>
      <c r="R44" s="10">
        <f t="shared" si="0"/>
        <v>2</v>
      </c>
      <c r="S44" s="4">
        <v>1</v>
      </c>
      <c r="T44" s="478"/>
    </row>
    <row r="45" spans="1:20" x14ac:dyDescent="0.45">
      <c r="A45" s="64">
        <v>26816</v>
      </c>
      <c r="B45" s="14">
        <v>0</v>
      </c>
      <c r="C45" s="10">
        <v>0</v>
      </c>
      <c r="D45" s="1" t="s">
        <v>3</v>
      </c>
      <c r="E45" s="10">
        <v>2</v>
      </c>
      <c r="F45" s="10">
        <v>2</v>
      </c>
      <c r="G45" s="2">
        <v>1</v>
      </c>
      <c r="H45" s="10">
        <v>0</v>
      </c>
      <c r="I45" s="10">
        <v>0</v>
      </c>
      <c r="J45" s="1" t="s">
        <v>3</v>
      </c>
      <c r="K45" s="10">
        <v>0</v>
      </c>
      <c r="L45" s="10">
        <v>0</v>
      </c>
      <c r="M45" s="2" t="s">
        <v>3</v>
      </c>
      <c r="N45" s="10">
        <v>0</v>
      </c>
      <c r="O45" s="10">
        <v>0</v>
      </c>
      <c r="P45" s="3" t="s">
        <v>3</v>
      </c>
      <c r="Q45" s="10">
        <v>2</v>
      </c>
      <c r="R45" s="10">
        <f t="shared" si="0"/>
        <v>2</v>
      </c>
      <c r="S45" s="4">
        <v>1</v>
      </c>
      <c r="T45" s="478"/>
    </row>
    <row r="46" spans="1:20" x14ac:dyDescent="0.45">
      <c r="A46" s="64">
        <v>26846</v>
      </c>
      <c r="B46" s="14">
        <v>0</v>
      </c>
      <c r="C46" s="10">
        <v>0</v>
      </c>
      <c r="D46" s="1" t="s">
        <v>3</v>
      </c>
      <c r="E46" s="10">
        <v>2</v>
      </c>
      <c r="F46" s="10">
        <v>2</v>
      </c>
      <c r="G46" s="2">
        <v>1</v>
      </c>
      <c r="H46" s="10">
        <v>0</v>
      </c>
      <c r="I46" s="10">
        <v>0</v>
      </c>
      <c r="J46" s="1" t="s">
        <v>3</v>
      </c>
      <c r="K46" s="10">
        <v>0</v>
      </c>
      <c r="L46" s="10">
        <v>0</v>
      </c>
      <c r="M46" s="2" t="s">
        <v>3</v>
      </c>
      <c r="N46" s="10">
        <v>0</v>
      </c>
      <c r="O46" s="10">
        <v>0</v>
      </c>
      <c r="P46" s="3" t="s">
        <v>3</v>
      </c>
      <c r="Q46" s="10">
        <v>2</v>
      </c>
      <c r="R46" s="10">
        <f t="shared" si="0"/>
        <v>2</v>
      </c>
      <c r="S46" s="4">
        <v>1</v>
      </c>
      <c r="T46" s="478"/>
    </row>
    <row r="47" spans="1:20" x14ac:dyDescent="0.45">
      <c r="A47" s="64">
        <v>26877</v>
      </c>
      <c r="B47" s="14">
        <v>0</v>
      </c>
      <c r="C47" s="10">
        <v>0</v>
      </c>
      <c r="D47" s="1" t="s">
        <v>3</v>
      </c>
      <c r="E47" s="10">
        <v>2</v>
      </c>
      <c r="F47" s="10">
        <v>2</v>
      </c>
      <c r="G47" s="2">
        <v>1</v>
      </c>
      <c r="H47" s="10">
        <v>0</v>
      </c>
      <c r="I47" s="10">
        <v>0</v>
      </c>
      <c r="J47" s="1" t="s">
        <v>3</v>
      </c>
      <c r="K47" s="10">
        <v>0</v>
      </c>
      <c r="L47" s="10">
        <v>0</v>
      </c>
      <c r="M47" s="2" t="s">
        <v>3</v>
      </c>
      <c r="N47" s="10">
        <v>0</v>
      </c>
      <c r="O47" s="10">
        <v>0</v>
      </c>
      <c r="P47" s="3" t="s">
        <v>3</v>
      </c>
      <c r="Q47" s="10">
        <v>2</v>
      </c>
      <c r="R47" s="10">
        <f t="shared" si="0"/>
        <v>2</v>
      </c>
      <c r="S47" s="4">
        <v>1</v>
      </c>
      <c r="T47" s="478"/>
    </row>
    <row r="48" spans="1:20" x14ac:dyDescent="0.45">
      <c r="A48" s="64">
        <v>26908</v>
      </c>
      <c r="B48" s="14">
        <v>0</v>
      </c>
      <c r="C48" s="10">
        <v>0</v>
      </c>
      <c r="D48" s="1" t="s">
        <v>3</v>
      </c>
      <c r="E48" s="10">
        <v>2</v>
      </c>
      <c r="F48" s="10">
        <v>2</v>
      </c>
      <c r="G48" s="2">
        <v>1</v>
      </c>
      <c r="H48" s="10">
        <v>1</v>
      </c>
      <c r="I48" s="10">
        <v>0</v>
      </c>
      <c r="J48" s="1">
        <v>0</v>
      </c>
      <c r="K48" s="10">
        <v>1</v>
      </c>
      <c r="L48" s="10">
        <v>0</v>
      </c>
      <c r="M48" s="2">
        <v>0</v>
      </c>
      <c r="N48" s="10">
        <v>1</v>
      </c>
      <c r="O48" s="10">
        <v>0</v>
      </c>
      <c r="P48" s="3">
        <v>0</v>
      </c>
      <c r="Q48" s="10">
        <v>3</v>
      </c>
      <c r="R48" s="10">
        <f t="shared" si="0"/>
        <v>2</v>
      </c>
      <c r="S48" s="4">
        <v>0.66666666666666663</v>
      </c>
      <c r="T48" s="478"/>
    </row>
    <row r="49" spans="1:20" x14ac:dyDescent="0.45">
      <c r="A49" s="64">
        <v>26938</v>
      </c>
      <c r="B49" s="14">
        <v>0</v>
      </c>
      <c r="C49" s="10">
        <v>0</v>
      </c>
      <c r="D49" s="1" t="s">
        <v>3</v>
      </c>
      <c r="E49" s="10">
        <v>2</v>
      </c>
      <c r="F49" s="10">
        <v>2</v>
      </c>
      <c r="G49" s="2">
        <v>1</v>
      </c>
      <c r="H49" s="10">
        <v>0</v>
      </c>
      <c r="I49" s="10">
        <v>0</v>
      </c>
      <c r="J49" s="1" t="s">
        <v>3</v>
      </c>
      <c r="K49" s="10">
        <v>1</v>
      </c>
      <c r="L49" s="10">
        <v>0</v>
      </c>
      <c r="M49" s="2">
        <v>0</v>
      </c>
      <c r="N49" s="10">
        <v>0</v>
      </c>
      <c r="O49" s="10">
        <v>0</v>
      </c>
      <c r="P49" s="3" t="s">
        <v>3</v>
      </c>
      <c r="Q49" s="10">
        <v>3</v>
      </c>
      <c r="R49" s="10">
        <f t="shared" si="0"/>
        <v>2</v>
      </c>
      <c r="S49" s="4">
        <v>0.66666666666666663</v>
      </c>
      <c r="T49" s="478"/>
    </row>
    <row r="50" spans="1:20" x14ac:dyDescent="0.45">
      <c r="A50" s="64">
        <v>26969</v>
      </c>
      <c r="B50" s="14">
        <v>0</v>
      </c>
      <c r="C50" s="10">
        <v>0</v>
      </c>
      <c r="D50" s="1" t="s">
        <v>3</v>
      </c>
      <c r="E50" s="10">
        <v>2</v>
      </c>
      <c r="F50" s="10">
        <v>2</v>
      </c>
      <c r="G50" s="2">
        <v>1</v>
      </c>
      <c r="H50" s="10">
        <v>0</v>
      </c>
      <c r="I50" s="10">
        <v>0</v>
      </c>
      <c r="J50" s="1" t="s">
        <v>3</v>
      </c>
      <c r="K50" s="10">
        <v>1</v>
      </c>
      <c r="L50" s="10">
        <v>0</v>
      </c>
      <c r="M50" s="2">
        <v>0</v>
      </c>
      <c r="N50" s="10">
        <v>0</v>
      </c>
      <c r="O50" s="10">
        <v>0</v>
      </c>
      <c r="P50" s="3" t="s">
        <v>3</v>
      </c>
      <c r="Q50" s="10">
        <v>3</v>
      </c>
      <c r="R50" s="10">
        <f t="shared" si="0"/>
        <v>2</v>
      </c>
      <c r="S50" s="4">
        <v>0.66666666666666663</v>
      </c>
      <c r="T50" s="478"/>
    </row>
    <row r="51" spans="1:20" ht="19.5" customHeight="1" thickBot="1" x14ac:dyDescent="0.5">
      <c r="A51" s="65">
        <v>26999</v>
      </c>
      <c r="B51" s="17">
        <v>0</v>
      </c>
      <c r="C51" s="18">
        <v>0</v>
      </c>
      <c r="D51" s="12" t="s">
        <v>3</v>
      </c>
      <c r="E51" s="18">
        <v>2</v>
      </c>
      <c r="F51" s="18">
        <v>2</v>
      </c>
      <c r="G51" s="13">
        <v>1</v>
      </c>
      <c r="H51" s="18">
        <v>0</v>
      </c>
      <c r="I51" s="18">
        <v>0</v>
      </c>
      <c r="J51" s="12" t="s">
        <v>3</v>
      </c>
      <c r="K51" s="18">
        <v>1</v>
      </c>
      <c r="L51" s="18">
        <v>0</v>
      </c>
      <c r="M51" s="13">
        <v>0</v>
      </c>
      <c r="N51" s="18">
        <v>0</v>
      </c>
      <c r="O51" s="18">
        <v>0</v>
      </c>
      <c r="P51" s="12" t="s">
        <v>3</v>
      </c>
      <c r="Q51" s="18">
        <v>3</v>
      </c>
      <c r="R51" s="18">
        <f t="shared" si="0"/>
        <v>2</v>
      </c>
      <c r="S51" s="13">
        <v>0.66666666666666663</v>
      </c>
      <c r="T51" s="478"/>
    </row>
    <row r="52" spans="1:20" ht="19.5" customHeight="1" thickTop="1" x14ac:dyDescent="0.45">
      <c r="A52" s="63">
        <v>27030</v>
      </c>
      <c r="B52" s="14">
        <v>0</v>
      </c>
      <c r="C52" s="10">
        <v>0</v>
      </c>
      <c r="D52" s="3" t="s">
        <v>3</v>
      </c>
      <c r="E52" s="10">
        <v>2</v>
      </c>
      <c r="F52" s="10">
        <v>2</v>
      </c>
      <c r="G52" s="4">
        <v>1</v>
      </c>
      <c r="H52" s="10">
        <v>0</v>
      </c>
      <c r="I52" s="10">
        <v>0</v>
      </c>
      <c r="J52" s="3" t="s">
        <v>3</v>
      </c>
      <c r="K52" s="10">
        <v>1</v>
      </c>
      <c r="L52" s="10">
        <v>0</v>
      </c>
      <c r="M52" s="4">
        <v>0</v>
      </c>
      <c r="N52" s="10">
        <v>0</v>
      </c>
      <c r="O52" s="10">
        <v>0</v>
      </c>
      <c r="P52" s="3" t="s">
        <v>3</v>
      </c>
      <c r="Q52" s="10">
        <v>3</v>
      </c>
      <c r="R52" s="10">
        <f t="shared" si="0"/>
        <v>2</v>
      </c>
      <c r="S52" s="4">
        <v>0.66666666666666663</v>
      </c>
      <c r="T52" s="478"/>
    </row>
    <row r="53" spans="1:20" x14ac:dyDescent="0.45">
      <c r="A53" s="64">
        <v>27061</v>
      </c>
      <c r="B53" s="14">
        <v>0</v>
      </c>
      <c r="C53" s="10">
        <v>0</v>
      </c>
      <c r="D53" s="1" t="s">
        <v>3</v>
      </c>
      <c r="E53" s="10">
        <v>2</v>
      </c>
      <c r="F53" s="10">
        <v>2</v>
      </c>
      <c r="G53" s="2">
        <v>1</v>
      </c>
      <c r="H53" s="10">
        <v>0</v>
      </c>
      <c r="I53" s="10">
        <v>0</v>
      </c>
      <c r="J53" s="1" t="s">
        <v>3</v>
      </c>
      <c r="K53" s="10">
        <v>1</v>
      </c>
      <c r="L53" s="10">
        <v>0</v>
      </c>
      <c r="M53" s="2">
        <v>0</v>
      </c>
      <c r="N53" s="10">
        <v>0</v>
      </c>
      <c r="O53" s="10">
        <v>0</v>
      </c>
      <c r="P53" s="3" t="s">
        <v>3</v>
      </c>
      <c r="Q53" s="10">
        <v>3</v>
      </c>
      <c r="R53" s="10">
        <f t="shared" si="0"/>
        <v>2</v>
      </c>
      <c r="S53" s="4">
        <v>0.66666666666666663</v>
      </c>
      <c r="T53" s="478"/>
    </row>
    <row r="54" spans="1:20" x14ac:dyDescent="0.45">
      <c r="A54" s="64">
        <v>27089</v>
      </c>
      <c r="B54" s="14">
        <v>0</v>
      </c>
      <c r="C54" s="10">
        <v>0</v>
      </c>
      <c r="D54" s="1" t="s">
        <v>3</v>
      </c>
      <c r="E54" s="10">
        <v>2</v>
      </c>
      <c r="F54" s="10">
        <v>2</v>
      </c>
      <c r="G54" s="2">
        <v>1</v>
      </c>
      <c r="H54" s="10">
        <v>0</v>
      </c>
      <c r="I54" s="10">
        <v>0</v>
      </c>
      <c r="J54" s="1" t="s">
        <v>3</v>
      </c>
      <c r="K54" s="10">
        <v>1</v>
      </c>
      <c r="L54" s="10">
        <v>0</v>
      </c>
      <c r="M54" s="2">
        <v>0</v>
      </c>
      <c r="N54" s="10">
        <v>0</v>
      </c>
      <c r="O54" s="10">
        <v>0</v>
      </c>
      <c r="P54" s="3" t="s">
        <v>3</v>
      </c>
      <c r="Q54" s="10">
        <v>3</v>
      </c>
      <c r="R54" s="10">
        <f t="shared" si="0"/>
        <v>2</v>
      </c>
      <c r="S54" s="4">
        <v>0.66666666666666663</v>
      </c>
      <c r="T54" s="478"/>
    </row>
    <row r="55" spans="1:20" x14ac:dyDescent="0.45">
      <c r="A55" s="64">
        <v>27120</v>
      </c>
      <c r="B55" s="14">
        <v>0</v>
      </c>
      <c r="C55" s="10">
        <v>0</v>
      </c>
      <c r="D55" s="1" t="s">
        <v>3</v>
      </c>
      <c r="E55" s="10">
        <v>2</v>
      </c>
      <c r="F55" s="10">
        <v>2</v>
      </c>
      <c r="G55" s="2">
        <v>1</v>
      </c>
      <c r="H55" s="10">
        <v>0</v>
      </c>
      <c r="I55" s="10">
        <v>0</v>
      </c>
      <c r="J55" s="1" t="s">
        <v>3</v>
      </c>
      <c r="K55" s="10">
        <v>1</v>
      </c>
      <c r="L55" s="10">
        <v>0</v>
      </c>
      <c r="M55" s="2">
        <v>0</v>
      </c>
      <c r="N55" s="10">
        <v>0</v>
      </c>
      <c r="O55" s="10">
        <v>0</v>
      </c>
      <c r="P55" s="3" t="s">
        <v>3</v>
      </c>
      <c r="Q55" s="10">
        <v>3</v>
      </c>
      <c r="R55" s="10">
        <f t="shared" si="0"/>
        <v>2</v>
      </c>
      <c r="S55" s="4">
        <v>0.66666666666666663</v>
      </c>
      <c r="T55" s="478"/>
    </row>
    <row r="56" spans="1:20" x14ac:dyDescent="0.45">
      <c r="A56" s="64">
        <v>27150</v>
      </c>
      <c r="B56" s="14">
        <v>0</v>
      </c>
      <c r="C56" s="10">
        <v>0</v>
      </c>
      <c r="D56" s="1" t="s">
        <v>3</v>
      </c>
      <c r="E56" s="10">
        <v>2</v>
      </c>
      <c r="F56" s="10">
        <v>2</v>
      </c>
      <c r="G56" s="2">
        <v>1</v>
      </c>
      <c r="H56" s="10">
        <v>0</v>
      </c>
      <c r="I56" s="10">
        <v>0</v>
      </c>
      <c r="J56" s="1" t="s">
        <v>3</v>
      </c>
      <c r="K56" s="10">
        <v>1</v>
      </c>
      <c r="L56" s="10">
        <v>0</v>
      </c>
      <c r="M56" s="2">
        <v>0</v>
      </c>
      <c r="N56" s="10">
        <v>0</v>
      </c>
      <c r="O56" s="10">
        <v>0</v>
      </c>
      <c r="P56" s="3" t="s">
        <v>3</v>
      </c>
      <c r="Q56" s="10">
        <v>3</v>
      </c>
      <c r="R56" s="10">
        <f t="shared" si="0"/>
        <v>2</v>
      </c>
      <c r="S56" s="4">
        <v>0.66666666666666663</v>
      </c>
      <c r="T56" s="478"/>
    </row>
    <row r="57" spans="1:20" x14ac:dyDescent="0.45">
      <c r="A57" s="64">
        <v>27181</v>
      </c>
      <c r="B57" s="14">
        <v>0</v>
      </c>
      <c r="C57" s="10">
        <v>0</v>
      </c>
      <c r="D57" s="1" t="s">
        <v>3</v>
      </c>
      <c r="E57" s="10">
        <v>2</v>
      </c>
      <c r="F57" s="10">
        <v>2</v>
      </c>
      <c r="G57" s="2">
        <v>1</v>
      </c>
      <c r="H57" s="10">
        <v>0</v>
      </c>
      <c r="I57" s="10">
        <v>0</v>
      </c>
      <c r="J57" s="1" t="s">
        <v>3</v>
      </c>
      <c r="K57" s="10">
        <v>1</v>
      </c>
      <c r="L57" s="10">
        <v>0</v>
      </c>
      <c r="M57" s="2">
        <v>0</v>
      </c>
      <c r="N57" s="10">
        <v>0</v>
      </c>
      <c r="O57" s="10">
        <v>0</v>
      </c>
      <c r="P57" s="3" t="s">
        <v>3</v>
      </c>
      <c r="Q57" s="10">
        <v>3</v>
      </c>
      <c r="R57" s="10">
        <f t="shared" si="0"/>
        <v>2</v>
      </c>
      <c r="S57" s="4">
        <v>0.66666666666666663</v>
      </c>
      <c r="T57" s="478"/>
    </row>
    <row r="58" spans="1:20" x14ac:dyDescent="0.45">
      <c r="A58" s="64">
        <v>27211</v>
      </c>
      <c r="B58" s="14">
        <v>0</v>
      </c>
      <c r="C58" s="10">
        <v>0</v>
      </c>
      <c r="D58" s="1" t="s">
        <v>3</v>
      </c>
      <c r="E58" s="10">
        <v>2</v>
      </c>
      <c r="F58" s="10">
        <v>2</v>
      </c>
      <c r="G58" s="2">
        <v>1</v>
      </c>
      <c r="H58" s="10">
        <v>1</v>
      </c>
      <c r="I58" s="10">
        <v>0</v>
      </c>
      <c r="J58" s="1">
        <v>0</v>
      </c>
      <c r="K58" s="10">
        <v>2</v>
      </c>
      <c r="L58" s="10">
        <v>0</v>
      </c>
      <c r="M58" s="2">
        <v>0</v>
      </c>
      <c r="N58" s="10">
        <v>1</v>
      </c>
      <c r="O58" s="10">
        <v>0</v>
      </c>
      <c r="P58" s="3">
        <v>0</v>
      </c>
      <c r="Q58" s="10">
        <v>4</v>
      </c>
      <c r="R58" s="10">
        <f t="shared" si="0"/>
        <v>2</v>
      </c>
      <c r="S58" s="4">
        <v>0.5</v>
      </c>
      <c r="T58" s="478"/>
    </row>
    <row r="59" spans="1:20" x14ac:dyDescent="0.45">
      <c r="A59" s="64">
        <v>27242</v>
      </c>
      <c r="B59" s="14">
        <v>0</v>
      </c>
      <c r="C59" s="10">
        <v>0</v>
      </c>
      <c r="D59" s="1" t="s">
        <v>3</v>
      </c>
      <c r="E59" s="10">
        <v>2</v>
      </c>
      <c r="F59" s="10">
        <v>2</v>
      </c>
      <c r="G59" s="2">
        <v>1</v>
      </c>
      <c r="H59" s="10">
        <v>0</v>
      </c>
      <c r="I59" s="10">
        <v>0</v>
      </c>
      <c r="J59" s="1" t="s">
        <v>3</v>
      </c>
      <c r="K59" s="10">
        <v>2</v>
      </c>
      <c r="L59" s="10">
        <v>0</v>
      </c>
      <c r="M59" s="2">
        <v>0</v>
      </c>
      <c r="N59" s="10">
        <v>0</v>
      </c>
      <c r="O59" s="10">
        <v>0</v>
      </c>
      <c r="P59" s="3" t="s">
        <v>3</v>
      </c>
      <c r="Q59" s="10">
        <v>4</v>
      </c>
      <c r="R59" s="10">
        <f t="shared" si="0"/>
        <v>2</v>
      </c>
      <c r="S59" s="4">
        <v>0.5</v>
      </c>
      <c r="T59" s="478"/>
    </row>
    <row r="60" spans="1:20" x14ac:dyDescent="0.45">
      <c r="A60" s="64">
        <v>27273</v>
      </c>
      <c r="B60" s="14">
        <v>0</v>
      </c>
      <c r="C60" s="10">
        <v>0</v>
      </c>
      <c r="D60" s="1" t="s">
        <v>3</v>
      </c>
      <c r="E60" s="10">
        <v>2</v>
      </c>
      <c r="F60" s="10">
        <v>2</v>
      </c>
      <c r="G60" s="2">
        <v>1</v>
      </c>
      <c r="H60" s="10">
        <v>0</v>
      </c>
      <c r="I60" s="10">
        <v>0</v>
      </c>
      <c r="J60" s="1" t="s">
        <v>3</v>
      </c>
      <c r="K60" s="10">
        <v>2</v>
      </c>
      <c r="L60" s="10">
        <v>0</v>
      </c>
      <c r="M60" s="2">
        <v>0</v>
      </c>
      <c r="N60" s="10">
        <v>0</v>
      </c>
      <c r="O60" s="10">
        <v>0</v>
      </c>
      <c r="P60" s="3" t="s">
        <v>3</v>
      </c>
      <c r="Q60" s="10">
        <v>4</v>
      </c>
      <c r="R60" s="10">
        <f t="shared" si="0"/>
        <v>2</v>
      </c>
      <c r="S60" s="4">
        <v>0.5</v>
      </c>
      <c r="T60" s="478"/>
    </row>
    <row r="61" spans="1:20" x14ac:dyDescent="0.45">
      <c r="A61" s="64">
        <v>27303</v>
      </c>
      <c r="B61" s="14">
        <v>0</v>
      </c>
      <c r="C61" s="10">
        <v>0</v>
      </c>
      <c r="D61" s="1" t="s">
        <v>3</v>
      </c>
      <c r="E61" s="10">
        <v>2</v>
      </c>
      <c r="F61" s="10">
        <v>2</v>
      </c>
      <c r="G61" s="2">
        <v>1</v>
      </c>
      <c r="H61" s="10">
        <v>0</v>
      </c>
      <c r="I61" s="10">
        <v>0</v>
      </c>
      <c r="J61" s="1" t="s">
        <v>3</v>
      </c>
      <c r="K61" s="10">
        <v>2</v>
      </c>
      <c r="L61" s="10">
        <v>0</v>
      </c>
      <c r="M61" s="2">
        <v>0</v>
      </c>
      <c r="N61" s="10">
        <v>0</v>
      </c>
      <c r="O61" s="10">
        <v>0</v>
      </c>
      <c r="P61" s="3" t="s">
        <v>3</v>
      </c>
      <c r="Q61" s="10">
        <v>4</v>
      </c>
      <c r="R61" s="10">
        <f t="shared" si="0"/>
        <v>2</v>
      </c>
      <c r="S61" s="4">
        <v>0.5</v>
      </c>
      <c r="T61" s="478"/>
    </row>
    <row r="62" spans="1:20" x14ac:dyDescent="0.45">
      <c r="A62" s="64">
        <v>27334</v>
      </c>
      <c r="B62" s="14">
        <v>1</v>
      </c>
      <c r="C62" s="10">
        <v>0</v>
      </c>
      <c r="D62" s="1">
        <v>0</v>
      </c>
      <c r="E62" s="10">
        <v>3</v>
      </c>
      <c r="F62" s="10">
        <v>2</v>
      </c>
      <c r="G62" s="2">
        <v>0.66666666666666663</v>
      </c>
      <c r="H62" s="10">
        <v>0</v>
      </c>
      <c r="I62" s="10">
        <v>0</v>
      </c>
      <c r="J62" s="1" t="s">
        <v>3</v>
      </c>
      <c r="K62" s="10">
        <v>2</v>
      </c>
      <c r="L62" s="10">
        <v>0</v>
      </c>
      <c r="M62" s="2">
        <v>0</v>
      </c>
      <c r="N62" s="10">
        <v>1</v>
      </c>
      <c r="O62" s="10">
        <v>0</v>
      </c>
      <c r="P62" s="3">
        <v>0</v>
      </c>
      <c r="Q62" s="10">
        <v>5</v>
      </c>
      <c r="R62" s="10">
        <f t="shared" si="0"/>
        <v>2</v>
      </c>
      <c r="S62" s="4">
        <v>0.4</v>
      </c>
      <c r="T62" s="478"/>
    </row>
    <row r="63" spans="1:20" ht="19.5" customHeight="1" thickBot="1" x14ac:dyDescent="0.5">
      <c r="A63" s="65">
        <v>27364</v>
      </c>
      <c r="B63" s="17">
        <v>0</v>
      </c>
      <c r="C63" s="18">
        <v>0</v>
      </c>
      <c r="D63" s="12" t="s">
        <v>3</v>
      </c>
      <c r="E63" s="18">
        <v>3</v>
      </c>
      <c r="F63" s="18">
        <v>2</v>
      </c>
      <c r="G63" s="13">
        <v>0.66666666666666663</v>
      </c>
      <c r="H63" s="18">
        <v>0</v>
      </c>
      <c r="I63" s="18">
        <v>0</v>
      </c>
      <c r="J63" s="12" t="s">
        <v>3</v>
      </c>
      <c r="K63" s="18">
        <v>2</v>
      </c>
      <c r="L63" s="18">
        <v>0</v>
      </c>
      <c r="M63" s="13">
        <v>0</v>
      </c>
      <c r="N63" s="18">
        <v>0</v>
      </c>
      <c r="O63" s="18">
        <v>0</v>
      </c>
      <c r="P63" s="12" t="s">
        <v>3</v>
      </c>
      <c r="Q63" s="18">
        <v>5</v>
      </c>
      <c r="R63" s="18">
        <f t="shared" si="0"/>
        <v>2</v>
      </c>
      <c r="S63" s="13">
        <v>0.4</v>
      </c>
      <c r="T63" s="478"/>
    </row>
    <row r="64" spans="1:20" ht="19.5" customHeight="1" thickTop="1" x14ac:dyDescent="0.45">
      <c r="A64" s="63">
        <v>27395</v>
      </c>
      <c r="B64" s="14">
        <v>0</v>
      </c>
      <c r="C64" s="10">
        <v>0</v>
      </c>
      <c r="D64" s="3" t="s">
        <v>3</v>
      </c>
      <c r="E64" s="10">
        <v>3</v>
      </c>
      <c r="F64" s="10">
        <v>2</v>
      </c>
      <c r="G64" s="4">
        <v>0.66666666666666663</v>
      </c>
      <c r="H64" s="10">
        <v>0</v>
      </c>
      <c r="I64" s="10">
        <v>0</v>
      </c>
      <c r="J64" s="3" t="s">
        <v>3</v>
      </c>
      <c r="K64" s="10">
        <v>2</v>
      </c>
      <c r="L64" s="10">
        <v>0</v>
      </c>
      <c r="M64" s="4">
        <v>0</v>
      </c>
      <c r="N64" s="10">
        <v>0</v>
      </c>
      <c r="O64" s="10">
        <v>0</v>
      </c>
      <c r="P64" s="3" t="s">
        <v>3</v>
      </c>
      <c r="Q64" s="10">
        <v>5</v>
      </c>
      <c r="R64" s="10">
        <f t="shared" si="0"/>
        <v>2</v>
      </c>
      <c r="S64" s="4">
        <v>0.4</v>
      </c>
      <c r="T64" s="478"/>
    </row>
    <row r="65" spans="1:20" x14ac:dyDescent="0.45">
      <c r="A65" s="64">
        <v>27426</v>
      </c>
      <c r="B65" s="14">
        <v>0</v>
      </c>
      <c r="C65" s="10">
        <v>0</v>
      </c>
      <c r="D65" s="1" t="s">
        <v>3</v>
      </c>
      <c r="E65" s="10">
        <v>3</v>
      </c>
      <c r="F65" s="10">
        <v>2</v>
      </c>
      <c r="G65" s="2">
        <v>0.66666666666666663</v>
      </c>
      <c r="H65" s="10">
        <v>0</v>
      </c>
      <c r="I65" s="10">
        <v>0</v>
      </c>
      <c r="J65" s="1" t="s">
        <v>3</v>
      </c>
      <c r="K65" s="10">
        <v>2</v>
      </c>
      <c r="L65" s="10">
        <v>0</v>
      </c>
      <c r="M65" s="2">
        <v>0</v>
      </c>
      <c r="N65" s="10">
        <v>0</v>
      </c>
      <c r="O65" s="10">
        <v>0</v>
      </c>
      <c r="P65" s="3" t="s">
        <v>3</v>
      </c>
      <c r="Q65" s="10">
        <v>5</v>
      </c>
      <c r="R65" s="10">
        <f t="shared" si="0"/>
        <v>2</v>
      </c>
      <c r="S65" s="4">
        <v>0.4</v>
      </c>
      <c r="T65" s="478"/>
    </row>
    <row r="66" spans="1:20" x14ac:dyDescent="0.45">
      <c r="A66" s="64">
        <v>27454</v>
      </c>
      <c r="B66" s="14">
        <v>0</v>
      </c>
      <c r="C66" s="10">
        <v>0</v>
      </c>
      <c r="D66" s="1" t="s">
        <v>3</v>
      </c>
      <c r="E66" s="10">
        <v>3</v>
      </c>
      <c r="F66" s="10">
        <v>2</v>
      </c>
      <c r="G66" s="2">
        <v>0.66666666666666663</v>
      </c>
      <c r="H66" s="10">
        <v>0</v>
      </c>
      <c r="I66" s="10">
        <v>0</v>
      </c>
      <c r="J66" s="1" t="s">
        <v>3</v>
      </c>
      <c r="K66" s="10">
        <v>2</v>
      </c>
      <c r="L66" s="10">
        <v>0</v>
      </c>
      <c r="M66" s="2">
        <v>0</v>
      </c>
      <c r="N66" s="10">
        <v>0</v>
      </c>
      <c r="O66" s="10">
        <v>0</v>
      </c>
      <c r="P66" s="3" t="s">
        <v>3</v>
      </c>
      <c r="Q66" s="10">
        <v>5</v>
      </c>
      <c r="R66" s="10">
        <f t="shared" si="0"/>
        <v>2</v>
      </c>
      <c r="S66" s="4">
        <v>0.4</v>
      </c>
      <c r="T66" s="478"/>
    </row>
    <row r="67" spans="1:20" x14ac:dyDescent="0.45">
      <c r="A67" s="64">
        <v>27485</v>
      </c>
      <c r="B67" s="14">
        <v>0</v>
      </c>
      <c r="C67" s="10">
        <v>0</v>
      </c>
      <c r="D67" s="1" t="s">
        <v>3</v>
      </c>
      <c r="E67" s="10">
        <v>3</v>
      </c>
      <c r="F67" s="10">
        <v>2</v>
      </c>
      <c r="G67" s="2">
        <v>0.66666666666666663</v>
      </c>
      <c r="H67" s="10">
        <v>0</v>
      </c>
      <c r="I67" s="10">
        <v>0</v>
      </c>
      <c r="J67" s="1" t="s">
        <v>3</v>
      </c>
      <c r="K67" s="10">
        <v>2</v>
      </c>
      <c r="L67" s="10">
        <v>0</v>
      </c>
      <c r="M67" s="2">
        <v>0</v>
      </c>
      <c r="N67" s="10">
        <v>0</v>
      </c>
      <c r="O67" s="10">
        <v>0</v>
      </c>
      <c r="P67" s="3" t="s">
        <v>3</v>
      </c>
      <c r="Q67" s="10">
        <v>5</v>
      </c>
      <c r="R67" s="10">
        <f t="shared" si="0"/>
        <v>2</v>
      </c>
      <c r="S67" s="4">
        <v>0.4</v>
      </c>
      <c r="T67" s="478"/>
    </row>
    <row r="68" spans="1:20" x14ac:dyDescent="0.45">
      <c r="A68" s="64">
        <v>27515</v>
      </c>
      <c r="B68" s="14">
        <v>0</v>
      </c>
      <c r="C68" s="10">
        <v>0</v>
      </c>
      <c r="D68" s="1" t="s">
        <v>3</v>
      </c>
      <c r="E68" s="10">
        <v>3</v>
      </c>
      <c r="F68" s="10">
        <v>2</v>
      </c>
      <c r="G68" s="2">
        <v>0.66666666666666663</v>
      </c>
      <c r="H68" s="10">
        <v>0</v>
      </c>
      <c r="I68" s="10">
        <v>0</v>
      </c>
      <c r="J68" s="1" t="s">
        <v>3</v>
      </c>
      <c r="K68" s="10">
        <v>2</v>
      </c>
      <c r="L68" s="10">
        <v>0</v>
      </c>
      <c r="M68" s="2">
        <v>0</v>
      </c>
      <c r="N68" s="10">
        <v>0</v>
      </c>
      <c r="O68" s="10">
        <v>0</v>
      </c>
      <c r="P68" s="3" t="s">
        <v>3</v>
      </c>
      <c r="Q68" s="10">
        <v>5</v>
      </c>
      <c r="R68" s="10">
        <f t="shared" ref="R68:R131" si="1">F68+L68</f>
        <v>2</v>
      </c>
      <c r="S68" s="4">
        <v>0.4</v>
      </c>
      <c r="T68" s="478"/>
    </row>
    <row r="69" spans="1:20" x14ac:dyDescent="0.45">
      <c r="A69" s="64">
        <v>27546</v>
      </c>
      <c r="B69" s="14">
        <v>0</v>
      </c>
      <c r="C69" s="10">
        <v>0</v>
      </c>
      <c r="D69" s="1" t="s">
        <v>3</v>
      </c>
      <c r="E69" s="10">
        <v>3</v>
      </c>
      <c r="F69" s="10">
        <v>2</v>
      </c>
      <c r="G69" s="2">
        <v>0.66666666666666663</v>
      </c>
      <c r="H69" s="10">
        <v>0</v>
      </c>
      <c r="I69" s="10">
        <v>0</v>
      </c>
      <c r="J69" s="1" t="s">
        <v>3</v>
      </c>
      <c r="K69" s="10">
        <v>2</v>
      </c>
      <c r="L69" s="10">
        <v>0</v>
      </c>
      <c r="M69" s="2">
        <v>0</v>
      </c>
      <c r="N69" s="10">
        <v>0</v>
      </c>
      <c r="O69" s="10">
        <v>0</v>
      </c>
      <c r="P69" s="3" t="s">
        <v>3</v>
      </c>
      <c r="Q69" s="10">
        <v>5</v>
      </c>
      <c r="R69" s="10">
        <f t="shared" si="1"/>
        <v>2</v>
      </c>
      <c r="S69" s="4">
        <v>0.4</v>
      </c>
      <c r="T69" s="478"/>
    </row>
    <row r="70" spans="1:20" x14ac:dyDescent="0.45">
      <c r="A70" s="64">
        <v>27576</v>
      </c>
      <c r="B70" s="14">
        <v>0</v>
      </c>
      <c r="C70" s="10">
        <v>0</v>
      </c>
      <c r="D70" s="1" t="s">
        <v>3</v>
      </c>
      <c r="E70" s="10">
        <v>3</v>
      </c>
      <c r="F70" s="10">
        <v>2</v>
      </c>
      <c r="G70" s="2">
        <v>0.66666666666666663</v>
      </c>
      <c r="H70" s="10">
        <v>1</v>
      </c>
      <c r="I70" s="10">
        <v>1</v>
      </c>
      <c r="J70" s="1">
        <v>1</v>
      </c>
      <c r="K70" s="10">
        <v>3</v>
      </c>
      <c r="L70" s="10">
        <v>1</v>
      </c>
      <c r="M70" s="2">
        <v>0.33333333333333331</v>
      </c>
      <c r="N70" s="10">
        <v>1</v>
      </c>
      <c r="O70" s="10">
        <v>1</v>
      </c>
      <c r="P70" s="3">
        <v>1</v>
      </c>
      <c r="Q70" s="10">
        <v>6</v>
      </c>
      <c r="R70" s="10">
        <f t="shared" si="1"/>
        <v>3</v>
      </c>
      <c r="S70" s="4">
        <v>0.5</v>
      </c>
      <c r="T70" s="478"/>
    </row>
    <row r="71" spans="1:20" x14ac:dyDescent="0.45">
      <c r="A71" s="64">
        <v>27607</v>
      </c>
      <c r="B71" s="14">
        <v>0</v>
      </c>
      <c r="C71" s="10">
        <v>0</v>
      </c>
      <c r="D71" s="1" t="s">
        <v>3</v>
      </c>
      <c r="E71" s="10">
        <v>3</v>
      </c>
      <c r="F71" s="10">
        <v>2</v>
      </c>
      <c r="G71" s="2">
        <v>0.66666666666666663</v>
      </c>
      <c r="H71" s="10">
        <v>0</v>
      </c>
      <c r="I71" s="10">
        <v>0</v>
      </c>
      <c r="J71" s="1" t="s">
        <v>3</v>
      </c>
      <c r="K71" s="10">
        <v>3</v>
      </c>
      <c r="L71" s="10">
        <v>1</v>
      </c>
      <c r="M71" s="2">
        <v>0.33333333333333331</v>
      </c>
      <c r="N71" s="10">
        <v>0</v>
      </c>
      <c r="O71" s="10">
        <v>0</v>
      </c>
      <c r="P71" s="3" t="s">
        <v>3</v>
      </c>
      <c r="Q71" s="10">
        <v>6</v>
      </c>
      <c r="R71" s="10">
        <f t="shared" si="1"/>
        <v>3</v>
      </c>
      <c r="S71" s="4">
        <v>0.5</v>
      </c>
      <c r="T71" s="478"/>
    </row>
    <row r="72" spans="1:20" x14ac:dyDescent="0.45">
      <c r="A72" s="64">
        <v>27638</v>
      </c>
      <c r="B72" s="14">
        <v>0</v>
      </c>
      <c r="C72" s="10">
        <v>0</v>
      </c>
      <c r="D72" s="1" t="s">
        <v>3</v>
      </c>
      <c r="E72" s="10">
        <v>3</v>
      </c>
      <c r="F72" s="10">
        <v>2</v>
      </c>
      <c r="G72" s="2">
        <v>0.66666666666666663</v>
      </c>
      <c r="H72" s="10">
        <v>0</v>
      </c>
      <c r="I72" s="10">
        <v>0</v>
      </c>
      <c r="J72" s="1" t="s">
        <v>3</v>
      </c>
      <c r="K72" s="10">
        <v>3</v>
      </c>
      <c r="L72" s="10">
        <v>1</v>
      </c>
      <c r="M72" s="2">
        <v>0.33333333333333331</v>
      </c>
      <c r="N72" s="10">
        <v>0</v>
      </c>
      <c r="O72" s="10">
        <v>0</v>
      </c>
      <c r="P72" s="3" t="s">
        <v>3</v>
      </c>
      <c r="Q72" s="10">
        <v>6</v>
      </c>
      <c r="R72" s="10">
        <f t="shared" si="1"/>
        <v>3</v>
      </c>
      <c r="S72" s="4">
        <v>0.5</v>
      </c>
      <c r="T72" s="478"/>
    </row>
    <row r="73" spans="1:20" x14ac:dyDescent="0.45">
      <c r="A73" s="64">
        <v>27668</v>
      </c>
      <c r="B73" s="14">
        <v>0</v>
      </c>
      <c r="C73" s="10">
        <v>0</v>
      </c>
      <c r="D73" s="1" t="s">
        <v>3</v>
      </c>
      <c r="E73" s="10">
        <v>3</v>
      </c>
      <c r="F73" s="10">
        <v>2</v>
      </c>
      <c r="G73" s="2">
        <v>0.66666666666666663</v>
      </c>
      <c r="H73" s="10">
        <v>0</v>
      </c>
      <c r="I73" s="10">
        <v>0</v>
      </c>
      <c r="J73" s="1" t="s">
        <v>3</v>
      </c>
      <c r="K73" s="10">
        <v>3</v>
      </c>
      <c r="L73" s="10">
        <v>1</v>
      </c>
      <c r="M73" s="2">
        <v>0.33333333333333331</v>
      </c>
      <c r="N73" s="10">
        <v>0</v>
      </c>
      <c r="O73" s="10">
        <v>0</v>
      </c>
      <c r="P73" s="3" t="s">
        <v>3</v>
      </c>
      <c r="Q73" s="10">
        <v>6</v>
      </c>
      <c r="R73" s="10">
        <f t="shared" si="1"/>
        <v>3</v>
      </c>
      <c r="S73" s="4">
        <v>0.5</v>
      </c>
      <c r="T73" s="478"/>
    </row>
    <row r="74" spans="1:20" x14ac:dyDescent="0.45">
      <c r="A74" s="64">
        <v>27699</v>
      </c>
      <c r="B74" s="14">
        <v>1</v>
      </c>
      <c r="C74" s="10">
        <v>1</v>
      </c>
      <c r="D74" s="1">
        <v>1</v>
      </c>
      <c r="E74" s="10">
        <v>4</v>
      </c>
      <c r="F74" s="10">
        <v>3</v>
      </c>
      <c r="G74" s="2">
        <v>0.75</v>
      </c>
      <c r="H74" s="10">
        <v>0</v>
      </c>
      <c r="I74" s="10">
        <v>0</v>
      </c>
      <c r="J74" s="1" t="s">
        <v>3</v>
      </c>
      <c r="K74" s="10">
        <v>3</v>
      </c>
      <c r="L74" s="10">
        <v>1</v>
      </c>
      <c r="M74" s="2">
        <v>0.33333333333333331</v>
      </c>
      <c r="N74" s="10">
        <v>1</v>
      </c>
      <c r="O74" s="10">
        <v>1</v>
      </c>
      <c r="P74" s="3">
        <v>1</v>
      </c>
      <c r="Q74" s="10">
        <v>7</v>
      </c>
      <c r="R74" s="10">
        <f t="shared" si="1"/>
        <v>4</v>
      </c>
      <c r="S74" s="4">
        <v>0.5714285714285714</v>
      </c>
      <c r="T74" s="478"/>
    </row>
    <row r="75" spans="1:20" ht="19.5" customHeight="1" thickBot="1" x14ac:dyDescent="0.5">
      <c r="A75" s="65">
        <v>27729</v>
      </c>
      <c r="B75" s="17">
        <v>0</v>
      </c>
      <c r="C75" s="18">
        <v>0</v>
      </c>
      <c r="D75" s="12" t="s">
        <v>3</v>
      </c>
      <c r="E75" s="18">
        <v>4</v>
      </c>
      <c r="F75" s="18">
        <v>3</v>
      </c>
      <c r="G75" s="13">
        <v>0.75</v>
      </c>
      <c r="H75" s="18">
        <v>1</v>
      </c>
      <c r="I75" s="18">
        <v>1</v>
      </c>
      <c r="J75" s="12">
        <v>1</v>
      </c>
      <c r="K75" s="18">
        <v>4</v>
      </c>
      <c r="L75" s="18">
        <v>2</v>
      </c>
      <c r="M75" s="13">
        <v>0.5</v>
      </c>
      <c r="N75" s="18">
        <v>1</v>
      </c>
      <c r="O75" s="18">
        <v>1</v>
      </c>
      <c r="P75" s="12">
        <v>1</v>
      </c>
      <c r="Q75" s="18">
        <v>8</v>
      </c>
      <c r="R75" s="18">
        <f t="shared" si="1"/>
        <v>5</v>
      </c>
      <c r="S75" s="13">
        <v>0.625</v>
      </c>
      <c r="T75" s="478"/>
    </row>
    <row r="76" spans="1:20" ht="19.5" customHeight="1" thickTop="1" x14ac:dyDescent="0.45">
      <c r="A76" s="63">
        <v>27760</v>
      </c>
      <c r="B76" s="14">
        <v>0</v>
      </c>
      <c r="C76" s="10">
        <v>0</v>
      </c>
      <c r="D76" s="3" t="s">
        <v>3</v>
      </c>
      <c r="E76" s="10">
        <v>4</v>
      </c>
      <c r="F76" s="10">
        <v>3</v>
      </c>
      <c r="G76" s="4">
        <v>0.75</v>
      </c>
      <c r="H76" s="10">
        <v>0</v>
      </c>
      <c r="I76" s="10">
        <v>0</v>
      </c>
      <c r="J76" s="3" t="s">
        <v>3</v>
      </c>
      <c r="K76" s="10">
        <v>4</v>
      </c>
      <c r="L76" s="10">
        <v>2</v>
      </c>
      <c r="M76" s="4">
        <v>0.5</v>
      </c>
      <c r="N76" s="10">
        <v>0</v>
      </c>
      <c r="O76" s="10">
        <v>0</v>
      </c>
      <c r="P76" s="3" t="s">
        <v>3</v>
      </c>
      <c r="Q76" s="10">
        <v>8</v>
      </c>
      <c r="R76" s="10">
        <f t="shared" si="1"/>
        <v>5</v>
      </c>
      <c r="S76" s="4">
        <v>0.625</v>
      </c>
      <c r="T76" s="478"/>
    </row>
    <row r="77" spans="1:20" x14ac:dyDescent="0.45">
      <c r="A77" s="64">
        <v>27791</v>
      </c>
      <c r="B77" s="14">
        <v>0</v>
      </c>
      <c r="C77" s="10">
        <v>0</v>
      </c>
      <c r="D77" s="1" t="s">
        <v>3</v>
      </c>
      <c r="E77" s="10">
        <v>4</v>
      </c>
      <c r="F77" s="10">
        <v>3</v>
      </c>
      <c r="G77" s="2">
        <v>0.75</v>
      </c>
      <c r="H77" s="10">
        <v>0</v>
      </c>
      <c r="I77" s="10">
        <v>0</v>
      </c>
      <c r="J77" s="1" t="s">
        <v>3</v>
      </c>
      <c r="K77" s="10">
        <v>4</v>
      </c>
      <c r="L77" s="10">
        <v>2</v>
      </c>
      <c r="M77" s="2">
        <v>0.5</v>
      </c>
      <c r="N77" s="10">
        <v>0</v>
      </c>
      <c r="O77" s="10">
        <v>0</v>
      </c>
      <c r="P77" s="3" t="s">
        <v>3</v>
      </c>
      <c r="Q77" s="10">
        <v>8</v>
      </c>
      <c r="R77" s="10">
        <f t="shared" si="1"/>
        <v>5</v>
      </c>
      <c r="S77" s="4">
        <v>0.625</v>
      </c>
      <c r="T77" s="478"/>
    </row>
    <row r="78" spans="1:20" x14ac:dyDescent="0.45">
      <c r="A78" s="64">
        <v>27820</v>
      </c>
      <c r="B78" s="14">
        <v>0</v>
      </c>
      <c r="C78" s="10">
        <v>0</v>
      </c>
      <c r="D78" s="1" t="s">
        <v>3</v>
      </c>
      <c r="E78" s="10">
        <v>4</v>
      </c>
      <c r="F78" s="10">
        <v>3</v>
      </c>
      <c r="G78" s="2">
        <v>0.75</v>
      </c>
      <c r="H78" s="10">
        <v>0</v>
      </c>
      <c r="I78" s="10">
        <v>0</v>
      </c>
      <c r="J78" s="1" t="s">
        <v>3</v>
      </c>
      <c r="K78" s="10">
        <v>4</v>
      </c>
      <c r="L78" s="10">
        <v>2</v>
      </c>
      <c r="M78" s="2">
        <v>0.5</v>
      </c>
      <c r="N78" s="10">
        <v>0</v>
      </c>
      <c r="O78" s="10">
        <v>0</v>
      </c>
      <c r="P78" s="3" t="s">
        <v>3</v>
      </c>
      <c r="Q78" s="10">
        <v>8</v>
      </c>
      <c r="R78" s="10">
        <f t="shared" si="1"/>
        <v>5</v>
      </c>
      <c r="S78" s="4">
        <v>0.625</v>
      </c>
      <c r="T78" s="478"/>
    </row>
    <row r="79" spans="1:20" x14ac:dyDescent="0.45">
      <c r="A79" s="64">
        <v>27851</v>
      </c>
      <c r="B79" s="14">
        <v>0</v>
      </c>
      <c r="C79" s="10">
        <v>0</v>
      </c>
      <c r="D79" s="1" t="s">
        <v>3</v>
      </c>
      <c r="E79" s="10">
        <v>4</v>
      </c>
      <c r="F79" s="10">
        <v>3</v>
      </c>
      <c r="G79" s="2">
        <v>0.75</v>
      </c>
      <c r="H79" s="10">
        <v>0</v>
      </c>
      <c r="I79" s="10">
        <v>0</v>
      </c>
      <c r="J79" s="1" t="s">
        <v>3</v>
      </c>
      <c r="K79" s="10">
        <v>4</v>
      </c>
      <c r="L79" s="10">
        <v>2</v>
      </c>
      <c r="M79" s="2">
        <v>0.5</v>
      </c>
      <c r="N79" s="10">
        <v>0</v>
      </c>
      <c r="O79" s="10">
        <v>0</v>
      </c>
      <c r="P79" s="3" t="s">
        <v>3</v>
      </c>
      <c r="Q79" s="10">
        <v>8</v>
      </c>
      <c r="R79" s="10">
        <f t="shared" si="1"/>
        <v>5</v>
      </c>
      <c r="S79" s="4">
        <v>0.625</v>
      </c>
      <c r="T79" s="478"/>
    </row>
    <row r="80" spans="1:20" x14ac:dyDescent="0.45">
      <c r="A80" s="64">
        <v>27881</v>
      </c>
      <c r="B80" s="14">
        <v>0</v>
      </c>
      <c r="C80" s="10">
        <v>0</v>
      </c>
      <c r="D80" s="1" t="s">
        <v>3</v>
      </c>
      <c r="E80" s="10">
        <v>4</v>
      </c>
      <c r="F80" s="10">
        <v>3</v>
      </c>
      <c r="G80" s="2">
        <v>0.75</v>
      </c>
      <c r="H80" s="10">
        <v>0</v>
      </c>
      <c r="I80" s="10">
        <v>0</v>
      </c>
      <c r="J80" s="1" t="s">
        <v>3</v>
      </c>
      <c r="K80" s="10">
        <v>4</v>
      </c>
      <c r="L80" s="10">
        <v>2</v>
      </c>
      <c r="M80" s="2">
        <v>0.5</v>
      </c>
      <c r="N80" s="10">
        <v>0</v>
      </c>
      <c r="O80" s="10">
        <v>0</v>
      </c>
      <c r="P80" s="3" t="s">
        <v>3</v>
      </c>
      <c r="Q80" s="10">
        <v>8</v>
      </c>
      <c r="R80" s="10">
        <f t="shared" si="1"/>
        <v>5</v>
      </c>
      <c r="S80" s="4">
        <v>0.625</v>
      </c>
      <c r="T80" s="478"/>
    </row>
    <row r="81" spans="1:20" x14ac:dyDescent="0.45">
      <c r="A81" s="64">
        <v>27912</v>
      </c>
      <c r="B81" s="14">
        <v>0</v>
      </c>
      <c r="C81" s="10">
        <v>0</v>
      </c>
      <c r="D81" s="1" t="s">
        <v>3</v>
      </c>
      <c r="E81" s="10">
        <v>4</v>
      </c>
      <c r="F81" s="10">
        <v>3</v>
      </c>
      <c r="G81" s="2">
        <v>0.75</v>
      </c>
      <c r="H81" s="10">
        <v>0</v>
      </c>
      <c r="I81" s="10">
        <v>0</v>
      </c>
      <c r="J81" s="1" t="s">
        <v>3</v>
      </c>
      <c r="K81" s="10">
        <v>4</v>
      </c>
      <c r="L81" s="10">
        <v>2</v>
      </c>
      <c r="M81" s="2">
        <v>0.5</v>
      </c>
      <c r="N81" s="10">
        <v>0</v>
      </c>
      <c r="O81" s="10">
        <v>0</v>
      </c>
      <c r="P81" s="3" t="s">
        <v>3</v>
      </c>
      <c r="Q81" s="10">
        <v>8</v>
      </c>
      <c r="R81" s="10">
        <f t="shared" si="1"/>
        <v>5</v>
      </c>
      <c r="S81" s="4">
        <v>0.625</v>
      </c>
      <c r="T81" s="478"/>
    </row>
    <row r="82" spans="1:20" x14ac:dyDescent="0.45">
      <c r="A82" s="64">
        <v>27942</v>
      </c>
      <c r="B82" s="14">
        <v>0</v>
      </c>
      <c r="C82" s="10">
        <v>0</v>
      </c>
      <c r="D82" s="1" t="s">
        <v>3</v>
      </c>
      <c r="E82" s="10">
        <v>4</v>
      </c>
      <c r="F82" s="10">
        <v>3</v>
      </c>
      <c r="G82" s="2">
        <v>0.75</v>
      </c>
      <c r="H82" s="10">
        <v>0</v>
      </c>
      <c r="I82" s="10">
        <v>0</v>
      </c>
      <c r="J82" s="1" t="s">
        <v>3</v>
      </c>
      <c r="K82" s="10">
        <v>4</v>
      </c>
      <c r="L82" s="10">
        <v>2</v>
      </c>
      <c r="M82" s="2">
        <v>0.5</v>
      </c>
      <c r="N82" s="10">
        <v>0</v>
      </c>
      <c r="O82" s="10">
        <v>0</v>
      </c>
      <c r="P82" s="3" t="s">
        <v>3</v>
      </c>
      <c r="Q82" s="10">
        <v>8</v>
      </c>
      <c r="R82" s="10">
        <f t="shared" si="1"/>
        <v>5</v>
      </c>
      <c r="S82" s="4">
        <v>0.625</v>
      </c>
      <c r="T82" s="478"/>
    </row>
    <row r="83" spans="1:20" x14ac:dyDescent="0.45">
      <c r="A83" s="64">
        <v>27973</v>
      </c>
      <c r="B83" s="14">
        <v>0</v>
      </c>
      <c r="C83" s="10">
        <v>0</v>
      </c>
      <c r="D83" s="1" t="s">
        <v>3</v>
      </c>
      <c r="E83" s="10">
        <v>4</v>
      </c>
      <c r="F83" s="10">
        <v>3</v>
      </c>
      <c r="G83" s="2">
        <v>0.75</v>
      </c>
      <c r="H83" s="10">
        <v>1</v>
      </c>
      <c r="I83" s="10">
        <v>1</v>
      </c>
      <c r="J83" s="1">
        <v>1</v>
      </c>
      <c r="K83" s="10">
        <v>5</v>
      </c>
      <c r="L83" s="10">
        <v>3</v>
      </c>
      <c r="M83" s="2">
        <v>0.6</v>
      </c>
      <c r="N83" s="10">
        <v>1</v>
      </c>
      <c r="O83" s="10">
        <v>1</v>
      </c>
      <c r="P83" s="3">
        <v>1</v>
      </c>
      <c r="Q83" s="10">
        <v>9</v>
      </c>
      <c r="R83" s="10">
        <f t="shared" si="1"/>
        <v>6</v>
      </c>
      <c r="S83" s="4">
        <v>0.66666666666666663</v>
      </c>
      <c r="T83" s="478"/>
    </row>
    <row r="84" spans="1:20" x14ac:dyDescent="0.45">
      <c r="A84" s="64">
        <v>28004</v>
      </c>
      <c r="B84" s="14">
        <v>0</v>
      </c>
      <c r="C84" s="10">
        <v>0</v>
      </c>
      <c r="D84" s="1" t="s">
        <v>3</v>
      </c>
      <c r="E84" s="10">
        <v>4</v>
      </c>
      <c r="F84" s="10">
        <v>3</v>
      </c>
      <c r="G84" s="2">
        <v>0.75</v>
      </c>
      <c r="H84" s="10">
        <v>0</v>
      </c>
      <c r="I84" s="10">
        <v>0</v>
      </c>
      <c r="J84" s="1" t="s">
        <v>3</v>
      </c>
      <c r="K84" s="10">
        <v>5</v>
      </c>
      <c r="L84" s="10">
        <v>3</v>
      </c>
      <c r="M84" s="2">
        <v>0.6</v>
      </c>
      <c r="N84" s="10">
        <v>0</v>
      </c>
      <c r="O84" s="10">
        <v>0</v>
      </c>
      <c r="P84" s="3" t="s">
        <v>3</v>
      </c>
      <c r="Q84" s="10">
        <v>9</v>
      </c>
      <c r="R84" s="10">
        <f t="shared" si="1"/>
        <v>6</v>
      </c>
      <c r="S84" s="4">
        <v>0.66666666666666663</v>
      </c>
      <c r="T84" s="478"/>
    </row>
    <row r="85" spans="1:20" x14ac:dyDescent="0.45">
      <c r="A85" s="64">
        <v>28034</v>
      </c>
      <c r="B85" s="14">
        <v>0</v>
      </c>
      <c r="C85" s="10">
        <v>0</v>
      </c>
      <c r="D85" s="1" t="s">
        <v>3</v>
      </c>
      <c r="E85" s="10">
        <v>4</v>
      </c>
      <c r="F85" s="10">
        <v>3</v>
      </c>
      <c r="G85" s="2">
        <v>0.75</v>
      </c>
      <c r="H85" s="10">
        <v>0</v>
      </c>
      <c r="I85" s="10">
        <v>0</v>
      </c>
      <c r="J85" s="1" t="s">
        <v>3</v>
      </c>
      <c r="K85" s="10">
        <v>5</v>
      </c>
      <c r="L85" s="10">
        <v>3</v>
      </c>
      <c r="M85" s="2">
        <v>0.6</v>
      </c>
      <c r="N85" s="10">
        <v>0</v>
      </c>
      <c r="O85" s="10">
        <v>0</v>
      </c>
      <c r="P85" s="3" t="s">
        <v>3</v>
      </c>
      <c r="Q85" s="10">
        <v>9</v>
      </c>
      <c r="R85" s="10">
        <f t="shared" si="1"/>
        <v>6</v>
      </c>
      <c r="S85" s="4">
        <v>0.66666666666666663</v>
      </c>
      <c r="T85" s="478"/>
    </row>
    <row r="86" spans="1:20" x14ac:dyDescent="0.45">
      <c r="A86" s="64">
        <v>28065</v>
      </c>
      <c r="B86" s="14">
        <v>0</v>
      </c>
      <c r="C86" s="10">
        <v>0</v>
      </c>
      <c r="D86" s="1" t="s">
        <v>3</v>
      </c>
      <c r="E86" s="10">
        <v>4</v>
      </c>
      <c r="F86" s="10">
        <v>3</v>
      </c>
      <c r="G86" s="2">
        <v>0.75</v>
      </c>
      <c r="H86" s="10">
        <v>1</v>
      </c>
      <c r="I86" s="10">
        <v>0</v>
      </c>
      <c r="J86" s="1">
        <v>0</v>
      </c>
      <c r="K86" s="10">
        <v>6</v>
      </c>
      <c r="L86" s="10">
        <v>3</v>
      </c>
      <c r="M86" s="2">
        <v>0.5</v>
      </c>
      <c r="N86" s="10">
        <v>1</v>
      </c>
      <c r="O86" s="10">
        <v>0</v>
      </c>
      <c r="P86" s="3">
        <v>0</v>
      </c>
      <c r="Q86" s="10">
        <v>10</v>
      </c>
      <c r="R86" s="10">
        <f t="shared" si="1"/>
        <v>6</v>
      </c>
      <c r="S86" s="4">
        <v>0.6</v>
      </c>
      <c r="T86" s="478"/>
    </row>
    <row r="87" spans="1:20" ht="19.5" customHeight="1" thickBot="1" x14ac:dyDescent="0.5">
      <c r="A87" s="65">
        <v>28095</v>
      </c>
      <c r="B87" s="17">
        <v>1</v>
      </c>
      <c r="C87" s="18">
        <v>1</v>
      </c>
      <c r="D87" s="12">
        <v>1</v>
      </c>
      <c r="E87" s="18">
        <v>5</v>
      </c>
      <c r="F87" s="18">
        <v>4</v>
      </c>
      <c r="G87" s="13">
        <v>0.8</v>
      </c>
      <c r="H87" s="18">
        <v>0</v>
      </c>
      <c r="I87" s="18">
        <v>0</v>
      </c>
      <c r="J87" s="12" t="s">
        <v>3</v>
      </c>
      <c r="K87" s="18">
        <v>6</v>
      </c>
      <c r="L87" s="18">
        <v>3</v>
      </c>
      <c r="M87" s="13">
        <v>0.5</v>
      </c>
      <c r="N87" s="18">
        <v>1</v>
      </c>
      <c r="O87" s="18">
        <v>1</v>
      </c>
      <c r="P87" s="12">
        <v>1</v>
      </c>
      <c r="Q87" s="18">
        <v>11</v>
      </c>
      <c r="R87" s="18">
        <f t="shared" si="1"/>
        <v>7</v>
      </c>
      <c r="S87" s="13">
        <v>0.63636363636363635</v>
      </c>
      <c r="T87" s="478"/>
    </row>
    <row r="88" spans="1:20" ht="19.5" customHeight="1" thickTop="1" x14ac:dyDescent="0.45">
      <c r="A88" s="63">
        <v>28126</v>
      </c>
      <c r="B88" s="14">
        <v>0</v>
      </c>
      <c r="C88" s="10">
        <v>0</v>
      </c>
      <c r="D88" s="3" t="s">
        <v>3</v>
      </c>
      <c r="E88" s="10">
        <v>5</v>
      </c>
      <c r="F88" s="10">
        <v>4</v>
      </c>
      <c r="G88" s="4">
        <v>0.8</v>
      </c>
      <c r="H88" s="10">
        <v>0</v>
      </c>
      <c r="I88" s="10">
        <v>0</v>
      </c>
      <c r="J88" s="3" t="s">
        <v>3</v>
      </c>
      <c r="K88" s="10">
        <v>6</v>
      </c>
      <c r="L88" s="10">
        <v>3</v>
      </c>
      <c r="M88" s="4">
        <v>0.5</v>
      </c>
      <c r="N88" s="10">
        <v>0</v>
      </c>
      <c r="O88" s="10">
        <v>0</v>
      </c>
      <c r="P88" s="3" t="s">
        <v>3</v>
      </c>
      <c r="Q88" s="10">
        <v>11</v>
      </c>
      <c r="R88" s="10">
        <f t="shared" si="1"/>
        <v>7</v>
      </c>
      <c r="S88" s="4">
        <v>0.63636363636363635</v>
      </c>
      <c r="T88" s="478"/>
    </row>
    <row r="89" spans="1:20" x14ac:dyDescent="0.45">
      <c r="A89" s="64">
        <v>28157</v>
      </c>
      <c r="B89" s="14">
        <v>0</v>
      </c>
      <c r="C89" s="10">
        <v>0</v>
      </c>
      <c r="D89" s="1" t="s">
        <v>3</v>
      </c>
      <c r="E89" s="10">
        <v>5</v>
      </c>
      <c r="F89" s="10">
        <v>4</v>
      </c>
      <c r="G89" s="2">
        <v>0.8</v>
      </c>
      <c r="H89" s="10">
        <v>0</v>
      </c>
      <c r="I89" s="10">
        <v>0</v>
      </c>
      <c r="J89" s="1" t="s">
        <v>3</v>
      </c>
      <c r="K89" s="10">
        <v>6</v>
      </c>
      <c r="L89" s="10">
        <v>3</v>
      </c>
      <c r="M89" s="2">
        <v>0.5</v>
      </c>
      <c r="N89" s="10">
        <v>0</v>
      </c>
      <c r="O89" s="10">
        <v>0</v>
      </c>
      <c r="P89" s="3" t="s">
        <v>3</v>
      </c>
      <c r="Q89" s="10">
        <v>11</v>
      </c>
      <c r="R89" s="10">
        <f t="shared" si="1"/>
        <v>7</v>
      </c>
      <c r="S89" s="4">
        <v>0.63636363636363635</v>
      </c>
      <c r="T89" s="478"/>
    </row>
    <row r="90" spans="1:20" x14ac:dyDescent="0.45">
      <c r="A90" s="64">
        <v>28185</v>
      </c>
      <c r="B90" s="14">
        <v>0</v>
      </c>
      <c r="C90" s="10">
        <v>0</v>
      </c>
      <c r="D90" s="1" t="s">
        <v>3</v>
      </c>
      <c r="E90" s="10">
        <v>5</v>
      </c>
      <c r="F90" s="10">
        <v>4</v>
      </c>
      <c r="G90" s="2">
        <v>0.8</v>
      </c>
      <c r="H90" s="10">
        <v>0</v>
      </c>
      <c r="I90" s="10">
        <v>0</v>
      </c>
      <c r="J90" s="1" t="s">
        <v>3</v>
      </c>
      <c r="K90" s="10">
        <v>6</v>
      </c>
      <c r="L90" s="10">
        <v>3</v>
      </c>
      <c r="M90" s="2">
        <v>0.5</v>
      </c>
      <c r="N90" s="10">
        <v>0</v>
      </c>
      <c r="O90" s="10">
        <v>0</v>
      </c>
      <c r="P90" s="3" t="s">
        <v>3</v>
      </c>
      <c r="Q90" s="10">
        <v>11</v>
      </c>
      <c r="R90" s="10">
        <f t="shared" si="1"/>
        <v>7</v>
      </c>
      <c r="S90" s="4">
        <v>0.63636363636363635</v>
      </c>
      <c r="T90" s="478"/>
    </row>
    <row r="91" spans="1:20" x14ac:dyDescent="0.45">
      <c r="A91" s="64">
        <v>28216</v>
      </c>
      <c r="B91" s="14">
        <v>0</v>
      </c>
      <c r="C91" s="10">
        <v>0</v>
      </c>
      <c r="D91" s="1" t="s">
        <v>3</v>
      </c>
      <c r="E91" s="10">
        <v>5</v>
      </c>
      <c r="F91" s="10">
        <v>4</v>
      </c>
      <c r="G91" s="2">
        <v>0.8</v>
      </c>
      <c r="H91" s="10">
        <v>0</v>
      </c>
      <c r="I91" s="10">
        <v>0</v>
      </c>
      <c r="J91" s="1" t="s">
        <v>3</v>
      </c>
      <c r="K91" s="10">
        <v>6</v>
      </c>
      <c r="L91" s="10">
        <v>3</v>
      </c>
      <c r="M91" s="2">
        <v>0.5</v>
      </c>
      <c r="N91" s="10">
        <v>0</v>
      </c>
      <c r="O91" s="10">
        <v>0</v>
      </c>
      <c r="P91" s="3" t="s">
        <v>3</v>
      </c>
      <c r="Q91" s="10">
        <v>11</v>
      </c>
      <c r="R91" s="10">
        <f t="shared" si="1"/>
        <v>7</v>
      </c>
      <c r="S91" s="4">
        <v>0.63636363636363635</v>
      </c>
      <c r="T91" s="478"/>
    </row>
    <row r="92" spans="1:20" x14ac:dyDescent="0.45">
      <c r="A92" s="64">
        <v>28246</v>
      </c>
      <c r="B92" s="14">
        <v>0</v>
      </c>
      <c r="C92" s="10">
        <v>0</v>
      </c>
      <c r="D92" s="1" t="s">
        <v>3</v>
      </c>
      <c r="E92" s="10">
        <v>5</v>
      </c>
      <c r="F92" s="10">
        <v>4</v>
      </c>
      <c r="G92" s="2">
        <v>0.8</v>
      </c>
      <c r="H92" s="10">
        <v>0</v>
      </c>
      <c r="I92" s="10">
        <v>0</v>
      </c>
      <c r="J92" s="1" t="s">
        <v>3</v>
      </c>
      <c r="K92" s="10">
        <v>6</v>
      </c>
      <c r="L92" s="10">
        <v>3</v>
      </c>
      <c r="M92" s="2">
        <v>0.5</v>
      </c>
      <c r="N92" s="10">
        <v>0</v>
      </c>
      <c r="O92" s="10">
        <v>0</v>
      </c>
      <c r="P92" s="3" t="s">
        <v>3</v>
      </c>
      <c r="Q92" s="10">
        <v>11</v>
      </c>
      <c r="R92" s="10">
        <f t="shared" si="1"/>
        <v>7</v>
      </c>
      <c r="S92" s="4">
        <v>0.63636363636363635</v>
      </c>
      <c r="T92" s="478"/>
    </row>
    <row r="93" spans="1:20" x14ac:dyDescent="0.45">
      <c r="A93" s="64">
        <v>28277</v>
      </c>
      <c r="B93" s="14">
        <v>0</v>
      </c>
      <c r="C93" s="10">
        <v>0</v>
      </c>
      <c r="D93" s="1" t="s">
        <v>3</v>
      </c>
      <c r="E93" s="10">
        <v>5</v>
      </c>
      <c r="F93" s="10">
        <v>4</v>
      </c>
      <c r="G93" s="2">
        <v>0.8</v>
      </c>
      <c r="H93" s="10">
        <v>0</v>
      </c>
      <c r="I93" s="10">
        <v>0</v>
      </c>
      <c r="J93" s="1" t="s">
        <v>3</v>
      </c>
      <c r="K93" s="10">
        <v>6</v>
      </c>
      <c r="L93" s="10">
        <v>3</v>
      </c>
      <c r="M93" s="2">
        <v>0.5</v>
      </c>
      <c r="N93" s="10">
        <v>0</v>
      </c>
      <c r="O93" s="10">
        <v>0</v>
      </c>
      <c r="P93" s="3" t="s">
        <v>3</v>
      </c>
      <c r="Q93" s="10">
        <v>11</v>
      </c>
      <c r="R93" s="10">
        <f t="shared" si="1"/>
        <v>7</v>
      </c>
      <c r="S93" s="4">
        <v>0.63636363636363635</v>
      </c>
      <c r="T93" s="478"/>
    </row>
    <row r="94" spans="1:20" x14ac:dyDescent="0.45">
      <c r="A94" s="64">
        <v>28307</v>
      </c>
      <c r="B94" s="14">
        <v>0</v>
      </c>
      <c r="C94" s="10">
        <v>0</v>
      </c>
      <c r="D94" s="1" t="s">
        <v>3</v>
      </c>
      <c r="E94" s="10">
        <v>5</v>
      </c>
      <c r="F94" s="10">
        <v>4</v>
      </c>
      <c r="G94" s="2">
        <v>0.8</v>
      </c>
      <c r="H94" s="10">
        <v>0</v>
      </c>
      <c r="I94" s="10">
        <v>0</v>
      </c>
      <c r="J94" s="1" t="s">
        <v>3</v>
      </c>
      <c r="K94" s="10">
        <v>6</v>
      </c>
      <c r="L94" s="10">
        <v>3</v>
      </c>
      <c r="M94" s="2">
        <v>0.5</v>
      </c>
      <c r="N94" s="10">
        <v>0</v>
      </c>
      <c r="O94" s="10">
        <v>0</v>
      </c>
      <c r="P94" s="3" t="s">
        <v>3</v>
      </c>
      <c r="Q94" s="10">
        <v>11</v>
      </c>
      <c r="R94" s="10">
        <f t="shared" si="1"/>
        <v>7</v>
      </c>
      <c r="S94" s="4">
        <v>0.63636363636363635</v>
      </c>
      <c r="T94" s="478"/>
    </row>
    <row r="95" spans="1:20" x14ac:dyDescent="0.45">
      <c r="A95" s="64">
        <v>28338</v>
      </c>
      <c r="B95" s="14">
        <v>0</v>
      </c>
      <c r="C95" s="10">
        <v>0</v>
      </c>
      <c r="D95" s="1" t="s">
        <v>3</v>
      </c>
      <c r="E95" s="10">
        <v>5</v>
      </c>
      <c r="F95" s="10">
        <v>4</v>
      </c>
      <c r="G95" s="2">
        <v>0.8</v>
      </c>
      <c r="H95" s="10">
        <v>0</v>
      </c>
      <c r="I95" s="10">
        <v>0</v>
      </c>
      <c r="J95" s="1" t="s">
        <v>3</v>
      </c>
      <c r="K95" s="10">
        <v>6</v>
      </c>
      <c r="L95" s="10">
        <v>3</v>
      </c>
      <c r="M95" s="2">
        <v>0.5</v>
      </c>
      <c r="N95" s="10">
        <v>0</v>
      </c>
      <c r="O95" s="10">
        <v>0</v>
      </c>
      <c r="P95" s="3" t="s">
        <v>3</v>
      </c>
      <c r="Q95" s="10">
        <v>11</v>
      </c>
      <c r="R95" s="10">
        <f t="shared" si="1"/>
        <v>7</v>
      </c>
      <c r="S95" s="4">
        <v>0.63636363636363635</v>
      </c>
      <c r="T95" s="478"/>
    </row>
    <row r="96" spans="1:20" x14ac:dyDescent="0.45">
      <c r="A96" s="64">
        <v>28369</v>
      </c>
      <c r="B96" s="14">
        <v>0</v>
      </c>
      <c r="C96" s="10">
        <v>0</v>
      </c>
      <c r="D96" s="1" t="s">
        <v>3</v>
      </c>
      <c r="E96" s="10">
        <v>5</v>
      </c>
      <c r="F96" s="10">
        <v>4</v>
      </c>
      <c r="G96" s="2">
        <v>0.8</v>
      </c>
      <c r="H96" s="10">
        <v>0</v>
      </c>
      <c r="I96" s="10">
        <v>0</v>
      </c>
      <c r="J96" s="1" t="s">
        <v>3</v>
      </c>
      <c r="K96" s="10">
        <v>6</v>
      </c>
      <c r="L96" s="10">
        <v>3</v>
      </c>
      <c r="M96" s="2">
        <v>0.5</v>
      </c>
      <c r="N96" s="10">
        <v>0</v>
      </c>
      <c r="O96" s="10">
        <v>0</v>
      </c>
      <c r="P96" s="3" t="s">
        <v>3</v>
      </c>
      <c r="Q96" s="10">
        <v>11</v>
      </c>
      <c r="R96" s="10">
        <f t="shared" si="1"/>
        <v>7</v>
      </c>
      <c r="S96" s="4">
        <v>0.63636363636363635</v>
      </c>
      <c r="T96" s="478"/>
    </row>
    <row r="97" spans="1:20" x14ac:dyDescent="0.45">
      <c r="A97" s="64">
        <v>28399</v>
      </c>
      <c r="B97" s="14">
        <v>0</v>
      </c>
      <c r="C97" s="10">
        <v>0</v>
      </c>
      <c r="D97" s="1" t="s">
        <v>3</v>
      </c>
      <c r="E97" s="10">
        <v>5</v>
      </c>
      <c r="F97" s="10">
        <v>4</v>
      </c>
      <c r="G97" s="2">
        <v>0.8</v>
      </c>
      <c r="H97" s="10">
        <v>0</v>
      </c>
      <c r="I97" s="10">
        <v>0</v>
      </c>
      <c r="J97" s="1" t="s">
        <v>3</v>
      </c>
      <c r="K97" s="10">
        <v>6</v>
      </c>
      <c r="L97" s="10">
        <v>3</v>
      </c>
      <c r="M97" s="2">
        <v>0.5</v>
      </c>
      <c r="N97" s="10">
        <v>0</v>
      </c>
      <c r="O97" s="10">
        <v>0</v>
      </c>
      <c r="P97" s="3" t="s">
        <v>3</v>
      </c>
      <c r="Q97" s="10">
        <v>11</v>
      </c>
      <c r="R97" s="10">
        <f t="shared" si="1"/>
        <v>7</v>
      </c>
      <c r="S97" s="4">
        <v>0.63636363636363635</v>
      </c>
      <c r="T97" s="478"/>
    </row>
    <row r="98" spans="1:20" x14ac:dyDescent="0.45">
      <c r="A98" s="64">
        <v>28430</v>
      </c>
      <c r="B98" s="14">
        <v>0</v>
      </c>
      <c r="C98" s="10">
        <v>0</v>
      </c>
      <c r="D98" s="1" t="s">
        <v>3</v>
      </c>
      <c r="E98" s="10">
        <v>5</v>
      </c>
      <c r="F98" s="10">
        <v>4</v>
      </c>
      <c r="G98" s="2">
        <v>0.8</v>
      </c>
      <c r="H98" s="10">
        <v>0</v>
      </c>
      <c r="I98" s="10">
        <v>0</v>
      </c>
      <c r="J98" s="1" t="s">
        <v>3</v>
      </c>
      <c r="K98" s="10">
        <v>6</v>
      </c>
      <c r="L98" s="10">
        <v>3</v>
      </c>
      <c r="M98" s="2">
        <v>0.5</v>
      </c>
      <c r="N98" s="10">
        <v>0</v>
      </c>
      <c r="O98" s="10">
        <v>0</v>
      </c>
      <c r="P98" s="3" t="s">
        <v>3</v>
      </c>
      <c r="Q98" s="10">
        <v>11</v>
      </c>
      <c r="R98" s="10">
        <f t="shared" si="1"/>
        <v>7</v>
      </c>
      <c r="S98" s="4">
        <v>0.63636363636363635</v>
      </c>
      <c r="T98" s="478"/>
    </row>
    <row r="99" spans="1:20" ht="19.5" customHeight="1" thickBot="1" x14ac:dyDescent="0.5">
      <c r="A99" s="65">
        <v>28460</v>
      </c>
      <c r="B99" s="17">
        <v>0</v>
      </c>
      <c r="C99" s="18">
        <v>0</v>
      </c>
      <c r="D99" s="12" t="s">
        <v>3</v>
      </c>
      <c r="E99" s="18">
        <v>5</v>
      </c>
      <c r="F99" s="18">
        <v>4</v>
      </c>
      <c r="G99" s="13">
        <v>0.8</v>
      </c>
      <c r="H99" s="18">
        <v>0</v>
      </c>
      <c r="I99" s="18">
        <v>0</v>
      </c>
      <c r="J99" s="12" t="s">
        <v>3</v>
      </c>
      <c r="K99" s="18">
        <v>6</v>
      </c>
      <c r="L99" s="18">
        <v>3</v>
      </c>
      <c r="M99" s="13">
        <v>0.5</v>
      </c>
      <c r="N99" s="18">
        <v>0</v>
      </c>
      <c r="O99" s="18">
        <v>0</v>
      </c>
      <c r="P99" s="12" t="s">
        <v>3</v>
      </c>
      <c r="Q99" s="18">
        <v>11</v>
      </c>
      <c r="R99" s="18">
        <f t="shared" si="1"/>
        <v>7</v>
      </c>
      <c r="S99" s="13">
        <v>0.63636363636363635</v>
      </c>
      <c r="T99" s="478"/>
    </row>
    <row r="100" spans="1:20" ht="19.5" customHeight="1" thickTop="1" x14ac:dyDescent="0.45">
      <c r="A100" s="63">
        <v>28491</v>
      </c>
      <c r="B100" s="14">
        <v>1</v>
      </c>
      <c r="C100" s="10">
        <v>1</v>
      </c>
      <c r="D100" s="3">
        <v>1</v>
      </c>
      <c r="E100" s="10">
        <v>6</v>
      </c>
      <c r="F100" s="10">
        <v>5</v>
      </c>
      <c r="G100" s="4">
        <v>0.83333333333333337</v>
      </c>
      <c r="H100" s="10">
        <v>0</v>
      </c>
      <c r="I100" s="10">
        <v>0</v>
      </c>
      <c r="J100" s="3" t="s">
        <v>3</v>
      </c>
      <c r="K100" s="10">
        <v>6</v>
      </c>
      <c r="L100" s="10">
        <v>3</v>
      </c>
      <c r="M100" s="4">
        <v>0.5</v>
      </c>
      <c r="N100" s="10">
        <v>1</v>
      </c>
      <c r="O100" s="10">
        <v>1</v>
      </c>
      <c r="P100" s="3">
        <v>1</v>
      </c>
      <c r="Q100" s="10">
        <v>12</v>
      </c>
      <c r="R100" s="10">
        <f t="shared" si="1"/>
        <v>8</v>
      </c>
      <c r="S100" s="4">
        <v>0.66666666666666663</v>
      </c>
      <c r="T100" s="478"/>
    </row>
    <row r="101" spans="1:20" x14ac:dyDescent="0.45">
      <c r="A101" s="64">
        <v>28522</v>
      </c>
      <c r="B101" s="14">
        <v>0</v>
      </c>
      <c r="C101" s="10">
        <v>0</v>
      </c>
      <c r="D101" s="1" t="s">
        <v>3</v>
      </c>
      <c r="E101" s="10">
        <v>6</v>
      </c>
      <c r="F101" s="10">
        <v>5</v>
      </c>
      <c r="G101" s="2">
        <v>0.83333333333333337</v>
      </c>
      <c r="H101" s="10">
        <v>0</v>
      </c>
      <c r="I101" s="10">
        <v>0</v>
      </c>
      <c r="J101" s="1" t="s">
        <v>3</v>
      </c>
      <c r="K101" s="10">
        <v>6</v>
      </c>
      <c r="L101" s="10">
        <v>3</v>
      </c>
      <c r="M101" s="2">
        <v>0.5</v>
      </c>
      <c r="N101" s="10">
        <v>0</v>
      </c>
      <c r="O101" s="10">
        <v>0</v>
      </c>
      <c r="P101" s="3" t="s">
        <v>3</v>
      </c>
      <c r="Q101" s="10">
        <v>12</v>
      </c>
      <c r="R101" s="10">
        <f t="shared" si="1"/>
        <v>8</v>
      </c>
      <c r="S101" s="4">
        <v>0.66666666666666663</v>
      </c>
      <c r="T101" s="478"/>
    </row>
    <row r="102" spans="1:20" x14ac:dyDescent="0.45">
      <c r="A102" s="64">
        <v>28550</v>
      </c>
      <c r="B102" s="14">
        <v>0</v>
      </c>
      <c r="C102" s="10">
        <v>0</v>
      </c>
      <c r="D102" s="1" t="s">
        <v>3</v>
      </c>
      <c r="E102" s="10">
        <v>6</v>
      </c>
      <c r="F102" s="10">
        <v>5</v>
      </c>
      <c r="G102" s="2">
        <v>0.83333333333333337</v>
      </c>
      <c r="H102" s="10">
        <v>0</v>
      </c>
      <c r="I102" s="10">
        <v>0</v>
      </c>
      <c r="J102" s="1" t="s">
        <v>3</v>
      </c>
      <c r="K102" s="10">
        <v>6</v>
      </c>
      <c r="L102" s="10">
        <v>3</v>
      </c>
      <c r="M102" s="2">
        <v>0.5</v>
      </c>
      <c r="N102" s="10">
        <v>0</v>
      </c>
      <c r="O102" s="10">
        <v>0</v>
      </c>
      <c r="P102" s="3" t="s">
        <v>3</v>
      </c>
      <c r="Q102" s="10">
        <v>12</v>
      </c>
      <c r="R102" s="10">
        <f t="shared" si="1"/>
        <v>8</v>
      </c>
      <c r="S102" s="4">
        <v>0.66666666666666663</v>
      </c>
      <c r="T102" s="478"/>
    </row>
    <row r="103" spans="1:20" x14ac:dyDescent="0.45">
      <c r="A103" s="64">
        <v>28581</v>
      </c>
      <c r="B103" s="14">
        <v>0</v>
      </c>
      <c r="C103" s="10">
        <v>0</v>
      </c>
      <c r="D103" s="1" t="s">
        <v>3</v>
      </c>
      <c r="E103" s="10">
        <v>6</v>
      </c>
      <c r="F103" s="10">
        <v>5</v>
      </c>
      <c r="G103" s="2">
        <v>0.83333333333333337</v>
      </c>
      <c r="H103" s="10">
        <v>0</v>
      </c>
      <c r="I103" s="10">
        <v>0</v>
      </c>
      <c r="J103" s="1" t="s">
        <v>3</v>
      </c>
      <c r="K103" s="10">
        <v>6</v>
      </c>
      <c r="L103" s="10">
        <v>3</v>
      </c>
      <c r="M103" s="2">
        <v>0.5</v>
      </c>
      <c r="N103" s="10">
        <v>0</v>
      </c>
      <c r="O103" s="10">
        <v>0</v>
      </c>
      <c r="P103" s="3" t="s">
        <v>3</v>
      </c>
      <c r="Q103" s="10">
        <v>12</v>
      </c>
      <c r="R103" s="10">
        <f t="shared" si="1"/>
        <v>8</v>
      </c>
      <c r="S103" s="4">
        <v>0.66666666666666663</v>
      </c>
      <c r="T103" s="478"/>
    </row>
    <row r="104" spans="1:20" x14ac:dyDescent="0.45">
      <c r="A104" s="64">
        <v>28611</v>
      </c>
      <c r="B104" s="14">
        <v>0</v>
      </c>
      <c r="C104" s="10">
        <v>0</v>
      </c>
      <c r="D104" s="1" t="s">
        <v>3</v>
      </c>
      <c r="E104" s="10">
        <v>6</v>
      </c>
      <c r="F104" s="10">
        <v>5</v>
      </c>
      <c r="G104" s="2">
        <v>0.83333333333333337</v>
      </c>
      <c r="H104" s="10">
        <v>0</v>
      </c>
      <c r="I104" s="10">
        <v>0</v>
      </c>
      <c r="J104" s="1" t="s">
        <v>3</v>
      </c>
      <c r="K104" s="10">
        <v>6</v>
      </c>
      <c r="L104" s="10">
        <v>3</v>
      </c>
      <c r="M104" s="2">
        <v>0.5</v>
      </c>
      <c r="N104" s="10">
        <v>0</v>
      </c>
      <c r="O104" s="10">
        <v>0</v>
      </c>
      <c r="P104" s="3" t="s">
        <v>3</v>
      </c>
      <c r="Q104" s="10">
        <v>12</v>
      </c>
      <c r="R104" s="10">
        <f t="shared" si="1"/>
        <v>8</v>
      </c>
      <c r="S104" s="4">
        <v>0.66666666666666663</v>
      </c>
      <c r="T104" s="478"/>
    </row>
    <row r="105" spans="1:20" x14ac:dyDescent="0.45">
      <c r="A105" s="64">
        <v>28642</v>
      </c>
      <c r="B105" s="14">
        <v>0</v>
      </c>
      <c r="C105" s="10">
        <v>0</v>
      </c>
      <c r="D105" s="1" t="s">
        <v>3</v>
      </c>
      <c r="E105" s="10">
        <v>6</v>
      </c>
      <c r="F105" s="10">
        <v>5</v>
      </c>
      <c r="G105" s="2">
        <v>0.83333333333333337</v>
      </c>
      <c r="H105" s="10">
        <v>0</v>
      </c>
      <c r="I105" s="10">
        <v>0</v>
      </c>
      <c r="J105" s="1" t="s">
        <v>3</v>
      </c>
      <c r="K105" s="10">
        <v>6</v>
      </c>
      <c r="L105" s="10">
        <v>3</v>
      </c>
      <c r="M105" s="2">
        <v>0.5</v>
      </c>
      <c r="N105" s="10">
        <v>0</v>
      </c>
      <c r="O105" s="10">
        <v>0</v>
      </c>
      <c r="P105" s="3" t="s">
        <v>3</v>
      </c>
      <c r="Q105" s="10">
        <v>12</v>
      </c>
      <c r="R105" s="10">
        <f t="shared" si="1"/>
        <v>8</v>
      </c>
      <c r="S105" s="4">
        <v>0.66666666666666663</v>
      </c>
      <c r="T105" s="478"/>
    </row>
    <row r="106" spans="1:20" x14ac:dyDescent="0.45">
      <c r="A106" s="64">
        <v>28672</v>
      </c>
      <c r="B106" s="14">
        <v>0</v>
      </c>
      <c r="C106" s="10">
        <v>0</v>
      </c>
      <c r="D106" s="1" t="s">
        <v>3</v>
      </c>
      <c r="E106" s="10">
        <v>6</v>
      </c>
      <c r="F106" s="10">
        <v>5</v>
      </c>
      <c r="G106" s="2">
        <v>0.83333333333333337</v>
      </c>
      <c r="H106" s="10">
        <v>0</v>
      </c>
      <c r="I106" s="10">
        <v>0</v>
      </c>
      <c r="J106" s="1" t="s">
        <v>3</v>
      </c>
      <c r="K106" s="10">
        <v>6</v>
      </c>
      <c r="L106" s="10">
        <v>3</v>
      </c>
      <c r="M106" s="2">
        <v>0.5</v>
      </c>
      <c r="N106" s="10">
        <v>0</v>
      </c>
      <c r="O106" s="10">
        <v>0</v>
      </c>
      <c r="P106" s="3" t="s">
        <v>3</v>
      </c>
      <c r="Q106" s="10">
        <v>12</v>
      </c>
      <c r="R106" s="10">
        <f t="shared" si="1"/>
        <v>8</v>
      </c>
      <c r="S106" s="4">
        <v>0.66666666666666663</v>
      </c>
      <c r="T106" s="478"/>
    </row>
    <row r="107" spans="1:20" x14ac:dyDescent="0.45">
      <c r="A107" s="64">
        <v>28703</v>
      </c>
      <c r="B107" s="14">
        <v>0</v>
      </c>
      <c r="C107" s="10">
        <v>0</v>
      </c>
      <c r="D107" s="1" t="s">
        <v>3</v>
      </c>
      <c r="E107" s="10">
        <v>6</v>
      </c>
      <c r="F107" s="10">
        <v>5</v>
      </c>
      <c r="G107" s="2">
        <v>0.83333333333333337</v>
      </c>
      <c r="H107" s="10">
        <v>0</v>
      </c>
      <c r="I107" s="10">
        <v>0</v>
      </c>
      <c r="J107" s="1" t="s">
        <v>3</v>
      </c>
      <c r="K107" s="10">
        <v>6</v>
      </c>
      <c r="L107" s="10">
        <v>3</v>
      </c>
      <c r="M107" s="2">
        <v>0.5</v>
      </c>
      <c r="N107" s="10">
        <v>0</v>
      </c>
      <c r="O107" s="10">
        <v>0</v>
      </c>
      <c r="P107" s="3" t="s">
        <v>3</v>
      </c>
      <c r="Q107" s="10">
        <v>12</v>
      </c>
      <c r="R107" s="10">
        <f t="shared" si="1"/>
        <v>8</v>
      </c>
      <c r="S107" s="4">
        <v>0.66666666666666663</v>
      </c>
      <c r="T107" s="478"/>
    </row>
    <row r="108" spans="1:20" x14ac:dyDescent="0.45">
      <c r="A108" s="64">
        <v>28734</v>
      </c>
      <c r="B108" s="14">
        <v>0</v>
      </c>
      <c r="C108" s="10">
        <v>0</v>
      </c>
      <c r="D108" s="1" t="s">
        <v>3</v>
      </c>
      <c r="E108" s="10">
        <v>6</v>
      </c>
      <c r="F108" s="10">
        <v>5</v>
      </c>
      <c r="G108" s="2">
        <v>0.83333333333333337</v>
      </c>
      <c r="H108" s="10">
        <v>0</v>
      </c>
      <c r="I108" s="10">
        <v>0</v>
      </c>
      <c r="J108" s="1" t="s">
        <v>3</v>
      </c>
      <c r="K108" s="10">
        <v>6</v>
      </c>
      <c r="L108" s="10">
        <v>3</v>
      </c>
      <c r="M108" s="2">
        <v>0.5</v>
      </c>
      <c r="N108" s="10">
        <v>0</v>
      </c>
      <c r="O108" s="10">
        <v>0</v>
      </c>
      <c r="P108" s="3" t="s">
        <v>3</v>
      </c>
      <c r="Q108" s="10">
        <v>12</v>
      </c>
      <c r="R108" s="10">
        <f t="shared" si="1"/>
        <v>8</v>
      </c>
      <c r="S108" s="4">
        <v>0.66666666666666663</v>
      </c>
      <c r="T108" s="478"/>
    </row>
    <row r="109" spans="1:20" x14ac:dyDescent="0.45">
      <c r="A109" s="64">
        <v>28764</v>
      </c>
      <c r="B109" s="14">
        <v>0</v>
      </c>
      <c r="C109" s="10">
        <v>0</v>
      </c>
      <c r="D109" s="1" t="s">
        <v>3</v>
      </c>
      <c r="E109" s="10">
        <v>6</v>
      </c>
      <c r="F109" s="10">
        <v>5</v>
      </c>
      <c r="G109" s="2">
        <v>0.83333333333333337</v>
      </c>
      <c r="H109" s="10">
        <v>0</v>
      </c>
      <c r="I109" s="10">
        <v>0</v>
      </c>
      <c r="J109" s="1" t="s">
        <v>3</v>
      </c>
      <c r="K109" s="10">
        <v>6</v>
      </c>
      <c r="L109" s="10">
        <v>3</v>
      </c>
      <c r="M109" s="2">
        <v>0.5</v>
      </c>
      <c r="N109" s="10">
        <v>0</v>
      </c>
      <c r="O109" s="10">
        <v>0</v>
      </c>
      <c r="P109" s="3" t="s">
        <v>3</v>
      </c>
      <c r="Q109" s="10">
        <v>12</v>
      </c>
      <c r="R109" s="10">
        <f t="shared" si="1"/>
        <v>8</v>
      </c>
      <c r="S109" s="4">
        <v>0.66666666666666663</v>
      </c>
      <c r="T109" s="478"/>
    </row>
    <row r="110" spans="1:20" x14ac:dyDescent="0.45">
      <c r="A110" s="64">
        <v>28795</v>
      </c>
      <c r="B110" s="14">
        <v>0</v>
      </c>
      <c r="C110" s="10">
        <v>0</v>
      </c>
      <c r="D110" s="1" t="s">
        <v>3</v>
      </c>
      <c r="E110" s="10">
        <v>6</v>
      </c>
      <c r="F110" s="10">
        <v>5</v>
      </c>
      <c r="G110" s="2">
        <v>0.83333333333333337</v>
      </c>
      <c r="H110" s="10">
        <v>0</v>
      </c>
      <c r="I110" s="10">
        <v>0</v>
      </c>
      <c r="J110" s="1" t="s">
        <v>3</v>
      </c>
      <c r="K110" s="10">
        <v>6</v>
      </c>
      <c r="L110" s="10">
        <v>3</v>
      </c>
      <c r="M110" s="2">
        <v>0.5</v>
      </c>
      <c r="N110" s="10">
        <v>0</v>
      </c>
      <c r="O110" s="10">
        <v>0</v>
      </c>
      <c r="P110" s="3" t="s">
        <v>3</v>
      </c>
      <c r="Q110" s="10">
        <v>12</v>
      </c>
      <c r="R110" s="10">
        <f t="shared" si="1"/>
        <v>8</v>
      </c>
      <c r="S110" s="4">
        <v>0.66666666666666663</v>
      </c>
      <c r="T110" s="478"/>
    </row>
    <row r="111" spans="1:20" ht="19.5" customHeight="1" thickBot="1" x14ac:dyDescent="0.5">
      <c r="A111" s="65">
        <v>28825</v>
      </c>
      <c r="B111" s="17">
        <v>0</v>
      </c>
      <c r="C111" s="18">
        <v>0</v>
      </c>
      <c r="D111" s="12" t="s">
        <v>3</v>
      </c>
      <c r="E111" s="18">
        <v>6</v>
      </c>
      <c r="F111" s="18">
        <v>5</v>
      </c>
      <c r="G111" s="13">
        <v>0.83333333333333337</v>
      </c>
      <c r="H111" s="18">
        <v>0</v>
      </c>
      <c r="I111" s="18">
        <v>0</v>
      </c>
      <c r="J111" s="12" t="s">
        <v>3</v>
      </c>
      <c r="K111" s="18">
        <v>6</v>
      </c>
      <c r="L111" s="18">
        <v>3</v>
      </c>
      <c r="M111" s="13">
        <v>0.5</v>
      </c>
      <c r="N111" s="18">
        <v>0</v>
      </c>
      <c r="O111" s="18">
        <v>0</v>
      </c>
      <c r="P111" s="12" t="s">
        <v>3</v>
      </c>
      <c r="Q111" s="18">
        <v>12</v>
      </c>
      <c r="R111" s="18">
        <f t="shared" si="1"/>
        <v>8</v>
      </c>
      <c r="S111" s="13">
        <v>0.66666666666666663</v>
      </c>
      <c r="T111" s="478"/>
    </row>
    <row r="112" spans="1:20" ht="19.5" customHeight="1" thickTop="1" x14ac:dyDescent="0.45">
      <c r="A112" s="63">
        <v>28856</v>
      </c>
      <c r="B112" s="14">
        <v>0</v>
      </c>
      <c r="C112" s="10">
        <v>0</v>
      </c>
      <c r="D112" s="3" t="s">
        <v>3</v>
      </c>
      <c r="E112" s="10">
        <v>6</v>
      </c>
      <c r="F112" s="10">
        <v>5</v>
      </c>
      <c r="G112" s="4">
        <v>0.83333333333333337</v>
      </c>
      <c r="H112" s="10">
        <v>0</v>
      </c>
      <c r="I112" s="10">
        <v>0</v>
      </c>
      <c r="J112" s="3" t="s">
        <v>3</v>
      </c>
      <c r="K112" s="10">
        <v>6</v>
      </c>
      <c r="L112" s="10">
        <v>3</v>
      </c>
      <c r="M112" s="4">
        <v>0.5</v>
      </c>
      <c r="N112" s="10">
        <v>0</v>
      </c>
      <c r="O112" s="10">
        <v>0</v>
      </c>
      <c r="P112" s="3" t="s">
        <v>3</v>
      </c>
      <c r="Q112" s="10">
        <v>12</v>
      </c>
      <c r="R112" s="10">
        <f t="shared" si="1"/>
        <v>8</v>
      </c>
      <c r="S112" s="4">
        <v>0.66666666666666663</v>
      </c>
      <c r="T112" s="478"/>
    </row>
    <row r="113" spans="1:20" x14ac:dyDescent="0.45">
      <c r="A113" s="64">
        <v>28887</v>
      </c>
      <c r="B113" s="14">
        <v>0</v>
      </c>
      <c r="C113" s="10">
        <v>0</v>
      </c>
      <c r="D113" s="1" t="s">
        <v>3</v>
      </c>
      <c r="E113" s="10">
        <v>6</v>
      </c>
      <c r="F113" s="10">
        <v>5</v>
      </c>
      <c r="G113" s="2">
        <v>0.83333333333333337</v>
      </c>
      <c r="H113" s="10">
        <v>0</v>
      </c>
      <c r="I113" s="10">
        <v>0</v>
      </c>
      <c r="J113" s="1" t="s">
        <v>3</v>
      </c>
      <c r="K113" s="10">
        <v>6</v>
      </c>
      <c r="L113" s="10">
        <v>3</v>
      </c>
      <c r="M113" s="2">
        <v>0.5</v>
      </c>
      <c r="N113" s="10">
        <v>0</v>
      </c>
      <c r="O113" s="10">
        <v>0</v>
      </c>
      <c r="P113" s="3" t="s">
        <v>3</v>
      </c>
      <c r="Q113" s="10">
        <v>12</v>
      </c>
      <c r="R113" s="10">
        <f t="shared" si="1"/>
        <v>8</v>
      </c>
      <c r="S113" s="4">
        <v>0.66666666666666663</v>
      </c>
      <c r="T113" s="478"/>
    </row>
    <row r="114" spans="1:20" x14ac:dyDescent="0.45">
      <c r="A114" s="64">
        <v>28915</v>
      </c>
      <c r="B114" s="14">
        <v>0</v>
      </c>
      <c r="C114" s="10">
        <v>0</v>
      </c>
      <c r="D114" s="1" t="s">
        <v>3</v>
      </c>
      <c r="E114" s="10">
        <v>6</v>
      </c>
      <c r="F114" s="10">
        <v>5</v>
      </c>
      <c r="G114" s="2">
        <v>0.83333333333333337</v>
      </c>
      <c r="H114" s="10">
        <v>0</v>
      </c>
      <c r="I114" s="10">
        <v>0</v>
      </c>
      <c r="J114" s="1" t="s">
        <v>3</v>
      </c>
      <c r="K114" s="10">
        <v>6</v>
      </c>
      <c r="L114" s="10">
        <v>3</v>
      </c>
      <c r="M114" s="2">
        <v>0.5</v>
      </c>
      <c r="N114" s="10">
        <v>0</v>
      </c>
      <c r="O114" s="10">
        <v>0</v>
      </c>
      <c r="P114" s="3" t="s">
        <v>3</v>
      </c>
      <c r="Q114" s="10">
        <v>12</v>
      </c>
      <c r="R114" s="10">
        <f t="shared" si="1"/>
        <v>8</v>
      </c>
      <c r="S114" s="4">
        <v>0.66666666666666663</v>
      </c>
      <c r="T114" s="478"/>
    </row>
    <row r="115" spans="1:20" x14ac:dyDescent="0.45">
      <c r="A115" s="64">
        <v>28946</v>
      </c>
      <c r="B115" s="14">
        <v>0</v>
      </c>
      <c r="C115" s="10">
        <v>0</v>
      </c>
      <c r="D115" s="1" t="s">
        <v>3</v>
      </c>
      <c r="E115" s="10">
        <v>6</v>
      </c>
      <c r="F115" s="10">
        <v>5</v>
      </c>
      <c r="G115" s="2">
        <v>0.83333333333333337</v>
      </c>
      <c r="H115" s="10">
        <v>0</v>
      </c>
      <c r="I115" s="10">
        <v>0</v>
      </c>
      <c r="J115" s="1" t="s">
        <v>3</v>
      </c>
      <c r="K115" s="10">
        <v>6</v>
      </c>
      <c r="L115" s="10">
        <v>3</v>
      </c>
      <c r="M115" s="2">
        <v>0.5</v>
      </c>
      <c r="N115" s="10">
        <v>0</v>
      </c>
      <c r="O115" s="10">
        <v>0</v>
      </c>
      <c r="P115" s="3" t="s">
        <v>3</v>
      </c>
      <c r="Q115" s="10">
        <v>12</v>
      </c>
      <c r="R115" s="10">
        <f t="shared" si="1"/>
        <v>8</v>
      </c>
      <c r="S115" s="4">
        <v>0.66666666666666663</v>
      </c>
      <c r="T115" s="478"/>
    </row>
    <row r="116" spans="1:20" x14ac:dyDescent="0.45">
      <c r="A116" s="64">
        <v>28976</v>
      </c>
      <c r="B116" s="14">
        <v>0</v>
      </c>
      <c r="C116" s="10">
        <v>0</v>
      </c>
      <c r="D116" s="1" t="s">
        <v>3</v>
      </c>
      <c r="E116" s="10">
        <v>6</v>
      </c>
      <c r="F116" s="10">
        <v>5</v>
      </c>
      <c r="G116" s="2">
        <v>0.83333333333333337</v>
      </c>
      <c r="H116" s="10">
        <v>0</v>
      </c>
      <c r="I116" s="10">
        <v>0</v>
      </c>
      <c r="J116" s="1" t="s">
        <v>3</v>
      </c>
      <c r="K116" s="10">
        <v>6</v>
      </c>
      <c r="L116" s="10">
        <v>3</v>
      </c>
      <c r="M116" s="2">
        <v>0.5</v>
      </c>
      <c r="N116" s="10">
        <v>0</v>
      </c>
      <c r="O116" s="10">
        <v>0</v>
      </c>
      <c r="P116" s="3" t="s">
        <v>3</v>
      </c>
      <c r="Q116" s="10">
        <v>12</v>
      </c>
      <c r="R116" s="10">
        <f t="shared" si="1"/>
        <v>8</v>
      </c>
      <c r="S116" s="4">
        <v>0.66666666666666663</v>
      </c>
      <c r="T116" s="478"/>
    </row>
    <row r="117" spans="1:20" x14ac:dyDescent="0.45">
      <c r="A117" s="64">
        <v>29007</v>
      </c>
      <c r="B117" s="14">
        <v>0</v>
      </c>
      <c r="C117" s="10">
        <v>0</v>
      </c>
      <c r="D117" s="1" t="s">
        <v>3</v>
      </c>
      <c r="E117" s="10">
        <v>6</v>
      </c>
      <c r="F117" s="10">
        <v>5</v>
      </c>
      <c r="G117" s="2">
        <v>0.83333333333333337</v>
      </c>
      <c r="H117" s="10">
        <v>0</v>
      </c>
      <c r="I117" s="10">
        <v>0</v>
      </c>
      <c r="J117" s="1" t="s">
        <v>3</v>
      </c>
      <c r="K117" s="10">
        <v>6</v>
      </c>
      <c r="L117" s="10">
        <v>3</v>
      </c>
      <c r="M117" s="2">
        <v>0.5</v>
      </c>
      <c r="N117" s="10">
        <v>0</v>
      </c>
      <c r="O117" s="10">
        <v>0</v>
      </c>
      <c r="P117" s="3" t="s">
        <v>3</v>
      </c>
      <c r="Q117" s="10">
        <v>12</v>
      </c>
      <c r="R117" s="10">
        <f t="shared" si="1"/>
        <v>8</v>
      </c>
      <c r="S117" s="4">
        <v>0.66666666666666663</v>
      </c>
      <c r="T117" s="478"/>
    </row>
    <row r="118" spans="1:20" x14ac:dyDescent="0.45">
      <c r="A118" s="64">
        <v>29037</v>
      </c>
      <c r="B118" s="14">
        <v>0</v>
      </c>
      <c r="C118" s="10">
        <v>0</v>
      </c>
      <c r="D118" s="1" t="s">
        <v>3</v>
      </c>
      <c r="E118" s="10">
        <v>6</v>
      </c>
      <c r="F118" s="10">
        <v>5</v>
      </c>
      <c r="G118" s="2">
        <v>0.83333333333333337</v>
      </c>
      <c r="H118" s="10">
        <v>1</v>
      </c>
      <c r="I118" s="10">
        <v>0</v>
      </c>
      <c r="J118" s="1">
        <v>0</v>
      </c>
      <c r="K118" s="10">
        <v>7</v>
      </c>
      <c r="L118" s="10">
        <v>3</v>
      </c>
      <c r="M118" s="2">
        <v>0.42857142857142849</v>
      </c>
      <c r="N118" s="10">
        <v>1</v>
      </c>
      <c r="O118" s="10">
        <v>0</v>
      </c>
      <c r="P118" s="3">
        <v>0</v>
      </c>
      <c r="Q118" s="10">
        <v>13</v>
      </c>
      <c r="R118" s="10">
        <f t="shared" si="1"/>
        <v>8</v>
      </c>
      <c r="S118" s="4">
        <v>0.61538461538461542</v>
      </c>
      <c r="T118" s="478"/>
    </row>
    <row r="119" spans="1:20" x14ac:dyDescent="0.45">
      <c r="A119" s="64">
        <v>29068</v>
      </c>
      <c r="B119" s="14">
        <v>0</v>
      </c>
      <c r="C119" s="10">
        <v>0</v>
      </c>
      <c r="D119" s="1" t="s">
        <v>3</v>
      </c>
      <c r="E119" s="10">
        <v>6</v>
      </c>
      <c r="F119" s="10">
        <v>5</v>
      </c>
      <c r="G119" s="2">
        <v>0.83333333333333337</v>
      </c>
      <c r="H119" s="10">
        <v>0</v>
      </c>
      <c r="I119" s="10">
        <v>0</v>
      </c>
      <c r="J119" s="1" t="s">
        <v>3</v>
      </c>
      <c r="K119" s="10">
        <v>7</v>
      </c>
      <c r="L119" s="10">
        <v>3</v>
      </c>
      <c r="M119" s="2">
        <v>0.42857142857142849</v>
      </c>
      <c r="N119" s="10">
        <v>0</v>
      </c>
      <c r="O119" s="10">
        <v>0</v>
      </c>
      <c r="P119" s="3" t="s">
        <v>3</v>
      </c>
      <c r="Q119" s="10">
        <v>13</v>
      </c>
      <c r="R119" s="10">
        <f t="shared" si="1"/>
        <v>8</v>
      </c>
      <c r="S119" s="4">
        <v>0.61538461538461542</v>
      </c>
      <c r="T119" s="478"/>
    </row>
    <row r="120" spans="1:20" x14ac:dyDescent="0.45">
      <c r="A120" s="64">
        <v>29099</v>
      </c>
      <c r="B120" s="14">
        <v>0</v>
      </c>
      <c r="C120" s="10">
        <v>0</v>
      </c>
      <c r="D120" s="1" t="s">
        <v>3</v>
      </c>
      <c r="E120" s="10">
        <v>6</v>
      </c>
      <c r="F120" s="10">
        <v>5</v>
      </c>
      <c r="G120" s="2">
        <v>0.83333333333333337</v>
      </c>
      <c r="H120" s="10">
        <v>0</v>
      </c>
      <c r="I120" s="10">
        <v>0</v>
      </c>
      <c r="J120" s="1" t="s">
        <v>3</v>
      </c>
      <c r="K120" s="10">
        <v>7</v>
      </c>
      <c r="L120" s="10">
        <v>3</v>
      </c>
      <c r="M120" s="2">
        <v>0.42857142857142849</v>
      </c>
      <c r="N120" s="10">
        <v>0</v>
      </c>
      <c r="O120" s="10">
        <v>0</v>
      </c>
      <c r="P120" s="3" t="s">
        <v>3</v>
      </c>
      <c r="Q120" s="10">
        <v>13</v>
      </c>
      <c r="R120" s="10">
        <f t="shared" si="1"/>
        <v>8</v>
      </c>
      <c r="S120" s="4">
        <v>0.61538461538461542</v>
      </c>
      <c r="T120" s="478"/>
    </row>
    <row r="121" spans="1:20" x14ac:dyDescent="0.45">
      <c r="A121" s="64">
        <v>29129</v>
      </c>
      <c r="B121" s="14">
        <v>0</v>
      </c>
      <c r="C121" s="10">
        <v>0</v>
      </c>
      <c r="D121" s="1" t="s">
        <v>3</v>
      </c>
      <c r="E121" s="10">
        <v>6</v>
      </c>
      <c r="F121" s="10">
        <v>5</v>
      </c>
      <c r="G121" s="2">
        <v>0.83333333333333337</v>
      </c>
      <c r="H121" s="10">
        <v>0</v>
      </c>
      <c r="I121" s="10">
        <v>0</v>
      </c>
      <c r="J121" s="1" t="s">
        <v>3</v>
      </c>
      <c r="K121" s="10">
        <v>7</v>
      </c>
      <c r="L121" s="10">
        <v>3</v>
      </c>
      <c r="M121" s="2">
        <v>0.42857142857142849</v>
      </c>
      <c r="N121" s="10">
        <v>0</v>
      </c>
      <c r="O121" s="10">
        <v>0</v>
      </c>
      <c r="P121" s="3" t="s">
        <v>3</v>
      </c>
      <c r="Q121" s="10">
        <v>13</v>
      </c>
      <c r="R121" s="10">
        <f t="shared" si="1"/>
        <v>8</v>
      </c>
      <c r="S121" s="4">
        <v>0.61538461538461542</v>
      </c>
      <c r="T121" s="478"/>
    </row>
    <row r="122" spans="1:20" x14ac:dyDescent="0.45">
      <c r="A122" s="64">
        <v>29160</v>
      </c>
      <c r="B122" s="14">
        <v>0</v>
      </c>
      <c r="C122" s="10">
        <v>0</v>
      </c>
      <c r="D122" s="1" t="s">
        <v>3</v>
      </c>
      <c r="E122" s="10">
        <v>6</v>
      </c>
      <c r="F122" s="10">
        <v>5</v>
      </c>
      <c r="G122" s="2">
        <v>0.83333333333333337</v>
      </c>
      <c r="H122" s="10">
        <v>0</v>
      </c>
      <c r="I122" s="10">
        <v>0</v>
      </c>
      <c r="J122" s="1" t="s">
        <v>3</v>
      </c>
      <c r="K122" s="10">
        <v>7</v>
      </c>
      <c r="L122" s="10">
        <v>3</v>
      </c>
      <c r="M122" s="2">
        <v>0.42857142857142849</v>
      </c>
      <c r="N122" s="10">
        <v>0</v>
      </c>
      <c r="O122" s="10">
        <v>0</v>
      </c>
      <c r="P122" s="3" t="s">
        <v>3</v>
      </c>
      <c r="Q122" s="10">
        <v>13</v>
      </c>
      <c r="R122" s="10">
        <f t="shared" si="1"/>
        <v>8</v>
      </c>
      <c r="S122" s="4">
        <v>0.61538461538461542</v>
      </c>
      <c r="T122" s="478"/>
    </row>
    <row r="123" spans="1:20" ht="19.5" customHeight="1" thickBot="1" x14ac:dyDescent="0.5">
      <c r="A123" s="65">
        <v>29190</v>
      </c>
      <c r="B123" s="17">
        <v>0</v>
      </c>
      <c r="C123" s="18">
        <v>0</v>
      </c>
      <c r="D123" s="12" t="s">
        <v>3</v>
      </c>
      <c r="E123" s="18">
        <v>6</v>
      </c>
      <c r="F123" s="18">
        <v>5</v>
      </c>
      <c r="G123" s="13">
        <v>0.83333333333333337</v>
      </c>
      <c r="H123" s="18">
        <v>0</v>
      </c>
      <c r="I123" s="18">
        <v>0</v>
      </c>
      <c r="J123" s="12" t="s">
        <v>3</v>
      </c>
      <c r="K123" s="18">
        <v>7</v>
      </c>
      <c r="L123" s="18">
        <v>3</v>
      </c>
      <c r="M123" s="13">
        <v>0.42857142857142849</v>
      </c>
      <c r="N123" s="18">
        <v>0</v>
      </c>
      <c r="O123" s="18">
        <v>0</v>
      </c>
      <c r="P123" s="12" t="s">
        <v>3</v>
      </c>
      <c r="Q123" s="18">
        <v>13</v>
      </c>
      <c r="R123" s="18">
        <f t="shared" si="1"/>
        <v>8</v>
      </c>
      <c r="S123" s="13">
        <v>0.61538461538461542</v>
      </c>
      <c r="T123" s="478"/>
    </row>
    <row r="124" spans="1:20" ht="19.5" customHeight="1" thickTop="1" x14ac:dyDescent="0.45">
      <c r="A124" s="63">
        <v>29221</v>
      </c>
      <c r="B124" s="14">
        <f>COUNTIFS(发射纪录!B:B,"&lt;&gt;-",发射纪录!G:G,"&gt;="&amp;DATE(YEAR(A124),MONTH(A124),1),发射纪录!G:G,"&lt;="&amp;DATE(YEAR(A124),MONTH(A124),DAY(EOMONTH(A124,0))),发射纪录!N:N,"&lt;&gt;")</f>
        <v>0</v>
      </c>
      <c r="C124" s="10">
        <f>COUNTIFS(发射纪录!B:B,"&lt;&gt;-",发射纪录!G:G,"&gt;="&amp;DATE(YEAR(A124),MONTH(A124),1),发射纪录!G:G,"&lt;="&amp;DATE(YEAR(A124),MONTH(A124),DAY(EOMONTH(A124,0))),发射纪录!N:N,"=成功",发射纪录!N:N,"&lt;&gt;")</f>
        <v>0</v>
      </c>
      <c r="D124" s="3" t="str">
        <f t="shared" ref="D124:D134" si="2">IF(B124=0,"-",C124/B124)</f>
        <v>-</v>
      </c>
      <c r="E124" s="10">
        <f t="shared" ref="E124:E134" si="3">E123+B124</f>
        <v>6</v>
      </c>
      <c r="F124" s="10">
        <f t="shared" ref="F124:F134" si="4">F123+C124</f>
        <v>5</v>
      </c>
      <c r="G124" s="4">
        <f t="shared" ref="G124:G134" si="5">IF(E124=0,"-",F124/E124)</f>
        <v>0.83333333333333337</v>
      </c>
      <c r="H124" s="10">
        <f>COUNTIFS(发射纪录!C:C,"&lt;&gt;-",发射纪录!G:G,"&gt;="&amp;DATE(YEAR(A124),MONTH(A124),1),发射纪录!G:G,"&lt;="&amp;DATE(YEAR(A124),MONTH(A124),DAY(EOMONTH(A124,0))),发射纪录!N:N,"&lt;&gt;")</f>
        <v>0</v>
      </c>
      <c r="I124" s="10">
        <f>COUNTIFS(发射纪录!C:C,"&lt;&gt;-",发射纪录!G:G,"&gt;="&amp;DATE(YEAR(A124),MONTH(A124),1),发射纪录!G:G,"&lt;="&amp;DATE(YEAR(A124),MONTH(A124),DAY(EOMONTH(A124,0))),发射纪录!N:N,"=成功",发射纪录!N:N,"&lt;&gt;")</f>
        <v>0</v>
      </c>
      <c r="J124" s="3" t="str">
        <f t="shared" ref="J124:J134" si="6">IF(H124=0,"-",I124/H124)</f>
        <v>-</v>
      </c>
      <c r="K124" s="10">
        <f t="shared" ref="K124:K134" si="7">K123+H124</f>
        <v>7</v>
      </c>
      <c r="L124" s="10">
        <f t="shared" ref="L124:L134" si="8">L123+I124</f>
        <v>3</v>
      </c>
      <c r="M124" s="4">
        <f t="shared" ref="M124:M134" si="9">IF(K124=0,"-",L124/K124)</f>
        <v>0.42857142857142855</v>
      </c>
      <c r="N124" s="10">
        <f t="shared" ref="N124:N134" si="10">B124+H124</f>
        <v>0</v>
      </c>
      <c r="O124" s="10">
        <f t="shared" ref="O124:O134" si="11">C124+I124</f>
        <v>0</v>
      </c>
      <c r="P124" s="3" t="str">
        <f t="shared" ref="P124:P134" si="12">IF(N124=0,"-",O124/N124)</f>
        <v>-</v>
      </c>
      <c r="Q124" s="10">
        <f t="shared" ref="Q124:Q134" si="13">E124+K124</f>
        <v>13</v>
      </c>
      <c r="R124" s="10">
        <f t="shared" si="1"/>
        <v>8</v>
      </c>
      <c r="S124" s="4">
        <f t="shared" ref="S124:S134" si="14">IF(Q124=0,"-",R124/Q124)</f>
        <v>0.61538461538461542</v>
      </c>
      <c r="T124" s="478"/>
    </row>
    <row r="125" spans="1:20" x14ac:dyDescent="0.45">
      <c r="A125" s="64">
        <v>29252</v>
      </c>
      <c r="B125" s="14">
        <f>COUNTIFS(发射纪录!B:B,"&lt;&gt;-",发射纪录!G:G,"&gt;="&amp;DATE(YEAR(A125),MONTH(A125),1),发射纪录!G:G,"&lt;="&amp;DATE(YEAR(A125),MONTH(A125),DAY(EOMONTH(A125,0))),发射纪录!N:N,"&lt;&gt;")</f>
        <v>0</v>
      </c>
      <c r="C125" s="10">
        <f>COUNTIFS(发射纪录!B:B,"&lt;&gt;-",发射纪录!G:G,"&gt;="&amp;DATE(YEAR(A125),MONTH(A125),1),发射纪录!G:G,"&lt;="&amp;DATE(YEAR(A125),MONTH(A125),DAY(EOMONTH(A125,0))),发射纪录!N:N,"=成功",发射纪录!N:N,"&lt;&gt;")</f>
        <v>0</v>
      </c>
      <c r="D125" s="1" t="str">
        <f t="shared" si="2"/>
        <v>-</v>
      </c>
      <c r="E125" s="10">
        <f t="shared" si="3"/>
        <v>6</v>
      </c>
      <c r="F125" s="10">
        <f t="shared" si="4"/>
        <v>5</v>
      </c>
      <c r="G125" s="2">
        <f t="shared" si="5"/>
        <v>0.83333333333333337</v>
      </c>
      <c r="H125" s="10">
        <f>COUNTIFS(发射纪录!C:C,"&lt;&gt;-",发射纪录!G:G,"&gt;="&amp;DATE(YEAR(A125),MONTH(A125),1),发射纪录!G:G,"&lt;="&amp;DATE(YEAR(A125),MONTH(A125),DAY(EOMONTH(A125,0))),发射纪录!N:N,"&lt;&gt;")</f>
        <v>0</v>
      </c>
      <c r="I125" s="10">
        <f>COUNTIFS(发射纪录!C:C,"&lt;&gt;-",发射纪录!G:G,"&gt;="&amp;DATE(YEAR(A125),MONTH(A125),1),发射纪录!G:G,"&lt;="&amp;DATE(YEAR(A125),MONTH(A125),DAY(EOMONTH(A125,0))),发射纪录!N:N,"=成功",发射纪录!N:N,"&lt;&gt;")</f>
        <v>0</v>
      </c>
      <c r="J125" s="1" t="str">
        <f t="shared" si="6"/>
        <v>-</v>
      </c>
      <c r="K125" s="10">
        <f t="shared" si="7"/>
        <v>7</v>
      </c>
      <c r="L125" s="10">
        <f t="shared" si="8"/>
        <v>3</v>
      </c>
      <c r="M125" s="2">
        <f t="shared" si="9"/>
        <v>0.42857142857142855</v>
      </c>
      <c r="N125" s="10">
        <f t="shared" si="10"/>
        <v>0</v>
      </c>
      <c r="O125" s="10">
        <f t="shared" si="11"/>
        <v>0</v>
      </c>
      <c r="P125" s="3" t="str">
        <f t="shared" si="12"/>
        <v>-</v>
      </c>
      <c r="Q125" s="10">
        <f t="shared" si="13"/>
        <v>13</v>
      </c>
      <c r="R125" s="10">
        <f t="shared" si="1"/>
        <v>8</v>
      </c>
      <c r="S125" s="4">
        <f t="shared" si="14"/>
        <v>0.61538461538461542</v>
      </c>
      <c r="T125" s="478"/>
    </row>
    <row r="126" spans="1:20" x14ac:dyDescent="0.45">
      <c r="A126" s="64">
        <v>29281</v>
      </c>
      <c r="B126" s="14">
        <f>COUNTIFS(发射纪录!B:B,"&lt;&gt;-",发射纪录!G:G,"&gt;="&amp;DATE(YEAR(A126),MONTH(A126),1),发射纪录!G:G,"&lt;="&amp;DATE(YEAR(A126),MONTH(A126),DAY(EOMONTH(A126,0))),发射纪录!N:N,"&lt;&gt;")</f>
        <v>0</v>
      </c>
      <c r="C126" s="10">
        <f>COUNTIFS(发射纪录!B:B,"&lt;&gt;-",发射纪录!G:G,"&gt;="&amp;DATE(YEAR(A126),MONTH(A126),1),发射纪录!G:G,"&lt;="&amp;DATE(YEAR(A126),MONTH(A126),DAY(EOMONTH(A126,0))),发射纪录!N:N,"=成功",发射纪录!N:N,"&lt;&gt;")</f>
        <v>0</v>
      </c>
      <c r="D126" s="1" t="str">
        <f t="shared" si="2"/>
        <v>-</v>
      </c>
      <c r="E126" s="10">
        <f t="shared" si="3"/>
        <v>6</v>
      </c>
      <c r="F126" s="10">
        <f t="shared" si="4"/>
        <v>5</v>
      </c>
      <c r="G126" s="2">
        <f t="shared" si="5"/>
        <v>0.83333333333333337</v>
      </c>
      <c r="H126" s="10">
        <f>COUNTIFS(发射纪录!C:C,"&lt;&gt;-",发射纪录!G:G,"&gt;="&amp;DATE(YEAR(A126),MONTH(A126),1),发射纪录!G:G,"&lt;="&amp;DATE(YEAR(A126),MONTH(A126),DAY(EOMONTH(A126,0))),发射纪录!N:N,"&lt;&gt;")</f>
        <v>0</v>
      </c>
      <c r="I126" s="10">
        <f>COUNTIFS(发射纪录!C:C,"&lt;&gt;-",发射纪录!G:G,"&gt;="&amp;DATE(YEAR(A126),MONTH(A126),1),发射纪录!G:G,"&lt;="&amp;DATE(YEAR(A126),MONTH(A126),DAY(EOMONTH(A126,0))),发射纪录!N:N,"=成功",发射纪录!N:N,"&lt;&gt;")</f>
        <v>0</v>
      </c>
      <c r="J126" s="1" t="str">
        <f t="shared" si="6"/>
        <v>-</v>
      </c>
      <c r="K126" s="10">
        <f t="shared" si="7"/>
        <v>7</v>
      </c>
      <c r="L126" s="10">
        <f t="shared" si="8"/>
        <v>3</v>
      </c>
      <c r="M126" s="2">
        <f t="shared" si="9"/>
        <v>0.42857142857142855</v>
      </c>
      <c r="N126" s="10">
        <f t="shared" si="10"/>
        <v>0</v>
      </c>
      <c r="O126" s="10">
        <f t="shared" si="11"/>
        <v>0</v>
      </c>
      <c r="P126" s="3" t="str">
        <f t="shared" si="12"/>
        <v>-</v>
      </c>
      <c r="Q126" s="10">
        <f t="shared" si="13"/>
        <v>13</v>
      </c>
      <c r="R126" s="10">
        <f t="shared" si="1"/>
        <v>8</v>
      </c>
      <c r="S126" s="4">
        <f t="shared" si="14"/>
        <v>0.61538461538461542</v>
      </c>
      <c r="T126" s="478"/>
    </row>
    <row r="127" spans="1:20" x14ac:dyDescent="0.45">
      <c r="A127" s="64">
        <v>29312</v>
      </c>
      <c r="B127" s="14">
        <f>COUNTIFS(发射纪录!B:B,"&lt;&gt;-",发射纪录!G:G,"&gt;="&amp;DATE(YEAR(A127),MONTH(A127),1),发射纪录!G:G,"&lt;="&amp;DATE(YEAR(A127),MONTH(A127),DAY(EOMONTH(A127,0))),发射纪录!N:N,"&lt;&gt;")</f>
        <v>0</v>
      </c>
      <c r="C127" s="10">
        <f>COUNTIFS(发射纪录!B:B,"&lt;&gt;-",发射纪录!G:G,"&gt;="&amp;DATE(YEAR(A127),MONTH(A127),1),发射纪录!G:G,"&lt;="&amp;DATE(YEAR(A127),MONTH(A127),DAY(EOMONTH(A127,0))),发射纪录!N:N,"=成功",发射纪录!N:N,"&lt;&gt;")</f>
        <v>0</v>
      </c>
      <c r="D127" s="1" t="str">
        <f t="shared" si="2"/>
        <v>-</v>
      </c>
      <c r="E127" s="10">
        <f t="shared" si="3"/>
        <v>6</v>
      </c>
      <c r="F127" s="10">
        <f t="shared" si="4"/>
        <v>5</v>
      </c>
      <c r="G127" s="2">
        <f t="shared" si="5"/>
        <v>0.83333333333333337</v>
      </c>
      <c r="H127" s="10">
        <f>COUNTIFS(发射纪录!C:C,"&lt;&gt;-",发射纪录!G:G,"&gt;="&amp;DATE(YEAR(A127),MONTH(A127),1),发射纪录!G:G,"&lt;="&amp;DATE(YEAR(A127),MONTH(A127),DAY(EOMONTH(A127,0))),发射纪录!N:N,"&lt;&gt;")</f>
        <v>0</v>
      </c>
      <c r="I127" s="10">
        <f>COUNTIFS(发射纪录!C:C,"&lt;&gt;-",发射纪录!G:G,"&gt;="&amp;DATE(YEAR(A127),MONTH(A127),1),发射纪录!G:G,"&lt;="&amp;DATE(YEAR(A127),MONTH(A127),DAY(EOMONTH(A127,0))),发射纪录!N:N,"=成功",发射纪录!N:N,"&lt;&gt;")</f>
        <v>0</v>
      </c>
      <c r="J127" s="1" t="str">
        <f t="shared" si="6"/>
        <v>-</v>
      </c>
      <c r="K127" s="10">
        <f t="shared" si="7"/>
        <v>7</v>
      </c>
      <c r="L127" s="10">
        <f t="shared" si="8"/>
        <v>3</v>
      </c>
      <c r="M127" s="2">
        <f t="shared" si="9"/>
        <v>0.42857142857142855</v>
      </c>
      <c r="N127" s="10">
        <f t="shared" si="10"/>
        <v>0</v>
      </c>
      <c r="O127" s="10">
        <f t="shared" si="11"/>
        <v>0</v>
      </c>
      <c r="P127" s="3" t="str">
        <f t="shared" si="12"/>
        <v>-</v>
      </c>
      <c r="Q127" s="10">
        <f t="shared" si="13"/>
        <v>13</v>
      </c>
      <c r="R127" s="10">
        <f t="shared" si="1"/>
        <v>8</v>
      </c>
      <c r="S127" s="4">
        <f t="shared" si="14"/>
        <v>0.61538461538461542</v>
      </c>
      <c r="T127" s="478"/>
    </row>
    <row r="128" spans="1:20" x14ac:dyDescent="0.45">
      <c r="A128" s="64">
        <v>29342</v>
      </c>
      <c r="B128" s="14">
        <f>COUNTIFS(发射纪录!B:B,"&lt;&gt;-",发射纪录!G:G,"&gt;="&amp;DATE(YEAR(A128),MONTH(A128),1),发射纪录!G:G,"&lt;="&amp;DATE(YEAR(A128),MONTH(A128),DAY(EOMONTH(A128,0))),发射纪录!N:N,"&lt;&gt;")</f>
        <v>0</v>
      </c>
      <c r="C128" s="10">
        <f>COUNTIFS(发射纪录!B:B,"&lt;&gt;-",发射纪录!G:G,"&gt;="&amp;DATE(YEAR(A128),MONTH(A128),1),发射纪录!G:G,"&lt;="&amp;DATE(YEAR(A128),MONTH(A128),DAY(EOMONTH(A128,0))),发射纪录!N:N,"=成功",发射纪录!N:N,"&lt;&gt;")</f>
        <v>0</v>
      </c>
      <c r="D128" s="1" t="str">
        <f t="shared" si="2"/>
        <v>-</v>
      </c>
      <c r="E128" s="10">
        <f t="shared" si="3"/>
        <v>6</v>
      </c>
      <c r="F128" s="10">
        <f t="shared" si="4"/>
        <v>5</v>
      </c>
      <c r="G128" s="2">
        <f t="shared" si="5"/>
        <v>0.83333333333333337</v>
      </c>
      <c r="H128" s="10">
        <f>COUNTIFS(发射纪录!C:C,"&lt;&gt;-",发射纪录!G:G,"&gt;="&amp;DATE(YEAR(A128),MONTH(A128),1),发射纪录!G:G,"&lt;="&amp;DATE(YEAR(A128),MONTH(A128),DAY(EOMONTH(A128,0))),发射纪录!N:N,"&lt;&gt;")</f>
        <v>0</v>
      </c>
      <c r="I128" s="10">
        <f>COUNTIFS(发射纪录!C:C,"&lt;&gt;-",发射纪录!G:G,"&gt;="&amp;DATE(YEAR(A128),MONTH(A128),1),发射纪录!G:G,"&lt;="&amp;DATE(YEAR(A128),MONTH(A128),DAY(EOMONTH(A128,0))),发射纪录!N:N,"=成功",发射纪录!N:N,"&lt;&gt;")</f>
        <v>0</v>
      </c>
      <c r="J128" s="1" t="str">
        <f t="shared" si="6"/>
        <v>-</v>
      </c>
      <c r="K128" s="10">
        <f t="shared" si="7"/>
        <v>7</v>
      </c>
      <c r="L128" s="10">
        <f t="shared" si="8"/>
        <v>3</v>
      </c>
      <c r="M128" s="2">
        <f t="shared" si="9"/>
        <v>0.42857142857142855</v>
      </c>
      <c r="N128" s="10">
        <f t="shared" si="10"/>
        <v>0</v>
      </c>
      <c r="O128" s="10">
        <f t="shared" si="11"/>
        <v>0</v>
      </c>
      <c r="P128" s="3" t="str">
        <f t="shared" si="12"/>
        <v>-</v>
      </c>
      <c r="Q128" s="10">
        <f t="shared" si="13"/>
        <v>13</v>
      </c>
      <c r="R128" s="10">
        <f t="shared" si="1"/>
        <v>8</v>
      </c>
      <c r="S128" s="4">
        <f t="shared" si="14"/>
        <v>0.61538461538461542</v>
      </c>
      <c r="T128" s="478"/>
    </row>
    <row r="129" spans="1:20" x14ac:dyDescent="0.45">
      <c r="A129" s="64">
        <v>29373</v>
      </c>
      <c r="B129" s="14">
        <f>COUNTIFS(发射纪录!B:B,"&lt;&gt;-",发射纪录!G:G,"&gt;="&amp;DATE(YEAR(A129),MONTH(A129),1),发射纪录!G:G,"&lt;="&amp;DATE(YEAR(A129),MONTH(A129),DAY(EOMONTH(A129,0))),发射纪录!N:N,"&lt;&gt;")</f>
        <v>0</v>
      </c>
      <c r="C129" s="10">
        <f>COUNTIFS(发射纪录!B:B,"&lt;&gt;-",发射纪录!G:G,"&gt;="&amp;DATE(YEAR(A129),MONTH(A129),1),发射纪录!G:G,"&lt;="&amp;DATE(YEAR(A129),MONTH(A129),DAY(EOMONTH(A129,0))),发射纪录!N:N,"=成功",发射纪录!N:N,"&lt;&gt;")</f>
        <v>0</v>
      </c>
      <c r="D129" s="1" t="str">
        <f t="shared" si="2"/>
        <v>-</v>
      </c>
      <c r="E129" s="10">
        <f t="shared" si="3"/>
        <v>6</v>
      </c>
      <c r="F129" s="10">
        <f t="shared" si="4"/>
        <v>5</v>
      </c>
      <c r="G129" s="2">
        <f t="shared" si="5"/>
        <v>0.83333333333333337</v>
      </c>
      <c r="H129" s="10">
        <f>COUNTIFS(发射纪录!C:C,"&lt;&gt;-",发射纪录!G:G,"&gt;="&amp;DATE(YEAR(A129),MONTH(A129),1),发射纪录!G:G,"&lt;="&amp;DATE(YEAR(A129),MONTH(A129),DAY(EOMONTH(A129,0))),发射纪录!N:N,"&lt;&gt;")</f>
        <v>0</v>
      </c>
      <c r="I129" s="10">
        <f>COUNTIFS(发射纪录!C:C,"&lt;&gt;-",发射纪录!G:G,"&gt;="&amp;DATE(YEAR(A129),MONTH(A129),1),发射纪录!G:G,"&lt;="&amp;DATE(YEAR(A129),MONTH(A129),DAY(EOMONTH(A129,0))),发射纪录!N:N,"=成功",发射纪录!N:N,"&lt;&gt;")</f>
        <v>0</v>
      </c>
      <c r="J129" s="1" t="str">
        <f t="shared" si="6"/>
        <v>-</v>
      </c>
      <c r="K129" s="10">
        <f t="shared" si="7"/>
        <v>7</v>
      </c>
      <c r="L129" s="10">
        <f t="shared" si="8"/>
        <v>3</v>
      </c>
      <c r="M129" s="2">
        <f t="shared" si="9"/>
        <v>0.42857142857142855</v>
      </c>
      <c r="N129" s="10">
        <f t="shared" si="10"/>
        <v>0</v>
      </c>
      <c r="O129" s="10">
        <f t="shared" si="11"/>
        <v>0</v>
      </c>
      <c r="P129" s="3" t="str">
        <f t="shared" si="12"/>
        <v>-</v>
      </c>
      <c r="Q129" s="10">
        <f t="shared" si="13"/>
        <v>13</v>
      </c>
      <c r="R129" s="10">
        <f t="shared" si="1"/>
        <v>8</v>
      </c>
      <c r="S129" s="4">
        <f t="shared" si="14"/>
        <v>0.61538461538461542</v>
      </c>
      <c r="T129" s="478"/>
    </row>
    <row r="130" spans="1:20" x14ac:dyDescent="0.45">
      <c r="A130" s="64">
        <v>29403</v>
      </c>
      <c r="B130" s="14">
        <f>COUNTIFS(发射纪录!B:B,"&lt;&gt;-",发射纪录!G:G,"&gt;="&amp;DATE(YEAR(A130),MONTH(A130),1),发射纪录!G:G,"&lt;="&amp;DATE(YEAR(A130),MONTH(A130),DAY(EOMONTH(A130,0))),发射纪录!N:N,"&lt;&gt;")</f>
        <v>0</v>
      </c>
      <c r="C130" s="10">
        <f>COUNTIFS(发射纪录!B:B,"&lt;&gt;-",发射纪录!G:G,"&gt;="&amp;DATE(YEAR(A130),MONTH(A130),1),发射纪录!G:G,"&lt;="&amp;DATE(YEAR(A130),MONTH(A130),DAY(EOMONTH(A130,0))),发射纪录!N:N,"=成功",发射纪录!N:N,"&lt;&gt;")</f>
        <v>0</v>
      </c>
      <c r="D130" s="1" t="str">
        <f t="shared" si="2"/>
        <v>-</v>
      </c>
      <c r="E130" s="10">
        <f t="shared" si="3"/>
        <v>6</v>
      </c>
      <c r="F130" s="10">
        <f t="shared" si="4"/>
        <v>5</v>
      </c>
      <c r="G130" s="2">
        <f t="shared" si="5"/>
        <v>0.83333333333333337</v>
      </c>
      <c r="H130" s="10">
        <f>COUNTIFS(发射纪录!C:C,"&lt;&gt;-",发射纪录!G:G,"&gt;="&amp;DATE(YEAR(A130),MONTH(A130),1),发射纪录!G:G,"&lt;="&amp;DATE(YEAR(A130),MONTH(A130),DAY(EOMONTH(A130,0))),发射纪录!N:N,"&lt;&gt;")</f>
        <v>0</v>
      </c>
      <c r="I130" s="10">
        <f>COUNTIFS(发射纪录!C:C,"&lt;&gt;-",发射纪录!G:G,"&gt;="&amp;DATE(YEAR(A130),MONTH(A130),1),发射纪录!G:G,"&lt;="&amp;DATE(YEAR(A130),MONTH(A130),DAY(EOMONTH(A130,0))),发射纪录!N:N,"=成功",发射纪录!N:N,"&lt;&gt;")</f>
        <v>0</v>
      </c>
      <c r="J130" s="1" t="str">
        <f t="shared" si="6"/>
        <v>-</v>
      </c>
      <c r="K130" s="10">
        <f t="shared" si="7"/>
        <v>7</v>
      </c>
      <c r="L130" s="10">
        <f t="shared" si="8"/>
        <v>3</v>
      </c>
      <c r="M130" s="2">
        <f t="shared" si="9"/>
        <v>0.42857142857142855</v>
      </c>
      <c r="N130" s="10">
        <f t="shared" si="10"/>
        <v>0</v>
      </c>
      <c r="O130" s="10">
        <f t="shared" si="11"/>
        <v>0</v>
      </c>
      <c r="P130" s="3" t="str">
        <f t="shared" si="12"/>
        <v>-</v>
      </c>
      <c r="Q130" s="10">
        <f t="shared" si="13"/>
        <v>13</v>
      </c>
      <c r="R130" s="10">
        <f t="shared" si="1"/>
        <v>8</v>
      </c>
      <c r="S130" s="4">
        <f t="shared" si="14"/>
        <v>0.61538461538461542</v>
      </c>
      <c r="T130" s="478"/>
    </row>
    <row r="131" spans="1:20" x14ac:dyDescent="0.45">
      <c r="A131" s="64">
        <v>29434</v>
      </c>
      <c r="B131" s="14">
        <f>COUNTIFS(发射纪录!B:B,"&lt;&gt;-",发射纪录!G:G,"&gt;="&amp;DATE(YEAR(A131),MONTH(A131),1),发射纪录!G:G,"&lt;="&amp;DATE(YEAR(A131),MONTH(A131),DAY(EOMONTH(A131,0))),发射纪录!N:N,"&lt;&gt;")</f>
        <v>0</v>
      </c>
      <c r="C131" s="10">
        <f>COUNTIFS(发射纪录!B:B,"&lt;&gt;-",发射纪录!G:G,"&gt;="&amp;DATE(YEAR(A131),MONTH(A131),1),发射纪录!G:G,"&lt;="&amp;DATE(YEAR(A131),MONTH(A131),DAY(EOMONTH(A131,0))),发射纪录!N:N,"=成功",发射纪录!N:N,"&lt;&gt;")</f>
        <v>0</v>
      </c>
      <c r="D131" s="1" t="str">
        <f t="shared" si="2"/>
        <v>-</v>
      </c>
      <c r="E131" s="10">
        <f t="shared" si="3"/>
        <v>6</v>
      </c>
      <c r="F131" s="10">
        <f t="shared" si="4"/>
        <v>5</v>
      </c>
      <c r="G131" s="2">
        <f t="shared" si="5"/>
        <v>0.83333333333333337</v>
      </c>
      <c r="H131" s="10">
        <f>COUNTIFS(发射纪录!C:C,"&lt;&gt;-",发射纪录!G:G,"&gt;="&amp;DATE(YEAR(A131),MONTH(A131),1),发射纪录!G:G,"&lt;="&amp;DATE(YEAR(A131),MONTH(A131),DAY(EOMONTH(A131,0))),发射纪录!N:N,"&lt;&gt;")</f>
        <v>0</v>
      </c>
      <c r="I131" s="10">
        <f>COUNTIFS(发射纪录!C:C,"&lt;&gt;-",发射纪录!G:G,"&gt;="&amp;DATE(YEAR(A131),MONTH(A131),1),发射纪录!G:G,"&lt;="&amp;DATE(YEAR(A131),MONTH(A131),DAY(EOMONTH(A131,0))),发射纪录!N:N,"=成功",发射纪录!N:N,"&lt;&gt;")</f>
        <v>0</v>
      </c>
      <c r="J131" s="1" t="str">
        <f t="shared" si="6"/>
        <v>-</v>
      </c>
      <c r="K131" s="10">
        <f t="shared" si="7"/>
        <v>7</v>
      </c>
      <c r="L131" s="10">
        <f t="shared" si="8"/>
        <v>3</v>
      </c>
      <c r="M131" s="2">
        <f t="shared" si="9"/>
        <v>0.42857142857142855</v>
      </c>
      <c r="N131" s="10">
        <f t="shared" si="10"/>
        <v>0</v>
      </c>
      <c r="O131" s="10">
        <f t="shared" si="11"/>
        <v>0</v>
      </c>
      <c r="P131" s="3" t="str">
        <f t="shared" si="12"/>
        <v>-</v>
      </c>
      <c r="Q131" s="10">
        <f t="shared" si="13"/>
        <v>13</v>
      </c>
      <c r="R131" s="10">
        <f t="shared" si="1"/>
        <v>8</v>
      </c>
      <c r="S131" s="4">
        <f t="shared" si="14"/>
        <v>0.61538461538461542</v>
      </c>
      <c r="T131" s="478"/>
    </row>
    <row r="132" spans="1:20" x14ac:dyDescent="0.45">
      <c r="A132" s="64">
        <v>29465</v>
      </c>
      <c r="B132" s="14">
        <f>COUNTIFS(发射纪录!B:B,"&lt;&gt;-",发射纪录!G:G,"&gt;="&amp;DATE(YEAR(A132),MONTH(A132),1),发射纪录!G:G,"&lt;="&amp;DATE(YEAR(A132),MONTH(A132),DAY(EOMONTH(A132,0))),发射纪录!N:N,"&lt;&gt;")</f>
        <v>0</v>
      </c>
      <c r="C132" s="10">
        <f>COUNTIFS(发射纪录!B:B,"&lt;&gt;-",发射纪录!G:G,"&gt;="&amp;DATE(YEAR(A132),MONTH(A132),1),发射纪录!G:G,"&lt;="&amp;DATE(YEAR(A132),MONTH(A132),DAY(EOMONTH(A132,0))),发射纪录!N:N,"=成功",发射纪录!N:N,"&lt;&gt;")</f>
        <v>0</v>
      </c>
      <c r="D132" s="1" t="str">
        <f t="shared" si="2"/>
        <v>-</v>
      </c>
      <c r="E132" s="10">
        <f t="shared" si="3"/>
        <v>6</v>
      </c>
      <c r="F132" s="10">
        <f t="shared" si="4"/>
        <v>5</v>
      </c>
      <c r="G132" s="2">
        <f t="shared" si="5"/>
        <v>0.83333333333333337</v>
      </c>
      <c r="H132" s="10">
        <f>COUNTIFS(发射纪录!C:C,"&lt;&gt;-",发射纪录!G:G,"&gt;="&amp;DATE(YEAR(A132),MONTH(A132),1),发射纪录!G:G,"&lt;="&amp;DATE(YEAR(A132),MONTH(A132),DAY(EOMONTH(A132,0))),发射纪录!N:N,"&lt;&gt;")</f>
        <v>0</v>
      </c>
      <c r="I132" s="10">
        <f>COUNTIFS(发射纪录!C:C,"&lt;&gt;-",发射纪录!G:G,"&gt;="&amp;DATE(YEAR(A132),MONTH(A132),1),发射纪录!G:G,"&lt;="&amp;DATE(YEAR(A132),MONTH(A132),DAY(EOMONTH(A132,0))),发射纪录!N:N,"=成功",发射纪录!N:N,"&lt;&gt;")</f>
        <v>0</v>
      </c>
      <c r="J132" s="1" t="str">
        <f t="shared" si="6"/>
        <v>-</v>
      </c>
      <c r="K132" s="10">
        <f t="shared" si="7"/>
        <v>7</v>
      </c>
      <c r="L132" s="10">
        <f t="shared" si="8"/>
        <v>3</v>
      </c>
      <c r="M132" s="2">
        <f t="shared" si="9"/>
        <v>0.42857142857142855</v>
      </c>
      <c r="N132" s="10">
        <f t="shared" si="10"/>
        <v>0</v>
      </c>
      <c r="O132" s="10">
        <f t="shared" si="11"/>
        <v>0</v>
      </c>
      <c r="P132" s="3" t="str">
        <f t="shared" si="12"/>
        <v>-</v>
      </c>
      <c r="Q132" s="10">
        <f t="shared" si="13"/>
        <v>13</v>
      </c>
      <c r="R132" s="10">
        <f t="shared" ref="R132:R134" si="15">F132+L132</f>
        <v>8</v>
      </c>
      <c r="S132" s="4">
        <f t="shared" si="14"/>
        <v>0.61538461538461542</v>
      </c>
      <c r="T132" s="478"/>
    </row>
    <row r="133" spans="1:20" x14ac:dyDescent="0.45">
      <c r="A133" s="64">
        <v>29495</v>
      </c>
      <c r="B133" s="14">
        <f>COUNTIFS(发射纪录!B:B,"&lt;&gt;-",发射纪录!G:G,"&gt;="&amp;DATE(YEAR(A133),MONTH(A133),1),发射纪录!G:G,"&lt;="&amp;DATE(YEAR(A133),MONTH(A133),DAY(EOMONTH(A133,0))),发射纪录!N:N,"&lt;&gt;")</f>
        <v>0</v>
      </c>
      <c r="C133" s="10">
        <f>COUNTIFS(发射纪录!B:B,"&lt;&gt;-",发射纪录!G:G,"&gt;="&amp;DATE(YEAR(A133),MONTH(A133),1),发射纪录!G:G,"&lt;="&amp;DATE(YEAR(A133),MONTH(A133),DAY(EOMONTH(A133,0))),发射纪录!N:N,"=成功",发射纪录!N:N,"&lt;&gt;")</f>
        <v>0</v>
      </c>
      <c r="D133" s="1" t="str">
        <f t="shared" si="2"/>
        <v>-</v>
      </c>
      <c r="E133" s="10">
        <f t="shared" si="3"/>
        <v>6</v>
      </c>
      <c r="F133" s="10">
        <f t="shared" si="4"/>
        <v>5</v>
      </c>
      <c r="G133" s="2">
        <f t="shared" si="5"/>
        <v>0.83333333333333337</v>
      </c>
      <c r="H133" s="10">
        <f>COUNTIFS(发射纪录!C:C,"&lt;&gt;-",发射纪录!G:G,"&gt;="&amp;DATE(YEAR(A133),MONTH(A133),1),发射纪录!G:G,"&lt;="&amp;DATE(YEAR(A133),MONTH(A133),DAY(EOMONTH(A133,0))),发射纪录!N:N,"&lt;&gt;")</f>
        <v>0</v>
      </c>
      <c r="I133" s="10">
        <f ca="1">COUNTIFS(发射纪录!C:C,"&lt;&gt;-",发射纪录!G:G,"&gt;="&amp;DATE(YEAR(A133),MONTH(A133),1),发射纪录!G:G,"&lt;="&amp;DATE(YEAR(A133),MONTH(A133),DAY(EOMONTH(A133,0))),发射纪录!N:N,"=成功",发射纪录!N:N,"&lt;&gt;")</f>
        <v>0</v>
      </c>
      <c r="J133" s="1" t="str">
        <f t="shared" si="6"/>
        <v>-</v>
      </c>
      <c r="K133" s="10">
        <f t="shared" si="7"/>
        <v>7</v>
      </c>
      <c r="L133" s="10">
        <f t="shared" ca="1" si="8"/>
        <v>3</v>
      </c>
      <c r="M133" s="2">
        <f t="shared" ca="1" si="9"/>
        <v>0.42857142857142855</v>
      </c>
      <c r="N133" s="10">
        <f t="shared" si="10"/>
        <v>0</v>
      </c>
      <c r="O133" s="10">
        <f t="shared" ca="1" si="11"/>
        <v>0</v>
      </c>
      <c r="P133" s="3" t="str">
        <f t="shared" si="12"/>
        <v>-</v>
      </c>
      <c r="Q133" s="10">
        <f t="shared" si="13"/>
        <v>13</v>
      </c>
      <c r="R133" s="10">
        <f t="shared" ca="1" si="15"/>
        <v>8</v>
      </c>
      <c r="S133" s="4">
        <f t="shared" ca="1" si="14"/>
        <v>0.61538461538461542</v>
      </c>
      <c r="T133" s="478"/>
    </row>
    <row r="134" spans="1:20" x14ac:dyDescent="0.45">
      <c r="A134" s="64">
        <v>29526</v>
      </c>
      <c r="B134" s="14">
        <f>COUNTIFS(发射纪录!B:B,"&lt;&gt;-",发射纪录!G:G,"&gt;="&amp;DATE(YEAR(A134),MONTH(A134),1),发射纪录!G:G,"&lt;="&amp;DATE(YEAR(A134),MONTH(A134),DAY(EOMONTH(A134,0))),发射纪录!N:N,"&lt;&gt;")</f>
        <v>0</v>
      </c>
      <c r="C134" s="10">
        <f>COUNTIFS(发射纪录!B:B,"&lt;&gt;-",发射纪录!G:G,"&gt;="&amp;DATE(YEAR(A134),MONTH(A134),1),发射纪录!G:G,"&lt;="&amp;DATE(YEAR(A134),MONTH(A134),DAY(EOMONTH(A134,0))),发射纪录!N:N,"=成功",发射纪录!N:N,"&lt;&gt;")</f>
        <v>0</v>
      </c>
      <c r="D134" s="1" t="str">
        <f t="shared" si="2"/>
        <v>-</v>
      </c>
      <c r="E134" s="10">
        <f t="shared" si="3"/>
        <v>6</v>
      </c>
      <c r="F134" s="10">
        <f t="shared" si="4"/>
        <v>5</v>
      </c>
      <c r="G134" s="2">
        <f t="shared" si="5"/>
        <v>0.83333333333333337</v>
      </c>
      <c r="H134" s="10">
        <f>COUNTIFS(发射纪录!C:C,"&lt;&gt;-",发射纪录!G:G,"&gt;="&amp;DATE(YEAR(A134),MONTH(A134),1),发射纪录!G:G,"&lt;="&amp;DATE(YEAR(A134),MONTH(A134),DAY(EOMONTH(A134,0))),发射纪录!N:N,"&lt;&gt;")</f>
        <v>0</v>
      </c>
      <c r="I134" s="10">
        <f>COUNTIFS(发射纪录!C:C,"&lt;&gt;-",发射纪录!G:G,"&gt;="&amp;DATE(YEAR(A134),MONTH(A134),1),发射纪录!G:G,"&lt;="&amp;DATE(YEAR(A134),MONTH(A134),DAY(EOMONTH(A134,0))),发射纪录!N:N,"=成功",发射纪录!N:N,"&lt;&gt;")</f>
        <v>0</v>
      </c>
      <c r="J134" s="1" t="str">
        <f t="shared" si="6"/>
        <v>-</v>
      </c>
      <c r="K134" s="10">
        <f t="shared" si="7"/>
        <v>7</v>
      </c>
      <c r="L134" s="10">
        <f t="shared" ca="1" si="8"/>
        <v>3</v>
      </c>
      <c r="M134" s="2">
        <f t="shared" ca="1" si="9"/>
        <v>0.42857142857142855</v>
      </c>
      <c r="N134" s="10">
        <f t="shared" si="10"/>
        <v>0</v>
      </c>
      <c r="O134" s="10">
        <f t="shared" si="11"/>
        <v>0</v>
      </c>
      <c r="P134" s="3" t="str">
        <f t="shared" si="12"/>
        <v>-</v>
      </c>
      <c r="Q134" s="10">
        <f t="shared" si="13"/>
        <v>13</v>
      </c>
      <c r="R134" s="10">
        <f t="shared" ca="1" si="15"/>
        <v>8</v>
      </c>
      <c r="S134" s="4">
        <f t="shared" ca="1" si="14"/>
        <v>0.61538461538461542</v>
      </c>
      <c r="T134" s="478"/>
    </row>
    <row r="135" spans="1:20" ht="19.5" customHeight="1" thickBot="1" x14ac:dyDescent="0.5">
      <c r="A135" s="65">
        <v>29556</v>
      </c>
      <c r="B135" s="17">
        <f>COUNTIFS(发射纪录!B:B,"&lt;&gt;-",发射纪录!G:G,"&gt;="&amp;DATE(YEAR(A135),MONTH(A135),1),发射纪录!G:G,"&lt;="&amp;DATE(YEAR(A135),MONTH(A135),DAY(EOMONTH(A135,0))),发射纪录!N:N,"&lt;&gt;")</f>
        <v>0</v>
      </c>
      <c r="C135" s="18">
        <f>COUNTIFS(发射纪录!B:B,"&lt;&gt;-",发射纪录!G:G,"&gt;="&amp;DATE(YEAR(A135),MONTH(A135),1),发射纪录!G:G,"&lt;="&amp;DATE(YEAR(A135),MONTH(A135),DAY(EOMONTH(A135,0))),发射纪录!N:N,"=成功",发射纪录!N:N,"&lt;&gt;")</f>
        <v>0</v>
      </c>
      <c r="D135" s="12" t="str">
        <f>IF(B135=0,"-",C135/B135)</f>
        <v>-</v>
      </c>
      <c r="E135" s="18">
        <f>E134+B135</f>
        <v>6</v>
      </c>
      <c r="F135" s="18">
        <f>F134+C135</f>
        <v>5</v>
      </c>
      <c r="G135" s="13">
        <f>IF(E135=0,"-",F135/E135)</f>
        <v>0.83333333333333337</v>
      </c>
      <c r="H135" s="18">
        <f>COUNTIFS(发射纪录!C:C,"&lt;&gt;-",发射纪录!G:G,"&gt;="&amp;DATE(YEAR(A135),MONTH(A135),1),发射纪录!G:G,"&lt;="&amp;DATE(YEAR(A135),MONTH(A135),DAY(EOMONTH(A135,0))),发射纪录!N:N,"&lt;&gt;")</f>
        <v>0</v>
      </c>
      <c r="I135" s="18">
        <f ca="1">COUNTIFS(发射纪录!C:C,"&lt;&gt;-",发射纪录!G:G,"&gt;="&amp;DATE(YEAR(A135),MONTH(A135),1),发射纪录!G:G,"&lt;="&amp;DATE(YEAR(A135),MONTH(A135),DAY(EOMONTH(A135,0))),发射纪录!N:N,"=成功",发射纪录!N:N,"&lt;&gt;")</f>
        <v>0</v>
      </c>
      <c r="J135" s="12" t="str">
        <f>IF(H135=0,"-",I135/H135)</f>
        <v>-</v>
      </c>
      <c r="K135" s="18">
        <f>K134+H135</f>
        <v>7</v>
      </c>
      <c r="L135" s="18">
        <f ca="1">L134+I135</f>
        <v>3</v>
      </c>
      <c r="M135" s="13">
        <f ca="1">IF(K135=0,"-",L135/K135)</f>
        <v>0.42857142857142855</v>
      </c>
      <c r="N135" s="18">
        <f>B135+H135</f>
        <v>0</v>
      </c>
      <c r="O135" s="18">
        <f ca="1">C135+I135</f>
        <v>0</v>
      </c>
      <c r="P135" s="12" t="str">
        <f>IF(N135=0,"-",O135/N135)</f>
        <v>-</v>
      </c>
      <c r="Q135" s="18">
        <f>E135+K135</f>
        <v>13</v>
      </c>
      <c r="R135" s="18">
        <f ca="1">F135+L135</f>
        <v>8</v>
      </c>
      <c r="S135" s="13">
        <f ca="1">IF(Q135=0,"-",R135/Q135)</f>
        <v>0.61538461538461542</v>
      </c>
      <c r="T135" s="478"/>
    </row>
    <row r="136" spans="1:20" ht="19.5" customHeight="1" thickTop="1" x14ac:dyDescent="0.45">
      <c r="A136" s="63">
        <v>29587</v>
      </c>
      <c r="B136" s="14">
        <f>COUNTIFS(发射纪录!B:B,"&lt;&gt;-",发射纪录!G:G,"&gt;="&amp;DATE(YEAR(A136),MONTH(A136),1),发射纪录!G:G,"&lt;="&amp;DATE(YEAR(A136),MONTH(A136),DAY(EOMONTH(A136,0))),发射纪录!N:N,"&lt;&gt;")</f>
        <v>0</v>
      </c>
      <c r="C136" s="10">
        <f>COUNTIFS(发射纪录!B:B,"&lt;&gt;-",发射纪录!G:G,"&gt;="&amp;DATE(YEAR(A136),MONTH(A136),1),发射纪录!G:G,"&lt;="&amp;DATE(YEAR(A136),MONTH(A136),DAY(EOMONTH(A136,0))),发射纪录!N:N,"=成功",发射纪录!N:N,"&lt;&gt;")</f>
        <v>0</v>
      </c>
      <c r="D136" s="3" t="str">
        <f t="shared" ref="D136:D146" si="16">IF(B136=0,"-",C136/B136)</f>
        <v>-</v>
      </c>
      <c r="E136" s="10">
        <f t="shared" ref="E136:E146" si="17">E135+B136</f>
        <v>6</v>
      </c>
      <c r="F136" s="10">
        <f t="shared" ref="F136:F146" si="18">F135+C136</f>
        <v>5</v>
      </c>
      <c r="G136" s="4">
        <f t="shared" ref="G136:G146" si="19">IF(E136=0,"-",F136/E136)</f>
        <v>0.83333333333333337</v>
      </c>
      <c r="H136" s="10">
        <f>COUNTIFS(发射纪录!C:C,"&lt;&gt;-",发射纪录!G:G,"&gt;="&amp;DATE(YEAR(A136),MONTH(A136),1),发射纪录!G:G,"&lt;="&amp;DATE(YEAR(A136),MONTH(A136),DAY(EOMONTH(A136,0))),发射纪录!N:N,"&lt;&gt;")</f>
        <v>0</v>
      </c>
      <c r="I136" s="10">
        <f>COUNTIFS(发射纪录!C:C,"&lt;&gt;-",发射纪录!G:G,"&gt;="&amp;DATE(YEAR(A136),MONTH(A136),1),发射纪录!G:G,"&lt;="&amp;DATE(YEAR(A136),MONTH(A136),DAY(EOMONTH(A136,0))),发射纪录!N:N,"=成功",发射纪录!N:N,"&lt;&gt;")</f>
        <v>0</v>
      </c>
      <c r="J136" s="3" t="str">
        <f t="shared" ref="J136:J146" si="20">IF(H136=0,"-",I136/H136)</f>
        <v>-</v>
      </c>
      <c r="K136" s="10">
        <f t="shared" ref="K136:K146" si="21">K135+H136</f>
        <v>7</v>
      </c>
      <c r="L136" s="10">
        <f t="shared" ref="L136:L146" ca="1" si="22">L135+I136</f>
        <v>3</v>
      </c>
      <c r="M136" s="4">
        <f t="shared" ref="M136:M146" ca="1" si="23">IF(K136=0,"-",L136/K136)</f>
        <v>0.42857142857142855</v>
      </c>
      <c r="N136" s="10">
        <f t="shared" ref="N136:N146" si="24">B136+H136</f>
        <v>0</v>
      </c>
      <c r="O136" s="10">
        <f t="shared" ref="O136:O146" si="25">C136+I136</f>
        <v>0</v>
      </c>
      <c r="P136" s="3" t="str">
        <f t="shared" ref="P136:P146" si="26">IF(N136=0,"-",O136/N136)</f>
        <v>-</v>
      </c>
      <c r="Q136" s="10">
        <f t="shared" ref="Q136:Q146" si="27">E136+K136</f>
        <v>13</v>
      </c>
      <c r="R136" s="10">
        <f t="shared" ref="R136:R194" ca="1" si="28">F136+L136</f>
        <v>8</v>
      </c>
      <c r="S136" s="4">
        <f t="shared" ref="S136:S146" ca="1" si="29">IF(Q136=0,"-",R136/Q136)</f>
        <v>0.61538461538461542</v>
      </c>
      <c r="T136" s="478"/>
    </row>
    <row r="137" spans="1:20" x14ac:dyDescent="0.45">
      <c r="A137" s="64">
        <v>29618</v>
      </c>
      <c r="B137" s="14">
        <f>COUNTIFS(发射纪录!B:B,"&lt;&gt;-",发射纪录!G:G,"&gt;="&amp;DATE(YEAR(A137),MONTH(A137),1),发射纪录!G:G,"&lt;="&amp;DATE(YEAR(A137),MONTH(A137),DAY(EOMONTH(A137,0))),发射纪录!N:N,"&lt;&gt;")</f>
        <v>0</v>
      </c>
      <c r="C137" s="10">
        <f>COUNTIFS(发射纪录!B:B,"&lt;&gt;-",发射纪录!G:G,"&gt;="&amp;DATE(YEAR(A137),MONTH(A137),1),发射纪录!G:G,"&lt;="&amp;DATE(YEAR(A137),MONTH(A137),DAY(EOMONTH(A137,0))),发射纪录!N:N,"=成功",发射纪录!N:N,"&lt;&gt;")</f>
        <v>0</v>
      </c>
      <c r="D137" s="1" t="str">
        <f t="shared" si="16"/>
        <v>-</v>
      </c>
      <c r="E137" s="10">
        <f t="shared" si="17"/>
        <v>6</v>
      </c>
      <c r="F137" s="10">
        <f t="shared" si="18"/>
        <v>5</v>
      </c>
      <c r="G137" s="2">
        <f t="shared" si="19"/>
        <v>0.83333333333333337</v>
      </c>
      <c r="H137" s="10">
        <f>COUNTIFS(发射纪录!C:C,"&lt;&gt;-",发射纪录!G:G,"&gt;="&amp;DATE(YEAR(A137),MONTH(A137),1),发射纪录!G:G,"&lt;="&amp;DATE(YEAR(A137),MONTH(A137),DAY(EOMONTH(A137,0))),发射纪录!N:N,"&lt;&gt;")</f>
        <v>0</v>
      </c>
      <c r="I137" s="10">
        <f>COUNTIFS(发射纪录!C:C,"&lt;&gt;-",发射纪录!G:G,"&gt;="&amp;DATE(YEAR(A137),MONTH(A137),1),发射纪录!G:G,"&lt;="&amp;DATE(YEAR(A137),MONTH(A137),DAY(EOMONTH(A137,0))),发射纪录!N:N,"=成功",发射纪录!N:N,"&lt;&gt;")</f>
        <v>0</v>
      </c>
      <c r="J137" s="1" t="str">
        <f t="shared" si="20"/>
        <v>-</v>
      </c>
      <c r="K137" s="10">
        <f t="shared" si="21"/>
        <v>7</v>
      </c>
      <c r="L137" s="10">
        <f t="shared" ca="1" si="22"/>
        <v>3</v>
      </c>
      <c r="M137" s="2">
        <f t="shared" ca="1" si="23"/>
        <v>0.42857142857142855</v>
      </c>
      <c r="N137" s="10">
        <f t="shared" si="24"/>
        <v>0</v>
      </c>
      <c r="O137" s="10">
        <f t="shared" si="25"/>
        <v>0</v>
      </c>
      <c r="P137" s="3" t="str">
        <f t="shared" si="26"/>
        <v>-</v>
      </c>
      <c r="Q137" s="10">
        <f t="shared" si="27"/>
        <v>13</v>
      </c>
      <c r="R137" s="10">
        <f t="shared" ca="1" si="28"/>
        <v>8</v>
      </c>
      <c r="S137" s="4">
        <f t="shared" ca="1" si="29"/>
        <v>0.61538461538461542</v>
      </c>
      <c r="T137" s="478"/>
    </row>
    <row r="138" spans="1:20" x14ac:dyDescent="0.45">
      <c r="A138" s="64">
        <v>29646</v>
      </c>
      <c r="B138" s="14">
        <f>COUNTIFS(发射纪录!B:B,"&lt;&gt;-",发射纪录!G:G,"&gt;="&amp;DATE(YEAR(A138),MONTH(A138),1),发射纪录!G:G,"&lt;="&amp;DATE(YEAR(A138),MONTH(A138),DAY(EOMONTH(A138,0))),发射纪录!N:N,"&lt;&gt;")</f>
        <v>0</v>
      </c>
      <c r="C138" s="10">
        <f>COUNTIFS(发射纪录!B:B,"&lt;&gt;-",发射纪录!G:G,"&gt;="&amp;DATE(YEAR(A138),MONTH(A138),1),发射纪录!G:G,"&lt;="&amp;DATE(YEAR(A138),MONTH(A138),DAY(EOMONTH(A138,0))),发射纪录!N:N,"=成功",发射纪录!N:N,"&lt;&gt;")</f>
        <v>0</v>
      </c>
      <c r="D138" s="1" t="str">
        <f t="shared" si="16"/>
        <v>-</v>
      </c>
      <c r="E138" s="10">
        <f t="shared" si="17"/>
        <v>6</v>
      </c>
      <c r="F138" s="10">
        <f t="shared" si="18"/>
        <v>5</v>
      </c>
      <c r="G138" s="2">
        <f t="shared" si="19"/>
        <v>0.83333333333333337</v>
      </c>
      <c r="H138" s="10">
        <f>COUNTIFS(发射纪录!C:C,"&lt;&gt;-",发射纪录!G:G,"&gt;="&amp;DATE(YEAR(A138),MONTH(A138),1),发射纪录!G:G,"&lt;="&amp;DATE(YEAR(A138),MONTH(A138),DAY(EOMONTH(A138,0))),发射纪录!N:N,"&lt;&gt;")</f>
        <v>0</v>
      </c>
      <c r="I138" s="10">
        <f>COUNTIFS(发射纪录!C:C,"&lt;&gt;-",发射纪录!G:G,"&gt;="&amp;DATE(YEAR(A138),MONTH(A138),1),发射纪录!G:G,"&lt;="&amp;DATE(YEAR(A138),MONTH(A138),DAY(EOMONTH(A138,0))),发射纪录!N:N,"=成功",发射纪录!N:N,"&lt;&gt;")</f>
        <v>0</v>
      </c>
      <c r="J138" s="1" t="str">
        <f t="shared" si="20"/>
        <v>-</v>
      </c>
      <c r="K138" s="10">
        <f t="shared" si="21"/>
        <v>7</v>
      </c>
      <c r="L138" s="10">
        <f t="shared" ca="1" si="22"/>
        <v>3</v>
      </c>
      <c r="M138" s="2">
        <f t="shared" ca="1" si="23"/>
        <v>0.42857142857142855</v>
      </c>
      <c r="N138" s="10">
        <f t="shared" si="24"/>
        <v>0</v>
      </c>
      <c r="O138" s="10">
        <f t="shared" si="25"/>
        <v>0</v>
      </c>
      <c r="P138" s="3" t="str">
        <f t="shared" si="26"/>
        <v>-</v>
      </c>
      <c r="Q138" s="10">
        <f t="shared" si="27"/>
        <v>13</v>
      </c>
      <c r="R138" s="10">
        <f t="shared" ca="1" si="28"/>
        <v>8</v>
      </c>
      <c r="S138" s="4">
        <f t="shared" ca="1" si="29"/>
        <v>0.61538461538461542</v>
      </c>
      <c r="T138" s="478"/>
    </row>
    <row r="139" spans="1:20" x14ac:dyDescent="0.45">
      <c r="A139" s="64">
        <v>29677</v>
      </c>
      <c r="B139" s="14">
        <f>COUNTIFS(发射纪录!B:B,"&lt;&gt;-",发射纪录!G:G,"&gt;="&amp;DATE(YEAR(A139),MONTH(A139),1),发射纪录!G:G,"&lt;="&amp;DATE(YEAR(A139),MONTH(A139),DAY(EOMONTH(A139,0))),发射纪录!N:N,"&lt;&gt;")</f>
        <v>0</v>
      </c>
      <c r="C139" s="10">
        <f>COUNTIFS(发射纪录!B:B,"&lt;&gt;-",发射纪录!G:G,"&gt;="&amp;DATE(YEAR(A139),MONTH(A139),1),发射纪录!G:G,"&lt;="&amp;DATE(YEAR(A139),MONTH(A139),DAY(EOMONTH(A139,0))),发射纪录!N:N,"=成功",发射纪录!N:N,"&lt;&gt;")</f>
        <v>0</v>
      </c>
      <c r="D139" s="1" t="str">
        <f t="shared" si="16"/>
        <v>-</v>
      </c>
      <c r="E139" s="10">
        <f t="shared" si="17"/>
        <v>6</v>
      </c>
      <c r="F139" s="10">
        <f t="shared" si="18"/>
        <v>5</v>
      </c>
      <c r="G139" s="2">
        <f t="shared" si="19"/>
        <v>0.83333333333333337</v>
      </c>
      <c r="H139" s="10">
        <f>COUNTIFS(发射纪录!C:C,"&lt;&gt;-",发射纪录!G:G,"&gt;="&amp;DATE(YEAR(A139),MONTH(A139),1),发射纪录!G:G,"&lt;="&amp;DATE(YEAR(A139),MONTH(A139),DAY(EOMONTH(A139,0))),发射纪录!N:N,"&lt;&gt;")</f>
        <v>0</v>
      </c>
      <c r="I139" s="10">
        <f>COUNTIFS(发射纪录!C:C,"&lt;&gt;-",发射纪录!G:G,"&gt;="&amp;DATE(YEAR(A139),MONTH(A139),1),发射纪录!G:G,"&lt;="&amp;DATE(YEAR(A139),MONTH(A139),DAY(EOMONTH(A139,0))),发射纪录!N:N,"=成功",发射纪录!N:N,"&lt;&gt;")</f>
        <v>0</v>
      </c>
      <c r="J139" s="1" t="str">
        <f t="shared" si="20"/>
        <v>-</v>
      </c>
      <c r="K139" s="10">
        <f t="shared" si="21"/>
        <v>7</v>
      </c>
      <c r="L139" s="10">
        <f t="shared" ca="1" si="22"/>
        <v>3</v>
      </c>
      <c r="M139" s="2">
        <f t="shared" ca="1" si="23"/>
        <v>0.42857142857142855</v>
      </c>
      <c r="N139" s="10">
        <f t="shared" si="24"/>
        <v>0</v>
      </c>
      <c r="O139" s="10">
        <f t="shared" si="25"/>
        <v>0</v>
      </c>
      <c r="P139" s="3" t="str">
        <f t="shared" si="26"/>
        <v>-</v>
      </c>
      <c r="Q139" s="10">
        <f t="shared" si="27"/>
        <v>13</v>
      </c>
      <c r="R139" s="10">
        <f t="shared" ca="1" si="28"/>
        <v>8</v>
      </c>
      <c r="S139" s="4">
        <f t="shared" ca="1" si="29"/>
        <v>0.61538461538461542</v>
      </c>
      <c r="T139" s="478"/>
    </row>
    <row r="140" spans="1:20" x14ac:dyDescent="0.45">
      <c r="A140" s="64">
        <v>29707</v>
      </c>
      <c r="B140" s="14">
        <f>COUNTIFS(发射纪录!B:B,"&lt;&gt;-",发射纪录!G:G,"&gt;="&amp;DATE(YEAR(A140),MONTH(A140),1),发射纪录!G:G,"&lt;="&amp;DATE(YEAR(A140),MONTH(A140),DAY(EOMONTH(A140,0))),发射纪录!N:N,"&lt;&gt;")</f>
        <v>0</v>
      </c>
      <c r="C140" s="10">
        <f>COUNTIFS(发射纪录!B:B,"&lt;&gt;-",发射纪录!G:G,"&gt;="&amp;DATE(YEAR(A140),MONTH(A140),1),发射纪录!G:G,"&lt;="&amp;DATE(YEAR(A140),MONTH(A140),DAY(EOMONTH(A140,0))),发射纪录!N:N,"=成功",发射纪录!N:N,"&lt;&gt;")</f>
        <v>0</v>
      </c>
      <c r="D140" s="1" t="str">
        <f t="shared" si="16"/>
        <v>-</v>
      </c>
      <c r="E140" s="10">
        <f t="shared" si="17"/>
        <v>6</v>
      </c>
      <c r="F140" s="10">
        <f t="shared" si="18"/>
        <v>5</v>
      </c>
      <c r="G140" s="2">
        <f t="shared" si="19"/>
        <v>0.83333333333333337</v>
      </c>
      <c r="H140" s="10">
        <f>COUNTIFS(发射纪录!C:C,"&lt;&gt;-",发射纪录!G:G,"&gt;="&amp;DATE(YEAR(A140),MONTH(A140),1),发射纪录!G:G,"&lt;="&amp;DATE(YEAR(A140),MONTH(A140),DAY(EOMONTH(A140,0))),发射纪录!N:N,"&lt;&gt;")</f>
        <v>0</v>
      </c>
      <c r="I140" s="10">
        <f>COUNTIFS(发射纪录!C:C,"&lt;&gt;-",发射纪录!G:G,"&gt;="&amp;DATE(YEAR(A140),MONTH(A140),1),发射纪录!G:G,"&lt;="&amp;DATE(YEAR(A140),MONTH(A140),DAY(EOMONTH(A140,0))),发射纪录!N:N,"=成功",发射纪录!N:N,"&lt;&gt;")</f>
        <v>0</v>
      </c>
      <c r="J140" s="1" t="str">
        <f t="shared" si="20"/>
        <v>-</v>
      </c>
      <c r="K140" s="10">
        <f t="shared" si="21"/>
        <v>7</v>
      </c>
      <c r="L140" s="10">
        <f t="shared" ca="1" si="22"/>
        <v>3</v>
      </c>
      <c r="M140" s="2">
        <f t="shared" ca="1" si="23"/>
        <v>0.42857142857142855</v>
      </c>
      <c r="N140" s="10">
        <f t="shared" si="24"/>
        <v>0</v>
      </c>
      <c r="O140" s="10">
        <f t="shared" si="25"/>
        <v>0</v>
      </c>
      <c r="P140" s="3" t="str">
        <f t="shared" si="26"/>
        <v>-</v>
      </c>
      <c r="Q140" s="10">
        <f t="shared" si="27"/>
        <v>13</v>
      </c>
      <c r="R140" s="10">
        <f t="shared" ca="1" si="28"/>
        <v>8</v>
      </c>
      <c r="S140" s="4">
        <f t="shared" ca="1" si="29"/>
        <v>0.61538461538461542</v>
      </c>
      <c r="T140" s="478"/>
    </row>
    <row r="141" spans="1:20" x14ac:dyDescent="0.45">
      <c r="A141" s="64">
        <v>29738</v>
      </c>
      <c r="B141" s="14">
        <f>COUNTIFS(发射纪录!B:B,"&lt;&gt;-",发射纪录!G:G,"&gt;="&amp;DATE(YEAR(A141),MONTH(A141),1),发射纪录!G:G,"&lt;="&amp;DATE(YEAR(A141),MONTH(A141),DAY(EOMONTH(A141,0))),发射纪录!N:N,"&lt;&gt;")</f>
        <v>0</v>
      </c>
      <c r="C141" s="10">
        <f>COUNTIFS(发射纪录!B:B,"&lt;&gt;-",发射纪录!G:G,"&gt;="&amp;DATE(YEAR(A141),MONTH(A141),1),发射纪录!G:G,"&lt;="&amp;DATE(YEAR(A141),MONTH(A141),DAY(EOMONTH(A141,0))),发射纪录!N:N,"=成功",发射纪录!N:N,"&lt;&gt;")</f>
        <v>0</v>
      </c>
      <c r="D141" s="1" t="str">
        <f t="shared" si="16"/>
        <v>-</v>
      </c>
      <c r="E141" s="10">
        <f t="shared" si="17"/>
        <v>6</v>
      </c>
      <c r="F141" s="10">
        <f t="shared" si="18"/>
        <v>5</v>
      </c>
      <c r="G141" s="2">
        <f t="shared" si="19"/>
        <v>0.83333333333333337</v>
      </c>
      <c r="H141" s="10">
        <f>COUNTIFS(发射纪录!C:C,"&lt;&gt;-",发射纪录!G:G,"&gt;="&amp;DATE(YEAR(A141),MONTH(A141),1),发射纪录!G:G,"&lt;="&amp;DATE(YEAR(A141),MONTH(A141),DAY(EOMONTH(A141,0))),发射纪录!N:N,"&lt;&gt;")</f>
        <v>0</v>
      </c>
      <c r="I141" s="10">
        <f>COUNTIFS(发射纪录!C:C,"&lt;&gt;-",发射纪录!G:G,"&gt;="&amp;DATE(YEAR(A141),MONTH(A141),1),发射纪录!G:G,"&lt;="&amp;DATE(YEAR(A141),MONTH(A141),DAY(EOMONTH(A141,0))),发射纪录!N:N,"=成功",发射纪录!N:N,"&lt;&gt;")</f>
        <v>0</v>
      </c>
      <c r="J141" s="1" t="str">
        <f t="shared" si="20"/>
        <v>-</v>
      </c>
      <c r="K141" s="10">
        <f t="shared" si="21"/>
        <v>7</v>
      </c>
      <c r="L141" s="10">
        <f t="shared" ca="1" si="22"/>
        <v>3</v>
      </c>
      <c r="M141" s="2">
        <f t="shared" ca="1" si="23"/>
        <v>0.42857142857142855</v>
      </c>
      <c r="N141" s="10">
        <f t="shared" si="24"/>
        <v>0</v>
      </c>
      <c r="O141" s="10">
        <f t="shared" si="25"/>
        <v>0</v>
      </c>
      <c r="P141" s="3" t="str">
        <f t="shared" si="26"/>
        <v>-</v>
      </c>
      <c r="Q141" s="10">
        <f t="shared" si="27"/>
        <v>13</v>
      </c>
      <c r="R141" s="10">
        <f t="shared" ca="1" si="28"/>
        <v>8</v>
      </c>
      <c r="S141" s="4">
        <f t="shared" ca="1" si="29"/>
        <v>0.61538461538461542</v>
      </c>
      <c r="T141" s="478"/>
    </row>
    <row r="142" spans="1:20" x14ac:dyDescent="0.45">
      <c r="A142" s="64">
        <v>29768</v>
      </c>
      <c r="B142" s="14">
        <f>COUNTIFS(发射纪录!B:B,"&lt;&gt;-",发射纪录!G:G,"&gt;="&amp;DATE(YEAR(A142),MONTH(A142),1),发射纪录!G:G,"&lt;="&amp;DATE(YEAR(A142),MONTH(A142),DAY(EOMONTH(A142,0))),发射纪录!N:N,"&lt;&gt;")</f>
        <v>0</v>
      </c>
      <c r="C142" s="10">
        <f>COUNTIFS(发射纪录!B:B,"&lt;&gt;-",发射纪录!G:G,"&gt;="&amp;DATE(YEAR(A142),MONTH(A142),1),发射纪录!G:G,"&lt;="&amp;DATE(YEAR(A142),MONTH(A142),DAY(EOMONTH(A142,0))),发射纪录!N:N,"=成功",发射纪录!N:N,"&lt;&gt;")</f>
        <v>0</v>
      </c>
      <c r="D142" s="1" t="str">
        <f t="shared" si="16"/>
        <v>-</v>
      </c>
      <c r="E142" s="10">
        <f t="shared" si="17"/>
        <v>6</v>
      </c>
      <c r="F142" s="10">
        <f t="shared" si="18"/>
        <v>5</v>
      </c>
      <c r="G142" s="2">
        <f t="shared" si="19"/>
        <v>0.83333333333333337</v>
      </c>
      <c r="H142" s="10">
        <f>COUNTIFS(发射纪录!C:C,"&lt;&gt;-",发射纪录!G:G,"&gt;="&amp;DATE(YEAR(A142),MONTH(A142),1),发射纪录!G:G,"&lt;="&amp;DATE(YEAR(A142),MONTH(A142),DAY(EOMONTH(A142,0))),发射纪录!N:N,"&lt;&gt;")</f>
        <v>0</v>
      </c>
      <c r="I142" s="10">
        <f>COUNTIFS(发射纪录!C:C,"&lt;&gt;-",发射纪录!G:G,"&gt;="&amp;DATE(YEAR(A142),MONTH(A142),1),发射纪录!G:G,"&lt;="&amp;DATE(YEAR(A142),MONTH(A142),DAY(EOMONTH(A142,0))),发射纪录!N:N,"=成功",发射纪录!N:N,"&lt;&gt;")</f>
        <v>0</v>
      </c>
      <c r="J142" s="1" t="str">
        <f t="shared" si="20"/>
        <v>-</v>
      </c>
      <c r="K142" s="10">
        <f t="shared" si="21"/>
        <v>7</v>
      </c>
      <c r="L142" s="10">
        <f t="shared" ca="1" si="22"/>
        <v>3</v>
      </c>
      <c r="M142" s="2">
        <f t="shared" ca="1" si="23"/>
        <v>0.42857142857142855</v>
      </c>
      <c r="N142" s="10">
        <f t="shared" si="24"/>
        <v>0</v>
      </c>
      <c r="O142" s="10">
        <f t="shared" si="25"/>
        <v>0</v>
      </c>
      <c r="P142" s="3" t="str">
        <f t="shared" si="26"/>
        <v>-</v>
      </c>
      <c r="Q142" s="10">
        <f t="shared" si="27"/>
        <v>13</v>
      </c>
      <c r="R142" s="10">
        <f t="shared" ca="1" si="28"/>
        <v>8</v>
      </c>
      <c r="S142" s="4">
        <f t="shared" ca="1" si="29"/>
        <v>0.61538461538461542</v>
      </c>
      <c r="T142" s="478"/>
    </row>
    <row r="143" spans="1:20" x14ac:dyDescent="0.45">
      <c r="A143" s="64">
        <v>29799</v>
      </c>
      <c r="B143" s="14">
        <f>COUNTIFS(发射纪录!B:B,"&lt;&gt;-",发射纪录!G:G,"&gt;="&amp;DATE(YEAR(A143),MONTH(A143),1),发射纪录!G:G,"&lt;="&amp;DATE(YEAR(A143),MONTH(A143),DAY(EOMONTH(A143,0))),发射纪录!N:N,"&lt;&gt;")</f>
        <v>0</v>
      </c>
      <c r="C143" s="10">
        <f>COUNTIFS(发射纪录!B:B,"&lt;&gt;-",发射纪录!G:G,"&gt;="&amp;DATE(YEAR(A143),MONTH(A143),1),发射纪录!G:G,"&lt;="&amp;DATE(YEAR(A143),MONTH(A143),DAY(EOMONTH(A143,0))),发射纪录!N:N,"=成功",发射纪录!N:N,"&lt;&gt;")</f>
        <v>0</v>
      </c>
      <c r="D143" s="1" t="str">
        <f t="shared" si="16"/>
        <v>-</v>
      </c>
      <c r="E143" s="10">
        <f t="shared" si="17"/>
        <v>6</v>
      </c>
      <c r="F143" s="10">
        <f t="shared" si="18"/>
        <v>5</v>
      </c>
      <c r="G143" s="2">
        <f t="shared" si="19"/>
        <v>0.83333333333333337</v>
      </c>
      <c r="H143" s="10">
        <f>COUNTIFS(发射纪录!C:C,"&lt;&gt;-",发射纪录!G:G,"&gt;="&amp;DATE(YEAR(A143),MONTH(A143),1),发射纪录!G:G,"&lt;="&amp;DATE(YEAR(A143),MONTH(A143),DAY(EOMONTH(A143,0))),发射纪录!N:N,"&lt;&gt;")</f>
        <v>0</v>
      </c>
      <c r="I143" s="10">
        <f>COUNTIFS(发射纪录!C:C,"&lt;&gt;-",发射纪录!G:G,"&gt;="&amp;DATE(YEAR(A143),MONTH(A143),1),发射纪录!G:G,"&lt;="&amp;DATE(YEAR(A143),MONTH(A143),DAY(EOMONTH(A143,0))),发射纪录!N:N,"=成功",发射纪录!N:N,"&lt;&gt;")</f>
        <v>0</v>
      </c>
      <c r="J143" s="1" t="str">
        <f t="shared" si="20"/>
        <v>-</v>
      </c>
      <c r="K143" s="10">
        <f t="shared" si="21"/>
        <v>7</v>
      </c>
      <c r="L143" s="10">
        <f t="shared" ca="1" si="22"/>
        <v>3</v>
      </c>
      <c r="M143" s="2">
        <f t="shared" ca="1" si="23"/>
        <v>0.42857142857142855</v>
      </c>
      <c r="N143" s="10">
        <f t="shared" si="24"/>
        <v>0</v>
      </c>
      <c r="O143" s="10">
        <f t="shared" si="25"/>
        <v>0</v>
      </c>
      <c r="P143" s="3" t="str">
        <f t="shared" si="26"/>
        <v>-</v>
      </c>
      <c r="Q143" s="10">
        <f t="shared" si="27"/>
        <v>13</v>
      </c>
      <c r="R143" s="10">
        <f t="shared" ca="1" si="28"/>
        <v>8</v>
      </c>
      <c r="S143" s="4">
        <f t="shared" ca="1" si="29"/>
        <v>0.61538461538461542</v>
      </c>
      <c r="T143" s="478"/>
    </row>
    <row r="144" spans="1:20" x14ac:dyDescent="0.45">
      <c r="A144" s="64">
        <v>29830</v>
      </c>
      <c r="B144" s="14">
        <f>COUNTIFS(发射纪录!B:B,"&lt;&gt;-",发射纪录!G:G,"&gt;="&amp;DATE(YEAR(A144),MONTH(A144),1),发射纪录!G:G,"&lt;="&amp;DATE(YEAR(A144),MONTH(A144),DAY(EOMONTH(A144,0))),发射纪录!N:N,"&lt;&gt;")</f>
        <v>0</v>
      </c>
      <c r="C144" s="10">
        <f>COUNTIFS(发射纪录!B:B,"&lt;&gt;-",发射纪录!G:G,"&gt;="&amp;DATE(YEAR(A144),MONTH(A144),1),发射纪录!G:G,"&lt;="&amp;DATE(YEAR(A144),MONTH(A144),DAY(EOMONTH(A144,0))),发射纪录!N:N,"=成功",发射纪录!N:N,"&lt;&gt;")</f>
        <v>0</v>
      </c>
      <c r="D144" s="1" t="str">
        <f t="shared" si="16"/>
        <v>-</v>
      </c>
      <c r="E144" s="10">
        <f t="shared" si="17"/>
        <v>6</v>
      </c>
      <c r="F144" s="10">
        <f t="shared" si="18"/>
        <v>5</v>
      </c>
      <c r="G144" s="2">
        <f t="shared" si="19"/>
        <v>0.83333333333333337</v>
      </c>
      <c r="H144" s="10">
        <f>COUNTIFS(发射纪录!C:C,"&lt;&gt;-",发射纪录!G:G,"&gt;="&amp;DATE(YEAR(A144),MONTH(A144),1),发射纪录!G:G,"&lt;="&amp;DATE(YEAR(A144),MONTH(A144),DAY(EOMONTH(A144,0))),发射纪录!N:N,"&lt;&gt;")</f>
        <v>1</v>
      </c>
      <c r="I144" s="10">
        <f>COUNTIFS(发射纪录!C:C,"&lt;&gt;-",发射纪录!G:G,"&gt;="&amp;DATE(YEAR(A144),MONTH(A144),1),发射纪录!G:G,"&lt;="&amp;DATE(YEAR(A144),MONTH(A144),DAY(EOMONTH(A144,0))),发射纪录!N:N,"=成功",发射纪录!N:N,"&lt;&gt;")</f>
        <v>1</v>
      </c>
      <c r="J144" s="1">
        <f t="shared" si="20"/>
        <v>1</v>
      </c>
      <c r="K144" s="10">
        <f t="shared" si="21"/>
        <v>8</v>
      </c>
      <c r="L144" s="10">
        <f t="shared" ca="1" si="22"/>
        <v>4</v>
      </c>
      <c r="M144" s="2">
        <f t="shared" ca="1" si="23"/>
        <v>0.5</v>
      </c>
      <c r="N144" s="10">
        <f t="shared" si="24"/>
        <v>1</v>
      </c>
      <c r="O144" s="10">
        <f t="shared" si="25"/>
        <v>1</v>
      </c>
      <c r="P144" s="3">
        <f t="shared" si="26"/>
        <v>1</v>
      </c>
      <c r="Q144" s="10">
        <f t="shared" si="27"/>
        <v>14</v>
      </c>
      <c r="R144" s="10">
        <f t="shared" ca="1" si="28"/>
        <v>9</v>
      </c>
      <c r="S144" s="4">
        <f t="shared" ca="1" si="29"/>
        <v>0.6428571428571429</v>
      </c>
      <c r="T144" s="478"/>
    </row>
    <row r="145" spans="1:20" x14ac:dyDescent="0.45">
      <c r="A145" s="64">
        <v>29860</v>
      </c>
      <c r="B145" s="14">
        <f>COUNTIFS(发射纪录!B:B,"&lt;&gt;-",发射纪录!G:G,"&gt;="&amp;DATE(YEAR(A145),MONTH(A145),1),发射纪录!G:G,"&lt;="&amp;DATE(YEAR(A145),MONTH(A145),DAY(EOMONTH(A145,0))),发射纪录!N:N,"&lt;&gt;")</f>
        <v>0</v>
      </c>
      <c r="C145" s="10">
        <f>COUNTIFS(发射纪录!B:B,"&lt;&gt;-",发射纪录!G:G,"&gt;="&amp;DATE(YEAR(A145),MONTH(A145),1),发射纪录!G:G,"&lt;="&amp;DATE(YEAR(A145),MONTH(A145),DAY(EOMONTH(A145,0))),发射纪录!N:N,"=成功",发射纪录!N:N,"&lt;&gt;")</f>
        <v>0</v>
      </c>
      <c r="D145" s="1" t="str">
        <f t="shared" si="16"/>
        <v>-</v>
      </c>
      <c r="E145" s="10">
        <f t="shared" si="17"/>
        <v>6</v>
      </c>
      <c r="F145" s="10">
        <f t="shared" si="18"/>
        <v>5</v>
      </c>
      <c r="G145" s="2">
        <f t="shared" si="19"/>
        <v>0.83333333333333337</v>
      </c>
      <c r="H145" s="10">
        <f>COUNTIFS(发射纪录!C:C,"&lt;&gt;-",发射纪录!G:G,"&gt;="&amp;DATE(YEAR(A145),MONTH(A145),1),发射纪录!G:G,"&lt;="&amp;DATE(YEAR(A145),MONTH(A145),DAY(EOMONTH(A145,0))),发射纪录!N:N,"&lt;&gt;")</f>
        <v>0</v>
      </c>
      <c r="I145" s="10">
        <f>COUNTIFS(发射纪录!C:C,"&lt;&gt;-",发射纪录!G:G,"&gt;="&amp;DATE(YEAR(A145),MONTH(A145),1),发射纪录!G:G,"&lt;="&amp;DATE(YEAR(A145),MONTH(A145),DAY(EOMONTH(A145,0))),发射纪录!N:N,"=成功",发射纪录!N:N,"&lt;&gt;")</f>
        <v>0</v>
      </c>
      <c r="J145" s="1" t="str">
        <f t="shared" si="20"/>
        <v>-</v>
      </c>
      <c r="K145" s="10">
        <f t="shared" si="21"/>
        <v>8</v>
      </c>
      <c r="L145" s="10">
        <f t="shared" ca="1" si="22"/>
        <v>4</v>
      </c>
      <c r="M145" s="2">
        <f t="shared" ca="1" si="23"/>
        <v>0.5</v>
      </c>
      <c r="N145" s="10">
        <f t="shared" si="24"/>
        <v>0</v>
      </c>
      <c r="O145" s="10">
        <f t="shared" si="25"/>
        <v>0</v>
      </c>
      <c r="P145" s="3" t="str">
        <f t="shared" si="26"/>
        <v>-</v>
      </c>
      <c r="Q145" s="10">
        <f t="shared" si="27"/>
        <v>14</v>
      </c>
      <c r="R145" s="10">
        <f t="shared" ca="1" si="28"/>
        <v>9</v>
      </c>
      <c r="S145" s="4">
        <f t="shared" ca="1" si="29"/>
        <v>0.6428571428571429</v>
      </c>
      <c r="T145" s="478"/>
    </row>
    <row r="146" spans="1:20" x14ac:dyDescent="0.45">
      <c r="A146" s="64">
        <v>29891</v>
      </c>
      <c r="B146" s="14">
        <f>COUNTIFS(发射纪录!B:B,"&lt;&gt;-",发射纪录!G:G,"&gt;="&amp;DATE(YEAR(A146),MONTH(A146),1),发射纪录!G:G,"&lt;="&amp;DATE(YEAR(A146),MONTH(A146),DAY(EOMONTH(A146,0))),发射纪录!N:N,"&lt;&gt;")</f>
        <v>0</v>
      </c>
      <c r="C146" s="10">
        <f>COUNTIFS(发射纪录!B:B,"&lt;&gt;-",发射纪录!G:G,"&gt;="&amp;DATE(YEAR(A146),MONTH(A146),1),发射纪录!G:G,"&lt;="&amp;DATE(YEAR(A146),MONTH(A146),DAY(EOMONTH(A146,0))),发射纪录!N:N,"=成功",发射纪录!N:N,"&lt;&gt;")</f>
        <v>0</v>
      </c>
      <c r="D146" s="1" t="str">
        <f t="shared" si="16"/>
        <v>-</v>
      </c>
      <c r="E146" s="10">
        <f t="shared" si="17"/>
        <v>6</v>
      </c>
      <c r="F146" s="10">
        <f t="shared" si="18"/>
        <v>5</v>
      </c>
      <c r="G146" s="2">
        <f t="shared" si="19"/>
        <v>0.83333333333333337</v>
      </c>
      <c r="H146" s="10">
        <f>COUNTIFS(发射纪录!C:C,"&lt;&gt;-",发射纪录!G:G,"&gt;="&amp;DATE(YEAR(A146),MONTH(A146),1),发射纪录!G:G,"&lt;="&amp;DATE(YEAR(A146),MONTH(A146),DAY(EOMONTH(A146,0))),发射纪录!N:N,"&lt;&gt;")</f>
        <v>0</v>
      </c>
      <c r="I146" s="10">
        <f>COUNTIFS(发射纪录!C:C,"&lt;&gt;-",发射纪录!G:G,"&gt;="&amp;DATE(YEAR(A146),MONTH(A146),1),发射纪录!G:G,"&lt;="&amp;DATE(YEAR(A146),MONTH(A146),DAY(EOMONTH(A146,0))),发射纪录!N:N,"=成功",发射纪录!N:N,"&lt;&gt;")</f>
        <v>0</v>
      </c>
      <c r="J146" s="1" t="str">
        <f t="shared" si="20"/>
        <v>-</v>
      </c>
      <c r="K146" s="10">
        <f t="shared" si="21"/>
        <v>8</v>
      </c>
      <c r="L146" s="10">
        <f t="shared" ca="1" si="22"/>
        <v>4</v>
      </c>
      <c r="M146" s="2">
        <f t="shared" ca="1" si="23"/>
        <v>0.5</v>
      </c>
      <c r="N146" s="10">
        <f t="shared" si="24"/>
        <v>0</v>
      </c>
      <c r="O146" s="10">
        <f t="shared" si="25"/>
        <v>0</v>
      </c>
      <c r="P146" s="3" t="str">
        <f t="shared" si="26"/>
        <v>-</v>
      </c>
      <c r="Q146" s="10">
        <f t="shared" si="27"/>
        <v>14</v>
      </c>
      <c r="R146" s="10">
        <f t="shared" ca="1" si="28"/>
        <v>9</v>
      </c>
      <c r="S146" s="4">
        <f t="shared" ca="1" si="29"/>
        <v>0.6428571428571429</v>
      </c>
      <c r="T146" s="478"/>
    </row>
    <row r="147" spans="1:20" ht="19.5" customHeight="1" thickBot="1" x14ac:dyDescent="0.5">
      <c r="A147" s="65">
        <v>29921</v>
      </c>
      <c r="B147" s="17">
        <f>COUNTIFS(发射纪录!B:B,"&lt;&gt;-",发射纪录!G:G,"&gt;="&amp;DATE(YEAR(A147),MONTH(A147),1),发射纪录!G:G,"&lt;="&amp;DATE(YEAR(A147),MONTH(A147),DAY(EOMONTH(A147,0))),发射纪录!N:N,"&lt;&gt;")</f>
        <v>0</v>
      </c>
      <c r="C147" s="18">
        <f>COUNTIFS(发射纪录!B:B,"&lt;&gt;-",发射纪录!G:G,"&gt;="&amp;DATE(YEAR(A147),MONTH(A147),1),发射纪录!G:G,"&lt;="&amp;DATE(YEAR(A147),MONTH(A147),DAY(EOMONTH(A147,0))),发射纪录!N:N,"=成功",发射纪录!N:N,"&lt;&gt;")</f>
        <v>0</v>
      </c>
      <c r="D147" s="12" t="str">
        <f>IF(B147=0,"-",C147/B147)</f>
        <v>-</v>
      </c>
      <c r="E147" s="18">
        <f>E146+B147</f>
        <v>6</v>
      </c>
      <c r="F147" s="18">
        <f>F146+C147</f>
        <v>5</v>
      </c>
      <c r="G147" s="13">
        <f>IF(E147=0,"-",F147/E147)</f>
        <v>0.83333333333333337</v>
      </c>
      <c r="H147" s="18">
        <f ca="1">COUNTIFS(发射纪录!C:C,"&lt;&gt;-",发射纪录!G:G,"&gt;="&amp;DATE(YEAR(A147),MONTH(A147),1),发射纪录!G:G,"&lt;="&amp;DATE(YEAR(A147),MONTH(A147),DAY(EOMONTH(A147,0))),发射纪录!N:N,"&lt;&gt;")</f>
        <v>0</v>
      </c>
      <c r="I147" s="18">
        <f>COUNTIFS(发射纪录!C:C,"&lt;&gt;-",发射纪录!G:G,"&gt;="&amp;DATE(YEAR(A147),MONTH(A147),1),发射纪录!G:G,"&lt;="&amp;DATE(YEAR(A147),MONTH(A147),DAY(EOMONTH(A147,0))),发射纪录!N:N,"=成功",发射纪录!N:N,"&lt;&gt;")</f>
        <v>0</v>
      </c>
      <c r="J147" s="12" t="str">
        <f ca="1">IF(H147=0,"-",I147/H147)</f>
        <v>-</v>
      </c>
      <c r="K147" s="18">
        <f ca="1">K146+H147</f>
        <v>8</v>
      </c>
      <c r="L147" s="18">
        <f ca="1">L146+I147</f>
        <v>4</v>
      </c>
      <c r="M147" s="13">
        <f ca="1">IF(K147=0,"-",L147/K147)</f>
        <v>0.5</v>
      </c>
      <c r="N147" s="18">
        <f ca="1">B147+H147</f>
        <v>0</v>
      </c>
      <c r="O147" s="18">
        <f>C147+I147</f>
        <v>0</v>
      </c>
      <c r="P147" s="12" t="str">
        <f ca="1">IF(N147=0,"-",O147/N147)</f>
        <v>-</v>
      </c>
      <c r="Q147" s="18">
        <f ca="1">E147+K147</f>
        <v>14</v>
      </c>
      <c r="R147" s="18">
        <f ca="1">F147+L147</f>
        <v>9</v>
      </c>
      <c r="S147" s="13">
        <f ca="1">IF(Q147=0,"-",R147/Q147)</f>
        <v>0.6428571428571429</v>
      </c>
      <c r="T147" s="478"/>
    </row>
    <row r="148" spans="1:20" ht="19.5" customHeight="1" thickTop="1" x14ac:dyDescent="0.45">
      <c r="A148" s="63">
        <v>29952</v>
      </c>
      <c r="B148" s="14">
        <f>COUNTIFS(发射纪录!B:B,"&lt;&gt;-",发射纪录!G:G,"&gt;="&amp;DATE(YEAR(A148),MONTH(A148),1),发射纪录!G:G,"&lt;="&amp;DATE(YEAR(A148),MONTH(A148),DAY(EOMONTH(A148,0))),发射纪录!N:N,"&lt;&gt;")</f>
        <v>0</v>
      </c>
      <c r="C148" s="10">
        <f>COUNTIFS(发射纪录!B:B,"&lt;&gt;-",发射纪录!G:G,"&gt;="&amp;DATE(YEAR(A148),MONTH(A148),1),发射纪录!G:G,"&lt;="&amp;DATE(YEAR(A148),MONTH(A148),DAY(EOMONTH(A148,0))),发射纪录!N:N,"=成功",发射纪录!N:N,"&lt;&gt;")</f>
        <v>0</v>
      </c>
      <c r="D148" s="3" t="str">
        <f t="shared" ref="D148:D158" si="30">IF(B148=0,"-",C148/B148)</f>
        <v>-</v>
      </c>
      <c r="E148" s="10">
        <f t="shared" ref="E148:E158" si="31">E147+B148</f>
        <v>6</v>
      </c>
      <c r="F148" s="10">
        <f t="shared" ref="F148:F158" si="32">F147+C148</f>
        <v>5</v>
      </c>
      <c r="G148" s="4">
        <f t="shared" ref="G148:G158" si="33">IF(E148=0,"-",F148/E148)</f>
        <v>0.83333333333333337</v>
      </c>
      <c r="H148" s="10">
        <f>COUNTIFS(发射纪录!C:C,"&lt;&gt;-",发射纪录!G:G,"&gt;="&amp;DATE(YEAR(A148),MONTH(A148),1),发射纪录!G:G,"&lt;="&amp;DATE(YEAR(A148),MONTH(A148),DAY(EOMONTH(A148,0))),发射纪录!N:N,"&lt;&gt;")</f>
        <v>0</v>
      </c>
      <c r="I148" s="10">
        <f>COUNTIFS(发射纪录!C:C,"&lt;&gt;-",发射纪录!G:G,"&gt;="&amp;DATE(YEAR(A148),MONTH(A148),1),发射纪录!G:G,"&lt;="&amp;DATE(YEAR(A148),MONTH(A148),DAY(EOMONTH(A148,0))),发射纪录!N:N,"=成功",发射纪录!N:N,"&lt;&gt;")</f>
        <v>0</v>
      </c>
      <c r="J148" s="3" t="str">
        <f t="shared" ref="J148:J158" si="34">IF(H148=0,"-",I148/H148)</f>
        <v>-</v>
      </c>
      <c r="K148" s="10">
        <f t="shared" ref="K148:K158" ca="1" si="35">K147+H148</f>
        <v>8</v>
      </c>
      <c r="L148" s="10">
        <f t="shared" ref="L148:L158" ca="1" si="36">L147+I148</f>
        <v>4</v>
      </c>
      <c r="M148" s="4">
        <f t="shared" ref="M148:M158" ca="1" si="37">IF(K148=0,"-",L148/K148)</f>
        <v>0.5</v>
      </c>
      <c r="N148" s="10">
        <f t="shared" ref="N148:N158" si="38">B148+H148</f>
        <v>0</v>
      </c>
      <c r="O148" s="10">
        <f t="shared" ref="O148:O158" si="39">C148+I148</f>
        <v>0</v>
      </c>
      <c r="P148" s="3" t="str">
        <f t="shared" ref="P148:P158" si="40">IF(N148=0,"-",O148/N148)</f>
        <v>-</v>
      </c>
      <c r="Q148" s="10">
        <f t="shared" ref="Q148:Q158" ca="1" si="41">E148+K148</f>
        <v>14</v>
      </c>
      <c r="R148" s="10">
        <f t="shared" ca="1" si="28"/>
        <v>9</v>
      </c>
      <c r="S148" s="4">
        <f t="shared" ref="S148:S158" ca="1" si="42">IF(Q148=0,"-",R148/Q148)</f>
        <v>0.6428571428571429</v>
      </c>
      <c r="T148" s="478"/>
    </row>
    <row r="149" spans="1:20" x14ac:dyDescent="0.45">
      <c r="A149" s="64">
        <v>29983</v>
      </c>
      <c r="B149" s="14">
        <f>COUNTIFS(发射纪录!B:B,"&lt;&gt;-",发射纪录!G:G,"&gt;="&amp;DATE(YEAR(A149),MONTH(A149),1),发射纪录!G:G,"&lt;="&amp;DATE(YEAR(A149),MONTH(A149),DAY(EOMONTH(A149,0))),发射纪录!N:N,"&lt;&gt;")</f>
        <v>0</v>
      </c>
      <c r="C149" s="10">
        <f>COUNTIFS(发射纪录!B:B,"&lt;&gt;-",发射纪录!G:G,"&gt;="&amp;DATE(YEAR(A149),MONTH(A149),1),发射纪录!G:G,"&lt;="&amp;DATE(YEAR(A149),MONTH(A149),DAY(EOMONTH(A149,0))),发射纪录!N:N,"=成功",发射纪录!N:N,"&lt;&gt;")</f>
        <v>0</v>
      </c>
      <c r="D149" s="1" t="str">
        <f t="shared" si="30"/>
        <v>-</v>
      </c>
      <c r="E149" s="10">
        <f t="shared" si="31"/>
        <v>6</v>
      </c>
      <c r="F149" s="10">
        <f t="shared" si="32"/>
        <v>5</v>
      </c>
      <c r="G149" s="2">
        <f t="shared" si="33"/>
        <v>0.83333333333333337</v>
      </c>
      <c r="H149" s="10">
        <f>COUNTIFS(发射纪录!C:C,"&lt;&gt;-",发射纪录!G:G,"&gt;="&amp;DATE(YEAR(A149),MONTH(A149),1),发射纪录!G:G,"&lt;="&amp;DATE(YEAR(A149),MONTH(A149),DAY(EOMONTH(A149,0))),发射纪录!N:N,"&lt;&gt;")</f>
        <v>0</v>
      </c>
      <c r="I149" s="10">
        <f>COUNTIFS(发射纪录!C:C,"&lt;&gt;-",发射纪录!G:G,"&gt;="&amp;DATE(YEAR(A149),MONTH(A149),1),发射纪录!G:G,"&lt;="&amp;DATE(YEAR(A149),MONTH(A149),DAY(EOMONTH(A149,0))),发射纪录!N:N,"=成功",发射纪录!N:N,"&lt;&gt;")</f>
        <v>0</v>
      </c>
      <c r="J149" s="1" t="str">
        <f t="shared" si="34"/>
        <v>-</v>
      </c>
      <c r="K149" s="10">
        <f t="shared" ca="1" si="35"/>
        <v>8</v>
      </c>
      <c r="L149" s="10">
        <f t="shared" ca="1" si="36"/>
        <v>4</v>
      </c>
      <c r="M149" s="2">
        <f t="shared" ca="1" si="37"/>
        <v>0.5</v>
      </c>
      <c r="N149" s="10">
        <f t="shared" si="38"/>
        <v>0</v>
      </c>
      <c r="O149" s="10">
        <f t="shared" si="39"/>
        <v>0</v>
      </c>
      <c r="P149" s="3" t="str">
        <f t="shared" si="40"/>
        <v>-</v>
      </c>
      <c r="Q149" s="10">
        <f t="shared" ca="1" si="41"/>
        <v>14</v>
      </c>
      <c r="R149" s="10">
        <f t="shared" ca="1" si="28"/>
        <v>9</v>
      </c>
      <c r="S149" s="4">
        <f t="shared" ca="1" si="42"/>
        <v>0.6428571428571429</v>
      </c>
      <c r="T149" s="478"/>
    </row>
    <row r="150" spans="1:20" x14ac:dyDescent="0.45">
      <c r="A150" s="64">
        <v>30011</v>
      </c>
      <c r="B150" s="14">
        <f>COUNTIFS(发射纪录!B:B,"&lt;&gt;-",发射纪录!G:G,"&gt;="&amp;DATE(YEAR(A150),MONTH(A150),1),发射纪录!G:G,"&lt;="&amp;DATE(YEAR(A150),MONTH(A150),DAY(EOMONTH(A150,0))),发射纪录!N:N,"&lt;&gt;")</f>
        <v>0</v>
      </c>
      <c r="C150" s="10">
        <f>COUNTIFS(发射纪录!B:B,"&lt;&gt;-",发射纪录!G:G,"&gt;="&amp;DATE(YEAR(A150),MONTH(A150),1),发射纪录!G:G,"&lt;="&amp;DATE(YEAR(A150),MONTH(A150),DAY(EOMONTH(A150,0))),发射纪录!N:N,"=成功",发射纪录!N:N,"&lt;&gt;")</f>
        <v>0</v>
      </c>
      <c r="D150" s="1" t="str">
        <f t="shared" si="30"/>
        <v>-</v>
      </c>
      <c r="E150" s="10">
        <f t="shared" si="31"/>
        <v>6</v>
      </c>
      <c r="F150" s="10">
        <f t="shared" si="32"/>
        <v>5</v>
      </c>
      <c r="G150" s="2">
        <f t="shared" si="33"/>
        <v>0.83333333333333337</v>
      </c>
      <c r="H150" s="10">
        <f>COUNTIFS(发射纪录!C:C,"&lt;&gt;-",发射纪录!G:G,"&gt;="&amp;DATE(YEAR(A150),MONTH(A150),1),发射纪录!G:G,"&lt;="&amp;DATE(YEAR(A150),MONTH(A150),DAY(EOMONTH(A150,0))),发射纪录!N:N,"&lt;&gt;")</f>
        <v>0</v>
      </c>
      <c r="I150" s="10">
        <f>COUNTIFS(发射纪录!C:C,"&lt;&gt;-",发射纪录!G:G,"&gt;="&amp;DATE(YEAR(A150),MONTH(A150),1),发射纪录!G:G,"&lt;="&amp;DATE(YEAR(A150),MONTH(A150),DAY(EOMONTH(A150,0))),发射纪录!N:N,"=成功",发射纪录!N:N,"&lt;&gt;")</f>
        <v>0</v>
      </c>
      <c r="J150" s="1" t="str">
        <f t="shared" si="34"/>
        <v>-</v>
      </c>
      <c r="K150" s="10">
        <f t="shared" ca="1" si="35"/>
        <v>8</v>
      </c>
      <c r="L150" s="10">
        <f t="shared" ca="1" si="36"/>
        <v>4</v>
      </c>
      <c r="M150" s="2">
        <f t="shared" ca="1" si="37"/>
        <v>0.5</v>
      </c>
      <c r="N150" s="10">
        <f t="shared" si="38"/>
        <v>0</v>
      </c>
      <c r="O150" s="10">
        <f t="shared" si="39"/>
        <v>0</v>
      </c>
      <c r="P150" s="3" t="str">
        <f t="shared" si="40"/>
        <v>-</v>
      </c>
      <c r="Q150" s="10">
        <f t="shared" ca="1" si="41"/>
        <v>14</v>
      </c>
      <c r="R150" s="10">
        <f t="shared" ca="1" si="28"/>
        <v>9</v>
      </c>
      <c r="S150" s="4">
        <f t="shared" ca="1" si="42"/>
        <v>0.6428571428571429</v>
      </c>
      <c r="T150" s="478"/>
    </row>
    <row r="151" spans="1:20" x14ac:dyDescent="0.45">
      <c r="A151" s="64">
        <v>30042</v>
      </c>
      <c r="B151" s="14">
        <f>COUNTIFS(发射纪录!B:B,"&lt;&gt;-",发射纪录!G:G,"&gt;="&amp;DATE(YEAR(A151),MONTH(A151),1),发射纪录!G:G,"&lt;="&amp;DATE(YEAR(A151),MONTH(A151),DAY(EOMONTH(A151,0))),发射纪录!N:N,"&lt;&gt;")</f>
        <v>0</v>
      </c>
      <c r="C151" s="10">
        <f>COUNTIFS(发射纪录!B:B,"&lt;&gt;-",发射纪录!G:G,"&gt;="&amp;DATE(YEAR(A151),MONTH(A151),1),发射纪录!G:G,"&lt;="&amp;DATE(YEAR(A151),MONTH(A151),DAY(EOMONTH(A151,0))),发射纪录!N:N,"=成功",发射纪录!N:N,"&lt;&gt;")</f>
        <v>0</v>
      </c>
      <c r="D151" s="1" t="str">
        <f t="shared" si="30"/>
        <v>-</v>
      </c>
      <c r="E151" s="10">
        <f t="shared" si="31"/>
        <v>6</v>
      </c>
      <c r="F151" s="10">
        <f t="shared" si="32"/>
        <v>5</v>
      </c>
      <c r="G151" s="2">
        <f t="shared" si="33"/>
        <v>0.83333333333333337</v>
      </c>
      <c r="H151" s="10">
        <f>COUNTIFS(发射纪录!C:C,"&lt;&gt;-",发射纪录!G:G,"&gt;="&amp;DATE(YEAR(A151),MONTH(A151),1),发射纪录!G:G,"&lt;="&amp;DATE(YEAR(A151),MONTH(A151),DAY(EOMONTH(A151,0))),发射纪录!N:N,"&lt;&gt;")</f>
        <v>0</v>
      </c>
      <c r="I151" s="10">
        <f>COUNTIFS(发射纪录!C:C,"&lt;&gt;-",发射纪录!G:G,"&gt;="&amp;DATE(YEAR(A151),MONTH(A151),1),发射纪录!G:G,"&lt;="&amp;DATE(YEAR(A151),MONTH(A151),DAY(EOMONTH(A151,0))),发射纪录!N:N,"=成功",发射纪录!N:N,"&lt;&gt;")</f>
        <v>0</v>
      </c>
      <c r="J151" s="1" t="str">
        <f t="shared" si="34"/>
        <v>-</v>
      </c>
      <c r="K151" s="10">
        <f t="shared" ca="1" si="35"/>
        <v>8</v>
      </c>
      <c r="L151" s="10">
        <f t="shared" ca="1" si="36"/>
        <v>4</v>
      </c>
      <c r="M151" s="2">
        <f t="shared" ca="1" si="37"/>
        <v>0.5</v>
      </c>
      <c r="N151" s="10">
        <f t="shared" si="38"/>
        <v>0</v>
      </c>
      <c r="O151" s="10">
        <f t="shared" si="39"/>
        <v>0</v>
      </c>
      <c r="P151" s="3" t="str">
        <f t="shared" si="40"/>
        <v>-</v>
      </c>
      <c r="Q151" s="10">
        <f t="shared" ca="1" si="41"/>
        <v>14</v>
      </c>
      <c r="R151" s="10">
        <f t="shared" ca="1" si="28"/>
        <v>9</v>
      </c>
      <c r="S151" s="4">
        <f t="shared" ca="1" si="42"/>
        <v>0.6428571428571429</v>
      </c>
      <c r="T151" s="478"/>
    </row>
    <row r="152" spans="1:20" x14ac:dyDescent="0.45">
      <c r="A152" s="64">
        <v>30072</v>
      </c>
      <c r="B152" s="14">
        <f>COUNTIFS(发射纪录!B:B,"&lt;&gt;-",发射纪录!G:G,"&gt;="&amp;DATE(YEAR(A152),MONTH(A152),1),发射纪录!G:G,"&lt;="&amp;DATE(YEAR(A152),MONTH(A152),DAY(EOMONTH(A152,0))),发射纪录!N:N,"&lt;&gt;")</f>
        <v>0</v>
      </c>
      <c r="C152" s="10">
        <f>COUNTIFS(发射纪录!B:B,"&lt;&gt;-",发射纪录!G:G,"&gt;="&amp;DATE(YEAR(A152),MONTH(A152),1),发射纪录!G:G,"&lt;="&amp;DATE(YEAR(A152),MONTH(A152),DAY(EOMONTH(A152,0))),发射纪录!N:N,"=成功",发射纪录!N:N,"&lt;&gt;")</f>
        <v>0</v>
      </c>
      <c r="D152" s="1" t="str">
        <f t="shared" si="30"/>
        <v>-</v>
      </c>
      <c r="E152" s="10">
        <f t="shared" si="31"/>
        <v>6</v>
      </c>
      <c r="F152" s="10">
        <f t="shared" si="32"/>
        <v>5</v>
      </c>
      <c r="G152" s="2">
        <f t="shared" si="33"/>
        <v>0.83333333333333337</v>
      </c>
      <c r="H152" s="10">
        <f ca="1">COUNTIFS(发射纪录!C:C,"&lt;&gt;-",发射纪录!G:G,"&gt;="&amp;DATE(YEAR(A152),MONTH(A152),1),发射纪录!G:G,"&lt;="&amp;DATE(YEAR(A152),MONTH(A152),DAY(EOMONTH(A152,0))),发射纪录!N:N,"&lt;&gt;")</f>
        <v>0</v>
      </c>
      <c r="I152" s="10">
        <f>COUNTIFS(发射纪录!C:C,"&lt;&gt;-",发射纪录!G:G,"&gt;="&amp;DATE(YEAR(A152),MONTH(A152),1),发射纪录!G:G,"&lt;="&amp;DATE(YEAR(A152),MONTH(A152),DAY(EOMONTH(A152,0))),发射纪录!N:N,"=成功",发射纪录!N:N,"&lt;&gt;")</f>
        <v>0</v>
      </c>
      <c r="J152" s="1" t="str">
        <f t="shared" ca="1" si="34"/>
        <v>-</v>
      </c>
      <c r="K152" s="10">
        <f t="shared" ca="1" si="35"/>
        <v>8</v>
      </c>
      <c r="L152" s="10">
        <f t="shared" ca="1" si="36"/>
        <v>4</v>
      </c>
      <c r="M152" s="2">
        <f t="shared" ca="1" si="37"/>
        <v>0.5</v>
      </c>
      <c r="N152" s="10">
        <f t="shared" ca="1" si="38"/>
        <v>0</v>
      </c>
      <c r="O152" s="10">
        <f t="shared" si="39"/>
        <v>0</v>
      </c>
      <c r="P152" s="3" t="str">
        <f t="shared" ca="1" si="40"/>
        <v>-</v>
      </c>
      <c r="Q152" s="10">
        <f t="shared" ca="1" si="41"/>
        <v>14</v>
      </c>
      <c r="R152" s="10">
        <f t="shared" ca="1" si="28"/>
        <v>9</v>
      </c>
      <c r="S152" s="4">
        <f t="shared" ca="1" si="42"/>
        <v>0.6428571428571429</v>
      </c>
      <c r="T152" s="478"/>
    </row>
    <row r="153" spans="1:20" x14ac:dyDescent="0.45">
      <c r="A153" s="64">
        <v>30103</v>
      </c>
      <c r="B153" s="14">
        <f>COUNTIFS(发射纪录!B:B,"&lt;&gt;-",发射纪录!G:G,"&gt;="&amp;DATE(YEAR(A153),MONTH(A153),1),发射纪录!G:G,"&lt;="&amp;DATE(YEAR(A153),MONTH(A153),DAY(EOMONTH(A153,0))),发射纪录!N:N,"&lt;&gt;")</f>
        <v>0</v>
      </c>
      <c r="C153" s="10">
        <f>COUNTIFS(发射纪录!B:B,"&lt;&gt;-",发射纪录!G:G,"&gt;="&amp;DATE(YEAR(A153),MONTH(A153),1),发射纪录!G:G,"&lt;="&amp;DATE(YEAR(A153),MONTH(A153),DAY(EOMONTH(A153,0))),发射纪录!N:N,"=成功",发射纪录!N:N,"&lt;&gt;")</f>
        <v>0</v>
      </c>
      <c r="D153" s="1" t="str">
        <f t="shared" si="30"/>
        <v>-</v>
      </c>
      <c r="E153" s="10">
        <f t="shared" si="31"/>
        <v>6</v>
      </c>
      <c r="F153" s="10">
        <f t="shared" si="32"/>
        <v>5</v>
      </c>
      <c r="G153" s="2">
        <f t="shared" si="33"/>
        <v>0.83333333333333337</v>
      </c>
      <c r="H153" s="10">
        <f>COUNTIFS(发射纪录!C:C,"&lt;&gt;-",发射纪录!G:G,"&gt;="&amp;DATE(YEAR(A153),MONTH(A153),1),发射纪录!G:G,"&lt;="&amp;DATE(YEAR(A153),MONTH(A153),DAY(EOMONTH(A153,0))),发射纪录!N:N,"&lt;&gt;")</f>
        <v>0</v>
      </c>
      <c r="I153" s="10">
        <f>COUNTIFS(发射纪录!C:C,"&lt;&gt;-",发射纪录!G:G,"&gt;="&amp;DATE(YEAR(A153),MONTH(A153),1),发射纪录!G:G,"&lt;="&amp;DATE(YEAR(A153),MONTH(A153),DAY(EOMONTH(A153,0))),发射纪录!N:N,"=成功",发射纪录!N:N,"&lt;&gt;")</f>
        <v>0</v>
      </c>
      <c r="J153" s="1" t="str">
        <f t="shared" si="34"/>
        <v>-</v>
      </c>
      <c r="K153" s="10">
        <f t="shared" ca="1" si="35"/>
        <v>8</v>
      </c>
      <c r="L153" s="10">
        <f t="shared" ca="1" si="36"/>
        <v>4</v>
      </c>
      <c r="M153" s="2">
        <f t="shared" ca="1" si="37"/>
        <v>0.5</v>
      </c>
      <c r="N153" s="10">
        <f t="shared" si="38"/>
        <v>0</v>
      </c>
      <c r="O153" s="10">
        <f t="shared" si="39"/>
        <v>0</v>
      </c>
      <c r="P153" s="3" t="str">
        <f t="shared" si="40"/>
        <v>-</v>
      </c>
      <c r="Q153" s="10">
        <f t="shared" ca="1" si="41"/>
        <v>14</v>
      </c>
      <c r="R153" s="10">
        <f t="shared" ca="1" si="28"/>
        <v>9</v>
      </c>
      <c r="S153" s="4">
        <f t="shared" ca="1" si="42"/>
        <v>0.6428571428571429</v>
      </c>
      <c r="T153" s="478"/>
    </row>
    <row r="154" spans="1:20" x14ac:dyDescent="0.45">
      <c r="A154" s="64">
        <v>30133</v>
      </c>
      <c r="B154" s="14">
        <f>COUNTIFS(发射纪录!B:B,"&lt;&gt;-",发射纪录!G:G,"&gt;="&amp;DATE(YEAR(A154),MONTH(A154),1),发射纪录!G:G,"&lt;="&amp;DATE(YEAR(A154),MONTH(A154),DAY(EOMONTH(A154,0))),发射纪录!N:N,"&lt;&gt;")</f>
        <v>0</v>
      </c>
      <c r="C154" s="10">
        <f>COUNTIFS(发射纪录!B:B,"&lt;&gt;-",发射纪录!G:G,"&gt;="&amp;DATE(YEAR(A154),MONTH(A154),1),发射纪录!G:G,"&lt;="&amp;DATE(YEAR(A154),MONTH(A154),DAY(EOMONTH(A154,0))),发射纪录!N:N,"=成功",发射纪录!N:N,"&lt;&gt;")</f>
        <v>0</v>
      </c>
      <c r="D154" s="1" t="str">
        <f t="shared" si="30"/>
        <v>-</v>
      </c>
      <c r="E154" s="10">
        <f t="shared" si="31"/>
        <v>6</v>
      </c>
      <c r="F154" s="10">
        <f t="shared" si="32"/>
        <v>5</v>
      </c>
      <c r="G154" s="2">
        <f t="shared" si="33"/>
        <v>0.83333333333333337</v>
      </c>
      <c r="H154" s="10">
        <f ca="1">COUNTIFS(发射纪录!C:C,"&lt;&gt;-",发射纪录!G:G,"&gt;="&amp;DATE(YEAR(A154),MONTH(A154),1),发射纪录!G:G,"&lt;="&amp;DATE(YEAR(A154),MONTH(A154),DAY(EOMONTH(A154,0))),发射纪录!N:N,"&lt;&gt;")</f>
        <v>0</v>
      </c>
      <c r="I154" s="10">
        <f>COUNTIFS(发射纪录!C:C,"&lt;&gt;-",发射纪录!G:G,"&gt;="&amp;DATE(YEAR(A154),MONTH(A154),1),发射纪录!G:G,"&lt;="&amp;DATE(YEAR(A154),MONTH(A154),DAY(EOMONTH(A154,0))),发射纪录!N:N,"=成功",发射纪录!N:N,"&lt;&gt;")</f>
        <v>0</v>
      </c>
      <c r="J154" s="1" t="str">
        <f t="shared" ca="1" si="34"/>
        <v>-</v>
      </c>
      <c r="K154" s="10">
        <f t="shared" ca="1" si="35"/>
        <v>8</v>
      </c>
      <c r="L154" s="10">
        <f t="shared" ca="1" si="36"/>
        <v>4</v>
      </c>
      <c r="M154" s="2">
        <f t="shared" ca="1" si="37"/>
        <v>0.5</v>
      </c>
      <c r="N154" s="10">
        <f t="shared" ca="1" si="38"/>
        <v>0</v>
      </c>
      <c r="O154" s="10">
        <f t="shared" si="39"/>
        <v>0</v>
      </c>
      <c r="P154" s="3" t="str">
        <f t="shared" ca="1" si="40"/>
        <v>-</v>
      </c>
      <c r="Q154" s="10">
        <f t="shared" ca="1" si="41"/>
        <v>14</v>
      </c>
      <c r="R154" s="10">
        <f t="shared" ca="1" si="28"/>
        <v>9</v>
      </c>
      <c r="S154" s="4">
        <f t="shared" ca="1" si="42"/>
        <v>0.6428571428571429</v>
      </c>
      <c r="T154" s="478"/>
    </row>
    <row r="155" spans="1:20" x14ac:dyDescent="0.45">
      <c r="A155" s="64">
        <v>30164</v>
      </c>
      <c r="B155" s="14">
        <f>COUNTIFS(发射纪录!B:B,"&lt;&gt;-",发射纪录!G:G,"&gt;="&amp;DATE(YEAR(A155),MONTH(A155),1),发射纪录!G:G,"&lt;="&amp;DATE(YEAR(A155),MONTH(A155),DAY(EOMONTH(A155,0))),发射纪录!N:N,"&lt;&gt;")</f>
        <v>0</v>
      </c>
      <c r="C155" s="10">
        <f>COUNTIFS(发射纪录!B:B,"&lt;&gt;-",发射纪录!G:G,"&gt;="&amp;DATE(YEAR(A155),MONTH(A155),1),发射纪录!G:G,"&lt;="&amp;DATE(YEAR(A155),MONTH(A155),DAY(EOMONTH(A155,0))),发射纪录!N:N,"=成功",发射纪录!N:N,"&lt;&gt;")</f>
        <v>0</v>
      </c>
      <c r="D155" s="1" t="str">
        <f t="shared" si="30"/>
        <v>-</v>
      </c>
      <c r="E155" s="10">
        <f t="shared" si="31"/>
        <v>6</v>
      </c>
      <c r="F155" s="10">
        <f t="shared" si="32"/>
        <v>5</v>
      </c>
      <c r="G155" s="2">
        <f t="shared" si="33"/>
        <v>0.83333333333333337</v>
      </c>
      <c r="H155" s="10">
        <f>COUNTIFS(发射纪录!C:C,"&lt;&gt;-",发射纪录!G:G,"&gt;="&amp;DATE(YEAR(A155),MONTH(A155),1),发射纪录!G:G,"&lt;="&amp;DATE(YEAR(A155),MONTH(A155),DAY(EOMONTH(A155,0))),发射纪录!N:N,"&lt;&gt;")</f>
        <v>0</v>
      </c>
      <c r="I155" s="10">
        <f>COUNTIFS(发射纪录!C:C,"&lt;&gt;-",发射纪录!G:G,"&gt;="&amp;DATE(YEAR(A155),MONTH(A155),1),发射纪录!G:G,"&lt;="&amp;DATE(YEAR(A155),MONTH(A155),DAY(EOMONTH(A155,0))),发射纪录!N:N,"=成功",发射纪录!N:N,"&lt;&gt;")</f>
        <v>0</v>
      </c>
      <c r="J155" s="1" t="str">
        <f t="shared" si="34"/>
        <v>-</v>
      </c>
      <c r="K155" s="10">
        <f t="shared" ca="1" si="35"/>
        <v>8</v>
      </c>
      <c r="L155" s="10">
        <f t="shared" ca="1" si="36"/>
        <v>4</v>
      </c>
      <c r="M155" s="2">
        <f t="shared" ca="1" si="37"/>
        <v>0.5</v>
      </c>
      <c r="N155" s="10">
        <f t="shared" si="38"/>
        <v>0</v>
      </c>
      <c r="O155" s="10">
        <f t="shared" si="39"/>
        <v>0</v>
      </c>
      <c r="P155" s="3" t="str">
        <f t="shared" si="40"/>
        <v>-</v>
      </c>
      <c r="Q155" s="10">
        <f t="shared" ca="1" si="41"/>
        <v>14</v>
      </c>
      <c r="R155" s="10">
        <f t="shared" ca="1" si="28"/>
        <v>9</v>
      </c>
      <c r="S155" s="4">
        <f t="shared" ca="1" si="42"/>
        <v>0.6428571428571429</v>
      </c>
      <c r="T155" s="478"/>
    </row>
    <row r="156" spans="1:20" x14ac:dyDescent="0.45">
      <c r="A156" s="64">
        <v>30195</v>
      </c>
      <c r="B156" s="14">
        <f>COUNTIFS(发射纪录!B:B,"&lt;&gt;-",发射纪录!G:G,"&gt;="&amp;DATE(YEAR(A156),MONTH(A156),1),发射纪录!G:G,"&lt;="&amp;DATE(YEAR(A156),MONTH(A156),DAY(EOMONTH(A156,0))),发射纪录!N:N,"&lt;&gt;")</f>
        <v>1</v>
      </c>
      <c r="C156" s="10">
        <f>COUNTIFS(发射纪录!B:B,"&lt;&gt;-",发射纪录!G:G,"&gt;="&amp;DATE(YEAR(A156),MONTH(A156),1),发射纪录!G:G,"&lt;="&amp;DATE(YEAR(A156),MONTH(A156),DAY(EOMONTH(A156,0))),发射纪录!N:N,"=成功",发射纪录!N:N,"&lt;&gt;")</f>
        <v>1</v>
      </c>
      <c r="D156" s="1">
        <f t="shared" si="30"/>
        <v>1</v>
      </c>
      <c r="E156" s="10">
        <f t="shared" si="31"/>
        <v>7</v>
      </c>
      <c r="F156" s="10">
        <f t="shared" si="32"/>
        <v>6</v>
      </c>
      <c r="G156" s="2">
        <f t="shared" si="33"/>
        <v>0.8571428571428571</v>
      </c>
      <c r="H156" s="10">
        <f>COUNTIFS(发射纪录!C:C,"&lt;&gt;-",发射纪录!G:G,"&gt;="&amp;DATE(YEAR(A156),MONTH(A156),1),发射纪录!G:G,"&lt;="&amp;DATE(YEAR(A156),MONTH(A156),DAY(EOMONTH(A156,0))),发射纪录!N:N,"&lt;&gt;")</f>
        <v>0</v>
      </c>
      <c r="I156" s="10">
        <f>COUNTIFS(发射纪录!C:C,"&lt;&gt;-",发射纪录!G:G,"&gt;="&amp;DATE(YEAR(A156),MONTH(A156),1),发射纪录!G:G,"&lt;="&amp;DATE(YEAR(A156),MONTH(A156),DAY(EOMONTH(A156,0))),发射纪录!N:N,"=成功",发射纪录!N:N,"&lt;&gt;")</f>
        <v>0</v>
      </c>
      <c r="J156" s="1" t="str">
        <f t="shared" si="34"/>
        <v>-</v>
      </c>
      <c r="K156" s="10">
        <f t="shared" ca="1" si="35"/>
        <v>8</v>
      </c>
      <c r="L156" s="10">
        <f t="shared" ca="1" si="36"/>
        <v>4</v>
      </c>
      <c r="M156" s="2">
        <f t="shared" ca="1" si="37"/>
        <v>0.5</v>
      </c>
      <c r="N156" s="10">
        <f t="shared" si="38"/>
        <v>1</v>
      </c>
      <c r="O156" s="10">
        <f t="shared" si="39"/>
        <v>1</v>
      </c>
      <c r="P156" s="3">
        <f t="shared" si="40"/>
        <v>1</v>
      </c>
      <c r="Q156" s="10">
        <f t="shared" ca="1" si="41"/>
        <v>15</v>
      </c>
      <c r="R156" s="10">
        <f t="shared" ca="1" si="28"/>
        <v>10</v>
      </c>
      <c r="S156" s="4">
        <f t="shared" ca="1" si="42"/>
        <v>0.66666666666666663</v>
      </c>
      <c r="T156" s="478"/>
    </row>
    <row r="157" spans="1:20" x14ac:dyDescent="0.45">
      <c r="A157" s="64">
        <v>30225</v>
      </c>
      <c r="B157" s="14">
        <f>COUNTIFS(发射纪录!B:B,"&lt;&gt;-",发射纪录!G:G,"&gt;="&amp;DATE(YEAR(A157),MONTH(A157),1),发射纪录!G:G,"&lt;="&amp;DATE(YEAR(A157),MONTH(A157),DAY(EOMONTH(A157,0))),发射纪录!N:N,"&lt;&gt;")</f>
        <v>0</v>
      </c>
      <c r="C157" s="10">
        <f>COUNTIFS(发射纪录!B:B,"&lt;&gt;-",发射纪录!G:G,"&gt;="&amp;DATE(YEAR(A157),MONTH(A157),1),发射纪录!G:G,"&lt;="&amp;DATE(YEAR(A157),MONTH(A157),DAY(EOMONTH(A157,0))),发射纪录!N:N,"=成功",发射纪录!N:N,"&lt;&gt;")</f>
        <v>0</v>
      </c>
      <c r="D157" s="1" t="str">
        <f t="shared" si="30"/>
        <v>-</v>
      </c>
      <c r="E157" s="10">
        <f t="shared" si="31"/>
        <v>7</v>
      </c>
      <c r="F157" s="10">
        <f t="shared" si="32"/>
        <v>6</v>
      </c>
      <c r="G157" s="2">
        <f t="shared" si="33"/>
        <v>0.8571428571428571</v>
      </c>
      <c r="H157" s="10">
        <f>COUNTIFS(发射纪录!C:C,"&lt;&gt;-",发射纪录!G:G,"&gt;="&amp;DATE(YEAR(A157),MONTH(A157),1),发射纪录!G:G,"&lt;="&amp;DATE(YEAR(A157),MONTH(A157),DAY(EOMONTH(A157,0))),发射纪录!N:N,"&lt;&gt;")</f>
        <v>0</v>
      </c>
      <c r="I157" s="10">
        <f>COUNTIFS(发射纪录!C:C,"&lt;&gt;-",发射纪录!G:G,"&gt;="&amp;DATE(YEAR(A157),MONTH(A157),1),发射纪录!G:G,"&lt;="&amp;DATE(YEAR(A157),MONTH(A157),DAY(EOMONTH(A157,0))),发射纪录!N:N,"=成功",发射纪录!N:N,"&lt;&gt;")</f>
        <v>0</v>
      </c>
      <c r="J157" s="1" t="str">
        <f t="shared" si="34"/>
        <v>-</v>
      </c>
      <c r="K157" s="10">
        <f t="shared" ca="1" si="35"/>
        <v>8</v>
      </c>
      <c r="L157" s="10">
        <f t="shared" ca="1" si="36"/>
        <v>4</v>
      </c>
      <c r="M157" s="2">
        <f t="shared" ca="1" si="37"/>
        <v>0.5</v>
      </c>
      <c r="N157" s="10">
        <f t="shared" si="38"/>
        <v>0</v>
      </c>
      <c r="O157" s="10">
        <f t="shared" si="39"/>
        <v>0</v>
      </c>
      <c r="P157" s="3" t="str">
        <f t="shared" si="40"/>
        <v>-</v>
      </c>
      <c r="Q157" s="10">
        <f t="shared" ca="1" si="41"/>
        <v>15</v>
      </c>
      <c r="R157" s="10">
        <f t="shared" ca="1" si="28"/>
        <v>10</v>
      </c>
      <c r="S157" s="4">
        <f t="shared" ca="1" si="42"/>
        <v>0.66666666666666663</v>
      </c>
      <c r="T157" s="478"/>
    </row>
    <row r="158" spans="1:20" x14ac:dyDescent="0.45">
      <c r="A158" s="64">
        <v>30256</v>
      </c>
      <c r="B158" s="14">
        <f>COUNTIFS(发射纪录!B:B,"&lt;&gt;-",发射纪录!G:G,"&gt;="&amp;DATE(YEAR(A158),MONTH(A158),1),发射纪录!G:G,"&lt;="&amp;DATE(YEAR(A158),MONTH(A158),DAY(EOMONTH(A158,0))),发射纪录!N:N,"&lt;&gt;")</f>
        <v>0</v>
      </c>
      <c r="C158" s="10">
        <f>COUNTIFS(发射纪录!B:B,"&lt;&gt;-",发射纪录!G:G,"&gt;="&amp;DATE(YEAR(A158),MONTH(A158),1),发射纪录!G:G,"&lt;="&amp;DATE(YEAR(A158),MONTH(A158),DAY(EOMONTH(A158,0))),发射纪录!N:N,"=成功",发射纪录!N:N,"&lt;&gt;")</f>
        <v>0</v>
      </c>
      <c r="D158" s="1" t="str">
        <f t="shared" si="30"/>
        <v>-</v>
      </c>
      <c r="E158" s="10">
        <f t="shared" si="31"/>
        <v>7</v>
      </c>
      <c r="F158" s="10">
        <f t="shared" si="32"/>
        <v>6</v>
      </c>
      <c r="G158" s="2">
        <f t="shared" si="33"/>
        <v>0.8571428571428571</v>
      </c>
      <c r="H158" s="10">
        <f>COUNTIFS(发射纪录!C:C,"&lt;&gt;-",发射纪录!G:G,"&gt;="&amp;DATE(YEAR(A158),MONTH(A158),1),发射纪录!G:G,"&lt;="&amp;DATE(YEAR(A158),MONTH(A158),DAY(EOMONTH(A158,0))),发射纪录!N:N,"&lt;&gt;")</f>
        <v>0</v>
      </c>
      <c r="I158" s="10">
        <f>COUNTIFS(发射纪录!C:C,"&lt;&gt;-",发射纪录!G:G,"&gt;="&amp;DATE(YEAR(A158),MONTH(A158),1),发射纪录!G:G,"&lt;="&amp;DATE(YEAR(A158),MONTH(A158),DAY(EOMONTH(A158,0))),发射纪录!N:N,"=成功",发射纪录!N:N,"&lt;&gt;")</f>
        <v>0</v>
      </c>
      <c r="J158" s="1" t="str">
        <f t="shared" si="34"/>
        <v>-</v>
      </c>
      <c r="K158" s="10">
        <f t="shared" ca="1" si="35"/>
        <v>8</v>
      </c>
      <c r="L158" s="10">
        <f t="shared" ca="1" si="36"/>
        <v>4</v>
      </c>
      <c r="M158" s="2">
        <f t="shared" ca="1" si="37"/>
        <v>0.5</v>
      </c>
      <c r="N158" s="10">
        <f t="shared" si="38"/>
        <v>0</v>
      </c>
      <c r="O158" s="10">
        <f t="shared" si="39"/>
        <v>0</v>
      </c>
      <c r="P158" s="3" t="str">
        <f t="shared" si="40"/>
        <v>-</v>
      </c>
      <c r="Q158" s="10">
        <f t="shared" ca="1" si="41"/>
        <v>15</v>
      </c>
      <c r="R158" s="10">
        <f t="shared" ca="1" si="28"/>
        <v>10</v>
      </c>
      <c r="S158" s="4">
        <f t="shared" ca="1" si="42"/>
        <v>0.66666666666666663</v>
      </c>
      <c r="T158" s="478"/>
    </row>
    <row r="159" spans="1:20" ht="19.5" customHeight="1" thickBot="1" x14ac:dyDescent="0.5">
      <c r="A159" s="65">
        <v>30286</v>
      </c>
      <c r="B159" s="17">
        <f>COUNTIFS(发射纪录!B:B,"&lt;&gt;-",发射纪录!G:G,"&gt;="&amp;DATE(YEAR(A159),MONTH(A159),1),发射纪录!G:G,"&lt;="&amp;DATE(YEAR(A159),MONTH(A159),DAY(EOMONTH(A159,0))),发射纪录!N:N,"&lt;&gt;")</f>
        <v>0</v>
      </c>
      <c r="C159" s="18">
        <f>COUNTIFS(发射纪录!B:B,"&lt;&gt;-",发射纪录!G:G,"&gt;="&amp;DATE(YEAR(A159),MONTH(A159),1),发射纪录!G:G,"&lt;="&amp;DATE(YEAR(A159),MONTH(A159),DAY(EOMONTH(A159,0))),发射纪录!N:N,"=成功",发射纪录!N:N,"&lt;&gt;")</f>
        <v>0</v>
      </c>
      <c r="D159" s="12" t="str">
        <f>IF(B159=0,"-",C159/B159)</f>
        <v>-</v>
      </c>
      <c r="E159" s="18">
        <f>E158+B159</f>
        <v>7</v>
      </c>
      <c r="F159" s="18">
        <f>F158+C159</f>
        <v>6</v>
      </c>
      <c r="G159" s="13">
        <f>IF(E159=0,"-",F159/E159)</f>
        <v>0.8571428571428571</v>
      </c>
      <c r="H159" s="18">
        <f>COUNTIFS(发射纪录!C:C,"&lt;&gt;-",发射纪录!G:G,"&gt;="&amp;DATE(YEAR(A159),MONTH(A159),1),发射纪录!G:G,"&lt;="&amp;DATE(YEAR(A159),MONTH(A159),DAY(EOMONTH(A159,0))),发射纪录!N:N,"&lt;&gt;")</f>
        <v>0</v>
      </c>
      <c r="I159" s="18">
        <f>COUNTIFS(发射纪录!C:C,"&lt;&gt;-",发射纪录!G:G,"&gt;="&amp;DATE(YEAR(A159),MONTH(A159),1),发射纪录!G:G,"&lt;="&amp;DATE(YEAR(A159),MONTH(A159),DAY(EOMONTH(A159,0))),发射纪录!N:N,"=成功",发射纪录!N:N,"&lt;&gt;")</f>
        <v>0</v>
      </c>
      <c r="J159" s="12" t="str">
        <f>IF(H159=0,"-",I159/H159)</f>
        <v>-</v>
      </c>
      <c r="K159" s="18">
        <f ca="1">K158+H159</f>
        <v>8</v>
      </c>
      <c r="L159" s="18">
        <f ca="1">L158+I159</f>
        <v>4</v>
      </c>
      <c r="M159" s="13">
        <f ca="1">IF(K159=0,"-",L159/K159)</f>
        <v>0.5</v>
      </c>
      <c r="N159" s="18">
        <f>B159+H159</f>
        <v>0</v>
      </c>
      <c r="O159" s="18">
        <f>C159+I159</f>
        <v>0</v>
      </c>
      <c r="P159" s="12" t="str">
        <f>IF(N159=0,"-",O159/N159)</f>
        <v>-</v>
      </c>
      <c r="Q159" s="18">
        <f ca="1">E159+K159</f>
        <v>15</v>
      </c>
      <c r="R159" s="18">
        <f ca="1">F159+L159</f>
        <v>10</v>
      </c>
      <c r="S159" s="13">
        <f ca="1">IF(Q159=0,"-",R159/Q159)</f>
        <v>0.66666666666666663</v>
      </c>
      <c r="T159" s="478"/>
    </row>
    <row r="160" spans="1:20" ht="19.5" customHeight="1" thickTop="1" x14ac:dyDescent="0.45">
      <c r="A160" s="63">
        <v>30317</v>
      </c>
      <c r="B160" s="14">
        <f>COUNTIFS(发射纪录!B:B,"&lt;&gt;-",发射纪录!G:G,"&gt;="&amp;DATE(YEAR(A160),MONTH(A160),1),发射纪录!G:G,"&lt;="&amp;DATE(YEAR(A160),MONTH(A160),DAY(EOMONTH(A160,0))),发射纪录!N:N,"&lt;&gt;")</f>
        <v>0</v>
      </c>
      <c r="C160" s="10">
        <f>COUNTIFS(发射纪录!B:B,"&lt;&gt;-",发射纪录!G:G,"&gt;="&amp;DATE(YEAR(A160),MONTH(A160),1),发射纪录!G:G,"&lt;="&amp;DATE(YEAR(A160),MONTH(A160),DAY(EOMONTH(A160,0))),发射纪录!N:N,"=成功",发射纪录!N:N,"&lt;&gt;")</f>
        <v>0</v>
      </c>
      <c r="D160" s="3" t="str">
        <f t="shared" ref="D160:D170" si="43">IF(B160=0,"-",C160/B160)</f>
        <v>-</v>
      </c>
      <c r="E160" s="10">
        <f t="shared" ref="E160:E170" si="44">E159+B160</f>
        <v>7</v>
      </c>
      <c r="F160" s="10">
        <f t="shared" ref="F160:F170" si="45">F159+C160</f>
        <v>6</v>
      </c>
      <c r="G160" s="4">
        <f t="shared" ref="G160:G170" si="46">IF(E160=0,"-",F160/E160)</f>
        <v>0.8571428571428571</v>
      </c>
      <c r="H160" s="10">
        <f>COUNTIFS(发射纪录!C:C,"&lt;&gt;-",发射纪录!G:G,"&gt;="&amp;DATE(YEAR(A160),MONTH(A160),1),发射纪录!G:G,"&lt;="&amp;DATE(YEAR(A160),MONTH(A160),DAY(EOMONTH(A160,0))),发射纪录!N:N,"&lt;&gt;")</f>
        <v>0</v>
      </c>
      <c r="I160" s="10">
        <f>COUNTIFS(发射纪录!C:C,"&lt;&gt;-",发射纪录!G:G,"&gt;="&amp;DATE(YEAR(A160),MONTH(A160),1),发射纪录!G:G,"&lt;="&amp;DATE(YEAR(A160),MONTH(A160),DAY(EOMONTH(A160,0))),发射纪录!N:N,"=成功",发射纪录!N:N,"&lt;&gt;")</f>
        <v>0</v>
      </c>
      <c r="J160" s="3" t="str">
        <f t="shared" ref="J160:J170" si="47">IF(H160=0,"-",I160/H160)</f>
        <v>-</v>
      </c>
      <c r="K160" s="10">
        <f t="shared" ref="K160:K170" ca="1" si="48">K159+H160</f>
        <v>8</v>
      </c>
      <c r="L160" s="10">
        <f t="shared" ref="L160:L170" ca="1" si="49">L159+I160</f>
        <v>4</v>
      </c>
      <c r="M160" s="4">
        <f t="shared" ref="M160:M170" ca="1" si="50">IF(K160=0,"-",L160/K160)</f>
        <v>0.5</v>
      </c>
      <c r="N160" s="10">
        <f t="shared" ref="N160:N170" si="51">B160+H160</f>
        <v>0</v>
      </c>
      <c r="O160" s="10">
        <f t="shared" ref="O160:O170" si="52">C160+I160</f>
        <v>0</v>
      </c>
      <c r="P160" s="3" t="str">
        <f t="shared" ref="P160:P170" si="53">IF(N160=0,"-",O160/N160)</f>
        <v>-</v>
      </c>
      <c r="Q160" s="10">
        <f t="shared" ref="Q160:Q170" ca="1" si="54">E160+K160</f>
        <v>15</v>
      </c>
      <c r="R160" s="10">
        <f t="shared" ca="1" si="28"/>
        <v>10</v>
      </c>
      <c r="S160" s="4">
        <f t="shared" ref="S160:S170" ca="1" si="55">IF(Q160=0,"-",R160/Q160)</f>
        <v>0.66666666666666663</v>
      </c>
      <c r="T160" s="478"/>
    </row>
    <row r="161" spans="1:20" x14ac:dyDescent="0.45">
      <c r="A161" s="64">
        <v>30348</v>
      </c>
      <c r="B161" s="14">
        <f>COUNTIFS(发射纪录!B:B,"&lt;&gt;-",发射纪录!G:G,"&gt;="&amp;DATE(YEAR(A161),MONTH(A161),1),发射纪录!G:G,"&lt;="&amp;DATE(YEAR(A161),MONTH(A161),DAY(EOMONTH(A161,0))),发射纪录!N:N,"&lt;&gt;")</f>
        <v>0</v>
      </c>
      <c r="C161" s="10">
        <f>COUNTIFS(发射纪录!B:B,"&lt;&gt;-",发射纪录!G:G,"&gt;="&amp;DATE(YEAR(A161),MONTH(A161),1),发射纪录!G:G,"&lt;="&amp;DATE(YEAR(A161),MONTH(A161),DAY(EOMONTH(A161,0))),发射纪录!N:N,"=成功",发射纪录!N:N,"&lt;&gt;")</f>
        <v>0</v>
      </c>
      <c r="D161" s="1" t="str">
        <f t="shared" si="43"/>
        <v>-</v>
      </c>
      <c r="E161" s="10">
        <f t="shared" si="44"/>
        <v>7</v>
      </c>
      <c r="F161" s="10">
        <f t="shared" si="45"/>
        <v>6</v>
      </c>
      <c r="G161" s="2">
        <f t="shared" si="46"/>
        <v>0.8571428571428571</v>
      </c>
      <c r="H161" s="10">
        <f>COUNTIFS(发射纪录!C:C,"&lt;&gt;-",发射纪录!G:G,"&gt;="&amp;DATE(YEAR(A161),MONTH(A161),1),发射纪录!G:G,"&lt;="&amp;DATE(YEAR(A161),MONTH(A161),DAY(EOMONTH(A161,0))),发射纪录!N:N,"&lt;&gt;")</f>
        <v>0</v>
      </c>
      <c r="I161" s="10">
        <f>COUNTIFS(发射纪录!C:C,"&lt;&gt;-",发射纪录!G:G,"&gt;="&amp;DATE(YEAR(A161),MONTH(A161),1),发射纪录!G:G,"&lt;="&amp;DATE(YEAR(A161),MONTH(A161),DAY(EOMONTH(A161,0))),发射纪录!N:N,"=成功",发射纪录!N:N,"&lt;&gt;")</f>
        <v>0</v>
      </c>
      <c r="J161" s="1" t="str">
        <f t="shared" si="47"/>
        <v>-</v>
      </c>
      <c r="K161" s="10">
        <f t="shared" ca="1" si="48"/>
        <v>8</v>
      </c>
      <c r="L161" s="10">
        <f t="shared" ca="1" si="49"/>
        <v>4</v>
      </c>
      <c r="M161" s="2">
        <f t="shared" ca="1" si="50"/>
        <v>0.5</v>
      </c>
      <c r="N161" s="10">
        <f t="shared" si="51"/>
        <v>0</v>
      </c>
      <c r="O161" s="10">
        <f t="shared" si="52"/>
        <v>0</v>
      </c>
      <c r="P161" s="3" t="str">
        <f t="shared" si="53"/>
        <v>-</v>
      </c>
      <c r="Q161" s="10">
        <f t="shared" ca="1" si="54"/>
        <v>15</v>
      </c>
      <c r="R161" s="10">
        <f t="shared" ca="1" si="28"/>
        <v>10</v>
      </c>
      <c r="S161" s="4">
        <f t="shared" ca="1" si="55"/>
        <v>0.66666666666666663</v>
      </c>
      <c r="T161" s="478"/>
    </row>
    <row r="162" spans="1:20" x14ac:dyDescent="0.45">
      <c r="A162" s="64">
        <v>30376</v>
      </c>
      <c r="B162" s="14">
        <f>COUNTIFS(发射纪录!B:B,"&lt;&gt;-",发射纪录!G:G,"&gt;="&amp;DATE(YEAR(A162),MONTH(A162),1),发射纪录!G:G,"&lt;="&amp;DATE(YEAR(A162),MONTH(A162),DAY(EOMONTH(A162,0))),发射纪录!N:N,"&lt;&gt;")</f>
        <v>0</v>
      </c>
      <c r="C162" s="10">
        <f>COUNTIFS(发射纪录!B:B,"&lt;&gt;-",发射纪录!G:G,"&gt;="&amp;DATE(YEAR(A162),MONTH(A162),1),发射纪录!G:G,"&lt;="&amp;DATE(YEAR(A162),MONTH(A162),DAY(EOMONTH(A162,0))),发射纪录!N:N,"=成功",发射纪录!N:N,"&lt;&gt;")</f>
        <v>0</v>
      </c>
      <c r="D162" s="1" t="str">
        <f t="shared" si="43"/>
        <v>-</v>
      </c>
      <c r="E162" s="10">
        <f t="shared" si="44"/>
        <v>7</v>
      </c>
      <c r="F162" s="10">
        <f t="shared" si="45"/>
        <v>6</v>
      </c>
      <c r="G162" s="2">
        <f t="shared" si="46"/>
        <v>0.8571428571428571</v>
      </c>
      <c r="H162" s="10">
        <f>COUNTIFS(发射纪录!C:C,"&lt;&gt;-",发射纪录!G:G,"&gt;="&amp;DATE(YEAR(A162),MONTH(A162),1),发射纪录!G:G,"&lt;="&amp;DATE(YEAR(A162),MONTH(A162),DAY(EOMONTH(A162,0))),发射纪录!N:N,"&lt;&gt;")</f>
        <v>0</v>
      </c>
      <c r="I162" s="10">
        <f>COUNTIFS(发射纪录!C:C,"&lt;&gt;-",发射纪录!G:G,"&gt;="&amp;DATE(YEAR(A162),MONTH(A162),1),发射纪录!G:G,"&lt;="&amp;DATE(YEAR(A162),MONTH(A162),DAY(EOMONTH(A162,0))),发射纪录!N:N,"=成功",发射纪录!N:N,"&lt;&gt;")</f>
        <v>0</v>
      </c>
      <c r="J162" s="1" t="str">
        <f t="shared" si="47"/>
        <v>-</v>
      </c>
      <c r="K162" s="10">
        <f t="shared" ca="1" si="48"/>
        <v>8</v>
      </c>
      <c r="L162" s="10">
        <f t="shared" ca="1" si="49"/>
        <v>4</v>
      </c>
      <c r="M162" s="2">
        <f t="shared" ca="1" si="50"/>
        <v>0.5</v>
      </c>
      <c r="N162" s="10">
        <f t="shared" si="51"/>
        <v>0</v>
      </c>
      <c r="O162" s="10">
        <f t="shared" si="52"/>
        <v>0</v>
      </c>
      <c r="P162" s="3" t="str">
        <f t="shared" si="53"/>
        <v>-</v>
      </c>
      <c r="Q162" s="10">
        <f t="shared" ca="1" si="54"/>
        <v>15</v>
      </c>
      <c r="R162" s="10">
        <f t="shared" ca="1" si="28"/>
        <v>10</v>
      </c>
      <c r="S162" s="4">
        <f t="shared" ca="1" si="55"/>
        <v>0.66666666666666663</v>
      </c>
      <c r="T162" s="478"/>
    </row>
    <row r="163" spans="1:20" x14ac:dyDescent="0.45">
      <c r="A163" s="64">
        <v>30407</v>
      </c>
      <c r="B163" s="14">
        <f>COUNTIFS(发射纪录!B:B,"&lt;&gt;-",发射纪录!G:G,"&gt;="&amp;DATE(YEAR(A163),MONTH(A163),1),发射纪录!G:G,"&lt;="&amp;DATE(YEAR(A163),MONTH(A163),DAY(EOMONTH(A163,0))),发射纪录!N:N,"&lt;&gt;")</f>
        <v>0</v>
      </c>
      <c r="C163" s="10">
        <f>COUNTIFS(发射纪录!B:B,"&lt;&gt;-",发射纪录!G:G,"&gt;="&amp;DATE(YEAR(A163),MONTH(A163),1),发射纪录!G:G,"&lt;="&amp;DATE(YEAR(A163),MONTH(A163),DAY(EOMONTH(A163,0))),发射纪录!N:N,"=成功",发射纪录!N:N,"&lt;&gt;")</f>
        <v>0</v>
      </c>
      <c r="D163" s="1" t="str">
        <f t="shared" si="43"/>
        <v>-</v>
      </c>
      <c r="E163" s="10">
        <f t="shared" si="44"/>
        <v>7</v>
      </c>
      <c r="F163" s="10">
        <f t="shared" si="45"/>
        <v>6</v>
      </c>
      <c r="G163" s="2">
        <f t="shared" si="46"/>
        <v>0.8571428571428571</v>
      </c>
      <c r="H163" s="10">
        <f>COUNTIFS(发射纪录!C:C,"&lt;&gt;-",发射纪录!G:G,"&gt;="&amp;DATE(YEAR(A163),MONTH(A163),1),发射纪录!G:G,"&lt;="&amp;DATE(YEAR(A163),MONTH(A163),DAY(EOMONTH(A163,0))),发射纪录!N:N,"&lt;&gt;")</f>
        <v>0</v>
      </c>
      <c r="I163" s="10">
        <f>COUNTIFS(发射纪录!C:C,"&lt;&gt;-",发射纪录!G:G,"&gt;="&amp;DATE(YEAR(A163),MONTH(A163),1),发射纪录!G:G,"&lt;="&amp;DATE(YEAR(A163),MONTH(A163),DAY(EOMONTH(A163,0))),发射纪录!N:N,"=成功",发射纪录!N:N,"&lt;&gt;")</f>
        <v>0</v>
      </c>
      <c r="J163" s="1" t="str">
        <f t="shared" si="47"/>
        <v>-</v>
      </c>
      <c r="K163" s="10">
        <f t="shared" ca="1" si="48"/>
        <v>8</v>
      </c>
      <c r="L163" s="10">
        <f t="shared" ca="1" si="49"/>
        <v>4</v>
      </c>
      <c r="M163" s="2">
        <f t="shared" ca="1" si="50"/>
        <v>0.5</v>
      </c>
      <c r="N163" s="10">
        <f t="shared" si="51"/>
        <v>0</v>
      </c>
      <c r="O163" s="10">
        <f t="shared" si="52"/>
        <v>0</v>
      </c>
      <c r="P163" s="3" t="str">
        <f t="shared" si="53"/>
        <v>-</v>
      </c>
      <c r="Q163" s="10">
        <f t="shared" ca="1" si="54"/>
        <v>15</v>
      </c>
      <c r="R163" s="10">
        <f t="shared" ca="1" si="28"/>
        <v>10</v>
      </c>
      <c r="S163" s="4">
        <f t="shared" ca="1" si="55"/>
        <v>0.66666666666666663</v>
      </c>
      <c r="T163" s="478"/>
    </row>
    <row r="164" spans="1:20" x14ac:dyDescent="0.45">
      <c r="A164" s="64">
        <v>30437</v>
      </c>
      <c r="B164" s="14">
        <f>COUNTIFS(发射纪录!B:B,"&lt;&gt;-",发射纪录!G:G,"&gt;="&amp;DATE(YEAR(A164),MONTH(A164),1),发射纪录!G:G,"&lt;="&amp;DATE(YEAR(A164),MONTH(A164),DAY(EOMONTH(A164,0))),发射纪录!N:N,"&lt;&gt;")</f>
        <v>0</v>
      </c>
      <c r="C164" s="10">
        <f>COUNTIFS(发射纪录!B:B,"&lt;&gt;-",发射纪录!G:G,"&gt;="&amp;DATE(YEAR(A164),MONTH(A164),1),发射纪录!G:G,"&lt;="&amp;DATE(YEAR(A164),MONTH(A164),DAY(EOMONTH(A164,0))),发射纪录!N:N,"=成功",发射纪录!N:N,"&lt;&gt;")</f>
        <v>0</v>
      </c>
      <c r="D164" s="1" t="str">
        <f t="shared" si="43"/>
        <v>-</v>
      </c>
      <c r="E164" s="10">
        <f t="shared" si="44"/>
        <v>7</v>
      </c>
      <c r="F164" s="10">
        <f t="shared" si="45"/>
        <v>6</v>
      </c>
      <c r="G164" s="2">
        <f t="shared" si="46"/>
        <v>0.8571428571428571</v>
      </c>
      <c r="H164" s="10">
        <f>COUNTIFS(发射纪录!C:C,"&lt;&gt;-",发射纪录!G:G,"&gt;="&amp;DATE(YEAR(A164),MONTH(A164),1),发射纪录!G:G,"&lt;="&amp;DATE(YEAR(A164),MONTH(A164),DAY(EOMONTH(A164,0))),发射纪录!N:N,"&lt;&gt;")</f>
        <v>0</v>
      </c>
      <c r="I164" s="10">
        <f>COUNTIFS(发射纪录!C:C,"&lt;&gt;-",发射纪录!G:G,"&gt;="&amp;DATE(YEAR(A164),MONTH(A164),1),发射纪录!G:G,"&lt;="&amp;DATE(YEAR(A164),MONTH(A164),DAY(EOMONTH(A164,0))),发射纪录!N:N,"=成功",发射纪录!N:N,"&lt;&gt;")</f>
        <v>0</v>
      </c>
      <c r="J164" s="1" t="str">
        <f t="shared" si="47"/>
        <v>-</v>
      </c>
      <c r="K164" s="10">
        <f t="shared" ca="1" si="48"/>
        <v>8</v>
      </c>
      <c r="L164" s="10">
        <f t="shared" ca="1" si="49"/>
        <v>4</v>
      </c>
      <c r="M164" s="2">
        <f t="shared" ca="1" si="50"/>
        <v>0.5</v>
      </c>
      <c r="N164" s="10">
        <f t="shared" si="51"/>
        <v>0</v>
      </c>
      <c r="O164" s="10">
        <f t="shared" si="52"/>
        <v>0</v>
      </c>
      <c r="P164" s="3" t="str">
        <f t="shared" si="53"/>
        <v>-</v>
      </c>
      <c r="Q164" s="10">
        <f t="shared" ca="1" si="54"/>
        <v>15</v>
      </c>
      <c r="R164" s="10">
        <f t="shared" ca="1" si="28"/>
        <v>10</v>
      </c>
      <c r="S164" s="4">
        <f t="shared" ca="1" si="55"/>
        <v>0.66666666666666663</v>
      </c>
      <c r="T164" s="478"/>
    </row>
    <row r="165" spans="1:20" x14ac:dyDescent="0.45">
      <c r="A165" s="64">
        <v>30468</v>
      </c>
      <c r="B165" s="14">
        <f>COUNTIFS(发射纪录!B:B,"&lt;&gt;-",发射纪录!G:G,"&gt;="&amp;DATE(YEAR(A165),MONTH(A165),1),发射纪录!G:G,"&lt;="&amp;DATE(YEAR(A165),MONTH(A165),DAY(EOMONTH(A165,0))),发射纪录!N:N,"&lt;&gt;")</f>
        <v>0</v>
      </c>
      <c r="C165" s="10">
        <f>COUNTIFS(发射纪录!B:B,"&lt;&gt;-",发射纪录!G:G,"&gt;="&amp;DATE(YEAR(A165),MONTH(A165),1),发射纪录!G:G,"&lt;="&amp;DATE(YEAR(A165),MONTH(A165),DAY(EOMONTH(A165,0))),发射纪录!N:N,"=成功",发射纪录!N:N,"&lt;&gt;")</f>
        <v>0</v>
      </c>
      <c r="D165" s="1" t="str">
        <f t="shared" si="43"/>
        <v>-</v>
      </c>
      <c r="E165" s="10">
        <f t="shared" si="44"/>
        <v>7</v>
      </c>
      <c r="F165" s="10">
        <f t="shared" si="45"/>
        <v>6</v>
      </c>
      <c r="G165" s="2">
        <f t="shared" si="46"/>
        <v>0.8571428571428571</v>
      </c>
      <c r="H165" s="10">
        <f>COUNTIFS(发射纪录!C:C,"&lt;&gt;-",发射纪录!G:G,"&gt;="&amp;DATE(YEAR(A165),MONTH(A165),1),发射纪录!G:G,"&lt;="&amp;DATE(YEAR(A165),MONTH(A165),DAY(EOMONTH(A165,0))),发射纪录!N:N,"&lt;&gt;")</f>
        <v>0</v>
      </c>
      <c r="I165" s="10">
        <f>COUNTIFS(发射纪录!C:C,"&lt;&gt;-",发射纪录!G:G,"&gt;="&amp;DATE(YEAR(A165),MONTH(A165),1),发射纪录!G:G,"&lt;="&amp;DATE(YEAR(A165),MONTH(A165),DAY(EOMONTH(A165,0))),发射纪录!N:N,"=成功",发射纪录!N:N,"&lt;&gt;")</f>
        <v>0</v>
      </c>
      <c r="J165" s="1" t="str">
        <f t="shared" si="47"/>
        <v>-</v>
      </c>
      <c r="K165" s="10">
        <f t="shared" ca="1" si="48"/>
        <v>8</v>
      </c>
      <c r="L165" s="10">
        <f t="shared" ca="1" si="49"/>
        <v>4</v>
      </c>
      <c r="M165" s="2">
        <f t="shared" ca="1" si="50"/>
        <v>0.5</v>
      </c>
      <c r="N165" s="10">
        <f t="shared" si="51"/>
        <v>0</v>
      </c>
      <c r="O165" s="10">
        <f t="shared" si="52"/>
        <v>0</v>
      </c>
      <c r="P165" s="3" t="str">
        <f t="shared" si="53"/>
        <v>-</v>
      </c>
      <c r="Q165" s="10">
        <f t="shared" ca="1" si="54"/>
        <v>15</v>
      </c>
      <c r="R165" s="10">
        <f t="shared" ca="1" si="28"/>
        <v>10</v>
      </c>
      <c r="S165" s="4">
        <f t="shared" ca="1" si="55"/>
        <v>0.66666666666666663</v>
      </c>
      <c r="T165" s="478"/>
    </row>
    <row r="166" spans="1:20" x14ac:dyDescent="0.45">
      <c r="A166" s="64">
        <v>30498</v>
      </c>
      <c r="B166" s="14">
        <f>COUNTIFS(发射纪录!B:B,"&lt;&gt;-",发射纪录!G:G,"&gt;="&amp;DATE(YEAR(A166),MONTH(A166),1),发射纪录!G:G,"&lt;="&amp;DATE(YEAR(A166),MONTH(A166),DAY(EOMONTH(A166,0))),发射纪录!N:N,"&lt;&gt;")</f>
        <v>0</v>
      </c>
      <c r="C166" s="10">
        <f>COUNTIFS(发射纪录!B:B,"&lt;&gt;-",发射纪录!G:G,"&gt;="&amp;DATE(YEAR(A166),MONTH(A166),1),发射纪录!G:G,"&lt;="&amp;DATE(YEAR(A166),MONTH(A166),DAY(EOMONTH(A166,0))),发射纪录!N:N,"=成功",发射纪录!N:N,"&lt;&gt;")</f>
        <v>0</v>
      </c>
      <c r="D166" s="1" t="str">
        <f t="shared" si="43"/>
        <v>-</v>
      </c>
      <c r="E166" s="10">
        <f t="shared" si="44"/>
        <v>7</v>
      </c>
      <c r="F166" s="10">
        <f t="shared" si="45"/>
        <v>6</v>
      </c>
      <c r="G166" s="2">
        <f t="shared" si="46"/>
        <v>0.8571428571428571</v>
      </c>
      <c r="H166" s="10">
        <f>COUNTIFS(发射纪录!C:C,"&lt;&gt;-",发射纪录!G:G,"&gt;="&amp;DATE(YEAR(A166),MONTH(A166),1),发射纪录!G:G,"&lt;="&amp;DATE(YEAR(A166),MONTH(A166),DAY(EOMONTH(A166,0))),发射纪录!N:N,"&lt;&gt;")</f>
        <v>0</v>
      </c>
      <c r="I166" s="10">
        <f ca="1">COUNTIFS(发射纪录!C:C,"&lt;&gt;-",发射纪录!G:G,"&gt;="&amp;DATE(YEAR(A166),MONTH(A166),1),发射纪录!G:G,"&lt;="&amp;DATE(YEAR(A166),MONTH(A166),DAY(EOMONTH(A166,0))),发射纪录!N:N,"=成功",发射纪录!N:N,"&lt;&gt;")</f>
        <v>0</v>
      </c>
      <c r="J166" s="1" t="str">
        <f t="shared" si="47"/>
        <v>-</v>
      </c>
      <c r="K166" s="10">
        <f t="shared" ca="1" si="48"/>
        <v>8</v>
      </c>
      <c r="L166" s="10">
        <f t="shared" ca="1" si="49"/>
        <v>4</v>
      </c>
      <c r="M166" s="2">
        <f t="shared" ca="1" si="50"/>
        <v>0.5</v>
      </c>
      <c r="N166" s="10">
        <f t="shared" si="51"/>
        <v>0</v>
      </c>
      <c r="O166" s="10">
        <f t="shared" ca="1" si="52"/>
        <v>0</v>
      </c>
      <c r="P166" s="3" t="str">
        <f t="shared" si="53"/>
        <v>-</v>
      </c>
      <c r="Q166" s="10">
        <f t="shared" ca="1" si="54"/>
        <v>15</v>
      </c>
      <c r="R166" s="10">
        <f t="shared" ca="1" si="28"/>
        <v>10</v>
      </c>
      <c r="S166" s="4">
        <f t="shared" ca="1" si="55"/>
        <v>0.66666666666666663</v>
      </c>
      <c r="T166" s="478"/>
    </row>
    <row r="167" spans="1:20" x14ac:dyDescent="0.45">
      <c r="A167" s="64">
        <v>30529</v>
      </c>
      <c r="B167" s="14">
        <f>COUNTIFS(发射纪录!B:B,"&lt;&gt;-",发射纪录!G:G,"&gt;="&amp;DATE(YEAR(A167),MONTH(A167),1),发射纪录!G:G,"&lt;="&amp;DATE(YEAR(A167),MONTH(A167),DAY(EOMONTH(A167,0))),发射纪录!N:N,"&lt;&gt;")</f>
        <v>1</v>
      </c>
      <c r="C167" s="10">
        <f>COUNTIFS(发射纪录!B:B,"&lt;&gt;-",发射纪录!G:G,"&gt;="&amp;DATE(YEAR(A167),MONTH(A167),1),发射纪录!G:G,"&lt;="&amp;DATE(YEAR(A167),MONTH(A167),DAY(EOMONTH(A167,0))),发射纪录!N:N,"=成功",发射纪录!N:N,"&lt;&gt;")</f>
        <v>1</v>
      </c>
      <c r="D167" s="1">
        <f t="shared" si="43"/>
        <v>1</v>
      </c>
      <c r="E167" s="10">
        <f t="shared" si="44"/>
        <v>8</v>
      </c>
      <c r="F167" s="10">
        <f t="shared" si="45"/>
        <v>7</v>
      </c>
      <c r="G167" s="2">
        <f t="shared" si="46"/>
        <v>0.875</v>
      </c>
      <c r="H167" s="10">
        <f>COUNTIFS(发射纪录!C:C,"&lt;&gt;-",发射纪录!G:G,"&gt;="&amp;DATE(YEAR(A167),MONTH(A167),1),发射纪录!G:G,"&lt;="&amp;DATE(YEAR(A167),MONTH(A167),DAY(EOMONTH(A167,0))),发射纪录!N:N,"&lt;&gt;")</f>
        <v>0</v>
      </c>
      <c r="I167" s="10">
        <f>COUNTIFS(发射纪录!C:C,"&lt;&gt;-",发射纪录!G:G,"&gt;="&amp;DATE(YEAR(A167),MONTH(A167),1),发射纪录!G:G,"&lt;="&amp;DATE(YEAR(A167),MONTH(A167),DAY(EOMONTH(A167,0))),发射纪录!N:N,"=成功",发射纪录!N:N,"&lt;&gt;")</f>
        <v>0</v>
      </c>
      <c r="J167" s="1" t="str">
        <f t="shared" si="47"/>
        <v>-</v>
      </c>
      <c r="K167" s="10">
        <f t="shared" ca="1" si="48"/>
        <v>8</v>
      </c>
      <c r="L167" s="10">
        <f t="shared" ca="1" si="49"/>
        <v>4</v>
      </c>
      <c r="M167" s="2">
        <f t="shared" ca="1" si="50"/>
        <v>0.5</v>
      </c>
      <c r="N167" s="10">
        <f t="shared" si="51"/>
        <v>1</v>
      </c>
      <c r="O167" s="10">
        <f t="shared" si="52"/>
        <v>1</v>
      </c>
      <c r="P167" s="3">
        <f t="shared" si="53"/>
        <v>1</v>
      </c>
      <c r="Q167" s="10">
        <f t="shared" ca="1" si="54"/>
        <v>16</v>
      </c>
      <c r="R167" s="10">
        <f t="shared" ca="1" si="28"/>
        <v>11</v>
      </c>
      <c r="S167" s="4">
        <f t="shared" ca="1" si="55"/>
        <v>0.6875</v>
      </c>
      <c r="T167" s="478"/>
    </row>
    <row r="168" spans="1:20" x14ac:dyDescent="0.45">
      <c r="A168" s="64">
        <v>30560</v>
      </c>
      <c r="B168" s="14">
        <f>COUNTIFS(发射纪录!B:B,"&lt;&gt;-",发射纪录!G:G,"&gt;="&amp;DATE(YEAR(A168),MONTH(A168),1),发射纪录!G:G,"&lt;="&amp;DATE(YEAR(A168),MONTH(A168),DAY(EOMONTH(A168,0))),发射纪录!N:N,"&lt;&gt;")</f>
        <v>0</v>
      </c>
      <c r="C168" s="10">
        <f>COUNTIFS(发射纪录!B:B,"&lt;&gt;-",发射纪录!G:G,"&gt;="&amp;DATE(YEAR(A168),MONTH(A168),1),发射纪录!G:G,"&lt;="&amp;DATE(YEAR(A168),MONTH(A168),DAY(EOMONTH(A168,0))),发射纪录!N:N,"=成功",发射纪录!N:N,"&lt;&gt;")</f>
        <v>0</v>
      </c>
      <c r="D168" s="1" t="str">
        <f t="shared" si="43"/>
        <v>-</v>
      </c>
      <c r="E168" s="10">
        <f t="shared" si="44"/>
        <v>8</v>
      </c>
      <c r="F168" s="10">
        <f t="shared" si="45"/>
        <v>7</v>
      </c>
      <c r="G168" s="2">
        <f t="shared" si="46"/>
        <v>0.875</v>
      </c>
      <c r="H168" s="10">
        <f>COUNTIFS(发射纪录!C:C,"&lt;&gt;-",发射纪录!G:G,"&gt;="&amp;DATE(YEAR(A168),MONTH(A168),1),发射纪录!G:G,"&lt;="&amp;DATE(YEAR(A168),MONTH(A168),DAY(EOMONTH(A168,0))),发射纪录!N:N,"&lt;&gt;")</f>
        <v>0</v>
      </c>
      <c r="I168" s="10">
        <f>COUNTIFS(发射纪录!C:C,"&lt;&gt;-",发射纪录!G:G,"&gt;="&amp;DATE(YEAR(A168),MONTH(A168),1),发射纪录!G:G,"&lt;="&amp;DATE(YEAR(A168),MONTH(A168),DAY(EOMONTH(A168,0))),发射纪录!N:N,"=成功",发射纪录!N:N,"&lt;&gt;")</f>
        <v>0</v>
      </c>
      <c r="J168" s="1" t="str">
        <f t="shared" si="47"/>
        <v>-</v>
      </c>
      <c r="K168" s="10">
        <f t="shared" ca="1" si="48"/>
        <v>8</v>
      </c>
      <c r="L168" s="10">
        <f t="shared" ca="1" si="49"/>
        <v>4</v>
      </c>
      <c r="M168" s="2">
        <f t="shared" ca="1" si="50"/>
        <v>0.5</v>
      </c>
      <c r="N168" s="10">
        <f t="shared" si="51"/>
        <v>0</v>
      </c>
      <c r="O168" s="10">
        <f t="shared" si="52"/>
        <v>0</v>
      </c>
      <c r="P168" s="3" t="str">
        <f t="shared" si="53"/>
        <v>-</v>
      </c>
      <c r="Q168" s="10">
        <f t="shared" ca="1" si="54"/>
        <v>16</v>
      </c>
      <c r="R168" s="10">
        <f t="shared" ca="1" si="28"/>
        <v>11</v>
      </c>
      <c r="S168" s="4">
        <f t="shared" ca="1" si="55"/>
        <v>0.6875</v>
      </c>
      <c r="T168" s="478"/>
    </row>
    <row r="169" spans="1:20" x14ac:dyDescent="0.45">
      <c r="A169" s="64">
        <v>30590</v>
      </c>
      <c r="B169" s="14">
        <f>COUNTIFS(发射纪录!B:B,"&lt;&gt;-",发射纪录!G:G,"&gt;="&amp;DATE(YEAR(A169),MONTH(A169),1),发射纪录!G:G,"&lt;="&amp;DATE(YEAR(A169),MONTH(A169),DAY(EOMONTH(A169,0))),发射纪录!N:N,"&lt;&gt;")</f>
        <v>0</v>
      </c>
      <c r="C169" s="10">
        <f>COUNTIFS(发射纪录!B:B,"&lt;&gt;-",发射纪录!G:G,"&gt;="&amp;DATE(YEAR(A169),MONTH(A169),1),发射纪录!G:G,"&lt;="&amp;DATE(YEAR(A169),MONTH(A169),DAY(EOMONTH(A169,0))),发射纪录!N:N,"=成功",发射纪录!N:N,"&lt;&gt;")</f>
        <v>0</v>
      </c>
      <c r="D169" s="1" t="str">
        <f t="shared" si="43"/>
        <v>-</v>
      </c>
      <c r="E169" s="10">
        <f t="shared" si="44"/>
        <v>8</v>
      </c>
      <c r="F169" s="10">
        <f t="shared" si="45"/>
        <v>7</v>
      </c>
      <c r="G169" s="2">
        <f t="shared" si="46"/>
        <v>0.875</v>
      </c>
      <c r="H169" s="10">
        <f ca="1">COUNTIFS(发射纪录!C:C,"&lt;&gt;-",发射纪录!G:G,"&gt;="&amp;DATE(YEAR(A169),MONTH(A169),1),发射纪录!G:G,"&lt;="&amp;DATE(YEAR(A169),MONTH(A169),DAY(EOMONTH(A169,0))),发射纪录!N:N,"&lt;&gt;")</f>
        <v>0</v>
      </c>
      <c r="I169" s="10">
        <f>COUNTIFS(发射纪录!C:C,"&lt;&gt;-",发射纪录!G:G,"&gt;="&amp;DATE(YEAR(A169),MONTH(A169),1),发射纪录!G:G,"&lt;="&amp;DATE(YEAR(A169),MONTH(A169),DAY(EOMONTH(A169,0))),发射纪录!N:N,"=成功",发射纪录!N:N,"&lt;&gt;")</f>
        <v>0</v>
      </c>
      <c r="J169" s="1" t="str">
        <f t="shared" ca="1" si="47"/>
        <v>-</v>
      </c>
      <c r="K169" s="10">
        <f t="shared" ca="1" si="48"/>
        <v>8</v>
      </c>
      <c r="L169" s="10">
        <f t="shared" ca="1" si="49"/>
        <v>4</v>
      </c>
      <c r="M169" s="2">
        <f t="shared" ca="1" si="50"/>
        <v>0.5</v>
      </c>
      <c r="N169" s="10">
        <f t="shared" ca="1" si="51"/>
        <v>0</v>
      </c>
      <c r="O169" s="10">
        <f t="shared" si="52"/>
        <v>0</v>
      </c>
      <c r="P169" s="3" t="str">
        <f t="shared" ca="1" si="53"/>
        <v>-</v>
      </c>
      <c r="Q169" s="10">
        <f t="shared" ca="1" si="54"/>
        <v>16</v>
      </c>
      <c r="R169" s="10">
        <f t="shared" ca="1" si="28"/>
        <v>11</v>
      </c>
      <c r="S169" s="4">
        <f t="shared" ca="1" si="55"/>
        <v>0.6875</v>
      </c>
      <c r="T169" s="478"/>
    </row>
    <row r="170" spans="1:20" x14ac:dyDescent="0.45">
      <c r="A170" s="64">
        <v>30621</v>
      </c>
      <c r="B170" s="14">
        <f>COUNTIFS(发射纪录!B:B,"&lt;&gt;-",发射纪录!G:G,"&gt;="&amp;DATE(YEAR(A170),MONTH(A170),1),发射纪录!G:G,"&lt;="&amp;DATE(YEAR(A170),MONTH(A170),DAY(EOMONTH(A170,0))),发射纪录!N:N,"&lt;&gt;")</f>
        <v>0</v>
      </c>
      <c r="C170" s="10">
        <f>COUNTIFS(发射纪录!B:B,"&lt;&gt;-",发射纪录!G:G,"&gt;="&amp;DATE(YEAR(A170),MONTH(A170),1),发射纪录!G:G,"&lt;="&amp;DATE(YEAR(A170),MONTH(A170),DAY(EOMONTH(A170,0))),发射纪录!N:N,"=成功",发射纪录!N:N,"&lt;&gt;")</f>
        <v>0</v>
      </c>
      <c r="D170" s="1" t="str">
        <f t="shared" si="43"/>
        <v>-</v>
      </c>
      <c r="E170" s="10">
        <f t="shared" si="44"/>
        <v>8</v>
      </c>
      <c r="F170" s="10">
        <f t="shared" si="45"/>
        <v>7</v>
      </c>
      <c r="G170" s="2">
        <f t="shared" si="46"/>
        <v>0.875</v>
      </c>
      <c r="H170" s="10">
        <f>COUNTIFS(发射纪录!C:C,"&lt;&gt;-",发射纪录!G:G,"&gt;="&amp;DATE(YEAR(A170),MONTH(A170),1),发射纪录!G:G,"&lt;="&amp;DATE(YEAR(A170),MONTH(A170),DAY(EOMONTH(A170,0))),发射纪录!N:N,"&lt;&gt;")</f>
        <v>0</v>
      </c>
      <c r="I170" s="10">
        <f>COUNTIFS(发射纪录!C:C,"&lt;&gt;-",发射纪录!G:G,"&gt;="&amp;DATE(YEAR(A170),MONTH(A170),1),发射纪录!G:G,"&lt;="&amp;DATE(YEAR(A170),MONTH(A170),DAY(EOMONTH(A170,0))),发射纪录!N:N,"=成功",发射纪录!N:N,"&lt;&gt;")</f>
        <v>0</v>
      </c>
      <c r="J170" s="1" t="str">
        <f t="shared" si="47"/>
        <v>-</v>
      </c>
      <c r="K170" s="10">
        <f t="shared" ca="1" si="48"/>
        <v>8</v>
      </c>
      <c r="L170" s="10">
        <f t="shared" ca="1" si="49"/>
        <v>4</v>
      </c>
      <c r="M170" s="2">
        <f t="shared" ca="1" si="50"/>
        <v>0.5</v>
      </c>
      <c r="N170" s="10">
        <f t="shared" si="51"/>
        <v>0</v>
      </c>
      <c r="O170" s="10">
        <f t="shared" si="52"/>
        <v>0</v>
      </c>
      <c r="P170" s="3" t="str">
        <f t="shared" si="53"/>
        <v>-</v>
      </c>
      <c r="Q170" s="10">
        <f t="shared" ca="1" si="54"/>
        <v>16</v>
      </c>
      <c r="R170" s="10">
        <f t="shared" ca="1" si="28"/>
        <v>11</v>
      </c>
      <c r="S170" s="4">
        <f t="shared" ca="1" si="55"/>
        <v>0.6875</v>
      </c>
      <c r="T170" s="478"/>
    </row>
    <row r="171" spans="1:20" ht="19.5" customHeight="1" thickBot="1" x14ac:dyDescent="0.5">
      <c r="A171" s="65">
        <v>30651</v>
      </c>
      <c r="B171" s="17">
        <f>COUNTIFS(发射纪录!B:B,"&lt;&gt;-",发射纪录!G:G,"&gt;="&amp;DATE(YEAR(A171),MONTH(A171),1),发射纪录!G:G,"&lt;="&amp;DATE(YEAR(A171),MONTH(A171),DAY(EOMONTH(A171,0))),发射纪录!N:N,"&lt;&gt;")</f>
        <v>0</v>
      </c>
      <c r="C171" s="18">
        <f>COUNTIFS(发射纪录!B:B,"&lt;&gt;-",发射纪录!G:G,"&gt;="&amp;DATE(YEAR(A171),MONTH(A171),1),发射纪录!G:G,"&lt;="&amp;DATE(YEAR(A171),MONTH(A171),DAY(EOMONTH(A171,0))),发射纪录!N:N,"=成功",发射纪录!N:N,"&lt;&gt;")</f>
        <v>0</v>
      </c>
      <c r="D171" s="12" t="str">
        <f>IF(B171=0,"-",C171/B171)</f>
        <v>-</v>
      </c>
      <c r="E171" s="18">
        <f>E170+B171</f>
        <v>8</v>
      </c>
      <c r="F171" s="18">
        <f>F170+C171</f>
        <v>7</v>
      </c>
      <c r="G171" s="13">
        <f>IF(E171=0,"-",F171/E171)</f>
        <v>0.875</v>
      </c>
      <c r="H171" s="18">
        <f>COUNTIFS(发射纪录!C:C,"&lt;&gt;-",发射纪录!G:G,"&gt;="&amp;DATE(YEAR(A171),MONTH(A171),1),发射纪录!G:G,"&lt;="&amp;DATE(YEAR(A171),MONTH(A171),DAY(EOMONTH(A171,0))),发射纪录!N:N,"&lt;&gt;")</f>
        <v>0</v>
      </c>
      <c r="I171" s="18">
        <f>COUNTIFS(发射纪录!C:C,"&lt;&gt;-",发射纪录!G:G,"&gt;="&amp;DATE(YEAR(A171),MONTH(A171),1),发射纪录!G:G,"&lt;="&amp;DATE(YEAR(A171),MONTH(A171),DAY(EOMONTH(A171,0))),发射纪录!N:N,"=成功",发射纪录!N:N,"&lt;&gt;")</f>
        <v>0</v>
      </c>
      <c r="J171" s="12" t="str">
        <f>IF(H171=0,"-",I171/H171)</f>
        <v>-</v>
      </c>
      <c r="K171" s="18">
        <f ca="1">K170+H171</f>
        <v>8</v>
      </c>
      <c r="L171" s="18">
        <f ca="1">L170+I171</f>
        <v>4</v>
      </c>
      <c r="M171" s="13">
        <f ca="1">IF(K171=0,"-",L171/K171)</f>
        <v>0.5</v>
      </c>
      <c r="N171" s="18">
        <f>B171+H171</f>
        <v>0</v>
      </c>
      <c r="O171" s="18">
        <f>C171+I171</f>
        <v>0</v>
      </c>
      <c r="P171" s="12" t="str">
        <f>IF(N171=0,"-",O171/N171)</f>
        <v>-</v>
      </c>
      <c r="Q171" s="18">
        <f ca="1">E171+K171</f>
        <v>16</v>
      </c>
      <c r="R171" s="18">
        <f ca="1">F171+L171</f>
        <v>11</v>
      </c>
      <c r="S171" s="13">
        <f ca="1">IF(Q171=0,"-",R171/Q171)</f>
        <v>0.6875</v>
      </c>
      <c r="T171" s="478"/>
    </row>
    <row r="172" spans="1:20" ht="19.5" customHeight="1" thickTop="1" x14ac:dyDescent="0.45">
      <c r="A172" s="63">
        <v>30682</v>
      </c>
      <c r="B172" s="14">
        <f>COUNTIFS(发射纪录!B:B,"&lt;&gt;-",发射纪录!G:G,"&gt;="&amp;DATE(YEAR(A172),MONTH(A172),1),发射纪录!G:G,"&lt;="&amp;DATE(YEAR(A172),MONTH(A172),DAY(EOMONTH(A172,0))),发射纪录!N:N,"&lt;&gt;")</f>
        <v>1</v>
      </c>
      <c r="C172" s="10">
        <f>COUNTIFS(发射纪录!B:B,"&lt;&gt;-",发射纪录!G:G,"&gt;="&amp;DATE(YEAR(A172),MONTH(A172),1),发射纪录!G:G,"&lt;="&amp;DATE(YEAR(A172),MONTH(A172),DAY(EOMONTH(A172,0))),发射纪录!N:N,"=成功",发射纪录!N:N,"&lt;&gt;")</f>
        <v>0</v>
      </c>
      <c r="D172" s="3">
        <f t="shared" ref="D172:D182" si="56">IF(B172=0,"-",C172/B172)</f>
        <v>0</v>
      </c>
      <c r="E172" s="10">
        <f t="shared" ref="E172:E182" si="57">E171+B172</f>
        <v>9</v>
      </c>
      <c r="F172" s="10">
        <f t="shared" ref="F172:F182" si="58">F171+C172</f>
        <v>7</v>
      </c>
      <c r="G172" s="4">
        <f t="shared" ref="G172:G182" si="59">IF(E172=0,"-",F172/E172)</f>
        <v>0.77777777777777779</v>
      </c>
      <c r="H172" s="10">
        <f>COUNTIFS(发射纪录!C:C,"&lt;&gt;-",发射纪录!G:G,"&gt;="&amp;DATE(YEAR(A172),MONTH(A172),1),发射纪录!G:G,"&lt;="&amp;DATE(YEAR(A172),MONTH(A172),DAY(EOMONTH(A172,0))),发射纪录!N:N,"&lt;&gt;")</f>
        <v>0</v>
      </c>
      <c r="I172" s="10">
        <f>COUNTIFS(发射纪录!C:C,"&lt;&gt;-",发射纪录!G:G,"&gt;="&amp;DATE(YEAR(A172),MONTH(A172),1),发射纪录!G:G,"&lt;="&amp;DATE(YEAR(A172),MONTH(A172),DAY(EOMONTH(A172,0))),发射纪录!N:N,"=成功",发射纪录!N:N,"&lt;&gt;")</f>
        <v>0</v>
      </c>
      <c r="J172" s="3" t="str">
        <f t="shared" ref="J172:J182" si="60">IF(H172=0,"-",I172/H172)</f>
        <v>-</v>
      </c>
      <c r="K172" s="10">
        <f t="shared" ref="K172:K182" ca="1" si="61">K171+H172</f>
        <v>8</v>
      </c>
      <c r="L172" s="10">
        <f t="shared" ref="L172:L182" ca="1" si="62">L171+I172</f>
        <v>4</v>
      </c>
      <c r="M172" s="4">
        <f t="shared" ref="M172:M182" ca="1" si="63">IF(K172=0,"-",L172/K172)</f>
        <v>0.5</v>
      </c>
      <c r="N172" s="10">
        <f t="shared" ref="N172:N182" si="64">B172+H172</f>
        <v>1</v>
      </c>
      <c r="O172" s="10">
        <f t="shared" ref="O172:O182" si="65">C172+I172</f>
        <v>0</v>
      </c>
      <c r="P172" s="3">
        <f t="shared" ref="P172:P182" si="66">IF(N172=0,"-",O172/N172)</f>
        <v>0</v>
      </c>
      <c r="Q172" s="10">
        <f t="shared" ref="Q172:Q182" ca="1" si="67">E172+K172</f>
        <v>17</v>
      </c>
      <c r="R172" s="10">
        <f t="shared" ca="1" si="28"/>
        <v>11</v>
      </c>
      <c r="S172" s="4">
        <f t="shared" ref="S172:S182" ca="1" si="68">IF(Q172=0,"-",R172/Q172)</f>
        <v>0.6470588235294118</v>
      </c>
      <c r="T172" s="478"/>
    </row>
    <row r="173" spans="1:20" x14ac:dyDescent="0.45">
      <c r="A173" s="64">
        <v>30713</v>
      </c>
      <c r="B173" s="14">
        <f>COUNTIFS(发射纪录!B:B,"&lt;&gt;-",发射纪录!G:G,"&gt;="&amp;DATE(YEAR(A173),MONTH(A173),1),发射纪录!G:G,"&lt;="&amp;DATE(YEAR(A173),MONTH(A173),DAY(EOMONTH(A173,0))),发射纪录!N:N,"&lt;&gt;")</f>
        <v>0</v>
      </c>
      <c r="C173" s="10">
        <f>COUNTIFS(发射纪录!B:B,"&lt;&gt;-",发射纪录!G:G,"&gt;="&amp;DATE(YEAR(A173),MONTH(A173),1),发射纪录!G:G,"&lt;="&amp;DATE(YEAR(A173),MONTH(A173),DAY(EOMONTH(A173,0))),发射纪录!N:N,"=成功",发射纪录!N:N,"&lt;&gt;")</f>
        <v>0</v>
      </c>
      <c r="D173" s="1" t="str">
        <f t="shared" si="56"/>
        <v>-</v>
      </c>
      <c r="E173" s="10">
        <f t="shared" si="57"/>
        <v>9</v>
      </c>
      <c r="F173" s="10">
        <f t="shared" si="58"/>
        <v>7</v>
      </c>
      <c r="G173" s="2">
        <f t="shared" si="59"/>
        <v>0.77777777777777779</v>
      </c>
      <c r="H173" s="10">
        <f>COUNTIFS(发射纪录!C:C,"&lt;&gt;-",发射纪录!G:G,"&gt;="&amp;DATE(YEAR(A173),MONTH(A173),1),发射纪录!G:G,"&lt;="&amp;DATE(YEAR(A173),MONTH(A173),DAY(EOMONTH(A173,0))),发射纪录!N:N,"&lt;&gt;")</f>
        <v>0</v>
      </c>
      <c r="I173" s="10">
        <f>COUNTIFS(发射纪录!C:C,"&lt;&gt;-",发射纪录!G:G,"&gt;="&amp;DATE(YEAR(A173),MONTH(A173),1),发射纪录!G:G,"&lt;="&amp;DATE(YEAR(A173),MONTH(A173),DAY(EOMONTH(A173,0))),发射纪录!N:N,"=成功",发射纪录!N:N,"&lt;&gt;")</f>
        <v>0</v>
      </c>
      <c r="J173" s="1" t="str">
        <f t="shared" si="60"/>
        <v>-</v>
      </c>
      <c r="K173" s="10">
        <f t="shared" ca="1" si="61"/>
        <v>8</v>
      </c>
      <c r="L173" s="10">
        <f t="shared" ca="1" si="62"/>
        <v>4</v>
      </c>
      <c r="M173" s="2">
        <f t="shared" ca="1" si="63"/>
        <v>0.5</v>
      </c>
      <c r="N173" s="10">
        <f t="shared" si="64"/>
        <v>0</v>
      </c>
      <c r="O173" s="10">
        <f t="shared" si="65"/>
        <v>0</v>
      </c>
      <c r="P173" s="3" t="str">
        <f t="shared" si="66"/>
        <v>-</v>
      </c>
      <c r="Q173" s="10">
        <f t="shared" ca="1" si="67"/>
        <v>17</v>
      </c>
      <c r="R173" s="10">
        <f t="shared" ca="1" si="28"/>
        <v>11</v>
      </c>
      <c r="S173" s="4">
        <f t="shared" ca="1" si="68"/>
        <v>0.6470588235294118</v>
      </c>
      <c r="T173" s="478"/>
    </row>
    <row r="174" spans="1:20" x14ac:dyDescent="0.45">
      <c r="A174" s="64">
        <v>30742</v>
      </c>
      <c r="B174" s="14">
        <f>COUNTIFS(发射纪录!B:B,"&lt;&gt;-",发射纪录!G:G,"&gt;="&amp;DATE(YEAR(A174),MONTH(A174),1),发射纪录!G:G,"&lt;="&amp;DATE(YEAR(A174),MONTH(A174),DAY(EOMONTH(A174,0))),发射纪录!N:N,"&lt;&gt;")</f>
        <v>0</v>
      </c>
      <c r="C174" s="10">
        <f>COUNTIFS(发射纪录!B:B,"&lt;&gt;-",发射纪录!G:G,"&gt;="&amp;DATE(YEAR(A174),MONTH(A174),1),发射纪录!G:G,"&lt;="&amp;DATE(YEAR(A174),MONTH(A174),DAY(EOMONTH(A174,0))),发射纪录!N:N,"=成功",发射纪录!N:N,"&lt;&gt;")</f>
        <v>0</v>
      </c>
      <c r="D174" s="1" t="str">
        <f t="shared" si="56"/>
        <v>-</v>
      </c>
      <c r="E174" s="10">
        <f t="shared" si="57"/>
        <v>9</v>
      </c>
      <c r="F174" s="10">
        <f t="shared" si="58"/>
        <v>7</v>
      </c>
      <c r="G174" s="2">
        <f t="shared" si="59"/>
        <v>0.77777777777777779</v>
      </c>
      <c r="H174" s="10">
        <f>COUNTIFS(发射纪录!C:C,"&lt;&gt;-",发射纪录!G:G,"&gt;="&amp;DATE(YEAR(A174),MONTH(A174),1),发射纪录!G:G,"&lt;="&amp;DATE(YEAR(A174),MONTH(A174),DAY(EOMONTH(A174,0))),发射纪录!N:N,"&lt;&gt;")</f>
        <v>0</v>
      </c>
      <c r="I174" s="10">
        <f>COUNTIFS(发射纪录!C:C,"&lt;&gt;-",发射纪录!G:G,"&gt;="&amp;DATE(YEAR(A174),MONTH(A174),1),发射纪录!G:G,"&lt;="&amp;DATE(YEAR(A174),MONTH(A174),DAY(EOMONTH(A174,0))),发射纪录!N:N,"=成功",发射纪录!N:N,"&lt;&gt;")</f>
        <v>0</v>
      </c>
      <c r="J174" s="1" t="str">
        <f t="shared" si="60"/>
        <v>-</v>
      </c>
      <c r="K174" s="10">
        <f t="shared" ca="1" si="61"/>
        <v>8</v>
      </c>
      <c r="L174" s="10">
        <f t="shared" ca="1" si="62"/>
        <v>4</v>
      </c>
      <c r="M174" s="2">
        <f t="shared" ca="1" si="63"/>
        <v>0.5</v>
      </c>
      <c r="N174" s="10">
        <f t="shared" si="64"/>
        <v>0</v>
      </c>
      <c r="O174" s="10">
        <f t="shared" si="65"/>
        <v>0</v>
      </c>
      <c r="P174" s="3" t="str">
        <f t="shared" si="66"/>
        <v>-</v>
      </c>
      <c r="Q174" s="10">
        <f t="shared" ca="1" si="67"/>
        <v>17</v>
      </c>
      <c r="R174" s="10">
        <f t="shared" ca="1" si="28"/>
        <v>11</v>
      </c>
      <c r="S174" s="4">
        <f t="shared" ca="1" si="68"/>
        <v>0.6470588235294118</v>
      </c>
      <c r="T174" s="478"/>
    </row>
    <row r="175" spans="1:20" x14ac:dyDescent="0.45">
      <c r="A175" s="64">
        <v>30773</v>
      </c>
      <c r="B175" s="14">
        <f>COUNTIFS(发射纪录!B:B,"&lt;&gt;-",发射纪录!G:G,"&gt;="&amp;DATE(YEAR(A175),MONTH(A175),1),发射纪录!G:G,"&lt;="&amp;DATE(YEAR(A175),MONTH(A175),DAY(EOMONTH(A175,0))),发射纪录!N:N,"&lt;&gt;")</f>
        <v>1</v>
      </c>
      <c r="C175" s="10">
        <f>COUNTIFS(发射纪录!B:B,"&lt;&gt;-",发射纪录!G:G,"&gt;="&amp;DATE(YEAR(A175),MONTH(A175),1),发射纪录!G:G,"&lt;="&amp;DATE(YEAR(A175),MONTH(A175),DAY(EOMONTH(A175,0))),发射纪录!N:N,"=成功",发射纪录!N:N,"&lt;&gt;")</f>
        <v>1</v>
      </c>
      <c r="D175" s="1">
        <f t="shared" si="56"/>
        <v>1</v>
      </c>
      <c r="E175" s="10">
        <f t="shared" si="57"/>
        <v>10</v>
      </c>
      <c r="F175" s="10">
        <f t="shared" si="58"/>
        <v>8</v>
      </c>
      <c r="G175" s="2">
        <f t="shared" si="59"/>
        <v>0.8</v>
      </c>
      <c r="H175" s="10">
        <f>COUNTIFS(发射纪录!C:C,"&lt;&gt;-",发射纪录!G:G,"&gt;="&amp;DATE(YEAR(A175),MONTH(A175),1),发射纪录!G:G,"&lt;="&amp;DATE(YEAR(A175),MONTH(A175),DAY(EOMONTH(A175,0))),发射纪录!N:N,"&lt;&gt;")</f>
        <v>0</v>
      </c>
      <c r="I175" s="10">
        <f>COUNTIFS(发射纪录!C:C,"&lt;&gt;-",发射纪录!G:G,"&gt;="&amp;DATE(YEAR(A175),MONTH(A175),1),发射纪录!G:G,"&lt;="&amp;DATE(YEAR(A175),MONTH(A175),DAY(EOMONTH(A175,0))),发射纪录!N:N,"=成功",发射纪录!N:N,"&lt;&gt;")</f>
        <v>0</v>
      </c>
      <c r="J175" s="1" t="str">
        <f t="shared" si="60"/>
        <v>-</v>
      </c>
      <c r="K175" s="10">
        <f t="shared" ca="1" si="61"/>
        <v>8</v>
      </c>
      <c r="L175" s="10">
        <f t="shared" ca="1" si="62"/>
        <v>4</v>
      </c>
      <c r="M175" s="2">
        <f t="shared" ca="1" si="63"/>
        <v>0.5</v>
      </c>
      <c r="N175" s="10">
        <f t="shared" si="64"/>
        <v>1</v>
      </c>
      <c r="O175" s="10">
        <f t="shared" si="65"/>
        <v>1</v>
      </c>
      <c r="P175" s="3">
        <f t="shared" si="66"/>
        <v>1</v>
      </c>
      <c r="Q175" s="10">
        <f t="shared" ca="1" si="67"/>
        <v>18</v>
      </c>
      <c r="R175" s="10">
        <f t="shared" ca="1" si="28"/>
        <v>12</v>
      </c>
      <c r="S175" s="4">
        <f t="shared" ca="1" si="68"/>
        <v>0.66666666666666663</v>
      </c>
      <c r="T175" s="478"/>
    </row>
    <row r="176" spans="1:20" x14ac:dyDescent="0.45">
      <c r="A176" s="64">
        <v>30803</v>
      </c>
      <c r="B176" s="14">
        <f>COUNTIFS(发射纪录!B:B,"&lt;&gt;-",发射纪录!G:G,"&gt;="&amp;DATE(YEAR(A176),MONTH(A176),1),发射纪录!G:G,"&lt;="&amp;DATE(YEAR(A176),MONTH(A176),DAY(EOMONTH(A176,0))),发射纪录!N:N,"&lt;&gt;")</f>
        <v>0</v>
      </c>
      <c r="C176" s="10">
        <f>COUNTIFS(发射纪录!B:B,"&lt;&gt;-",发射纪录!G:G,"&gt;="&amp;DATE(YEAR(A176),MONTH(A176),1),发射纪录!G:G,"&lt;="&amp;DATE(YEAR(A176),MONTH(A176),DAY(EOMONTH(A176,0))),发射纪录!N:N,"=成功",发射纪录!N:N,"&lt;&gt;")</f>
        <v>0</v>
      </c>
      <c r="D176" s="1" t="str">
        <f t="shared" si="56"/>
        <v>-</v>
      </c>
      <c r="E176" s="10">
        <f t="shared" si="57"/>
        <v>10</v>
      </c>
      <c r="F176" s="10">
        <f t="shared" si="58"/>
        <v>8</v>
      </c>
      <c r="G176" s="2">
        <f t="shared" si="59"/>
        <v>0.8</v>
      </c>
      <c r="H176" s="10">
        <f>COUNTIFS(发射纪录!C:C,"&lt;&gt;-",发射纪录!G:G,"&gt;="&amp;DATE(YEAR(A176),MONTH(A176),1),发射纪录!G:G,"&lt;="&amp;DATE(YEAR(A176),MONTH(A176),DAY(EOMONTH(A176,0))),发射纪录!N:N,"&lt;&gt;")</f>
        <v>0</v>
      </c>
      <c r="I176" s="10">
        <f>COUNTIFS(发射纪录!C:C,"&lt;&gt;-",发射纪录!G:G,"&gt;="&amp;DATE(YEAR(A176),MONTH(A176),1),发射纪录!G:G,"&lt;="&amp;DATE(YEAR(A176),MONTH(A176),DAY(EOMONTH(A176,0))),发射纪录!N:N,"=成功",发射纪录!N:N,"&lt;&gt;")</f>
        <v>0</v>
      </c>
      <c r="J176" s="1" t="str">
        <f t="shared" si="60"/>
        <v>-</v>
      </c>
      <c r="K176" s="10">
        <f t="shared" ca="1" si="61"/>
        <v>8</v>
      </c>
      <c r="L176" s="10">
        <f t="shared" ca="1" si="62"/>
        <v>4</v>
      </c>
      <c r="M176" s="2">
        <f t="shared" ca="1" si="63"/>
        <v>0.5</v>
      </c>
      <c r="N176" s="10">
        <f t="shared" si="64"/>
        <v>0</v>
      </c>
      <c r="O176" s="10">
        <f t="shared" si="65"/>
        <v>0</v>
      </c>
      <c r="P176" s="3" t="str">
        <f t="shared" si="66"/>
        <v>-</v>
      </c>
      <c r="Q176" s="10">
        <f t="shared" ca="1" si="67"/>
        <v>18</v>
      </c>
      <c r="R176" s="10">
        <f t="shared" ca="1" si="28"/>
        <v>12</v>
      </c>
      <c r="S176" s="4">
        <f t="shared" ca="1" si="68"/>
        <v>0.66666666666666663</v>
      </c>
      <c r="T176" s="478"/>
    </row>
    <row r="177" spans="1:20" x14ac:dyDescent="0.45">
      <c r="A177" s="64">
        <v>30834</v>
      </c>
      <c r="B177" s="14">
        <f>COUNTIFS(发射纪录!B:B,"&lt;&gt;-",发射纪录!G:G,"&gt;="&amp;DATE(YEAR(A177),MONTH(A177),1),发射纪录!G:G,"&lt;="&amp;DATE(YEAR(A177),MONTH(A177),DAY(EOMONTH(A177,0))),发射纪录!N:N,"&lt;&gt;")</f>
        <v>0</v>
      </c>
      <c r="C177" s="10">
        <f>COUNTIFS(发射纪录!B:B,"&lt;&gt;-",发射纪录!G:G,"&gt;="&amp;DATE(YEAR(A177),MONTH(A177),1),发射纪录!G:G,"&lt;="&amp;DATE(YEAR(A177),MONTH(A177),DAY(EOMONTH(A177,0))),发射纪录!N:N,"=成功",发射纪录!N:N,"&lt;&gt;")</f>
        <v>0</v>
      </c>
      <c r="D177" s="1" t="str">
        <f t="shared" si="56"/>
        <v>-</v>
      </c>
      <c r="E177" s="10">
        <f t="shared" si="57"/>
        <v>10</v>
      </c>
      <c r="F177" s="10">
        <f t="shared" si="58"/>
        <v>8</v>
      </c>
      <c r="G177" s="2">
        <f t="shared" si="59"/>
        <v>0.8</v>
      </c>
      <c r="H177" s="10">
        <f>COUNTIFS(发射纪录!C:C,"&lt;&gt;-",发射纪录!G:G,"&gt;="&amp;DATE(YEAR(A177),MONTH(A177),1),发射纪录!G:G,"&lt;="&amp;DATE(YEAR(A177),MONTH(A177),DAY(EOMONTH(A177,0))),发射纪录!N:N,"&lt;&gt;")</f>
        <v>0</v>
      </c>
      <c r="I177" s="10">
        <f ca="1">COUNTIFS(发射纪录!C:C,"&lt;&gt;-",发射纪录!G:G,"&gt;="&amp;DATE(YEAR(A177),MONTH(A177),1),发射纪录!G:G,"&lt;="&amp;DATE(YEAR(A177),MONTH(A177),DAY(EOMONTH(A177,0))),发射纪录!N:N,"=成功",发射纪录!N:N,"&lt;&gt;")</f>
        <v>0</v>
      </c>
      <c r="J177" s="1" t="str">
        <f t="shared" si="60"/>
        <v>-</v>
      </c>
      <c r="K177" s="10">
        <f t="shared" ca="1" si="61"/>
        <v>8</v>
      </c>
      <c r="L177" s="10">
        <f t="shared" ca="1" si="62"/>
        <v>4</v>
      </c>
      <c r="M177" s="2">
        <f t="shared" ca="1" si="63"/>
        <v>0.5</v>
      </c>
      <c r="N177" s="10">
        <f t="shared" si="64"/>
        <v>0</v>
      </c>
      <c r="O177" s="10">
        <f t="shared" ca="1" si="65"/>
        <v>0</v>
      </c>
      <c r="P177" s="3" t="str">
        <f t="shared" si="66"/>
        <v>-</v>
      </c>
      <c r="Q177" s="10">
        <f t="shared" ca="1" si="67"/>
        <v>18</v>
      </c>
      <c r="R177" s="10">
        <f t="shared" ca="1" si="28"/>
        <v>12</v>
      </c>
      <c r="S177" s="4">
        <f t="shared" ca="1" si="68"/>
        <v>0.66666666666666663</v>
      </c>
      <c r="T177" s="478"/>
    </row>
    <row r="178" spans="1:20" x14ac:dyDescent="0.45">
      <c r="A178" s="64">
        <v>30864</v>
      </c>
      <c r="B178" s="14">
        <f>COUNTIFS(发射纪录!B:B,"&lt;&gt;-",发射纪录!G:G,"&gt;="&amp;DATE(YEAR(A178),MONTH(A178),1),发射纪录!G:G,"&lt;="&amp;DATE(YEAR(A178),MONTH(A178),DAY(EOMONTH(A178,0))),发射纪录!N:N,"&lt;&gt;")</f>
        <v>0</v>
      </c>
      <c r="C178" s="10">
        <f>COUNTIFS(发射纪录!B:B,"&lt;&gt;-",发射纪录!G:G,"&gt;="&amp;DATE(YEAR(A178),MONTH(A178),1),发射纪录!G:G,"&lt;="&amp;DATE(YEAR(A178),MONTH(A178),DAY(EOMONTH(A178,0))),发射纪录!N:N,"=成功",发射纪录!N:N,"&lt;&gt;")</f>
        <v>0</v>
      </c>
      <c r="D178" s="1" t="str">
        <f t="shared" si="56"/>
        <v>-</v>
      </c>
      <c r="E178" s="10">
        <f t="shared" si="57"/>
        <v>10</v>
      </c>
      <c r="F178" s="10">
        <f t="shared" si="58"/>
        <v>8</v>
      </c>
      <c r="G178" s="2">
        <f t="shared" si="59"/>
        <v>0.8</v>
      </c>
      <c r="H178" s="10">
        <f ca="1">COUNTIFS(发射纪录!C:C,"&lt;&gt;-",发射纪录!G:G,"&gt;="&amp;DATE(YEAR(A178),MONTH(A178),1),发射纪录!G:G,"&lt;="&amp;DATE(YEAR(A178),MONTH(A178),DAY(EOMONTH(A178,0))),发射纪录!N:N,"&lt;&gt;")</f>
        <v>0</v>
      </c>
      <c r="I178" s="10">
        <f>COUNTIFS(发射纪录!C:C,"&lt;&gt;-",发射纪录!G:G,"&gt;="&amp;DATE(YEAR(A178),MONTH(A178),1),发射纪录!G:G,"&lt;="&amp;DATE(YEAR(A178),MONTH(A178),DAY(EOMONTH(A178,0))),发射纪录!N:N,"=成功",发射纪录!N:N,"&lt;&gt;")</f>
        <v>0</v>
      </c>
      <c r="J178" s="1" t="str">
        <f t="shared" ca="1" si="60"/>
        <v>-</v>
      </c>
      <c r="K178" s="10">
        <f t="shared" ca="1" si="61"/>
        <v>8</v>
      </c>
      <c r="L178" s="10">
        <f t="shared" ca="1" si="62"/>
        <v>4</v>
      </c>
      <c r="M178" s="2">
        <f t="shared" ca="1" si="63"/>
        <v>0.5</v>
      </c>
      <c r="N178" s="10">
        <f t="shared" ca="1" si="64"/>
        <v>0</v>
      </c>
      <c r="O178" s="10">
        <f t="shared" si="65"/>
        <v>0</v>
      </c>
      <c r="P178" s="3" t="str">
        <f t="shared" ca="1" si="66"/>
        <v>-</v>
      </c>
      <c r="Q178" s="10">
        <f t="shared" ca="1" si="67"/>
        <v>18</v>
      </c>
      <c r="R178" s="10">
        <f t="shared" ca="1" si="28"/>
        <v>12</v>
      </c>
      <c r="S178" s="4">
        <f t="shared" ca="1" si="68"/>
        <v>0.66666666666666663</v>
      </c>
      <c r="T178" s="478"/>
    </row>
    <row r="179" spans="1:20" x14ac:dyDescent="0.45">
      <c r="A179" s="64">
        <v>30895</v>
      </c>
      <c r="B179" s="14">
        <f>COUNTIFS(发射纪录!B:B,"&lt;&gt;-",发射纪录!G:G,"&gt;="&amp;DATE(YEAR(A179),MONTH(A179),1),发射纪录!G:G,"&lt;="&amp;DATE(YEAR(A179),MONTH(A179),DAY(EOMONTH(A179,0))),发射纪录!N:N,"&lt;&gt;")</f>
        <v>0</v>
      </c>
      <c r="C179" s="10">
        <f>COUNTIFS(发射纪录!B:B,"&lt;&gt;-",发射纪录!G:G,"&gt;="&amp;DATE(YEAR(A179),MONTH(A179),1),发射纪录!G:G,"&lt;="&amp;DATE(YEAR(A179),MONTH(A179),DAY(EOMONTH(A179,0))),发射纪录!N:N,"=成功",发射纪录!N:N,"&lt;&gt;")</f>
        <v>0</v>
      </c>
      <c r="D179" s="1" t="str">
        <f t="shared" si="56"/>
        <v>-</v>
      </c>
      <c r="E179" s="10">
        <f t="shared" si="57"/>
        <v>10</v>
      </c>
      <c r="F179" s="10">
        <f t="shared" si="58"/>
        <v>8</v>
      </c>
      <c r="G179" s="2">
        <f t="shared" si="59"/>
        <v>0.8</v>
      </c>
      <c r="H179" s="10">
        <f>COUNTIFS(发射纪录!C:C,"&lt;&gt;-",发射纪录!G:G,"&gt;="&amp;DATE(YEAR(A179),MONTH(A179),1),发射纪录!G:G,"&lt;="&amp;DATE(YEAR(A179),MONTH(A179),DAY(EOMONTH(A179,0))),发射纪录!N:N,"&lt;&gt;")</f>
        <v>0</v>
      </c>
      <c r="I179" s="10">
        <f>COUNTIFS(发射纪录!C:C,"&lt;&gt;-",发射纪录!G:G,"&gt;="&amp;DATE(YEAR(A179),MONTH(A179),1),发射纪录!G:G,"&lt;="&amp;DATE(YEAR(A179),MONTH(A179),DAY(EOMONTH(A179,0))),发射纪录!N:N,"=成功",发射纪录!N:N,"&lt;&gt;")</f>
        <v>0</v>
      </c>
      <c r="J179" s="1" t="str">
        <f t="shared" si="60"/>
        <v>-</v>
      </c>
      <c r="K179" s="10">
        <f t="shared" ca="1" si="61"/>
        <v>8</v>
      </c>
      <c r="L179" s="10">
        <f t="shared" ca="1" si="62"/>
        <v>4</v>
      </c>
      <c r="M179" s="2">
        <f t="shared" ca="1" si="63"/>
        <v>0.5</v>
      </c>
      <c r="N179" s="10">
        <f t="shared" si="64"/>
        <v>0</v>
      </c>
      <c r="O179" s="10">
        <f t="shared" si="65"/>
        <v>0</v>
      </c>
      <c r="P179" s="3" t="str">
        <f t="shared" si="66"/>
        <v>-</v>
      </c>
      <c r="Q179" s="10">
        <f t="shared" ca="1" si="67"/>
        <v>18</v>
      </c>
      <c r="R179" s="10">
        <f t="shared" ca="1" si="28"/>
        <v>12</v>
      </c>
      <c r="S179" s="4">
        <f t="shared" ca="1" si="68"/>
        <v>0.66666666666666663</v>
      </c>
      <c r="T179" s="478"/>
    </row>
    <row r="180" spans="1:20" x14ac:dyDescent="0.45">
      <c r="A180" s="64">
        <v>30926</v>
      </c>
      <c r="B180" s="14">
        <f>COUNTIFS(发射纪录!B:B,"&lt;&gt;-",发射纪录!G:G,"&gt;="&amp;DATE(YEAR(A180),MONTH(A180),1),发射纪录!G:G,"&lt;="&amp;DATE(YEAR(A180),MONTH(A180),DAY(EOMONTH(A180,0))),发射纪录!N:N,"&lt;&gt;")</f>
        <v>1</v>
      </c>
      <c r="C180" s="10">
        <f>COUNTIFS(发射纪录!B:B,"&lt;&gt;-",发射纪录!G:G,"&gt;="&amp;DATE(YEAR(A180),MONTH(A180),1),发射纪录!G:G,"&lt;="&amp;DATE(YEAR(A180),MONTH(A180),DAY(EOMONTH(A180,0))),发射纪录!N:N,"=成功",发射纪录!N:N,"&lt;&gt;")</f>
        <v>1</v>
      </c>
      <c r="D180" s="1">
        <f t="shared" si="56"/>
        <v>1</v>
      </c>
      <c r="E180" s="10">
        <f t="shared" si="57"/>
        <v>11</v>
      </c>
      <c r="F180" s="10">
        <f t="shared" si="58"/>
        <v>9</v>
      </c>
      <c r="G180" s="2">
        <f t="shared" si="59"/>
        <v>0.81818181818181823</v>
      </c>
      <c r="H180" s="10">
        <f>COUNTIFS(发射纪录!C:C,"&lt;&gt;-",发射纪录!G:G,"&gt;="&amp;DATE(YEAR(A180),MONTH(A180),1),发射纪录!G:G,"&lt;="&amp;DATE(YEAR(A180),MONTH(A180),DAY(EOMONTH(A180,0))),发射纪录!N:N,"&lt;&gt;")</f>
        <v>0</v>
      </c>
      <c r="I180" s="10">
        <f>COUNTIFS(发射纪录!C:C,"&lt;&gt;-",发射纪录!G:G,"&gt;="&amp;DATE(YEAR(A180),MONTH(A180),1),发射纪录!G:G,"&lt;="&amp;DATE(YEAR(A180),MONTH(A180),DAY(EOMONTH(A180,0))),发射纪录!N:N,"=成功",发射纪录!N:N,"&lt;&gt;")</f>
        <v>0</v>
      </c>
      <c r="J180" s="1" t="str">
        <f t="shared" si="60"/>
        <v>-</v>
      </c>
      <c r="K180" s="10">
        <f t="shared" ca="1" si="61"/>
        <v>8</v>
      </c>
      <c r="L180" s="10">
        <f t="shared" ca="1" si="62"/>
        <v>4</v>
      </c>
      <c r="M180" s="2">
        <f t="shared" ca="1" si="63"/>
        <v>0.5</v>
      </c>
      <c r="N180" s="10">
        <f t="shared" si="64"/>
        <v>1</v>
      </c>
      <c r="O180" s="10">
        <f t="shared" si="65"/>
        <v>1</v>
      </c>
      <c r="P180" s="3">
        <f t="shared" si="66"/>
        <v>1</v>
      </c>
      <c r="Q180" s="10">
        <f t="shared" ca="1" si="67"/>
        <v>19</v>
      </c>
      <c r="R180" s="10">
        <f t="shared" ca="1" si="28"/>
        <v>13</v>
      </c>
      <c r="S180" s="4">
        <f t="shared" ca="1" si="68"/>
        <v>0.68421052631578949</v>
      </c>
      <c r="T180" s="478"/>
    </row>
    <row r="181" spans="1:20" x14ac:dyDescent="0.45">
      <c r="A181" s="64">
        <v>30956</v>
      </c>
      <c r="B181" s="14">
        <f>COUNTIFS(发射纪录!B:B,"&lt;&gt;-",发射纪录!G:G,"&gt;="&amp;DATE(YEAR(A181),MONTH(A181),1),发射纪录!G:G,"&lt;="&amp;DATE(YEAR(A181),MONTH(A181),DAY(EOMONTH(A181,0))),发射纪录!N:N,"&lt;&gt;")</f>
        <v>0</v>
      </c>
      <c r="C181" s="10">
        <f>COUNTIFS(发射纪录!B:B,"&lt;&gt;-",发射纪录!G:G,"&gt;="&amp;DATE(YEAR(A181),MONTH(A181),1),发射纪录!G:G,"&lt;="&amp;DATE(YEAR(A181),MONTH(A181),DAY(EOMONTH(A181,0))),发射纪录!N:N,"=成功",发射纪录!N:N,"&lt;&gt;")</f>
        <v>0</v>
      </c>
      <c r="D181" s="1" t="str">
        <f t="shared" si="56"/>
        <v>-</v>
      </c>
      <c r="E181" s="10">
        <f t="shared" si="57"/>
        <v>11</v>
      </c>
      <c r="F181" s="10">
        <f t="shared" si="58"/>
        <v>9</v>
      </c>
      <c r="G181" s="2">
        <f t="shared" si="59"/>
        <v>0.81818181818181823</v>
      </c>
      <c r="H181" s="10">
        <f>COUNTIFS(发射纪录!C:C,"&lt;&gt;-",发射纪录!G:G,"&gt;="&amp;DATE(YEAR(A181),MONTH(A181),1),发射纪录!G:G,"&lt;="&amp;DATE(YEAR(A181),MONTH(A181),DAY(EOMONTH(A181,0))),发射纪录!N:N,"&lt;&gt;")</f>
        <v>0</v>
      </c>
      <c r="I181" s="10">
        <f>COUNTIFS(发射纪录!C:C,"&lt;&gt;-",发射纪录!G:G,"&gt;="&amp;DATE(YEAR(A181),MONTH(A181),1),发射纪录!G:G,"&lt;="&amp;DATE(YEAR(A181),MONTH(A181),DAY(EOMONTH(A181,0))),发射纪录!N:N,"=成功",发射纪录!N:N,"&lt;&gt;")</f>
        <v>0</v>
      </c>
      <c r="J181" s="1" t="str">
        <f t="shared" si="60"/>
        <v>-</v>
      </c>
      <c r="K181" s="10">
        <f t="shared" ca="1" si="61"/>
        <v>8</v>
      </c>
      <c r="L181" s="10">
        <f t="shared" ca="1" si="62"/>
        <v>4</v>
      </c>
      <c r="M181" s="2">
        <f t="shared" ca="1" si="63"/>
        <v>0.5</v>
      </c>
      <c r="N181" s="10">
        <f t="shared" si="64"/>
        <v>0</v>
      </c>
      <c r="O181" s="10">
        <f t="shared" si="65"/>
        <v>0</v>
      </c>
      <c r="P181" s="3" t="str">
        <f t="shared" si="66"/>
        <v>-</v>
      </c>
      <c r="Q181" s="10">
        <f t="shared" ca="1" si="67"/>
        <v>19</v>
      </c>
      <c r="R181" s="10">
        <f t="shared" ca="1" si="28"/>
        <v>13</v>
      </c>
      <c r="S181" s="4">
        <f t="shared" ca="1" si="68"/>
        <v>0.68421052631578949</v>
      </c>
      <c r="T181" s="478"/>
    </row>
    <row r="182" spans="1:20" x14ac:dyDescent="0.45">
      <c r="A182" s="64">
        <v>30987</v>
      </c>
      <c r="B182" s="14">
        <f>COUNTIFS(发射纪录!B:B,"&lt;&gt;-",发射纪录!G:G,"&gt;="&amp;DATE(YEAR(A182),MONTH(A182),1),发射纪录!G:G,"&lt;="&amp;DATE(YEAR(A182),MONTH(A182),DAY(EOMONTH(A182,0))),发射纪录!N:N,"&lt;&gt;")</f>
        <v>0</v>
      </c>
      <c r="C182" s="10">
        <f>COUNTIFS(发射纪录!B:B,"&lt;&gt;-",发射纪录!G:G,"&gt;="&amp;DATE(YEAR(A182),MONTH(A182),1),发射纪录!G:G,"&lt;="&amp;DATE(YEAR(A182),MONTH(A182),DAY(EOMONTH(A182,0))),发射纪录!N:N,"=成功",发射纪录!N:N,"&lt;&gt;")</f>
        <v>0</v>
      </c>
      <c r="D182" s="1" t="str">
        <f t="shared" si="56"/>
        <v>-</v>
      </c>
      <c r="E182" s="10">
        <f t="shared" si="57"/>
        <v>11</v>
      </c>
      <c r="F182" s="10">
        <f t="shared" si="58"/>
        <v>9</v>
      </c>
      <c r="G182" s="2">
        <f t="shared" si="59"/>
        <v>0.81818181818181823</v>
      </c>
      <c r="H182" s="10">
        <f>COUNTIFS(发射纪录!C:C,"&lt;&gt;-",发射纪录!G:G,"&gt;="&amp;DATE(YEAR(A182),MONTH(A182),1),发射纪录!G:G,"&lt;="&amp;DATE(YEAR(A182),MONTH(A182),DAY(EOMONTH(A182,0))),发射纪录!N:N,"&lt;&gt;")</f>
        <v>0</v>
      </c>
      <c r="I182" s="10">
        <f ca="1">COUNTIFS(发射纪录!C:C,"&lt;&gt;-",发射纪录!G:G,"&gt;="&amp;DATE(YEAR(A182),MONTH(A182),1),发射纪录!G:G,"&lt;="&amp;DATE(YEAR(A182),MONTH(A182),DAY(EOMONTH(A182,0))),发射纪录!N:N,"=成功",发射纪录!N:N,"&lt;&gt;")</f>
        <v>0</v>
      </c>
      <c r="J182" s="1" t="str">
        <f t="shared" si="60"/>
        <v>-</v>
      </c>
      <c r="K182" s="10">
        <f t="shared" ca="1" si="61"/>
        <v>8</v>
      </c>
      <c r="L182" s="10">
        <f t="shared" ca="1" si="62"/>
        <v>4</v>
      </c>
      <c r="M182" s="2">
        <f t="shared" ca="1" si="63"/>
        <v>0.5</v>
      </c>
      <c r="N182" s="10">
        <f t="shared" si="64"/>
        <v>0</v>
      </c>
      <c r="O182" s="10">
        <f t="shared" ca="1" si="65"/>
        <v>0</v>
      </c>
      <c r="P182" s="3" t="str">
        <f t="shared" si="66"/>
        <v>-</v>
      </c>
      <c r="Q182" s="10">
        <f t="shared" ca="1" si="67"/>
        <v>19</v>
      </c>
      <c r="R182" s="10">
        <f t="shared" ca="1" si="28"/>
        <v>13</v>
      </c>
      <c r="S182" s="4">
        <f t="shared" ca="1" si="68"/>
        <v>0.68421052631578949</v>
      </c>
      <c r="T182" s="478"/>
    </row>
    <row r="183" spans="1:20" ht="19.5" customHeight="1" thickBot="1" x14ac:dyDescent="0.5">
      <c r="A183" s="65">
        <v>31017</v>
      </c>
      <c r="B183" s="17">
        <f>COUNTIFS(发射纪录!B:B,"&lt;&gt;-",发射纪录!G:G,"&gt;="&amp;DATE(YEAR(A183),MONTH(A183),1),发射纪录!G:G,"&lt;="&amp;DATE(YEAR(A183),MONTH(A183),DAY(EOMONTH(A183,0))),发射纪录!N:N,"&lt;&gt;")</f>
        <v>0</v>
      </c>
      <c r="C183" s="18">
        <f>COUNTIFS(发射纪录!B:B,"&lt;&gt;-",发射纪录!G:G,"&gt;="&amp;DATE(YEAR(A183),MONTH(A183),1),发射纪录!G:G,"&lt;="&amp;DATE(YEAR(A183),MONTH(A183),DAY(EOMONTH(A183,0))),发射纪录!N:N,"=成功",发射纪录!N:N,"&lt;&gt;")</f>
        <v>0</v>
      </c>
      <c r="D183" s="12" t="str">
        <f>IF(B183=0,"-",C183/B183)</f>
        <v>-</v>
      </c>
      <c r="E183" s="18">
        <f>E182+B183</f>
        <v>11</v>
      </c>
      <c r="F183" s="18">
        <f>F182+C183</f>
        <v>9</v>
      </c>
      <c r="G183" s="13">
        <f>IF(E183=0,"-",F183/E183)</f>
        <v>0.81818181818181823</v>
      </c>
      <c r="H183" s="18">
        <f>COUNTIFS(发射纪录!C:C,"&lt;&gt;-",发射纪录!G:G,"&gt;="&amp;DATE(YEAR(A183),MONTH(A183),1),发射纪录!G:G,"&lt;="&amp;DATE(YEAR(A183),MONTH(A183),DAY(EOMONTH(A183,0))),发射纪录!N:N,"&lt;&gt;")</f>
        <v>0</v>
      </c>
      <c r="I183" s="18">
        <f ca="1">COUNTIFS(发射纪录!C:C,"&lt;&gt;-",发射纪录!G:G,"&gt;="&amp;DATE(YEAR(A183),MONTH(A183),1),发射纪录!G:G,"&lt;="&amp;DATE(YEAR(A183),MONTH(A183),DAY(EOMONTH(A183,0))),发射纪录!N:N,"=成功",发射纪录!N:N,"&lt;&gt;")</f>
        <v>0</v>
      </c>
      <c r="J183" s="12" t="str">
        <f>IF(H183=0,"-",I183/H183)</f>
        <v>-</v>
      </c>
      <c r="K183" s="18">
        <f ca="1">K182+H183</f>
        <v>8</v>
      </c>
      <c r="L183" s="18">
        <f ca="1">L182+I183</f>
        <v>4</v>
      </c>
      <c r="M183" s="13">
        <f ca="1">IF(K183=0,"-",L183/K183)</f>
        <v>0.5</v>
      </c>
      <c r="N183" s="18">
        <f>B183+H183</f>
        <v>0</v>
      </c>
      <c r="O183" s="18">
        <f ca="1">C183+I183</f>
        <v>0</v>
      </c>
      <c r="P183" s="12" t="str">
        <f>IF(N183=0,"-",O183/N183)</f>
        <v>-</v>
      </c>
      <c r="Q183" s="18">
        <f ca="1">E183+K183</f>
        <v>19</v>
      </c>
      <c r="R183" s="18">
        <f ca="1">F183+L183</f>
        <v>13</v>
      </c>
      <c r="S183" s="13">
        <f ca="1">IF(Q183=0,"-",R183/Q183)</f>
        <v>0.68421052631578949</v>
      </c>
      <c r="T183" s="478"/>
    </row>
    <row r="184" spans="1:20" ht="19.5" customHeight="1" thickTop="1" x14ac:dyDescent="0.45">
      <c r="A184" s="63">
        <v>31048</v>
      </c>
      <c r="B184" s="14">
        <f>COUNTIFS(发射纪录!B:B,"&lt;&gt;-",发射纪录!G:G,"&gt;="&amp;DATE(YEAR(A184),MONTH(A184),1),发射纪录!G:G,"&lt;="&amp;DATE(YEAR(A184),MONTH(A184),DAY(EOMONTH(A184,0))),发射纪录!N:N,"&lt;&gt;")</f>
        <v>0</v>
      </c>
      <c r="C184" s="10">
        <f>COUNTIFS(发射纪录!B:B,"&lt;&gt;-",发射纪录!G:G,"&gt;="&amp;DATE(YEAR(A184),MONTH(A184),1),发射纪录!G:G,"&lt;="&amp;DATE(YEAR(A184),MONTH(A184),DAY(EOMONTH(A184,0))),发射纪录!N:N,"=成功",发射纪录!N:N,"&lt;&gt;")</f>
        <v>0</v>
      </c>
      <c r="D184" s="3" t="str">
        <f t="shared" ref="D184:D194" si="69">IF(B184=0,"-",C184/B184)</f>
        <v>-</v>
      </c>
      <c r="E184" s="10">
        <f t="shared" ref="E184:E194" si="70">E183+B184</f>
        <v>11</v>
      </c>
      <c r="F184" s="10">
        <f t="shared" ref="F184:F194" si="71">F183+C184</f>
        <v>9</v>
      </c>
      <c r="G184" s="4">
        <f t="shared" ref="G184:G194" si="72">IF(E184=0,"-",F184/E184)</f>
        <v>0.81818181818181823</v>
      </c>
      <c r="H184" s="10">
        <f>COUNTIFS(发射纪录!C:C,"&lt;&gt;-",发射纪录!G:G,"&gt;="&amp;DATE(YEAR(A184),MONTH(A184),1),发射纪录!G:G,"&lt;="&amp;DATE(YEAR(A184),MONTH(A184),DAY(EOMONTH(A184,0))),发射纪录!N:N,"&lt;&gt;")</f>
        <v>0</v>
      </c>
      <c r="I184" s="10">
        <f>COUNTIFS(发射纪录!C:C,"&lt;&gt;-",发射纪录!G:G,"&gt;="&amp;DATE(YEAR(A184),MONTH(A184),1),发射纪录!G:G,"&lt;="&amp;DATE(YEAR(A184),MONTH(A184),DAY(EOMONTH(A184,0))),发射纪录!N:N,"=成功",发射纪录!N:N,"&lt;&gt;")</f>
        <v>0</v>
      </c>
      <c r="J184" s="3" t="str">
        <f t="shared" ref="J184:J194" si="73">IF(H184=0,"-",I184/H184)</f>
        <v>-</v>
      </c>
      <c r="K184" s="10">
        <f t="shared" ref="K184:K194" ca="1" si="74">K183+H184</f>
        <v>8</v>
      </c>
      <c r="L184" s="10">
        <f t="shared" ref="L184:L194" ca="1" si="75">L183+I184</f>
        <v>4</v>
      </c>
      <c r="M184" s="4">
        <f t="shared" ref="M184:M194" ca="1" si="76">IF(K184=0,"-",L184/K184)</f>
        <v>0.5</v>
      </c>
      <c r="N184" s="10">
        <f t="shared" ref="N184:N194" si="77">B184+H184</f>
        <v>0</v>
      </c>
      <c r="O184" s="10">
        <f t="shared" ref="O184:O194" si="78">C184+I184</f>
        <v>0</v>
      </c>
      <c r="P184" s="3" t="str">
        <f t="shared" ref="P184:P194" si="79">IF(N184=0,"-",O184/N184)</f>
        <v>-</v>
      </c>
      <c r="Q184" s="10">
        <f t="shared" ref="Q184:Q194" ca="1" si="80">E184+K184</f>
        <v>19</v>
      </c>
      <c r="R184" s="10">
        <f t="shared" ca="1" si="28"/>
        <v>13</v>
      </c>
      <c r="S184" s="4">
        <f t="shared" ref="S184:S194" ca="1" si="81">IF(Q184=0,"-",R184/Q184)</f>
        <v>0.68421052631578949</v>
      </c>
      <c r="T184" s="478"/>
    </row>
    <row r="185" spans="1:20" x14ac:dyDescent="0.45">
      <c r="A185" s="64">
        <v>31079</v>
      </c>
      <c r="B185" s="14">
        <f>COUNTIFS(发射纪录!B:B,"&lt;&gt;-",发射纪录!G:G,"&gt;="&amp;DATE(YEAR(A185),MONTH(A185),1),发射纪录!G:G,"&lt;="&amp;DATE(YEAR(A185),MONTH(A185),DAY(EOMONTH(A185,0))),发射纪录!N:N,"&lt;&gt;")</f>
        <v>0</v>
      </c>
      <c r="C185" s="10">
        <f>COUNTIFS(发射纪录!B:B,"&lt;&gt;-",发射纪录!G:G,"&gt;="&amp;DATE(YEAR(A185),MONTH(A185),1),发射纪录!G:G,"&lt;="&amp;DATE(YEAR(A185),MONTH(A185),DAY(EOMONTH(A185,0))),发射纪录!N:N,"=成功",发射纪录!N:N,"&lt;&gt;")</f>
        <v>0</v>
      </c>
      <c r="D185" s="1" t="str">
        <f t="shared" si="69"/>
        <v>-</v>
      </c>
      <c r="E185" s="10">
        <f t="shared" si="70"/>
        <v>11</v>
      </c>
      <c r="F185" s="10">
        <f t="shared" si="71"/>
        <v>9</v>
      </c>
      <c r="G185" s="2">
        <f t="shared" si="72"/>
        <v>0.81818181818181823</v>
      </c>
      <c r="H185" s="10">
        <f>COUNTIFS(发射纪录!C:C,"&lt;&gt;-",发射纪录!G:G,"&gt;="&amp;DATE(YEAR(A185),MONTH(A185),1),发射纪录!G:G,"&lt;="&amp;DATE(YEAR(A185),MONTH(A185),DAY(EOMONTH(A185,0))),发射纪录!N:N,"&lt;&gt;")</f>
        <v>0</v>
      </c>
      <c r="I185" s="10">
        <f>COUNTIFS(发射纪录!C:C,"&lt;&gt;-",发射纪录!G:G,"&gt;="&amp;DATE(YEAR(A185),MONTH(A185),1),发射纪录!G:G,"&lt;="&amp;DATE(YEAR(A185),MONTH(A185),DAY(EOMONTH(A185,0))),发射纪录!N:N,"=成功",发射纪录!N:N,"&lt;&gt;")</f>
        <v>0</v>
      </c>
      <c r="J185" s="1" t="str">
        <f t="shared" si="73"/>
        <v>-</v>
      </c>
      <c r="K185" s="10">
        <f t="shared" ca="1" si="74"/>
        <v>8</v>
      </c>
      <c r="L185" s="10">
        <f t="shared" ca="1" si="75"/>
        <v>4</v>
      </c>
      <c r="M185" s="2">
        <f t="shared" ca="1" si="76"/>
        <v>0.5</v>
      </c>
      <c r="N185" s="10">
        <f t="shared" si="77"/>
        <v>0</v>
      </c>
      <c r="O185" s="10">
        <f t="shared" si="78"/>
        <v>0</v>
      </c>
      <c r="P185" s="3" t="str">
        <f t="shared" si="79"/>
        <v>-</v>
      </c>
      <c r="Q185" s="10">
        <f t="shared" ca="1" si="80"/>
        <v>19</v>
      </c>
      <c r="R185" s="10">
        <f t="shared" ca="1" si="28"/>
        <v>13</v>
      </c>
      <c r="S185" s="4">
        <f t="shared" ca="1" si="81"/>
        <v>0.68421052631578949</v>
      </c>
      <c r="T185" s="478"/>
    </row>
    <row r="186" spans="1:20" x14ac:dyDescent="0.45">
      <c r="A186" s="64">
        <v>31107</v>
      </c>
      <c r="B186" s="14">
        <f>COUNTIFS(发射纪录!B:B,"&lt;&gt;-",发射纪录!G:G,"&gt;="&amp;DATE(YEAR(A186),MONTH(A186),1),发射纪录!G:G,"&lt;="&amp;DATE(YEAR(A186),MONTH(A186),DAY(EOMONTH(A186,0))),发射纪录!N:N,"&lt;&gt;")</f>
        <v>0</v>
      </c>
      <c r="C186" s="10">
        <f>COUNTIFS(发射纪录!B:B,"&lt;&gt;-",发射纪录!G:G,"&gt;="&amp;DATE(YEAR(A186),MONTH(A186),1),发射纪录!G:G,"&lt;="&amp;DATE(YEAR(A186),MONTH(A186),DAY(EOMONTH(A186,0))),发射纪录!N:N,"=成功",发射纪录!N:N,"&lt;&gt;")</f>
        <v>0</v>
      </c>
      <c r="D186" s="1" t="str">
        <f t="shared" si="69"/>
        <v>-</v>
      </c>
      <c r="E186" s="10">
        <f t="shared" si="70"/>
        <v>11</v>
      </c>
      <c r="F186" s="10">
        <f t="shared" si="71"/>
        <v>9</v>
      </c>
      <c r="G186" s="2">
        <f t="shared" si="72"/>
        <v>0.81818181818181823</v>
      </c>
      <c r="H186" s="10">
        <f>COUNTIFS(发射纪录!C:C,"&lt;&gt;-",发射纪录!G:G,"&gt;="&amp;DATE(YEAR(A186),MONTH(A186),1),发射纪录!G:G,"&lt;="&amp;DATE(YEAR(A186),MONTH(A186),DAY(EOMONTH(A186,0))),发射纪录!N:N,"&lt;&gt;")</f>
        <v>0</v>
      </c>
      <c r="I186" s="10">
        <f>COUNTIFS(发射纪录!C:C,"&lt;&gt;-",发射纪录!G:G,"&gt;="&amp;DATE(YEAR(A186),MONTH(A186),1),发射纪录!G:G,"&lt;="&amp;DATE(YEAR(A186),MONTH(A186),DAY(EOMONTH(A186,0))),发射纪录!N:N,"=成功",发射纪录!N:N,"&lt;&gt;")</f>
        <v>0</v>
      </c>
      <c r="J186" s="1" t="str">
        <f t="shared" si="73"/>
        <v>-</v>
      </c>
      <c r="K186" s="10">
        <f t="shared" ca="1" si="74"/>
        <v>8</v>
      </c>
      <c r="L186" s="10">
        <f t="shared" ca="1" si="75"/>
        <v>4</v>
      </c>
      <c r="M186" s="2">
        <f t="shared" ca="1" si="76"/>
        <v>0.5</v>
      </c>
      <c r="N186" s="10">
        <f t="shared" si="77"/>
        <v>0</v>
      </c>
      <c r="O186" s="10">
        <f t="shared" si="78"/>
        <v>0</v>
      </c>
      <c r="P186" s="3" t="str">
        <f t="shared" si="79"/>
        <v>-</v>
      </c>
      <c r="Q186" s="10">
        <f t="shared" ca="1" si="80"/>
        <v>19</v>
      </c>
      <c r="R186" s="10">
        <f t="shared" ca="1" si="28"/>
        <v>13</v>
      </c>
      <c r="S186" s="4">
        <f t="shared" ca="1" si="81"/>
        <v>0.68421052631578949</v>
      </c>
      <c r="T186" s="478"/>
    </row>
    <row r="187" spans="1:20" x14ac:dyDescent="0.45">
      <c r="A187" s="64">
        <v>31138</v>
      </c>
      <c r="B187" s="14">
        <f>COUNTIFS(发射纪录!B:B,"&lt;&gt;-",发射纪录!G:G,"&gt;="&amp;DATE(YEAR(A187),MONTH(A187),1),发射纪录!G:G,"&lt;="&amp;DATE(YEAR(A187),MONTH(A187),DAY(EOMONTH(A187,0))),发射纪录!N:N,"&lt;&gt;")</f>
        <v>0</v>
      </c>
      <c r="C187" s="10">
        <f>COUNTIFS(发射纪录!B:B,"&lt;&gt;-",发射纪录!G:G,"&gt;="&amp;DATE(YEAR(A187),MONTH(A187),1),发射纪录!G:G,"&lt;="&amp;DATE(YEAR(A187),MONTH(A187),DAY(EOMONTH(A187,0))),发射纪录!N:N,"=成功",发射纪录!N:N,"&lt;&gt;")</f>
        <v>0</v>
      </c>
      <c r="D187" s="1" t="str">
        <f t="shared" si="69"/>
        <v>-</v>
      </c>
      <c r="E187" s="10">
        <f t="shared" si="70"/>
        <v>11</v>
      </c>
      <c r="F187" s="10">
        <f t="shared" si="71"/>
        <v>9</v>
      </c>
      <c r="G187" s="2">
        <f t="shared" si="72"/>
        <v>0.81818181818181823</v>
      </c>
      <c r="H187" s="10">
        <f ca="1">COUNTIFS(发射纪录!C:C,"&lt;&gt;-",发射纪录!G:G,"&gt;="&amp;DATE(YEAR(A187),MONTH(A187),1),发射纪录!G:G,"&lt;="&amp;DATE(YEAR(A187),MONTH(A187),DAY(EOMONTH(A187,0))),发射纪录!N:N,"&lt;&gt;")</f>
        <v>0</v>
      </c>
      <c r="I187" s="10">
        <f>COUNTIFS(发射纪录!C:C,"&lt;&gt;-",发射纪录!G:G,"&gt;="&amp;DATE(YEAR(A187),MONTH(A187),1),发射纪录!G:G,"&lt;="&amp;DATE(YEAR(A187),MONTH(A187),DAY(EOMONTH(A187,0))),发射纪录!N:N,"=成功",发射纪录!N:N,"&lt;&gt;")</f>
        <v>0</v>
      </c>
      <c r="J187" s="1" t="str">
        <f t="shared" ca="1" si="73"/>
        <v>-</v>
      </c>
      <c r="K187" s="10">
        <f t="shared" ca="1" si="74"/>
        <v>8</v>
      </c>
      <c r="L187" s="10">
        <f t="shared" ca="1" si="75"/>
        <v>4</v>
      </c>
      <c r="M187" s="2">
        <f t="shared" ca="1" si="76"/>
        <v>0.5</v>
      </c>
      <c r="N187" s="10">
        <f t="shared" ca="1" si="77"/>
        <v>0</v>
      </c>
      <c r="O187" s="10">
        <f t="shared" si="78"/>
        <v>0</v>
      </c>
      <c r="P187" s="3" t="str">
        <f t="shared" ca="1" si="79"/>
        <v>-</v>
      </c>
      <c r="Q187" s="10">
        <f t="shared" ca="1" si="80"/>
        <v>19</v>
      </c>
      <c r="R187" s="10">
        <f t="shared" ca="1" si="28"/>
        <v>13</v>
      </c>
      <c r="S187" s="4">
        <f t="shared" ca="1" si="81"/>
        <v>0.68421052631578949</v>
      </c>
      <c r="T187" s="478"/>
    </row>
    <row r="188" spans="1:20" x14ac:dyDescent="0.45">
      <c r="A188" s="64">
        <v>31168</v>
      </c>
      <c r="B188" s="14">
        <f>COUNTIFS(发射纪录!B:B,"&lt;&gt;-",发射纪录!G:G,"&gt;="&amp;DATE(YEAR(A188),MONTH(A188),1),发射纪录!G:G,"&lt;="&amp;DATE(YEAR(A188),MONTH(A188),DAY(EOMONTH(A188,0))),发射纪录!N:N,"&lt;&gt;")</f>
        <v>0</v>
      </c>
      <c r="C188" s="10">
        <f>COUNTIFS(发射纪录!B:B,"&lt;&gt;-",发射纪录!G:G,"&gt;="&amp;DATE(YEAR(A188),MONTH(A188),1),发射纪录!G:G,"&lt;="&amp;DATE(YEAR(A188),MONTH(A188),DAY(EOMONTH(A188,0))),发射纪录!N:N,"=成功",发射纪录!N:N,"&lt;&gt;")</f>
        <v>0</v>
      </c>
      <c r="D188" s="1" t="str">
        <f t="shared" si="69"/>
        <v>-</v>
      </c>
      <c r="E188" s="10">
        <f t="shared" si="70"/>
        <v>11</v>
      </c>
      <c r="F188" s="10">
        <f t="shared" si="71"/>
        <v>9</v>
      </c>
      <c r="G188" s="2">
        <f t="shared" si="72"/>
        <v>0.81818181818181823</v>
      </c>
      <c r="H188" s="10">
        <f>COUNTIFS(发射纪录!C:C,"&lt;&gt;-",发射纪录!G:G,"&gt;="&amp;DATE(YEAR(A188),MONTH(A188),1),发射纪录!G:G,"&lt;="&amp;DATE(YEAR(A188),MONTH(A188),DAY(EOMONTH(A188,0))),发射纪录!N:N,"&lt;&gt;")</f>
        <v>0</v>
      </c>
      <c r="I188" s="10">
        <f>COUNTIFS(发射纪录!C:C,"&lt;&gt;-",发射纪录!G:G,"&gt;="&amp;DATE(YEAR(A188),MONTH(A188),1),发射纪录!G:G,"&lt;="&amp;DATE(YEAR(A188),MONTH(A188),DAY(EOMONTH(A188,0))),发射纪录!N:N,"=成功",发射纪录!N:N,"&lt;&gt;")</f>
        <v>0</v>
      </c>
      <c r="J188" s="1" t="str">
        <f t="shared" si="73"/>
        <v>-</v>
      </c>
      <c r="K188" s="10">
        <f t="shared" ca="1" si="74"/>
        <v>8</v>
      </c>
      <c r="L188" s="10">
        <f t="shared" ca="1" si="75"/>
        <v>4</v>
      </c>
      <c r="M188" s="2">
        <f t="shared" ca="1" si="76"/>
        <v>0.5</v>
      </c>
      <c r="N188" s="10">
        <f t="shared" si="77"/>
        <v>0</v>
      </c>
      <c r="O188" s="10">
        <f t="shared" si="78"/>
        <v>0</v>
      </c>
      <c r="P188" s="3" t="str">
        <f t="shared" si="79"/>
        <v>-</v>
      </c>
      <c r="Q188" s="10">
        <f t="shared" ca="1" si="80"/>
        <v>19</v>
      </c>
      <c r="R188" s="10">
        <f t="shared" ca="1" si="28"/>
        <v>13</v>
      </c>
      <c r="S188" s="4">
        <f t="shared" ca="1" si="81"/>
        <v>0.68421052631578949</v>
      </c>
      <c r="T188" s="478"/>
    </row>
    <row r="189" spans="1:20" x14ac:dyDescent="0.45">
      <c r="A189" s="64">
        <v>31199</v>
      </c>
      <c r="B189" s="14">
        <f>COUNTIFS(发射纪录!B:B,"&lt;&gt;-",发射纪录!G:G,"&gt;="&amp;DATE(YEAR(A189),MONTH(A189),1),发射纪录!G:G,"&lt;="&amp;DATE(YEAR(A189),MONTH(A189),DAY(EOMONTH(A189,0))),发射纪录!N:N,"&lt;&gt;")</f>
        <v>0</v>
      </c>
      <c r="C189" s="10">
        <f>COUNTIFS(发射纪录!B:B,"&lt;&gt;-",发射纪录!G:G,"&gt;="&amp;DATE(YEAR(A189),MONTH(A189),1),发射纪录!G:G,"&lt;="&amp;DATE(YEAR(A189),MONTH(A189),DAY(EOMONTH(A189,0))),发射纪录!N:N,"=成功",发射纪录!N:N,"&lt;&gt;")</f>
        <v>0</v>
      </c>
      <c r="D189" s="1" t="str">
        <f t="shared" si="69"/>
        <v>-</v>
      </c>
      <c r="E189" s="10">
        <f t="shared" si="70"/>
        <v>11</v>
      </c>
      <c r="F189" s="10">
        <f t="shared" si="71"/>
        <v>9</v>
      </c>
      <c r="G189" s="2">
        <f t="shared" si="72"/>
        <v>0.81818181818181823</v>
      </c>
      <c r="H189" s="10">
        <f>COUNTIFS(发射纪录!C:C,"&lt;&gt;-",发射纪录!G:G,"&gt;="&amp;DATE(YEAR(A189),MONTH(A189),1),发射纪录!G:G,"&lt;="&amp;DATE(YEAR(A189),MONTH(A189),DAY(EOMONTH(A189,0))),发射纪录!N:N,"&lt;&gt;")</f>
        <v>0</v>
      </c>
      <c r="I189" s="10">
        <f>COUNTIFS(发射纪录!C:C,"&lt;&gt;-",发射纪录!G:G,"&gt;="&amp;DATE(YEAR(A189),MONTH(A189),1),发射纪录!G:G,"&lt;="&amp;DATE(YEAR(A189),MONTH(A189),DAY(EOMONTH(A189,0))),发射纪录!N:N,"=成功",发射纪录!N:N,"&lt;&gt;")</f>
        <v>0</v>
      </c>
      <c r="J189" s="1" t="str">
        <f t="shared" si="73"/>
        <v>-</v>
      </c>
      <c r="K189" s="10">
        <f t="shared" ca="1" si="74"/>
        <v>8</v>
      </c>
      <c r="L189" s="10">
        <f t="shared" ca="1" si="75"/>
        <v>4</v>
      </c>
      <c r="M189" s="2">
        <f t="shared" ca="1" si="76"/>
        <v>0.5</v>
      </c>
      <c r="N189" s="10">
        <f t="shared" si="77"/>
        <v>0</v>
      </c>
      <c r="O189" s="10">
        <f t="shared" si="78"/>
        <v>0</v>
      </c>
      <c r="P189" s="3" t="str">
        <f t="shared" si="79"/>
        <v>-</v>
      </c>
      <c r="Q189" s="10">
        <f t="shared" ca="1" si="80"/>
        <v>19</v>
      </c>
      <c r="R189" s="10">
        <f t="shared" ca="1" si="28"/>
        <v>13</v>
      </c>
      <c r="S189" s="4">
        <f t="shared" ca="1" si="81"/>
        <v>0.68421052631578949</v>
      </c>
      <c r="T189" s="478"/>
    </row>
    <row r="190" spans="1:20" x14ac:dyDescent="0.45">
      <c r="A190" s="64">
        <v>31229</v>
      </c>
      <c r="B190" s="14">
        <f>COUNTIFS(发射纪录!B:B,"&lt;&gt;-",发射纪录!G:G,"&gt;="&amp;DATE(YEAR(A190),MONTH(A190),1),发射纪录!G:G,"&lt;="&amp;DATE(YEAR(A190),MONTH(A190),DAY(EOMONTH(A190,0))),发射纪录!N:N,"&lt;&gt;")</f>
        <v>0</v>
      </c>
      <c r="C190" s="10">
        <f>COUNTIFS(发射纪录!B:B,"&lt;&gt;-",发射纪录!G:G,"&gt;="&amp;DATE(YEAR(A190),MONTH(A190),1),发射纪录!G:G,"&lt;="&amp;DATE(YEAR(A190),MONTH(A190),DAY(EOMONTH(A190,0))),发射纪录!N:N,"=成功",发射纪录!N:N,"&lt;&gt;")</f>
        <v>0</v>
      </c>
      <c r="D190" s="1" t="str">
        <f t="shared" si="69"/>
        <v>-</v>
      </c>
      <c r="E190" s="10">
        <f t="shared" si="70"/>
        <v>11</v>
      </c>
      <c r="F190" s="10">
        <f t="shared" si="71"/>
        <v>9</v>
      </c>
      <c r="G190" s="2">
        <f t="shared" si="72"/>
        <v>0.81818181818181823</v>
      </c>
      <c r="H190" s="10">
        <f>COUNTIFS(发射纪录!C:C,"&lt;&gt;-",发射纪录!G:G,"&gt;="&amp;DATE(YEAR(A190),MONTH(A190),1),发射纪录!G:G,"&lt;="&amp;DATE(YEAR(A190),MONTH(A190),DAY(EOMONTH(A190,0))),发射纪录!N:N,"&lt;&gt;")</f>
        <v>0</v>
      </c>
      <c r="I190" s="10">
        <f>COUNTIFS(发射纪录!C:C,"&lt;&gt;-",发射纪录!G:G,"&gt;="&amp;DATE(YEAR(A190),MONTH(A190),1),发射纪录!G:G,"&lt;="&amp;DATE(YEAR(A190),MONTH(A190),DAY(EOMONTH(A190,0))),发射纪录!N:N,"=成功",发射纪录!N:N,"&lt;&gt;")</f>
        <v>0</v>
      </c>
      <c r="J190" s="1" t="str">
        <f t="shared" si="73"/>
        <v>-</v>
      </c>
      <c r="K190" s="10">
        <f t="shared" ca="1" si="74"/>
        <v>8</v>
      </c>
      <c r="L190" s="10">
        <f t="shared" ca="1" si="75"/>
        <v>4</v>
      </c>
      <c r="M190" s="2">
        <f t="shared" ca="1" si="76"/>
        <v>0.5</v>
      </c>
      <c r="N190" s="10">
        <f t="shared" si="77"/>
        <v>0</v>
      </c>
      <c r="O190" s="10">
        <f t="shared" si="78"/>
        <v>0</v>
      </c>
      <c r="P190" s="3" t="str">
        <f t="shared" si="79"/>
        <v>-</v>
      </c>
      <c r="Q190" s="10">
        <f t="shared" ca="1" si="80"/>
        <v>19</v>
      </c>
      <c r="R190" s="10">
        <f t="shared" ca="1" si="28"/>
        <v>13</v>
      </c>
      <c r="S190" s="4">
        <f t="shared" ca="1" si="81"/>
        <v>0.68421052631578949</v>
      </c>
      <c r="T190" s="478"/>
    </row>
    <row r="191" spans="1:20" x14ac:dyDescent="0.45">
      <c r="A191" s="64">
        <v>31260</v>
      </c>
      <c r="B191" s="14">
        <f>COUNTIFS(发射纪录!B:B,"&lt;&gt;-",发射纪录!G:G,"&gt;="&amp;DATE(YEAR(A191),MONTH(A191),1),发射纪录!G:G,"&lt;="&amp;DATE(YEAR(A191),MONTH(A191),DAY(EOMONTH(A191,0))),发射纪录!N:N,"&lt;&gt;")</f>
        <v>0</v>
      </c>
      <c r="C191" s="10">
        <f>COUNTIFS(发射纪录!B:B,"&lt;&gt;-",发射纪录!G:G,"&gt;="&amp;DATE(YEAR(A191),MONTH(A191),1),发射纪录!G:G,"&lt;="&amp;DATE(YEAR(A191),MONTH(A191),DAY(EOMONTH(A191,0))),发射纪录!N:N,"=成功",发射纪录!N:N,"&lt;&gt;")</f>
        <v>0</v>
      </c>
      <c r="D191" s="1" t="str">
        <f t="shared" si="69"/>
        <v>-</v>
      </c>
      <c r="E191" s="10">
        <f t="shared" si="70"/>
        <v>11</v>
      </c>
      <c r="F191" s="10">
        <f t="shared" si="71"/>
        <v>9</v>
      </c>
      <c r="G191" s="2">
        <f t="shared" si="72"/>
        <v>0.81818181818181823</v>
      </c>
      <c r="H191" s="10">
        <f>COUNTIFS(发射纪录!C:C,"&lt;&gt;-",发射纪录!G:G,"&gt;="&amp;DATE(YEAR(A191),MONTH(A191),1),发射纪录!G:G,"&lt;="&amp;DATE(YEAR(A191),MONTH(A191),DAY(EOMONTH(A191,0))),发射纪录!N:N,"&lt;&gt;")</f>
        <v>0</v>
      </c>
      <c r="I191" s="10">
        <f>COUNTIFS(发射纪录!C:C,"&lt;&gt;-",发射纪录!G:G,"&gt;="&amp;DATE(YEAR(A191),MONTH(A191),1),发射纪录!G:G,"&lt;="&amp;DATE(YEAR(A191),MONTH(A191),DAY(EOMONTH(A191,0))),发射纪录!N:N,"=成功",发射纪录!N:N,"&lt;&gt;")</f>
        <v>0</v>
      </c>
      <c r="J191" s="1" t="str">
        <f t="shared" si="73"/>
        <v>-</v>
      </c>
      <c r="K191" s="10">
        <f t="shared" ca="1" si="74"/>
        <v>8</v>
      </c>
      <c r="L191" s="10">
        <f t="shared" ca="1" si="75"/>
        <v>4</v>
      </c>
      <c r="M191" s="2">
        <f t="shared" ca="1" si="76"/>
        <v>0.5</v>
      </c>
      <c r="N191" s="10">
        <f t="shared" si="77"/>
        <v>0</v>
      </c>
      <c r="O191" s="10">
        <f t="shared" si="78"/>
        <v>0</v>
      </c>
      <c r="P191" s="3" t="str">
        <f t="shared" si="79"/>
        <v>-</v>
      </c>
      <c r="Q191" s="10">
        <f t="shared" ca="1" si="80"/>
        <v>19</v>
      </c>
      <c r="R191" s="10">
        <f t="shared" ca="1" si="28"/>
        <v>13</v>
      </c>
      <c r="S191" s="4">
        <f t="shared" ca="1" si="81"/>
        <v>0.68421052631578949</v>
      </c>
      <c r="T191" s="478"/>
    </row>
    <row r="192" spans="1:20" x14ac:dyDescent="0.45">
      <c r="A192" s="64">
        <v>31291</v>
      </c>
      <c r="B192" s="14">
        <f>COUNTIFS(发射纪录!B:B,"&lt;&gt;-",发射纪录!G:G,"&gt;="&amp;DATE(YEAR(A192),MONTH(A192),1),发射纪录!G:G,"&lt;="&amp;DATE(YEAR(A192),MONTH(A192),DAY(EOMONTH(A192,0))),发射纪录!N:N,"&lt;&gt;")</f>
        <v>0</v>
      </c>
      <c r="C192" s="10">
        <f>COUNTIFS(发射纪录!B:B,"&lt;&gt;-",发射纪录!G:G,"&gt;="&amp;DATE(YEAR(A192),MONTH(A192),1),发射纪录!G:G,"&lt;="&amp;DATE(YEAR(A192),MONTH(A192),DAY(EOMONTH(A192,0))),发射纪录!N:N,"=成功",发射纪录!N:N,"&lt;&gt;")</f>
        <v>0</v>
      </c>
      <c r="D192" s="1" t="str">
        <f t="shared" si="69"/>
        <v>-</v>
      </c>
      <c r="E192" s="10">
        <f t="shared" si="70"/>
        <v>11</v>
      </c>
      <c r="F192" s="10">
        <f t="shared" si="71"/>
        <v>9</v>
      </c>
      <c r="G192" s="2">
        <f t="shared" si="72"/>
        <v>0.81818181818181823</v>
      </c>
      <c r="H192" s="10">
        <f>COUNTIFS(发射纪录!C:C,"&lt;&gt;-",发射纪录!G:G,"&gt;="&amp;DATE(YEAR(A192),MONTH(A192),1),发射纪录!G:G,"&lt;="&amp;DATE(YEAR(A192),MONTH(A192),DAY(EOMONTH(A192,0))),发射纪录!N:N,"&lt;&gt;")</f>
        <v>0</v>
      </c>
      <c r="I192" s="10">
        <f>COUNTIFS(发射纪录!C:C,"&lt;&gt;-",发射纪录!G:G,"&gt;="&amp;DATE(YEAR(A192),MONTH(A192),1),发射纪录!G:G,"&lt;="&amp;DATE(YEAR(A192),MONTH(A192),DAY(EOMONTH(A192,0))),发射纪录!N:N,"=成功",发射纪录!N:N,"&lt;&gt;")</f>
        <v>0</v>
      </c>
      <c r="J192" s="1" t="str">
        <f t="shared" si="73"/>
        <v>-</v>
      </c>
      <c r="K192" s="10">
        <f t="shared" ca="1" si="74"/>
        <v>8</v>
      </c>
      <c r="L192" s="10">
        <f t="shared" ca="1" si="75"/>
        <v>4</v>
      </c>
      <c r="M192" s="2">
        <f t="shared" ca="1" si="76"/>
        <v>0.5</v>
      </c>
      <c r="N192" s="10">
        <f t="shared" si="77"/>
        <v>0</v>
      </c>
      <c r="O192" s="10">
        <f t="shared" si="78"/>
        <v>0</v>
      </c>
      <c r="P192" s="3" t="str">
        <f t="shared" si="79"/>
        <v>-</v>
      </c>
      <c r="Q192" s="10">
        <f t="shared" ca="1" si="80"/>
        <v>19</v>
      </c>
      <c r="R192" s="10">
        <f t="shared" ca="1" si="28"/>
        <v>13</v>
      </c>
      <c r="S192" s="4">
        <f t="shared" ca="1" si="81"/>
        <v>0.68421052631578949</v>
      </c>
      <c r="T192" s="478"/>
    </row>
    <row r="193" spans="1:20" x14ac:dyDescent="0.45">
      <c r="A193" s="64">
        <v>31321</v>
      </c>
      <c r="B193" s="14">
        <f>COUNTIFS(发射纪录!B:B,"&lt;&gt;-",发射纪录!G:G,"&gt;="&amp;DATE(YEAR(A193),MONTH(A193),1),发射纪录!G:G,"&lt;="&amp;DATE(YEAR(A193),MONTH(A193),DAY(EOMONTH(A193,0))),发射纪录!N:N,"&lt;&gt;")</f>
        <v>1</v>
      </c>
      <c r="C193" s="10">
        <f>COUNTIFS(发射纪录!B:B,"&lt;&gt;-",发射纪录!G:G,"&gt;="&amp;DATE(YEAR(A193),MONTH(A193),1),发射纪录!G:G,"&lt;="&amp;DATE(YEAR(A193),MONTH(A193),DAY(EOMONTH(A193,0))),发射纪录!N:N,"=成功",发射纪录!N:N,"&lt;&gt;")</f>
        <v>1</v>
      </c>
      <c r="D193" s="1">
        <f t="shared" si="69"/>
        <v>1</v>
      </c>
      <c r="E193" s="10">
        <f t="shared" si="70"/>
        <v>12</v>
      </c>
      <c r="F193" s="10">
        <f t="shared" si="71"/>
        <v>10</v>
      </c>
      <c r="G193" s="2">
        <f t="shared" si="72"/>
        <v>0.83333333333333337</v>
      </c>
      <c r="H193" s="10">
        <f>COUNTIFS(发射纪录!C:C,"&lt;&gt;-",发射纪录!G:G,"&gt;="&amp;DATE(YEAR(A193),MONTH(A193),1),发射纪录!G:G,"&lt;="&amp;DATE(YEAR(A193),MONTH(A193),DAY(EOMONTH(A193,0))),发射纪录!N:N,"&lt;&gt;")</f>
        <v>0</v>
      </c>
      <c r="I193" s="10">
        <f>COUNTIFS(发射纪录!C:C,"&lt;&gt;-",发射纪录!G:G,"&gt;="&amp;DATE(YEAR(A193),MONTH(A193),1),发射纪录!G:G,"&lt;="&amp;DATE(YEAR(A193),MONTH(A193),DAY(EOMONTH(A193,0))),发射纪录!N:N,"=成功",发射纪录!N:N,"&lt;&gt;")</f>
        <v>0</v>
      </c>
      <c r="J193" s="1" t="str">
        <f t="shared" si="73"/>
        <v>-</v>
      </c>
      <c r="K193" s="10">
        <f t="shared" ca="1" si="74"/>
        <v>8</v>
      </c>
      <c r="L193" s="10">
        <f t="shared" ca="1" si="75"/>
        <v>4</v>
      </c>
      <c r="M193" s="2">
        <f t="shared" ca="1" si="76"/>
        <v>0.5</v>
      </c>
      <c r="N193" s="10">
        <f t="shared" si="77"/>
        <v>1</v>
      </c>
      <c r="O193" s="10">
        <f t="shared" si="78"/>
        <v>1</v>
      </c>
      <c r="P193" s="3">
        <f t="shared" si="79"/>
        <v>1</v>
      </c>
      <c r="Q193" s="10">
        <f t="shared" ca="1" si="80"/>
        <v>20</v>
      </c>
      <c r="R193" s="10">
        <f t="shared" ca="1" si="28"/>
        <v>14</v>
      </c>
      <c r="S193" s="4">
        <f t="shared" ca="1" si="81"/>
        <v>0.7</v>
      </c>
      <c r="T193" s="478"/>
    </row>
    <row r="194" spans="1:20" x14ac:dyDescent="0.45">
      <c r="A194" s="64">
        <v>31352</v>
      </c>
      <c r="B194" s="14">
        <f>COUNTIFS(发射纪录!B:B,"&lt;&gt;-",发射纪录!G:G,"&gt;="&amp;DATE(YEAR(A194),MONTH(A194),1),发射纪录!G:G,"&lt;="&amp;DATE(YEAR(A194),MONTH(A194),DAY(EOMONTH(A194,0))),发射纪录!N:N,"&lt;&gt;")</f>
        <v>0</v>
      </c>
      <c r="C194" s="10">
        <f>COUNTIFS(发射纪录!B:B,"&lt;&gt;-",发射纪录!G:G,"&gt;="&amp;DATE(YEAR(A194),MONTH(A194),1),发射纪录!G:G,"&lt;="&amp;DATE(YEAR(A194),MONTH(A194),DAY(EOMONTH(A194,0))),发射纪录!N:N,"=成功",发射纪录!N:N,"&lt;&gt;")</f>
        <v>0</v>
      </c>
      <c r="D194" s="1" t="str">
        <f t="shared" si="69"/>
        <v>-</v>
      </c>
      <c r="E194" s="10">
        <f t="shared" si="70"/>
        <v>12</v>
      </c>
      <c r="F194" s="10">
        <f t="shared" si="71"/>
        <v>10</v>
      </c>
      <c r="G194" s="2">
        <f t="shared" si="72"/>
        <v>0.83333333333333337</v>
      </c>
      <c r="H194" s="10">
        <f>COUNTIFS(发射纪录!C:C,"&lt;&gt;-",发射纪录!G:G,"&gt;="&amp;DATE(YEAR(A194),MONTH(A194),1),发射纪录!G:G,"&lt;="&amp;DATE(YEAR(A194),MONTH(A194),DAY(EOMONTH(A194,0))),发射纪录!N:N,"&lt;&gt;")</f>
        <v>0</v>
      </c>
      <c r="I194" s="10">
        <f ca="1">COUNTIFS(发射纪录!C:C,"&lt;&gt;-",发射纪录!G:G,"&gt;="&amp;DATE(YEAR(A194),MONTH(A194),1),发射纪录!G:G,"&lt;="&amp;DATE(YEAR(A194),MONTH(A194),DAY(EOMONTH(A194,0))),发射纪录!N:N,"=成功",发射纪录!N:N,"&lt;&gt;")</f>
        <v>0</v>
      </c>
      <c r="J194" s="1" t="str">
        <f t="shared" si="73"/>
        <v>-</v>
      </c>
      <c r="K194" s="10">
        <f t="shared" ca="1" si="74"/>
        <v>8</v>
      </c>
      <c r="L194" s="10">
        <f t="shared" ca="1" si="75"/>
        <v>4</v>
      </c>
      <c r="M194" s="2">
        <f t="shared" ca="1" si="76"/>
        <v>0.5</v>
      </c>
      <c r="N194" s="10">
        <f t="shared" si="77"/>
        <v>0</v>
      </c>
      <c r="O194" s="10">
        <f t="shared" ca="1" si="78"/>
        <v>0</v>
      </c>
      <c r="P194" s="3" t="str">
        <f t="shared" si="79"/>
        <v>-</v>
      </c>
      <c r="Q194" s="10">
        <f t="shared" ca="1" si="80"/>
        <v>20</v>
      </c>
      <c r="R194" s="10">
        <f t="shared" ca="1" si="28"/>
        <v>14</v>
      </c>
      <c r="S194" s="4">
        <f t="shared" ca="1" si="81"/>
        <v>0.7</v>
      </c>
      <c r="T194" s="478"/>
    </row>
    <row r="195" spans="1:20" ht="19.5" customHeight="1" thickBot="1" x14ac:dyDescent="0.5">
      <c r="A195" s="65">
        <v>31382</v>
      </c>
      <c r="B195" s="17">
        <f>COUNTIFS(发射纪录!B:B,"&lt;&gt;-",发射纪录!G:G,"&gt;="&amp;DATE(YEAR(A195),MONTH(A195),1),发射纪录!G:G,"&lt;="&amp;DATE(YEAR(A195),MONTH(A195),DAY(EOMONTH(A195,0))),发射纪录!N:N,"&lt;&gt;")</f>
        <v>0</v>
      </c>
      <c r="C195" s="18">
        <f>COUNTIFS(发射纪录!B:B,"&lt;&gt;-",发射纪录!G:G,"&gt;="&amp;DATE(YEAR(A195),MONTH(A195),1),发射纪录!G:G,"&lt;="&amp;DATE(YEAR(A195),MONTH(A195),DAY(EOMONTH(A195,0))),发射纪录!N:N,"=成功",发射纪录!N:N,"&lt;&gt;")</f>
        <v>0</v>
      </c>
      <c r="D195" s="12" t="str">
        <f>IF(B195=0,"-",C195/B195)</f>
        <v>-</v>
      </c>
      <c r="E195" s="18">
        <f>E194+B195</f>
        <v>12</v>
      </c>
      <c r="F195" s="18">
        <f>F194+C195</f>
        <v>10</v>
      </c>
      <c r="G195" s="13">
        <f>IF(E195=0,"-",F195/E195)</f>
        <v>0.83333333333333337</v>
      </c>
      <c r="H195" s="18">
        <f>COUNTIFS(发射纪录!C:C,"&lt;&gt;-",发射纪录!G:G,"&gt;="&amp;DATE(YEAR(A195),MONTH(A195),1),发射纪录!G:G,"&lt;="&amp;DATE(YEAR(A195),MONTH(A195),DAY(EOMONTH(A195,0))),发射纪录!N:N,"&lt;&gt;")</f>
        <v>0</v>
      </c>
      <c r="I195" s="18">
        <f ca="1">COUNTIFS(发射纪录!C:C,"&lt;&gt;-",发射纪录!G:G,"&gt;="&amp;DATE(YEAR(A195),MONTH(A195),1),发射纪录!G:G,"&lt;="&amp;DATE(YEAR(A195),MONTH(A195),DAY(EOMONTH(A195,0))),发射纪录!N:N,"=成功",发射纪录!N:N,"&lt;&gt;")</f>
        <v>0</v>
      </c>
      <c r="J195" s="12" t="str">
        <f>IF(H195=0,"-",I195/H195)</f>
        <v>-</v>
      </c>
      <c r="K195" s="18">
        <f ca="1">K194+H195</f>
        <v>8</v>
      </c>
      <c r="L195" s="18">
        <f ca="1">L194+I195</f>
        <v>4</v>
      </c>
      <c r="M195" s="13">
        <f ca="1">IF(K195=0,"-",L195/K195)</f>
        <v>0.5</v>
      </c>
      <c r="N195" s="18">
        <f>B195+H195</f>
        <v>0</v>
      </c>
      <c r="O195" s="18">
        <f ca="1">C195+I195</f>
        <v>0</v>
      </c>
      <c r="P195" s="12" t="str">
        <f>IF(N195=0,"-",O195/N195)</f>
        <v>-</v>
      </c>
      <c r="Q195" s="18">
        <f ca="1">E195+K195</f>
        <v>20</v>
      </c>
      <c r="R195" s="18">
        <f ca="1">F195+L195</f>
        <v>14</v>
      </c>
      <c r="S195" s="13">
        <f ca="1">IF(Q195=0,"-",R195/Q195)</f>
        <v>0.7</v>
      </c>
      <c r="T195" s="478"/>
    </row>
    <row r="196" spans="1:20" ht="19.5" customHeight="1" thickTop="1" x14ac:dyDescent="0.45">
      <c r="A196" s="63">
        <v>31413</v>
      </c>
      <c r="B196" s="14">
        <f>COUNTIFS(发射纪录!B:B,"&lt;&gt;-",发射纪录!G:G,"&gt;="&amp;DATE(YEAR(A196),MONTH(A196),1),发射纪录!G:G,"&lt;="&amp;DATE(YEAR(A196),MONTH(A196),DAY(EOMONTH(A196,0))),发射纪录!N:N,"&lt;&gt;")</f>
        <v>0</v>
      </c>
      <c r="C196" s="10">
        <f>COUNTIFS(发射纪录!B:B,"&lt;&gt;-",发射纪录!G:G,"&gt;="&amp;DATE(YEAR(A196),MONTH(A196),1),发射纪录!G:G,"&lt;="&amp;DATE(YEAR(A196),MONTH(A196),DAY(EOMONTH(A196,0))),发射纪录!N:N,"=成功",发射纪录!N:N,"&lt;&gt;")</f>
        <v>0</v>
      </c>
      <c r="D196" s="3" t="str">
        <f t="shared" ref="D196:D206" si="82">IF(B196=0,"-",C196/B196)</f>
        <v>-</v>
      </c>
      <c r="E196" s="10">
        <f t="shared" ref="E196:E206" si="83">E195+B196</f>
        <v>12</v>
      </c>
      <c r="F196" s="10">
        <f t="shared" ref="F196:F206" si="84">F195+C196</f>
        <v>10</v>
      </c>
      <c r="G196" s="4">
        <f t="shared" ref="G196:G206" si="85">IF(E196=0,"-",F196/E196)</f>
        <v>0.83333333333333337</v>
      </c>
      <c r="H196" s="10">
        <f>COUNTIFS(发射纪录!C:C,"&lt;&gt;-",发射纪录!G:G,"&gt;="&amp;DATE(YEAR(A196),MONTH(A196),1),发射纪录!G:G,"&lt;="&amp;DATE(YEAR(A196),MONTH(A196),DAY(EOMONTH(A196,0))),发射纪录!N:N,"&lt;&gt;")</f>
        <v>0</v>
      </c>
      <c r="I196" s="10">
        <f>COUNTIFS(发射纪录!C:C,"&lt;&gt;-",发射纪录!G:G,"&gt;="&amp;DATE(YEAR(A196),MONTH(A196),1),发射纪录!G:G,"&lt;="&amp;DATE(YEAR(A196),MONTH(A196),DAY(EOMONTH(A196,0))),发射纪录!N:N,"=成功",发射纪录!N:N,"&lt;&gt;")</f>
        <v>0</v>
      </c>
      <c r="J196" s="3" t="str">
        <f t="shared" ref="J196:J206" si="86">IF(H196=0,"-",I196/H196)</f>
        <v>-</v>
      </c>
      <c r="K196" s="10">
        <f t="shared" ref="K196:K206" ca="1" si="87">K195+H196</f>
        <v>8</v>
      </c>
      <c r="L196" s="10">
        <f t="shared" ref="L196:L206" ca="1" si="88">L195+I196</f>
        <v>4</v>
      </c>
      <c r="M196" s="4">
        <f t="shared" ref="M196:M206" ca="1" si="89">IF(K196=0,"-",L196/K196)</f>
        <v>0.5</v>
      </c>
      <c r="N196" s="10">
        <f t="shared" ref="N196:N206" si="90">B196+H196</f>
        <v>0</v>
      </c>
      <c r="O196" s="10">
        <f t="shared" ref="O196:O206" si="91">C196+I196</f>
        <v>0</v>
      </c>
      <c r="P196" s="3" t="str">
        <f t="shared" ref="P196:P206" si="92">IF(N196=0,"-",O196/N196)</f>
        <v>-</v>
      </c>
      <c r="Q196" s="10">
        <f t="shared" ref="Q196:Q206" ca="1" si="93">E196+K196</f>
        <v>20</v>
      </c>
      <c r="R196" s="10">
        <f t="shared" ref="R196:R206" ca="1" si="94">F196+L196</f>
        <v>14</v>
      </c>
      <c r="S196" s="4">
        <f t="shared" ref="S196:S206" ca="1" si="95">IF(Q196=0,"-",R196/Q196)</f>
        <v>0.7</v>
      </c>
      <c r="T196" s="478"/>
    </row>
    <row r="197" spans="1:20" x14ac:dyDescent="0.45">
      <c r="A197" s="64">
        <v>31444</v>
      </c>
      <c r="B197" s="14">
        <f>COUNTIFS(发射纪录!B:B,"&lt;&gt;-",发射纪录!G:G,"&gt;="&amp;DATE(YEAR(A197),MONTH(A197),1),发射纪录!G:G,"&lt;="&amp;DATE(YEAR(A197),MONTH(A197),DAY(EOMONTH(A197,0))),发射纪录!N:N,"&lt;&gt;")</f>
        <v>1</v>
      </c>
      <c r="C197" s="10">
        <f>COUNTIFS(发射纪录!B:B,"&lt;&gt;-",发射纪录!G:G,"&gt;="&amp;DATE(YEAR(A197),MONTH(A197),1),发射纪录!G:G,"&lt;="&amp;DATE(YEAR(A197),MONTH(A197),DAY(EOMONTH(A197,0))),发射纪录!N:N,"=成功",发射纪录!N:N,"&lt;&gt;")</f>
        <v>1</v>
      </c>
      <c r="D197" s="1">
        <f t="shared" si="82"/>
        <v>1</v>
      </c>
      <c r="E197" s="10">
        <f t="shared" si="83"/>
        <v>13</v>
      </c>
      <c r="F197" s="10">
        <f t="shared" si="84"/>
        <v>11</v>
      </c>
      <c r="G197" s="2">
        <f t="shared" si="85"/>
        <v>0.84615384615384615</v>
      </c>
      <c r="H197" s="10">
        <f ca="1">COUNTIFS(发射纪录!C:C,"&lt;&gt;-",发射纪录!G:G,"&gt;="&amp;DATE(YEAR(A197),MONTH(A197),1),发射纪录!G:G,"&lt;="&amp;DATE(YEAR(A197),MONTH(A197),DAY(EOMONTH(A197,0))),发射纪录!N:N,"&lt;&gt;")</f>
        <v>0</v>
      </c>
      <c r="I197" s="10">
        <f>COUNTIFS(发射纪录!C:C,"&lt;&gt;-",发射纪录!G:G,"&gt;="&amp;DATE(YEAR(A197),MONTH(A197),1),发射纪录!G:G,"&lt;="&amp;DATE(YEAR(A197),MONTH(A197),DAY(EOMONTH(A197,0))),发射纪录!N:N,"=成功",发射纪录!N:N,"&lt;&gt;")</f>
        <v>0</v>
      </c>
      <c r="J197" s="1" t="str">
        <f t="shared" ca="1" si="86"/>
        <v>-</v>
      </c>
      <c r="K197" s="10">
        <f t="shared" ca="1" si="87"/>
        <v>8</v>
      </c>
      <c r="L197" s="10">
        <f t="shared" ca="1" si="88"/>
        <v>4</v>
      </c>
      <c r="M197" s="2">
        <f t="shared" ca="1" si="89"/>
        <v>0.5</v>
      </c>
      <c r="N197" s="10">
        <f t="shared" ca="1" si="90"/>
        <v>1</v>
      </c>
      <c r="O197" s="10">
        <f t="shared" si="91"/>
        <v>1</v>
      </c>
      <c r="P197" s="3">
        <f t="shared" ca="1" si="92"/>
        <v>1</v>
      </c>
      <c r="Q197" s="10">
        <f t="shared" ca="1" si="93"/>
        <v>21</v>
      </c>
      <c r="R197" s="10">
        <f t="shared" ca="1" si="94"/>
        <v>15</v>
      </c>
      <c r="S197" s="4">
        <f t="shared" ca="1" si="95"/>
        <v>0.7142857142857143</v>
      </c>
      <c r="T197" s="478"/>
    </row>
    <row r="198" spans="1:20" x14ac:dyDescent="0.45">
      <c r="A198" s="64">
        <v>31472</v>
      </c>
      <c r="B198" s="14">
        <f>COUNTIFS(发射纪录!B:B,"&lt;&gt;-",发射纪录!G:G,"&gt;="&amp;DATE(YEAR(A198),MONTH(A198),1),发射纪录!G:G,"&lt;="&amp;DATE(YEAR(A198),MONTH(A198),DAY(EOMONTH(A198,0))),发射纪录!N:N,"&lt;&gt;")</f>
        <v>0</v>
      </c>
      <c r="C198" s="10">
        <f>COUNTIFS(发射纪录!B:B,"&lt;&gt;-",发射纪录!G:G,"&gt;="&amp;DATE(YEAR(A198),MONTH(A198),1),发射纪录!G:G,"&lt;="&amp;DATE(YEAR(A198),MONTH(A198),DAY(EOMONTH(A198,0))),发射纪录!N:N,"=成功",发射纪录!N:N,"&lt;&gt;")</f>
        <v>0</v>
      </c>
      <c r="D198" s="1" t="str">
        <f t="shared" si="82"/>
        <v>-</v>
      </c>
      <c r="E198" s="10">
        <f t="shared" si="83"/>
        <v>13</v>
      </c>
      <c r="F198" s="10">
        <f t="shared" si="84"/>
        <v>11</v>
      </c>
      <c r="G198" s="2">
        <f t="shared" si="85"/>
        <v>0.84615384615384615</v>
      </c>
      <c r="H198" s="10">
        <f>COUNTIFS(发射纪录!C:C,"&lt;&gt;-",发射纪录!G:G,"&gt;="&amp;DATE(YEAR(A198),MONTH(A198),1),发射纪录!G:G,"&lt;="&amp;DATE(YEAR(A198),MONTH(A198),DAY(EOMONTH(A198,0))),发射纪录!N:N,"&lt;&gt;")</f>
        <v>0</v>
      </c>
      <c r="I198" s="10">
        <f>COUNTIFS(发射纪录!C:C,"&lt;&gt;-",发射纪录!G:G,"&gt;="&amp;DATE(YEAR(A198),MONTH(A198),1),发射纪录!G:G,"&lt;="&amp;DATE(YEAR(A198),MONTH(A198),DAY(EOMONTH(A198,0))),发射纪录!N:N,"=成功",发射纪录!N:N,"&lt;&gt;")</f>
        <v>0</v>
      </c>
      <c r="J198" s="1" t="str">
        <f t="shared" si="86"/>
        <v>-</v>
      </c>
      <c r="K198" s="10">
        <f t="shared" ca="1" si="87"/>
        <v>8</v>
      </c>
      <c r="L198" s="10">
        <f t="shared" ca="1" si="88"/>
        <v>4</v>
      </c>
      <c r="M198" s="2">
        <f t="shared" ca="1" si="89"/>
        <v>0.5</v>
      </c>
      <c r="N198" s="10">
        <f t="shared" si="90"/>
        <v>0</v>
      </c>
      <c r="O198" s="10">
        <f t="shared" si="91"/>
        <v>0</v>
      </c>
      <c r="P198" s="3" t="str">
        <f t="shared" si="92"/>
        <v>-</v>
      </c>
      <c r="Q198" s="10">
        <f t="shared" ca="1" si="93"/>
        <v>21</v>
      </c>
      <c r="R198" s="10">
        <f t="shared" ca="1" si="94"/>
        <v>15</v>
      </c>
      <c r="S198" s="4">
        <f t="shared" ca="1" si="95"/>
        <v>0.7142857142857143</v>
      </c>
      <c r="T198" s="478"/>
    </row>
    <row r="199" spans="1:20" x14ac:dyDescent="0.45">
      <c r="A199" s="64">
        <v>31503</v>
      </c>
      <c r="B199" s="14">
        <f>COUNTIFS(发射纪录!B:B,"&lt;&gt;-",发射纪录!G:G,"&gt;="&amp;DATE(YEAR(A199),MONTH(A199),1),发射纪录!G:G,"&lt;="&amp;DATE(YEAR(A199),MONTH(A199),DAY(EOMONTH(A199,0))),发射纪录!N:N,"&lt;&gt;")</f>
        <v>0</v>
      </c>
      <c r="C199" s="10">
        <f>COUNTIFS(发射纪录!B:B,"&lt;&gt;-",发射纪录!G:G,"&gt;="&amp;DATE(YEAR(A199),MONTH(A199),1),发射纪录!G:G,"&lt;="&amp;DATE(YEAR(A199),MONTH(A199),DAY(EOMONTH(A199,0))),发射纪录!N:N,"=成功",发射纪录!N:N,"&lt;&gt;")</f>
        <v>0</v>
      </c>
      <c r="D199" s="1" t="str">
        <f t="shared" si="82"/>
        <v>-</v>
      </c>
      <c r="E199" s="10">
        <f t="shared" si="83"/>
        <v>13</v>
      </c>
      <c r="F199" s="10">
        <f t="shared" si="84"/>
        <v>11</v>
      </c>
      <c r="G199" s="2">
        <f t="shared" si="85"/>
        <v>0.84615384615384615</v>
      </c>
      <c r="H199" s="10">
        <f>COUNTIFS(发射纪录!C:C,"&lt;&gt;-",发射纪录!G:G,"&gt;="&amp;DATE(YEAR(A199),MONTH(A199),1),发射纪录!G:G,"&lt;="&amp;DATE(YEAR(A199),MONTH(A199),DAY(EOMONTH(A199,0))),发射纪录!N:N,"&lt;&gt;")</f>
        <v>0</v>
      </c>
      <c r="I199" s="10">
        <f>COUNTIFS(发射纪录!C:C,"&lt;&gt;-",发射纪录!G:G,"&gt;="&amp;DATE(YEAR(A199),MONTH(A199),1),发射纪录!G:G,"&lt;="&amp;DATE(YEAR(A199),MONTH(A199),DAY(EOMONTH(A199,0))),发射纪录!N:N,"=成功",发射纪录!N:N,"&lt;&gt;")</f>
        <v>0</v>
      </c>
      <c r="J199" s="1" t="str">
        <f t="shared" si="86"/>
        <v>-</v>
      </c>
      <c r="K199" s="10">
        <f t="shared" ca="1" si="87"/>
        <v>8</v>
      </c>
      <c r="L199" s="10">
        <f t="shared" ca="1" si="88"/>
        <v>4</v>
      </c>
      <c r="M199" s="2">
        <f t="shared" ca="1" si="89"/>
        <v>0.5</v>
      </c>
      <c r="N199" s="10">
        <f t="shared" si="90"/>
        <v>0</v>
      </c>
      <c r="O199" s="10">
        <f t="shared" si="91"/>
        <v>0</v>
      </c>
      <c r="P199" s="3" t="str">
        <f t="shared" si="92"/>
        <v>-</v>
      </c>
      <c r="Q199" s="10">
        <f t="shared" ca="1" si="93"/>
        <v>21</v>
      </c>
      <c r="R199" s="10">
        <f t="shared" ca="1" si="94"/>
        <v>15</v>
      </c>
      <c r="S199" s="4">
        <f t="shared" ca="1" si="95"/>
        <v>0.7142857142857143</v>
      </c>
      <c r="T199" s="478"/>
    </row>
    <row r="200" spans="1:20" x14ac:dyDescent="0.45">
      <c r="A200" s="64">
        <v>31533</v>
      </c>
      <c r="B200" s="14">
        <f>COUNTIFS(发射纪录!B:B,"&lt;&gt;-",发射纪录!G:G,"&gt;="&amp;DATE(YEAR(A200),MONTH(A200),1),发射纪录!G:G,"&lt;="&amp;DATE(YEAR(A200),MONTH(A200),DAY(EOMONTH(A200,0))),发射纪录!N:N,"&lt;&gt;")</f>
        <v>0</v>
      </c>
      <c r="C200" s="10">
        <f>COUNTIFS(发射纪录!B:B,"&lt;&gt;-",发射纪录!G:G,"&gt;="&amp;DATE(YEAR(A200),MONTH(A200),1),发射纪录!G:G,"&lt;="&amp;DATE(YEAR(A200),MONTH(A200),DAY(EOMONTH(A200,0))),发射纪录!N:N,"=成功",发射纪录!N:N,"&lt;&gt;")</f>
        <v>0</v>
      </c>
      <c r="D200" s="1" t="str">
        <f t="shared" si="82"/>
        <v>-</v>
      </c>
      <c r="E200" s="10">
        <f t="shared" si="83"/>
        <v>13</v>
      </c>
      <c r="F200" s="10">
        <f t="shared" si="84"/>
        <v>11</v>
      </c>
      <c r="G200" s="2">
        <f t="shared" si="85"/>
        <v>0.84615384615384615</v>
      </c>
      <c r="H200" s="10">
        <f ca="1">COUNTIFS(发射纪录!C:C,"&lt;&gt;-",发射纪录!G:G,"&gt;="&amp;DATE(YEAR(A200),MONTH(A200),1),发射纪录!G:G,"&lt;="&amp;DATE(YEAR(A200),MONTH(A200),DAY(EOMONTH(A200,0))),发射纪录!N:N,"&lt;&gt;")</f>
        <v>0</v>
      </c>
      <c r="I200" s="10">
        <f ca="1">COUNTIFS(发射纪录!C:C,"&lt;&gt;-",发射纪录!G:G,"&gt;="&amp;DATE(YEAR(A200),MONTH(A200),1),发射纪录!G:G,"&lt;="&amp;DATE(YEAR(A200),MONTH(A200),DAY(EOMONTH(A200,0))),发射纪录!N:N,"=成功",发射纪录!N:N,"&lt;&gt;")</f>
        <v>0</v>
      </c>
      <c r="J200" s="1" t="str">
        <f t="shared" ca="1" si="86"/>
        <v>-</v>
      </c>
      <c r="K200" s="10">
        <f t="shared" ca="1" si="87"/>
        <v>8</v>
      </c>
      <c r="L200" s="10">
        <f t="shared" ca="1" si="88"/>
        <v>4</v>
      </c>
      <c r="M200" s="2">
        <f t="shared" ca="1" si="89"/>
        <v>0.5</v>
      </c>
      <c r="N200" s="10">
        <f t="shared" ca="1" si="90"/>
        <v>0</v>
      </c>
      <c r="O200" s="10">
        <f t="shared" ca="1" si="91"/>
        <v>0</v>
      </c>
      <c r="P200" s="3" t="str">
        <f t="shared" ca="1" si="92"/>
        <v>-</v>
      </c>
      <c r="Q200" s="10">
        <f t="shared" ca="1" si="93"/>
        <v>21</v>
      </c>
      <c r="R200" s="10">
        <f t="shared" ca="1" si="94"/>
        <v>15</v>
      </c>
      <c r="S200" s="4">
        <f t="shared" ca="1" si="95"/>
        <v>0.7142857142857143</v>
      </c>
      <c r="T200" s="478"/>
    </row>
    <row r="201" spans="1:20" x14ac:dyDescent="0.45">
      <c r="A201" s="64">
        <v>31564</v>
      </c>
      <c r="B201" s="14">
        <f>COUNTIFS(发射纪录!B:B,"&lt;&gt;-",发射纪录!G:G,"&gt;="&amp;DATE(YEAR(A201),MONTH(A201),1),发射纪录!G:G,"&lt;="&amp;DATE(YEAR(A201),MONTH(A201),DAY(EOMONTH(A201,0))),发射纪录!N:N,"&lt;&gt;")</f>
        <v>0</v>
      </c>
      <c r="C201" s="10">
        <f>COUNTIFS(发射纪录!B:B,"&lt;&gt;-",发射纪录!G:G,"&gt;="&amp;DATE(YEAR(A201),MONTH(A201),1),发射纪录!G:G,"&lt;="&amp;DATE(YEAR(A201),MONTH(A201),DAY(EOMONTH(A201,0))),发射纪录!N:N,"=成功",发射纪录!N:N,"&lt;&gt;")</f>
        <v>0</v>
      </c>
      <c r="D201" s="1" t="str">
        <f t="shared" si="82"/>
        <v>-</v>
      </c>
      <c r="E201" s="10">
        <f t="shared" si="83"/>
        <v>13</v>
      </c>
      <c r="F201" s="10">
        <f t="shared" si="84"/>
        <v>11</v>
      </c>
      <c r="G201" s="2">
        <f t="shared" si="85"/>
        <v>0.84615384615384615</v>
      </c>
      <c r="H201" s="10">
        <f>COUNTIFS(发射纪录!C:C,"&lt;&gt;-",发射纪录!G:G,"&gt;="&amp;DATE(YEAR(A201),MONTH(A201),1),发射纪录!G:G,"&lt;="&amp;DATE(YEAR(A201),MONTH(A201),DAY(EOMONTH(A201,0))),发射纪录!N:N,"&lt;&gt;")</f>
        <v>0</v>
      </c>
      <c r="I201" s="10">
        <f>COUNTIFS(发射纪录!C:C,"&lt;&gt;-",发射纪录!G:G,"&gt;="&amp;DATE(YEAR(A201),MONTH(A201),1),发射纪录!G:G,"&lt;="&amp;DATE(YEAR(A201),MONTH(A201),DAY(EOMONTH(A201,0))),发射纪录!N:N,"=成功",发射纪录!N:N,"&lt;&gt;")</f>
        <v>0</v>
      </c>
      <c r="J201" s="1" t="str">
        <f t="shared" si="86"/>
        <v>-</v>
      </c>
      <c r="K201" s="10">
        <f t="shared" ca="1" si="87"/>
        <v>8</v>
      </c>
      <c r="L201" s="10">
        <f t="shared" ca="1" si="88"/>
        <v>4</v>
      </c>
      <c r="M201" s="2">
        <f t="shared" ca="1" si="89"/>
        <v>0.5</v>
      </c>
      <c r="N201" s="10">
        <f t="shared" si="90"/>
        <v>0</v>
      </c>
      <c r="O201" s="10">
        <f t="shared" si="91"/>
        <v>0</v>
      </c>
      <c r="P201" s="3" t="str">
        <f t="shared" si="92"/>
        <v>-</v>
      </c>
      <c r="Q201" s="10">
        <f t="shared" ca="1" si="93"/>
        <v>21</v>
      </c>
      <c r="R201" s="10">
        <f t="shared" ca="1" si="94"/>
        <v>15</v>
      </c>
      <c r="S201" s="4">
        <f t="shared" ca="1" si="95"/>
        <v>0.7142857142857143</v>
      </c>
      <c r="T201" s="478"/>
    </row>
    <row r="202" spans="1:20" x14ac:dyDescent="0.45">
      <c r="A202" s="64">
        <v>31594</v>
      </c>
      <c r="B202" s="14">
        <f>COUNTIFS(发射纪录!B:B,"&lt;&gt;-",发射纪录!G:G,"&gt;="&amp;DATE(YEAR(A202),MONTH(A202),1),发射纪录!G:G,"&lt;="&amp;DATE(YEAR(A202),MONTH(A202),DAY(EOMONTH(A202,0))),发射纪录!N:N,"&lt;&gt;")</f>
        <v>0</v>
      </c>
      <c r="C202" s="10">
        <f>COUNTIFS(发射纪录!B:B,"&lt;&gt;-",发射纪录!G:G,"&gt;="&amp;DATE(YEAR(A202),MONTH(A202),1),发射纪录!G:G,"&lt;="&amp;DATE(YEAR(A202),MONTH(A202),DAY(EOMONTH(A202,0))),发射纪录!N:N,"=成功",发射纪录!N:N,"&lt;&gt;")</f>
        <v>0</v>
      </c>
      <c r="D202" s="1" t="str">
        <f t="shared" si="82"/>
        <v>-</v>
      </c>
      <c r="E202" s="10">
        <f t="shared" si="83"/>
        <v>13</v>
      </c>
      <c r="F202" s="10">
        <f t="shared" si="84"/>
        <v>11</v>
      </c>
      <c r="G202" s="2">
        <f t="shared" si="85"/>
        <v>0.84615384615384615</v>
      </c>
      <c r="H202" s="10">
        <f>COUNTIFS(发射纪录!C:C,"&lt;&gt;-",发射纪录!G:G,"&gt;="&amp;DATE(YEAR(A202),MONTH(A202),1),发射纪录!G:G,"&lt;="&amp;DATE(YEAR(A202),MONTH(A202),DAY(EOMONTH(A202,0))),发射纪录!N:N,"&lt;&gt;")</f>
        <v>0</v>
      </c>
      <c r="I202" s="10">
        <f>COUNTIFS(发射纪录!C:C,"&lt;&gt;-",发射纪录!G:G,"&gt;="&amp;DATE(YEAR(A202),MONTH(A202),1),发射纪录!G:G,"&lt;="&amp;DATE(YEAR(A202),MONTH(A202),DAY(EOMONTH(A202,0))),发射纪录!N:N,"=成功",发射纪录!N:N,"&lt;&gt;")</f>
        <v>0</v>
      </c>
      <c r="J202" s="1" t="str">
        <f t="shared" si="86"/>
        <v>-</v>
      </c>
      <c r="K202" s="10">
        <f t="shared" ca="1" si="87"/>
        <v>8</v>
      </c>
      <c r="L202" s="10">
        <f t="shared" ca="1" si="88"/>
        <v>4</v>
      </c>
      <c r="M202" s="2">
        <f t="shared" ca="1" si="89"/>
        <v>0.5</v>
      </c>
      <c r="N202" s="10">
        <f t="shared" si="90"/>
        <v>0</v>
      </c>
      <c r="O202" s="10">
        <f t="shared" si="91"/>
        <v>0</v>
      </c>
      <c r="P202" s="3" t="str">
        <f t="shared" si="92"/>
        <v>-</v>
      </c>
      <c r="Q202" s="10">
        <f t="shared" ca="1" si="93"/>
        <v>21</v>
      </c>
      <c r="R202" s="10">
        <f t="shared" ca="1" si="94"/>
        <v>15</v>
      </c>
      <c r="S202" s="4">
        <f t="shared" ca="1" si="95"/>
        <v>0.7142857142857143</v>
      </c>
      <c r="T202" s="478"/>
    </row>
    <row r="203" spans="1:20" x14ac:dyDescent="0.45">
      <c r="A203" s="64">
        <v>31625</v>
      </c>
      <c r="B203" s="14">
        <f>COUNTIFS(发射纪录!B:B,"&lt;&gt;-",发射纪录!G:G,"&gt;="&amp;DATE(YEAR(A203),MONTH(A203),1),发射纪录!G:G,"&lt;="&amp;DATE(YEAR(A203),MONTH(A203),DAY(EOMONTH(A203,0))),发射纪录!N:N,"&lt;&gt;")</f>
        <v>0</v>
      </c>
      <c r="C203" s="10">
        <f>COUNTIFS(发射纪录!B:B,"&lt;&gt;-",发射纪录!G:G,"&gt;="&amp;DATE(YEAR(A203),MONTH(A203),1),发射纪录!G:G,"&lt;="&amp;DATE(YEAR(A203),MONTH(A203),DAY(EOMONTH(A203,0))),发射纪录!N:N,"=成功",发射纪录!N:N,"&lt;&gt;")</f>
        <v>0</v>
      </c>
      <c r="D203" s="1" t="str">
        <f t="shared" si="82"/>
        <v>-</v>
      </c>
      <c r="E203" s="10">
        <f t="shared" si="83"/>
        <v>13</v>
      </c>
      <c r="F203" s="10">
        <f t="shared" si="84"/>
        <v>11</v>
      </c>
      <c r="G203" s="2">
        <f t="shared" si="85"/>
        <v>0.84615384615384615</v>
      </c>
      <c r="H203" s="10">
        <f>COUNTIFS(发射纪录!C:C,"&lt;&gt;-",发射纪录!G:G,"&gt;="&amp;DATE(YEAR(A203),MONTH(A203),1),发射纪录!G:G,"&lt;="&amp;DATE(YEAR(A203),MONTH(A203),DAY(EOMONTH(A203,0))),发射纪录!N:N,"&lt;&gt;")</f>
        <v>0</v>
      </c>
      <c r="I203" s="10">
        <f>COUNTIFS(发射纪录!C:C,"&lt;&gt;-",发射纪录!G:G,"&gt;="&amp;DATE(YEAR(A203),MONTH(A203),1),发射纪录!G:G,"&lt;="&amp;DATE(YEAR(A203),MONTH(A203),DAY(EOMONTH(A203,0))),发射纪录!N:N,"=成功",发射纪录!N:N,"&lt;&gt;")</f>
        <v>0</v>
      </c>
      <c r="J203" s="1" t="str">
        <f t="shared" si="86"/>
        <v>-</v>
      </c>
      <c r="K203" s="10">
        <f t="shared" ca="1" si="87"/>
        <v>8</v>
      </c>
      <c r="L203" s="10">
        <f t="shared" ca="1" si="88"/>
        <v>4</v>
      </c>
      <c r="M203" s="2">
        <f t="shared" ca="1" si="89"/>
        <v>0.5</v>
      </c>
      <c r="N203" s="10">
        <f t="shared" si="90"/>
        <v>0</v>
      </c>
      <c r="O203" s="10">
        <f t="shared" si="91"/>
        <v>0</v>
      </c>
      <c r="P203" s="3" t="str">
        <f t="shared" si="92"/>
        <v>-</v>
      </c>
      <c r="Q203" s="10">
        <f t="shared" ca="1" si="93"/>
        <v>21</v>
      </c>
      <c r="R203" s="10">
        <f t="shared" ca="1" si="94"/>
        <v>15</v>
      </c>
      <c r="S203" s="4">
        <f t="shared" ca="1" si="95"/>
        <v>0.7142857142857143</v>
      </c>
      <c r="T203" s="478"/>
    </row>
    <row r="204" spans="1:20" x14ac:dyDescent="0.45">
      <c r="A204" s="64">
        <v>31656</v>
      </c>
      <c r="B204" s="14">
        <f>COUNTIFS(发射纪录!B:B,"&lt;&gt;-",发射纪录!G:G,"&gt;="&amp;DATE(YEAR(A204),MONTH(A204),1),发射纪录!G:G,"&lt;="&amp;DATE(YEAR(A204),MONTH(A204),DAY(EOMONTH(A204,0))),发射纪录!N:N,"&lt;&gt;")</f>
        <v>0</v>
      </c>
      <c r="C204" s="10">
        <f>COUNTIFS(发射纪录!B:B,"&lt;&gt;-",发射纪录!G:G,"&gt;="&amp;DATE(YEAR(A204),MONTH(A204),1),发射纪录!G:G,"&lt;="&amp;DATE(YEAR(A204),MONTH(A204),DAY(EOMONTH(A204,0))),发射纪录!N:N,"=成功",发射纪录!N:N,"&lt;&gt;")</f>
        <v>0</v>
      </c>
      <c r="D204" s="1" t="str">
        <f t="shared" si="82"/>
        <v>-</v>
      </c>
      <c r="E204" s="10">
        <f t="shared" si="83"/>
        <v>13</v>
      </c>
      <c r="F204" s="10">
        <f t="shared" si="84"/>
        <v>11</v>
      </c>
      <c r="G204" s="2">
        <f t="shared" si="85"/>
        <v>0.84615384615384615</v>
      </c>
      <c r="H204" s="10">
        <f>COUNTIFS(发射纪录!C:C,"&lt;&gt;-",发射纪录!G:G,"&gt;="&amp;DATE(YEAR(A204),MONTH(A204),1),发射纪录!G:G,"&lt;="&amp;DATE(YEAR(A204),MONTH(A204),DAY(EOMONTH(A204,0))),发射纪录!N:N,"&lt;&gt;")</f>
        <v>0</v>
      </c>
      <c r="I204" s="10">
        <f>COUNTIFS(发射纪录!C:C,"&lt;&gt;-",发射纪录!G:G,"&gt;="&amp;DATE(YEAR(A204),MONTH(A204),1),发射纪录!G:G,"&lt;="&amp;DATE(YEAR(A204),MONTH(A204),DAY(EOMONTH(A204,0))),发射纪录!N:N,"=成功",发射纪录!N:N,"&lt;&gt;")</f>
        <v>0</v>
      </c>
      <c r="J204" s="1" t="str">
        <f t="shared" si="86"/>
        <v>-</v>
      </c>
      <c r="K204" s="10">
        <f t="shared" ca="1" si="87"/>
        <v>8</v>
      </c>
      <c r="L204" s="10">
        <f t="shared" ca="1" si="88"/>
        <v>4</v>
      </c>
      <c r="M204" s="2">
        <f t="shared" ca="1" si="89"/>
        <v>0.5</v>
      </c>
      <c r="N204" s="10">
        <f t="shared" si="90"/>
        <v>0</v>
      </c>
      <c r="O204" s="10">
        <f t="shared" si="91"/>
        <v>0</v>
      </c>
      <c r="P204" s="3" t="str">
        <f t="shared" si="92"/>
        <v>-</v>
      </c>
      <c r="Q204" s="10">
        <f t="shared" ca="1" si="93"/>
        <v>21</v>
      </c>
      <c r="R204" s="10">
        <f t="shared" ca="1" si="94"/>
        <v>15</v>
      </c>
      <c r="S204" s="4">
        <f t="shared" ca="1" si="95"/>
        <v>0.7142857142857143</v>
      </c>
      <c r="T204" s="478"/>
    </row>
    <row r="205" spans="1:20" x14ac:dyDescent="0.45">
      <c r="A205" s="64">
        <v>31686</v>
      </c>
      <c r="B205" s="14">
        <f>COUNTIFS(发射纪录!B:B,"&lt;&gt;-",发射纪录!G:G,"&gt;="&amp;DATE(YEAR(A205),MONTH(A205),1),发射纪录!G:G,"&lt;="&amp;DATE(YEAR(A205),MONTH(A205),DAY(EOMONTH(A205,0))),发射纪录!N:N,"&lt;&gt;")</f>
        <v>1</v>
      </c>
      <c r="C205" s="10">
        <f>COUNTIFS(发射纪录!B:B,"&lt;&gt;-",发射纪录!G:G,"&gt;="&amp;DATE(YEAR(A205),MONTH(A205),1),发射纪录!G:G,"&lt;="&amp;DATE(YEAR(A205),MONTH(A205),DAY(EOMONTH(A205,0))),发射纪录!N:N,"=成功",发射纪录!N:N,"&lt;&gt;")</f>
        <v>1</v>
      </c>
      <c r="D205" s="1">
        <f t="shared" si="82"/>
        <v>1</v>
      </c>
      <c r="E205" s="10">
        <f t="shared" si="83"/>
        <v>14</v>
      </c>
      <c r="F205" s="10">
        <f t="shared" si="84"/>
        <v>12</v>
      </c>
      <c r="G205" s="2">
        <f t="shared" si="85"/>
        <v>0.8571428571428571</v>
      </c>
      <c r="H205" s="10">
        <f ca="1">COUNTIFS(发射纪录!C:C,"&lt;&gt;-",发射纪录!G:G,"&gt;="&amp;DATE(YEAR(A205),MONTH(A205),1),发射纪录!G:G,"&lt;="&amp;DATE(YEAR(A205),MONTH(A205),DAY(EOMONTH(A205,0))),发射纪录!N:N,"&lt;&gt;")</f>
        <v>0</v>
      </c>
      <c r="I205" s="10">
        <f>COUNTIFS(发射纪录!C:C,"&lt;&gt;-",发射纪录!G:G,"&gt;="&amp;DATE(YEAR(A205),MONTH(A205),1),发射纪录!G:G,"&lt;="&amp;DATE(YEAR(A205),MONTH(A205),DAY(EOMONTH(A205,0))),发射纪录!N:N,"=成功",发射纪录!N:N,"&lt;&gt;")</f>
        <v>0</v>
      </c>
      <c r="J205" s="1" t="str">
        <f t="shared" ca="1" si="86"/>
        <v>-</v>
      </c>
      <c r="K205" s="10">
        <f t="shared" ca="1" si="87"/>
        <v>8</v>
      </c>
      <c r="L205" s="10">
        <f t="shared" ca="1" si="88"/>
        <v>4</v>
      </c>
      <c r="M205" s="2">
        <f t="shared" ca="1" si="89"/>
        <v>0.5</v>
      </c>
      <c r="N205" s="10">
        <f t="shared" ca="1" si="90"/>
        <v>1</v>
      </c>
      <c r="O205" s="10">
        <f t="shared" si="91"/>
        <v>1</v>
      </c>
      <c r="P205" s="3">
        <f t="shared" ca="1" si="92"/>
        <v>1</v>
      </c>
      <c r="Q205" s="10">
        <f t="shared" ca="1" si="93"/>
        <v>22</v>
      </c>
      <c r="R205" s="10">
        <f t="shared" ca="1" si="94"/>
        <v>16</v>
      </c>
      <c r="S205" s="4">
        <f t="shared" ca="1" si="95"/>
        <v>0.72727272727272729</v>
      </c>
      <c r="T205" s="478"/>
    </row>
    <row r="206" spans="1:20" x14ac:dyDescent="0.45">
      <c r="A206" s="64">
        <v>31717</v>
      </c>
      <c r="B206" s="14">
        <f>COUNTIFS(发射纪录!B:B,"&lt;&gt;-",发射纪录!G:G,"&gt;="&amp;DATE(YEAR(A206),MONTH(A206),1),发射纪录!G:G,"&lt;="&amp;DATE(YEAR(A206),MONTH(A206),DAY(EOMONTH(A206,0))),发射纪录!N:N,"&lt;&gt;")</f>
        <v>0</v>
      </c>
      <c r="C206" s="10">
        <f>COUNTIFS(发射纪录!B:B,"&lt;&gt;-",发射纪录!G:G,"&gt;="&amp;DATE(YEAR(A206),MONTH(A206),1),发射纪录!G:G,"&lt;="&amp;DATE(YEAR(A206),MONTH(A206),DAY(EOMONTH(A206,0))),发射纪录!N:N,"=成功",发射纪录!N:N,"&lt;&gt;")</f>
        <v>0</v>
      </c>
      <c r="D206" s="1" t="str">
        <f t="shared" si="82"/>
        <v>-</v>
      </c>
      <c r="E206" s="10">
        <f t="shared" si="83"/>
        <v>14</v>
      </c>
      <c r="F206" s="10">
        <f t="shared" si="84"/>
        <v>12</v>
      </c>
      <c r="G206" s="2">
        <f t="shared" si="85"/>
        <v>0.8571428571428571</v>
      </c>
      <c r="H206" s="10">
        <f ca="1">COUNTIFS(发射纪录!C:C,"&lt;&gt;-",发射纪录!G:G,"&gt;="&amp;DATE(YEAR(A206),MONTH(A206),1),发射纪录!G:G,"&lt;="&amp;DATE(YEAR(A206),MONTH(A206),DAY(EOMONTH(A206,0))),发射纪录!N:N,"&lt;&gt;")</f>
        <v>0</v>
      </c>
      <c r="I206" s="10">
        <f>COUNTIFS(发射纪录!C:C,"&lt;&gt;-",发射纪录!G:G,"&gt;="&amp;DATE(YEAR(A206),MONTH(A206),1),发射纪录!G:G,"&lt;="&amp;DATE(YEAR(A206),MONTH(A206),DAY(EOMONTH(A206,0))),发射纪录!N:N,"=成功",发射纪录!N:N,"&lt;&gt;")</f>
        <v>0</v>
      </c>
      <c r="J206" s="1" t="str">
        <f t="shared" ca="1" si="86"/>
        <v>-</v>
      </c>
      <c r="K206" s="10">
        <f t="shared" ca="1" si="87"/>
        <v>8</v>
      </c>
      <c r="L206" s="10">
        <f t="shared" ca="1" si="88"/>
        <v>4</v>
      </c>
      <c r="M206" s="2">
        <f t="shared" ca="1" si="89"/>
        <v>0.5</v>
      </c>
      <c r="N206" s="10">
        <f t="shared" ca="1" si="90"/>
        <v>0</v>
      </c>
      <c r="O206" s="10">
        <f t="shared" si="91"/>
        <v>0</v>
      </c>
      <c r="P206" s="3" t="str">
        <f t="shared" ca="1" si="92"/>
        <v>-</v>
      </c>
      <c r="Q206" s="10">
        <f t="shared" ca="1" si="93"/>
        <v>22</v>
      </c>
      <c r="R206" s="10">
        <f t="shared" ca="1" si="94"/>
        <v>16</v>
      </c>
      <c r="S206" s="4">
        <f t="shared" ca="1" si="95"/>
        <v>0.72727272727272729</v>
      </c>
      <c r="T206" s="478"/>
    </row>
    <row r="207" spans="1:20" ht="19.5" customHeight="1" thickBot="1" x14ac:dyDescent="0.5">
      <c r="A207" s="65">
        <v>31747</v>
      </c>
      <c r="B207" s="17">
        <f>COUNTIFS(发射纪录!B:B,"&lt;&gt;-",发射纪录!G:G,"&gt;="&amp;DATE(YEAR(A207),MONTH(A207),1),发射纪录!G:G,"&lt;="&amp;DATE(YEAR(A207),MONTH(A207),DAY(EOMONTH(A207,0))),发射纪录!N:N,"&lt;&gt;")</f>
        <v>0</v>
      </c>
      <c r="C207" s="18">
        <f>COUNTIFS(发射纪录!B:B,"&lt;&gt;-",发射纪录!G:G,"&gt;="&amp;DATE(YEAR(A207),MONTH(A207),1),发射纪录!G:G,"&lt;="&amp;DATE(YEAR(A207),MONTH(A207),DAY(EOMONTH(A207,0))),发射纪录!N:N,"=成功",发射纪录!N:N,"&lt;&gt;")</f>
        <v>0</v>
      </c>
      <c r="D207" s="12" t="str">
        <f>IF(B207=0,"-",C207/B207)</f>
        <v>-</v>
      </c>
      <c r="E207" s="18">
        <f>E206+B207</f>
        <v>14</v>
      </c>
      <c r="F207" s="18">
        <f>F206+C207</f>
        <v>12</v>
      </c>
      <c r="G207" s="13">
        <f>IF(E207=0,"-",F207/E207)</f>
        <v>0.8571428571428571</v>
      </c>
      <c r="H207" s="18">
        <f ca="1">COUNTIFS(发射纪录!C:C,"&lt;&gt;-",发射纪录!G:G,"&gt;="&amp;DATE(YEAR(A207),MONTH(A207),1),发射纪录!G:G,"&lt;="&amp;DATE(YEAR(A207),MONTH(A207),DAY(EOMONTH(A207,0))),发射纪录!N:N,"&lt;&gt;")</f>
        <v>0</v>
      </c>
      <c r="I207" s="18">
        <f>COUNTIFS(发射纪录!C:C,"&lt;&gt;-",发射纪录!G:G,"&gt;="&amp;DATE(YEAR(A207),MONTH(A207),1),发射纪录!G:G,"&lt;="&amp;DATE(YEAR(A207),MONTH(A207),DAY(EOMONTH(A207,0))),发射纪录!N:N,"=成功",发射纪录!N:N,"&lt;&gt;")</f>
        <v>0</v>
      </c>
      <c r="J207" s="12" t="str">
        <f ca="1">IF(H207=0,"-",I207/H207)</f>
        <v>-</v>
      </c>
      <c r="K207" s="18">
        <f ca="1">K206+H207</f>
        <v>8</v>
      </c>
      <c r="L207" s="18">
        <f ca="1">L206+I207</f>
        <v>4</v>
      </c>
      <c r="M207" s="13">
        <f ca="1">IF(K207=0,"-",L207/K207)</f>
        <v>0.5</v>
      </c>
      <c r="N207" s="18">
        <f ca="1">B207+H207</f>
        <v>0</v>
      </c>
      <c r="O207" s="18">
        <f>C207+I207</f>
        <v>0</v>
      </c>
      <c r="P207" s="12" t="str">
        <f ca="1">IF(N207=0,"-",O207/N207)</f>
        <v>-</v>
      </c>
      <c r="Q207" s="18">
        <f ca="1">E207+K207</f>
        <v>22</v>
      </c>
      <c r="R207" s="18">
        <f ca="1">F207+L207</f>
        <v>16</v>
      </c>
      <c r="S207" s="13">
        <f ca="1">IF(Q207=0,"-",R207/Q207)</f>
        <v>0.72727272727272729</v>
      </c>
      <c r="T207" s="478"/>
    </row>
    <row r="208" spans="1:20" ht="19.5" customHeight="1" thickTop="1" x14ac:dyDescent="0.45">
      <c r="A208" s="63">
        <v>31778</v>
      </c>
      <c r="B208" s="14">
        <f>COUNTIFS(发射纪录!B:B,"&lt;&gt;-",发射纪录!G:G,"&gt;="&amp;DATE(YEAR(A208),MONTH(A208),1),发射纪录!G:G,"&lt;="&amp;DATE(YEAR(A208),MONTH(A208),DAY(EOMONTH(A208,0))),发射纪录!N:N,"&lt;&gt;")</f>
        <v>0</v>
      </c>
      <c r="C208" s="10">
        <f>COUNTIFS(发射纪录!B:B,"&lt;&gt;-",发射纪录!G:G,"&gt;="&amp;DATE(YEAR(A208),MONTH(A208),1),发射纪录!G:G,"&lt;="&amp;DATE(YEAR(A208),MONTH(A208),DAY(EOMONTH(A208,0))),发射纪录!N:N,"=成功",发射纪录!N:N,"&lt;&gt;")</f>
        <v>0</v>
      </c>
      <c r="D208" s="3" t="str">
        <f t="shared" ref="D208:D218" si="96">IF(B208=0,"-",C208/B208)</f>
        <v>-</v>
      </c>
      <c r="E208" s="10">
        <f t="shared" ref="E208:E218" si="97">E207+B208</f>
        <v>14</v>
      </c>
      <c r="F208" s="10">
        <f t="shared" ref="F208:F218" si="98">F207+C208</f>
        <v>12</v>
      </c>
      <c r="G208" s="4">
        <f t="shared" ref="G208:G218" si="99">IF(E208=0,"-",F208/E208)</f>
        <v>0.8571428571428571</v>
      </c>
      <c r="H208" s="10">
        <f>COUNTIFS(发射纪录!C:C,"&lt;&gt;-",发射纪录!G:G,"&gt;="&amp;DATE(YEAR(A208),MONTH(A208),1),发射纪录!G:G,"&lt;="&amp;DATE(YEAR(A208),MONTH(A208),DAY(EOMONTH(A208,0))),发射纪录!N:N,"&lt;&gt;")</f>
        <v>0</v>
      </c>
      <c r="I208" s="10">
        <f>COUNTIFS(发射纪录!C:C,"&lt;&gt;-",发射纪录!G:G,"&gt;="&amp;DATE(YEAR(A208),MONTH(A208),1),发射纪录!G:G,"&lt;="&amp;DATE(YEAR(A208),MONTH(A208),DAY(EOMONTH(A208,0))),发射纪录!N:N,"=成功",发射纪录!N:N,"&lt;&gt;")</f>
        <v>0</v>
      </c>
      <c r="J208" s="3" t="str">
        <f t="shared" ref="J208:J218" si="100">IF(H208=0,"-",I208/H208)</f>
        <v>-</v>
      </c>
      <c r="K208" s="10">
        <f t="shared" ref="K208:K218" ca="1" si="101">K207+H208</f>
        <v>8</v>
      </c>
      <c r="L208" s="10">
        <f t="shared" ref="L208:L218" ca="1" si="102">L207+I208</f>
        <v>4</v>
      </c>
      <c r="M208" s="4">
        <f t="shared" ref="M208:M218" ca="1" si="103">IF(K208=0,"-",L208/K208)</f>
        <v>0.5</v>
      </c>
      <c r="N208" s="10">
        <f t="shared" ref="N208:N218" si="104">B208+H208</f>
        <v>0</v>
      </c>
      <c r="O208" s="10">
        <f t="shared" ref="O208:O218" si="105">C208+I208</f>
        <v>0</v>
      </c>
      <c r="P208" s="3" t="str">
        <f t="shared" ref="P208:P218" si="106">IF(N208=0,"-",O208/N208)</f>
        <v>-</v>
      </c>
      <c r="Q208" s="10">
        <f t="shared" ref="Q208:Q218" ca="1" si="107">E208+K208</f>
        <v>22</v>
      </c>
      <c r="R208" s="10">
        <f t="shared" ref="R208:R259" ca="1" si="108">F208+L208</f>
        <v>16</v>
      </c>
      <c r="S208" s="4">
        <f t="shared" ref="S208:S218" ca="1" si="109">IF(Q208=0,"-",R208/Q208)</f>
        <v>0.72727272727272729</v>
      </c>
      <c r="T208" s="478"/>
    </row>
    <row r="209" spans="1:20" x14ac:dyDescent="0.45">
      <c r="A209" s="64">
        <v>31809</v>
      </c>
      <c r="B209" s="14">
        <f>COUNTIFS(发射纪录!B:B,"&lt;&gt;-",发射纪录!G:G,"&gt;="&amp;DATE(YEAR(A209),MONTH(A209),1),发射纪录!G:G,"&lt;="&amp;DATE(YEAR(A209),MONTH(A209),DAY(EOMONTH(A209,0))),发射纪录!N:N,"&lt;&gt;")</f>
        <v>0</v>
      </c>
      <c r="C209" s="10">
        <f>COUNTIFS(发射纪录!B:B,"&lt;&gt;-",发射纪录!G:G,"&gt;="&amp;DATE(YEAR(A209),MONTH(A209),1),发射纪录!G:G,"&lt;="&amp;DATE(YEAR(A209),MONTH(A209),DAY(EOMONTH(A209,0))),发射纪录!N:N,"=成功",发射纪录!N:N,"&lt;&gt;")</f>
        <v>0</v>
      </c>
      <c r="D209" s="1" t="str">
        <f t="shared" si="96"/>
        <v>-</v>
      </c>
      <c r="E209" s="10">
        <f t="shared" si="97"/>
        <v>14</v>
      </c>
      <c r="F209" s="10">
        <f t="shared" si="98"/>
        <v>12</v>
      </c>
      <c r="G209" s="2">
        <f t="shared" si="99"/>
        <v>0.8571428571428571</v>
      </c>
      <c r="H209" s="10">
        <f>COUNTIFS(发射纪录!C:C,"&lt;&gt;-",发射纪录!G:G,"&gt;="&amp;DATE(YEAR(A209),MONTH(A209),1),发射纪录!G:G,"&lt;="&amp;DATE(YEAR(A209),MONTH(A209),DAY(EOMONTH(A209,0))),发射纪录!N:N,"&lt;&gt;")</f>
        <v>0</v>
      </c>
      <c r="I209" s="10">
        <f>COUNTIFS(发射纪录!C:C,"&lt;&gt;-",发射纪录!G:G,"&gt;="&amp;DATE(YEAR(A209),MONTH(A209),1),发射纪录!G:G,"&lt;="&amp;DATE(YEAR(A209),MONTH(A209),DAY(EOMONTH(A209,0))),发射纪录!N:N,"=成功",发射纪录!N:N,"&lt;&gt;")</f>
        <v>0</v>
      </c>
      <c r="J209" s="1" t="str">
        <f t="shared" si="100"/>
        <v>-</v>
      </c>
      <c r="K209" s="10">
        <f t="shared" ca="1" si="101"/>
        <v>8</v>
      </c>
      <c r="L209" s="10">
        <f t="shared" ca="1" si="102"/>
        <v>4</v>
      </c>
      <c r="M209" s="2">
        <f t="shared" ca="1" si="103"/>
        <v>0.5</v>
      </c>
      <c r="N209" s="10">
        <f t="shared" si="104"/>
        <v>0</v>
      </c>
      <c r="O209" s="10">
        <f t="shared" si="105"/>
        <v>0</v>
      </c>
      <c r="P209" s="3" t="str">
        <f t="shared" si="106"/>
        <v>-</v>
      </c>
      <c r="Q209" s="10">
        <f t="shared" ca="1" si="107"/>
        <v>22</v>
      </c>
      <c r="R209" s="10">
        <f t="shared" ca="1" si="108"/>
        <v>16</v>
      </c>
      <c r="S209" s="4">
        <f t="shared" ca="1" si="109"/>
        <v>0.72727272727272729</v>
      </c>
      <c r="T209" s="478"/>
    </row>
    <row r="210" spans="1:20" x14ac:dyDescent="0.45">
      <c r="A210" s="64">
        <v>31837</v>
      </c>
      <c r="B210" s="14">
        <f>COUNTIFS(发射纪录!B:B,"&lt;&gt;-",发射纪录!G:G,"&gt;="&amp;DATE(YEAR(A210),MONTH(A210),1),发射纪录!G:G,"&lt;="&amp;DATE(YEAR(A210),MONTH(A210),DAY(EOMONTH(A210,0))),发射纪录!N:N,"&lt;&gt;")</f>
        <v>0</v>
      </c>
      <c r="C210" s="10">
        <f>COUNTIFS(发射纪录!B:B,"&lt;&gt;-",发射纪录!G:G,"&gt;="&amp;DATE(YEAR(A210),MONTH(A210),1),发射纪录!G:G,"&lt;="&amp;DATE(YEAR(A210),MONTH(A210),DAY(EOMONTH(A210,0))),发射纪录!N:N,"=成功",发射纪录!N:N,"&lt;&gt;")</f>
        <v>0</v>
      </c>
      <c r="D210" s="1" t="str">
        <f t="shared" si="96"/>
        <v>-</v>
      </c>
      <c r="E210" s="10">
        <f t="shared" si="97"/>
        <v>14</v>
      </c>
      <c r="F210" s="10">
        <f t="shared" si="98"/>
        <v>12</v>
      </c>
      <c r="G210" s="2">
        <f t="shared" si="99"/>
        <v>0.8571428571428571</v>
      </c>
      <c r="H210" s="10">
        <f>COUNTIFS(发射纪录!C:C,"&lt;&gt;-",发射纪录!G:G,"&gt;="&amp;DATE(YEAR(A210),MONTH(A210),1),发射纪录!G:G,"&lt;="&amp;DATE(YEAR(A210),MONTH(A210),DAY(EOMONTH(A210,0))),发射纪录!N:N,"&lt;&gt;")</f>
        <v>0</v>
      </c>
      <c r="I210" s="10">
        <f>COUNTIFS(发射纪录!C:C,"&lt;&gt;-",发射纪录!G:G,"&gt;="&amp;DATE(YEAR(A210),MONTH(A210),1),发射纪录!G:G,"&lt;="&amp;DATE(YEAR(A210),MONTH(A210),DAY(EOMONTH(A210,0))),发射纪录!N:N,"=成功",发射纪录!N:N,"&lt;&gt;")</f>
        <v>0</v>
      </c>
      <c r="J210" s="1" t="str">
        <f t="shared" si="100"/>
        <v>-</v>
      </c>
      <c r="K210" s="10">
        <f t="shared" ca="1" si="101"/>
        <v>8</v>
      </c>
      <c r="L210" s="10">
        <f t="shared" ca="1" si="102"/>
        <v>4</v>
      </c>
      <c r="M210" s="2">
        <f t="shared" ca="1" si="103"/>
        <v>0.5</v>
      </c>
      <c r="N210" s="10">
        <f t="shared" si="104"/>
        <v>0</v>
      </c>
      <c r="O210" s="10">
        <f t="shared" si="105"/>
        <v>0</v>
      </c>
      <c r="P210" s="3" t="str">
        <f t="shared" si="106"/>
        <v>-</v>
      </c>
      <c r="Q210" s="10">
        <f t="shared" ca="1" si="107"/>
        <v>22</v>
      </c>
      <c r="R210" s="10">
        <f t="shared" ca="1" si="108"/>
        <v>16</v>
      </c>
      <c r="S210" s="4">
        <f t="shared" ca="1" si="109"/>
        <v>0.72727272727272729</v>
      </c>
      <c r="T210" s="478"/>
    </row>
    <row r="211" spans="1:20" x14ac:dyDescent="0.45">
      <c r="A211" s="64">
        <v>31868</v>
      </c>
      <c r="B211" s="14">
        <f>COUNTIFS(发射纪录!B:B,"&lt;&gt;-",发射纪录!G:G,"&gt;="&amp;DATE(YEAR(A211),MONTH(A211),1),发射纪录!G:G,"&lt;="&amp;DATE(YEAR(A211),MONTH(A211),DAY(EOMONTH(A211,0))),发射纪录!N:N,"&lt;&gt;")</f>
        <v>0</v>
      </c>
      <c r="C211" s="10">
        <f>COUNTIFS(发射纪录!B:B,"&lt;&gt;-",发射纪录!G:G,"&gt;="&amp;DATE(YEAR(A211),MONTH(A211),1),发射纪录!G:G,"&lt;="&amp;DATE(YEAR(A211),MONTH(A211),DAY(EOMONTH(A211,0))),发射纪录!N:N,"=成功",发射纪录!N:N,"&lt;&gt;")</f>
        <v>0</v>
      </c>
      <c r="D211" s="1" t="str">
        <f t="shared" si="96"/>
        <v>-</v>
      </c>
      <c r="E211" s="10">
        <f t="shared" si="97"/>
        <v>14</v>
      </c>
      <c r="F211" s="10">
        <f t="shared" si="98"/>
        <v>12</v>
      </c>
      <c r="G211" s="2">
        <f t="shared" si="99"/>
        <v>0.8571428571428571</v>
      </c>
      <c r="H211" s="10">
        <f>COUNTIFS(发射纪录!C:C,"&lt;&gt;-",发射纪录!G:G,"&gt;="&amp;DATE(YEAR(A211),MONTH(A211),1),发射纪录!G:G,"&lt;="&amp;DATE(YEAR(A211),MONTH(A211),DAY(EOMONTH(A211,0))),发射纪录!N:N,"&lt;&gt;")</f>
        <v>0</v>
      </c>
      <c r="I211" s="10">
        <f>COUNTIFS(发射纪录!C:C,"&lt;&gt;-",发射纪录!G:G,"&gt;="&amp;DATE(YEAR(A211),MONTH(A211),1),发射纪录!G:G,"&lt;="&amp;DATE(YEAR(A211),MONTH(A211),DAY(EOMONTH(A211,0))),发射纪录!N:N,"=成功",发射纪录!N:N,"&lt;&gt;")</f>
        <v>0</v>
      </c>
      <c r="J211" s="1" t="str">
        <f t="shared" si="100"/>
        <v>-</v>
      </c>
      <c r="K211" s="10">
        <f t="shared" ca="1" si="101"/>
        <v>8</v>
      </c>
      <c r="L211" s="10">
        <f t="shared" ca="1" si="102"/>
        <v>4</v>
      </c>
      <c r="M211" s="2">
        <f t="shared" ca="1" si="103"/>
        <v>0.5</v>
      </c>
      <c r="N211" s="10">
        <f t="shared" si="104"/>
        <v>0</v>
      </c>
      <c r="O211" s="10">
        <f t="shared" si="105"/>
        <v>0</v>
      </c>
      <c r="P211" s="3" t="str">
        <f t="shared" si="106"/>
        <v>-</v>
      </c>
      <c r="Q211" s="10">
        <f t="shared" ca="1" si="107"/>
        <v>22</v>
      </c>
      <c r="R211" s="10">
        <f t="shared" ca="1" si="108"/>
        <v>16</v>
      </c>
      <c r="S211" s="4">
        <f t="shared" ca="1" si="109"/>
        <v>0.72727272727272729</v>
      </c>
      <c r="T211" s="478"/>
    </row>
    <row r="212" spans="1:20" x14ac:dyDescent="0.45">
      <c r="A212" s="64">
        <v>31898</v>
      </c>
      <c r="B212" s="14">
        <f>COUNTIFS(发射纪录!B:B,"&lt;&gt;-",发射纪录!G:G,"&gt;="&amp;DATE(YEAR(A212),MONTH(A212),1),发射纪录!G:G,"&lt;="&amp;DATE(YEAR(A212),MONTH(A212),DAY(EOMONTH(A212,0))),发射纪录!N:N,"&lt;&gt;")</f>
        <v>0</v>
      </c>
      <c r="C212" s="10">
        <f>COUNTIFS(发射纪录!B:B,"&lt;&gt;-",发射纪录!G:G,"&gt;="&amp;DATE(YEAR(A212),MONTH(A212),1),发射纪录!G:G,"&lt;="&amp;DATE(YEAR(A212),MONTH(A212),DAY(EOMONTH(A212,0))),发射纪录!N:N,"=成功",发射纪录!N:N,"&lt;&gt;")</f>
        <v>0</v>
      </c>
      <c r="D212" s="1" t="str">
        <f t="shared" si="96"/>
        <v>-</v>
      </c>
      <c r="E212" s="10">
        <f t="shared" si="97"/>
        <v>14</v>
      </c>
      <c r="F212" s="10">
        <f t="shared" si="98"/>
        <v>12</v>
      </c>
      <c r="G212" s="2">
        <f t="shared" si="99"/>
        <v>0.8571428571428571</v>
      </c>
      <c r="H212" s="10">
        <f ca="1">COUNTIFS(发射纪录!C:C,"&lt;&gt;-",发射纪录!G:G,"&gt;="&amp;DATE(YEAR(A212),MONTH(A212),1),发射纪录!G:G,"&lt;="&amp;DATE(YEAR(A212),MONTH(A212),DAY(EOMONTH(A212,0))),发射纪录!N:N,"&lt;&gt;")</f>
        <v>0</v>
      </c>
      <c r="I212" s="10">
        <f>COUNTIFS(发射纪录!C:C,"&lt;&gt;-",发射纪录!G:G,"&gt;="&amp;DATE(YEAR(A212),MONTH(A212),1),发射纪录!G:G,"&lt;="&amp;DATE(YEAR(A212),MONTH(A212),DAY(EOMONTH(A212,0))),发射纪录!N:N,"=成功",发射纪录!N:N,"&lt;&gt;")</f>
        <v>0</v>
      </c>
      <c r="J212" s="1" t="str">
        <f t="shared" ca="1" si="100"/>
        <v>-</v>
      </c>
      <c r="K212" s="10">
        <f t="shared" ca="1" si="101"/>
        <v>8</v>
      </c>
      <c r="L212" s="10">
        <f t="shared" ca="1" si="102"/>
        <v>4</v>
      </c>
      <c r="M212" s="2">
        <f t="shared" ca="1" si="103"/>
        <v>0.5</v>
      </c>
      <c r="N212" s="10">
        <f t="shared" ca="1" si="104"/>
        <v>0</v>
      </c>
      <c r="O212" s="10">
        <f t="shared" si="105"/>
        <v>0</v>
      </c>
      <c r="P212" s="3" t="str">
        <f t="shared" ca="1" si="106"/>
        <v>-</v>
      </c>
      <c r="Q212" s="10">
        <f t="shared" ca="1" si="107"/>
        <v>22</v>
      </c>
      <c r="R212" s="10">
        <f t="shared" ca="1" si="108"/>
        <v>16</v>
      </c>
      <c r="S212" s="4">
        <f t="shared" ca="1" si="109"/>
        <v>0.72727272727272729</v>
      </c>
      <c r="T212" s="478"/>
    </row>
    <row r="213" spans="1:20" x14ac:dyDescent="0.45">
      <c r="A213" s="64">
        <v>31929</v>
      </c>
      <c r="B213" s="14">
        <f>COUNTIFS(发射纪录!B:B,"&lt;&gt;-",发射纪录!G:G,"&gt;="&amp;DATE(YEAR(A213),MONTH(A213),1),发射纪录!G:G,"&lt;="&amp;DATE(YEAR(A213),MONTH(A213),DAY(EOMONTH(A213,0))),发射纪录!N:N,"&lt;&gt;")</f>
        <v>0</v>
      </c>
      <c r="C213" s="10">
        <f>COUNTIFS(发射纪录!B:B,"&lt;&gt;-",发射纪录!G:G,"&gt;="&amp;DATE(YEAR(A213),MONTH(A213),1),发射纪录!G:G,"&lt;="&amp;DATE(YEAR(A213),MONTH(A213),DAY(EOMONTH(A213,0))),发射纪录!N:N,"=成功",发射纪录!N:N,"&lt;&gt;")</f>
        <v>0</v>
      </c>
      <c r="D213" s="1" t="str">
        <f t="shared" si="96"/>
        <v>-</v>
      </c>
      <c r="E213" s="10">
        <f t="shared" si="97"/>
        <v>14</v>
      </c>
      <c r="F213" s="10">
        <f t="shared" si="98"/>
        <v>12</v>
      </c>
      <c r="G213" s="2">
        <f t="shared" si="99"/>
        <v>0.8571428571428571</v>
      </c>
      <c r="H213" s="10">
        <f>COUNTIFS(发射纪录!C:C,"&lt;&gt;-",发射纪录!G:G,"&gt;="&amp;DATE(YEAR(A213),MONTH(A213),1),发射纪录!G:G,"&lt;="&amp;DATE(YEAR(A213),MONTH(A213),DAY(EOMONTH(A213,0))),发射纪录!N:N,"&lt;&gt;")</f>
        <v>0</v>
      </c>
      <c r="I213" s="10">
        <f>COUNTIFS(发射纪录!C:C,"&lt;&gt;-",发射纪录!G:G,"&gt;="&amp;DATE(YEAR(A213),MONTH(A213),1),发射纪录!G:G,"&lt;="&amp;DATE(YEAR(A213),MONTH(A213),DAY(EOMONTH(A213,0))),发射纪录!N:N,"=成功",发射纪录!N:N,"&lt;&gt;")</f>
        <v>0</v>
      </c>
      <c r="J213" s="1" t="str">
        <f t="shared" si="100"/>
        <v>-</v>
      </c>
      <c r="K213" s="10">
        <f t="shared" ca="1" si="101"/>
        <v>8</v>
      </c>
      <c r="L213" s="10">
        <f t="shared" ca="1" si="102"/>
        <v>4</v>
      </c>
      <c r="M213" s="2">
        <f t="shared" ca="1" si="103"/>
        <v>0.5</v>
      </c>
      <c r="N213" s="10">
        <f t="shared" si="104"/>
        <v>0</v>
      </c>
      <c r="O213" s="10">
        <f t="shared" si="105"/>
        <v>0</v>
      </c>
      <c r="P213" s="3" t="str">
        <f t="shared" si="106"/>
        <v>-</v>
      </c>
      <c r="Q213" s="10">
        <f t="shared" ca="1" si="107"/>
        <v>22</v>
      </c>
      <c r="R213" s="10">
        <f t="shared" ca="1" si="108"/>
        <v>16</v>
      </c>
      <c r="S213" s="4">
        <f t="shared" ca="1" si="109"/>
        <v>0.72727272727272729</v>
      </c>
      <c r="T213" s="478"/>
    </row>
    <row r="214" spans="1:20" x14ac:dyDescent="0.45">
      <c r="A214" s="64">
        <v>31959</v>
      </c>
      <c r="B214" s="14">
        <f>COUNTIFS(发射纪录!B:B,"&lt;&gt;-",发射纪录!G:G,"&gt;="&amp;DATE(YEAR(A214),MONTH(A214),1),发射纪录!G:G,"&lt;="&amp;DATE(YEAR(A214),MONTH(A214),DAY(EOMONTH(A214,0))),发射纪录!N:N,"&lt;&gt;")</f>
        <v>0</v>
      </c>
      <c r="C214" s="10">
        <f>COUNTIFS(发射纪录!B:B,"&lt;&gt;-",发射纪录!G:G,"&gt;="&amp;DATE(YEAR(A214),MONTH(A214),1),发射纪录!G:G,"&lt;="&amp;DATE(YEAR(A214),MONTH(A214),DAY(EOMONTH(A214,0))),发射纪录!N:N,"=成功",发射纪录!N:N,"&lt;&gt;")</f>
        <v>0</v>
      </c>
      <c r="D214" s="1" t="str">
        <f t="shared" si="96"/>
        <v>-</v>
      </c>
      <c r="E214" s="10">
        <f t="shared" si="97"/>
        <v>14</v>
      </c>
      <c r="F214" s="10">
        <f t="shared" si="98"/>
        <v>12</v>
      </c>
      <c r="G214" s="2">
        <f t="shared" si="99"/>
        <v>0.8571428571428571</v>
      </c>
      <c r="H214" s="10">
        <f>COUNTIFS(发射纪录!C:C,"&lt;&gt;-",发射纪录!G:G,"&gt;="&amp;DATE(YEAR(A214),MONTH(A214),1),发射纪录!G:G,"&lt;="&amp;DATE(YEAR(A214),MONTH(A214),DAY(EOMONTH(A214,0))),发射纪录!N:N,"&lt;&gt;")</f>
        <v>0</v>
      </c>
      <c r="I214" s="10">
        <f ca="1">COUNTIFS(发射纪录!C:C,"&lt;&gt;-",发射纪录!G:G,"&gt;="&amp;DATE(YEAR(A214),MONTH(A214),1),发射纪录!G:G,"&lt;="&amp;DATE(YEAR(A214),MONTH(A214),DAY(EOMONTH(A214,0))),发射纪录!N:N,"=成功",发射纪录!N:N,"&lt;&gt;")</f>
        <v>0</v>
      </c>
      <c r="J214" s="1" t="str">
        <f t="shared" si="100"/>
        <v>-</v>
      </c>
      <c r="K214" s="10">
        <f t="shared" ca="1" si="101"/>
        <v>8</v>
      </c>
      <c r="L214" s="10">
        <f t="shared" ca="1" si="102"/>
        <v>4</v>
      </c>
      <c r="M214" s="2">
        <f t="shared" ca="1" si="103"/>
        <v>0.5</v>
      </c>
      <c r="N214" s="10">
        <f t="shared" si="104"/>
        <v>0</v>
      </c>
      <c r="O214" s="10">
        <f t="shared" ca="1" si="105"/>
        <v>0</v>
      </c>
      <c r="P214" s="3" t="str">
        <f t="shared" si="106"/>
        <v>-</v>
      </c>
      <c r="Q214" s="10">
        <f t="shared" ca="1" si="107"/>
        <v>22</v>
      </c>
      <c r="R214" s="10">
        <f t="shared" ca="1" si="108"/>
        <v>16</v>
      </c>
      <c r="S214" s="4">
        <f t="shared" ca="1" si="109"/>
        <v>0.72727272727272729</v>
      </c>
      <c r="T214" s="478"/>
    </row>
    <row r="215" spans="1:20" x14ac:dyDescent="0.45">
      <c r="A215" s="64">
        <v>31990</v>
      </c>
      <c r="B215" s="14">
        <f>COUNTIFS(发射纪录!B:B,"&lt;&gt;-",发射纪录!G:G,"&gt;="&amp;DATE(YEAR(A215),MONTH(A215),1),发射纪录!G:G,"&lt;="&amp;DATE(YEAR(A215),MONTH(A215),DAY(EOMONTH(A215,0))),发射纪录!N:N,"&lt;&gt;")</f>
        <v>1</v>
      </c>
      <c r="C215" s="10">
        <f>COUNTIFS(发射纪录!B:B,"&lt;&gt;-",发射纪录!G:G,"&gt;="&amp;DATE(YEAR(A215),MONTH(A215),1),发射纪录!G:G,"&lt;="&amp;DATE(YEAR(A215),MONTH(A215),DAY(EOMONTH(A215,0))),发射纪录!N:N,"=成功",发射纪录!N:N,"&lt;&gt;")</f>
        <v>1</v>
      </c>
      <c r="D215" s="1">
        <f t="shared" si="96"/>
        <v>1</v>
      </c>
      <c r="E215" s="10">
        <f t="shared" si="97"/>
        <v>15</v>
      </c>
      <c r="F215" s="10">
        <f t="shared" si="98"/>
        <v>13</v>
      </c>
      <c r="G215" s="2">
        <f t="shared" si="99"/>
        <v>0.8666666666666667</v>
      </c>
      <c r="H215" s="10">
        <f>COUNTIFS(发射纪录!C:C,"&lt;&gt;-",发射纪录!G:G,"&gt;="&amp;DATE(YEAR(A215),MONTH(A215),1),发射纪录!G:G,"&lt;="&amp;DATE(YEAR(A215),MONTH(A215),DAY(EOMONTH(A215,0))),发射纪录!N:N,"&lt;&gt;")</f>
        <v>0</v>
      </c>
      <c r="I215" s="10">
        <f ca="1">COUNTIFS(发射纪录!C:C,"&lt;&gt;-",发射纪录!G:G,"&gt;="&amp;DATE(YEAR(A215),MONTH(A215),1),发射纪录!G:G,"&lt;="&amp;DATE(YEAR(A215),MONTH(A215),DAY(EOMONTH(A215,0))),发射纪录!N:N,"=成功",发射纪录!N:N,"&lt;&gt;")</f>
        <v>0</v>
      </c>
      <c r="J215" s="1" t="str">
        <f t="shared" si="100"/>
        <v>-</v>
      </c>
      <c r="K215" s="10">
        <f t="shared" ca="1" si="101"/>
        <v>8</v>
      </c>
      <c r="L215" s="10">
        <f t="shared" ca="1" si="102"/>
        <v>4</v>
      </c>
      <c r="M215" s="2">
        <f t="shared" ca="1" si="103"/>
        <v>0.5</v>
      </c>
      <c r="N215" s="10">
        <f t="shared" si="104"/>
        <v>1</v>
      </c>
      <c r="O215" s="10">
        <f t="shared" ca="1" si="105"/>
        <v>1</v>
      </c>
      <c r="P215" s="3">
        <f t="shared" ca="1" si="106"/>
        <v>1</v>
      </c>
      <c r="Q215" s="10">
        <f t="shared" ca="1" si="107"/>
        <v>23</v>
      </c>
      <c r="R215" s="10">
        <f t="shared" ca="1" si="108"/>
        <v>17</v>
      </c>
      <c r="S215" s="4">
        <f t="shared" ca="1" si="109"/>
        <v>0.73913043478260865</v>
      </c>
      <c r="T215" s="478"/>
    </row>
    <row r="216" spans="1:20" x14ac:dyDescent="0.45">
      <c r="A216" s="64">
        <v>32021</v>
      </c>
      <c r="B216" s="14">
        <f>COUNTIFS(发射纪录!B:B,"&lt;&gt;-",发射纪录!G:G,"&gt;="&amp;DATE(YEAR(A216),MONTH(A216),1),发射纪录!G:G,"&lt;="&amp;DATE(YEAR(A216),MONTH(A216),DAY(EOMONTH(A216,0))),发射纪录!N:N,"&lt;&gt;")</f>
        <v>1</v>
      </c>
      <c r="C216" s="10">
        <f>COUNTIFS(发射纪录!B:B,"&lt;&gt;-",发射纪录!G:G,"&gt;="&amp;DATE(YEAR(A216),MONTH(A216),1),发射纪录!G:G,"&lt;="&amp;DATE(YEAR(A216),MONTH(A216),DAY(EOMONTH(A216,0))),发射纪录!N:N,"=成功",发射纪录!N:N,"&lt;&gt;")</f>
        <v>1</v>
      </c>
      <c r="D216" s="1">
        <f t="shared" si="96"/>
        <v>1</v>
      </c>
      <c r="E216" s="10">
        <f t="shared" si="97"/>
        <v>16</v>
      </c>
      <c r="F216" s="10">
        <f t="shared" si="98"/>
        <v>14</v>
      </c>
      <c r="G216" s="2">
        <f t="shared" si="99"/>
        <v>0.875</v>
      </c>
      <c r="H216" s="10">
        <f>COUNTIFS(发射纪录!C:C,"&lt;&gt;-",发射纪录!G:G,"&gt;="&amp;DATE(YEAR(A216),MONTH(A216),1),发射纪录!G:G,"&lt;="&amp;DATE(YEAR(A216),MONTH(A216),DAY(EOMONTH(A216,0))),发射纪录!N:N,"&lt;&gt;")</f>
        <v>0</v>
      </c>
      <c r="I216" s="10">
        <f>COUNTIFS(发射纪录!C:C,"&lt;&gt;-",发射纪录!G:G,"&gt;="&amp;DATE(YEAR(A216),MONTH(A216),1),发射纪录!G:G,"&lt;="&amp;DATE(YEAR(A216),MONTH(A216),DAY(EOMONTH(A216,0))),发射纪录!N:N,"=成功",发射纪录!N:N,"&lt;&gt;")</f>
        <v>0</v>
      </c>
      <c r="J216" s="1" t="str">
        <f t="shared" si="100"/>
        <v>-</v>
      </c>
      <c r="K216" s="10">
        <f t="shared" ca="1" si="101"/>
        <v>8</v>
      </c>
      <c r="L216" s="10">
        <f t="shared" ca="1" si="102"/>
        <v>4</v>
      </c>
      <c r="M216" s="2">
        <f t="shared" ca="1" si="103"/>
        <v>0.5</v>
      </c>
      <c r="N216" s="10">
        <f t="shared" si="104"/>
        <v>1</v>
      </c>
      <c r="O216" s="10">
        <f t="shared" si="105"/>
        <v>1</v>
      </c>
      <c r="P216" s="3">
        <f t="shared" si="106"/>
        <v>1</v>
      </c>
      <c r="Q216" s="10">
        <f t="shared" ca="1" si="107"/>
        <v>24</v>
      </c>
      <c r="R216" s="10">
        <f t="shared" ca="1" si="108"/>
        <v>18</v>
      </c>
      <c r="S216" s="4">
        <f t="shared" ca="1" si="109"/>
        <v>0.75</v>
      </c>
      <c r="T216" s="478"/>
    </row>
    <row r="217" spans="1:20" x14ac:dyDescent="0.45">
      <c r="A217" s="64">
        <v>32051</v>
      </c>
      <c r="B217" s="14">
        <f>COUNTIFS(发射纪录!B:B,"&lt;&gt;-",发射纪录!G:G,"&gt;="&amp;DATE(YEAR(A217),MONTH(A217),1),发射纪录!G:G,"&lt;="&amp;DATE(YEAR(A217),MONTH(A217),DAY(EOMONTH(A217,0))),发射纪录!N:N,"&lt;&gt;")</f>
        <v>0</v>
      </c>
      <c r="C217" s="10">
        <f>COUNTIFS(发射纪录!B:B,"&lt;&gt;-",发射纪录!G:G,"&gt;="&amp;DATE(YEAR(A217),MONTH(A217),1),发射纪录!G:G,"&lt;="&amp;DATE(YEAR(A217),MONTH(A217),DAY(EOMONTH(A217,0))),发射纪录!N:N,"=成功",发射纪录!N:N,"&lt;&gt;")</f>
        <v>0</v>
      </c>
      <c r="D217" s="1" t="str">
        <f t="shared" si="96"/>
        <v>-</v>
      </c>
      <c r="E217" s="10">
        <f t="shared" si="97"/>
        <v>16</v>
      </c>
      <c r="F217" s="10">
        <f t="shared" si="98"/>
        <v>14</v>
      </c>
      <c r="G217" s="2">
        <f t="shared" si="99"/>
        <v>0.875</v>
      </c>
      <c r="H217" s="10">
        <f>COUNTIFS(发射纪录!C:C,"&lt;&gt;-",发射纪录!G:G,"&gt;="&amp;DATE(YEAR(A217),MONTH(A217),1),发射纪录!G:G,"&lt;="&amp;DATE(YEAR(A217),MONTH(A217),DAY(EOMONTH(A217,0))),发射纪录!N:N,"&lt;&gt;")</f>
        <v>0</v>
      </c>
      <c r="I217" s="10">
        <f ca="1">COUNTIFS(发射纪录!C:C,"&lt;&gt;-",发射纪录!G:G,"&gt;="&amp;DATE(YEAR(A217),MONTH(A217),1),发射纪录!G:G,"&lt;="&amp;DATE(YEAR(A217),MONTH(A217),DAY(EOMONTH(A217,0))),发射纪录!N:N,"=成功",发射纪录!N:N,"&lt;&gt;")</f>
        <v>0</v>
      </c>
      <c r="J217" s="1" t="str">
        <f t="shared" si="100"/>
        <v>-</v>
      </c>
      <c r="K217" s="10">
        <f t="shared" ca="1" si="101"/>
        <v>8</v>
      </c>
      <c r="L217" s="10">
        <f t="shared" ca="1" si="102"/>
        <v>4</v>
      </c>
      <c r="M217" s="2">
        <f t="shared" ca="1" si="103"/>
        <v>0.5</v>
      </c>
      <c r="N217" s="10">
        <f t="shared" si="104"/>
        <v>0</v>
      </c>
      <c r="O217" s="10">
        <f t="shared" ca="1" si="105"/>
        <v>0</v>
      </c>
      <c r="P217" s="3" t="str">
        <f t="shared" si="106"/>
        <v>-</v>
      </c>
      <c r="Q217" s="10">
        <f t="shared" ca="1" si="107"/>
        <v>24</v>
      </c>
      <c r="R217" s="10">
        <f t="shared" ca="1" si="108"/>
        <v>18</v>
      </c>
      <c r="S217" s="4">
        <f t="shared" ca="1" si="109"/>
        <v>0.75</v>
      </c>
      <c r="T217" s="478"/>
    </row>
    <row r="218" spans="1:20" x14ac:dyDescent="0.45">
      <c r="A218" s="64">
        <v>32082</v>
      </c>
      <c r="B218" s="14">
        <f>COUNTIFS(发射纪录!B:B,"&lt;&gt;-",发射纪录!G:G,"&gt;="&amp;DATE(YEAR(A218),MONTH(A218),1),发射纪录!G:G,"&lt;="&amp;DATE(YEAR(A218),MONTH(A218),DAY(EOMONTH(A218,0))),发射纪录!N:N,"&lt;&gt;")</f>
        <v>0</v>
      </c>
      <c r="C218" s="10">
        <f>COUNTIFS(发射纪录!B:B,"&lt;&gt;-",发射纪录!G:G,"&gt;="&amp;DATE(YEAR(A218),MONTH(A218),1),发射纪录!G:G,"&lt;="&amp;DATE(YEAR(A218),MONTH(A218),DAY(EOMONTH(A218,0))),发射纪录!N:N,"=成功",发射纪录!N:N,"&lt;&gt;")</f>
        <v>0</v>
      </c>
      <c r="D218" s="1" t="str">
        <f t="shared" si="96"/>
        <v>-</v>
      </c>
      <c r="E218" s="10">
        <f t="shared" si="97"/>
        <v>16</v>
      </c>
      <c r="F218" s="10">
        <f t="shared" si="98"/>
        <v>14</v>
      </c>
      <c r="G218" s="2">
        <f t="shared" si="99"/>
        <v>0.875</v>
      </c>
      <c r="H218" s="10">
        <f>COUNTIFS(发射纪录!C:C,"&lt;&gt;-",发射纪录!G:G,"&gt;="&amp;DATE(YEAR(A218),MONTH(A218),1),发射纪录!G:G,"&lt;="&amp;DATE(YEAR(A218),MONTH(A218),DAY(EOMONTH(A218,0))),发射纪录!N:N,"&lt;&gt;")</f>
        <v>0</v>
      </c>
      <c r="I218" s="10">
        <f>COUNTIFS(发射纪录!C:C,"&lt;&gt;-",发射纪录!G:G,"&gt;="&amp;DATE(YEAR(A218),MONTH(A218),1),发射纪录!G:G,"&lt;="&amp;DATE(YEAR(A218),MONTH(A218),DAY(EOMONTH(A218,0))),发射纪录!N:N,"=成功",发射纪录!N:N,"&lt;&gt;")</f>
        <v>0</v>
      </c>
      <c r="J218" s="1" t="str">
        <f t="shared" si="100"/>
        <v>-</v>
      </c>
      <c r="K218" s="10">
        <f t="shared" ca="1" si="101"/>
        <v>8</v>
      </c>
      <c r="L218" s="10">
        <f t="shared" ca="1" si="102"/>
        <v>4</v>
      </c>
      <c r="M218" s="2">
        <f t="shared" ca="1" si="103"/>
        <v>0.5</v>
      </c>
      <c r="N218" s="10">
        <f t="shared" si="104"/>
        <v>0</v>
      </c>
      <c r="O218" s="10">
        <f t="shared" si="105"/>
        <v>0</v>
      </c>
      <c r="P218" s="3" t="str">
        <f t="shared" si="106"/>
        <v>-</v>
      </c>
      <c r="Q218" s="10">
        <f t="shared" ca="1" si="107"/>
        <v>24</v>
      </c>
      <c r="R218" s="10">
        <f t="shared" ca="1" si="108"/>
        <v>18</v>
      </c>
      <c r="S218" s="4">
        <f t="shared" ca="1" si="109"/>
        <v>0.75</v>
      </c>
      <c r="T218" s="478"/>
    </row>
    <row r="219" spans="1:20" ht="19.5" customHeight="1" thickBot="1" x14ac:dyDescent="0.5">
      <c r="A219" s="65">
        <v>32112</v>
      </c>
      <c r="B219" s="17">
        <f>COUNTIFS(发射纪录!B:B,"&lt;&gt;-",发射纪录!G:G,"&gt;="&amp;DATE(YEAR(A219),MONTH(A219),1),发射纪录!G:G,"&lt;="&amp;DATE(YEAR(A219),MONTH(A219),DAY(EOMONTH(A219,0))),发射纪录!N:N,"&lt;&gt;")</f>
        <v>0</v>
      </c>
      <c r="C219" s="18">
        <f>COUNTIFS(发射纪录!B:B,"&lt;&gt;-",发射纪录!G:G,"&gt;="&amp;DATE(YEAR(A219),MONTH(A219),1),发射纪录!G:G,"&lt;="&amp;DATE(YEAR(A219),MONTH(A219),DAY(EOMONTH(A219,0))),发射纪录!N:N,"=成功",发射纪录!N:N,"&lt;&gt;")</f>
        <v>0</v>
      </c>
      <c r="D219" s="12" t="str">
        <f>IF(B219=0,"-",C219/B219)</f>
        <v>-</v>
      </c>
      <c r="E219" s="18">
        <f>E218+B219</f>
        <v>16</v>
      </c>
      <c r="F219" s="18">
        <f>F218+C219</f>
        <v>14</v>
      </c>
      <c r="G219" s="13">
        <f>IF(E219=0,"-",F219/E219)</f>
        <v>0.875</v>
      </c>
      <c r="H219" s="18">
        <f ca="1">COUNTIFS(发射纪录!C:C,"&lt;&gt;-",发射纪录!G:G,"&gt;="&amp;DATE(YEAR(A219),MONTH(A219),1),发射纪录!G:G,"&lt;="&amp;DATE(YEAR(A219),MONTH(A219),DAY(EOMONTH(A219,0))),发射纪录!N:N,"&lt;&gt;")</f>
        <v>0</v>
      </c>
      <c r="I219" s="18">
        <f>COUNTIFS(发射纪录!C:C,"&lt;&gt;-",发射纪录!G:G,"&gt;="&amp;DATE(YEAR(A219),MONTH(A219),1),发射纪录!G:G,"&lt;="&amp;DATE(YEAR(A219),MONTH(A219),DAY(EOMONTH(A219,0))),发射纪录!N:N,"=成功",发射纪录!N:N,"&lt;&gt;")</f>
        <v>0</v>
      </c>
      <c r="J219" s="12" t="str">
        <f ca="1">IF(H219=0,"-",I219/H219)</f>
        <v>-</v>
      </c>
      <c r="K219" s="18">
        <f ca="1">K218+H219</f>
        <v>8</v>
      </c>
      <c r="L219" s="18">
        <f ca="1">L218+I219</f>
        <v>4</v>
      </c>
      <c r="M219" s="13">
        <f ca="1">IF(K219=0,"-",L219/K219)</f>
        <v>0.5</v>
      </c>
      <c r="N219" s="18">
        <f ca="1">B219+H219</f>
        <v>0</v>
      </c>
      <c r="O219" s="18">
        <f>C219+I219</f>
        <v>0</v>
      </c>
      <c r="P219" s="12" t="str">
        <f ca="1">IF(N219=0,"-",O219/N219)</f>
        <v>-</v>
      </c>
      <c r="Q219" s="18">
        <f ca="1">E219+K219</f>
        <v>24</v>
      </c>
      <c r="R219" s="18">
        <f ca="1">F219+L219</f>
        <v>18</v>
      </c>
      <c r="S219" s="13">
        <f ca="1">IF(Q219=0,"-",R219/Q219)</f>
        <v>0.75</v>
      </c>
      <c r="T219" s="478"/>
    </row>
    <row r="220" spans="1:20" ht="19.5" customHeight="1" thickTop="1" x14ac:dyDescent="0.45">
      <c r="A220" s="63">
        <v>32143</v>
      </c>
      <c r="B220" s="14">
        <f>COUNTIFS(发射纪录!B:B,"&lt;&gt;-",发射纪录!G:G,"&gt;="&amp;DATE(YEAR(A220),MONTH(A220),1),发射纪录!G:G,"&lt;="&amp;DATE(YEAR(A220),MONTH(A220),DAY(EOMONTH(A220,0))),发射纪录!N:N,"&lt;&gt;")</f>
        <v>0</v>
      </c>
      <c r="C220" s="10">
        <f>COUNTIFS(发射纪录!B:B,"&lt;&gt;-",发射纪录!G:G,"&gt;="&amp;DATE(YEAR(A220),MONTH(A220),1),发射纪录!G:G,"&lt;="&amp;DATE(YEAR(A220),MONTH(A220),DAY(EOMONTH(A220,0))),发射纪录!N:N,"=成功",发射纪录!N:N,"&lt;&gt;")</f>
        <v>0</v>
      </c>
      <c r="D220" s="3" t="str">
        <f t="shared" ref="D220:D230" si="110">IF(B220=0,"-",C220/B220)</f>
        <v>-</v>
      </c>
      <c r="E220" s="10">
        <f t="shared" ref="E220:E230" si="111">E219+B220</f>
        <v>16</v>
      </c>
      <c r="F220" s="10">
        <f t="shared" ref="F220:F230" si="112">F219+C220</f>
        <v>14</v>
      </c>
      <c r="G220" s="4">
        <f t="shared" ref="G220:G230" si="113">IF(E220=0,"-",F220/E220)</f>
        <v>0.875</v>
      </c>
      <c r="H220" s="10">
        <f>COUNTIFS(发射纪录!C:C,"&lt;&gt;-",发射纪录!G:G,"&gt;="&amp;DATE(YEAR(A220),MONTH(A220),1),发射纪录!G:G,"&lt;="&amp;DATE(YEAR(A220),MONTH(A220),DAY(EOMONTH(A220,0))),发射纪录!N:N,"&lt;&gt;")</f>
        <v>0</v>
      </c>
      <c r="I220" s="10">
        <f>COUNTIFS(发射纪录!C:C,"&lt;&gt;-",发射纪录!G:G,"&gt;="&amp;DATE(YEAR(A220),MONTH(A220),1),发射纪录!G:G,"&lt;="&amp;DATE(YEAR(A220),MONTH(A220),DAY(EOMONTH(A220,0))),发射纪录!N:N,"=成功",发射纪录!N:N,"&lt;&gt;")</f>
        <v>0</v>
      </c>
      <c r="J220" s="3" t="str">
        <f t="shared" ref="J220:J230" si="114">IF(H220=0,"-",I220/H220)</f>
        <v>-</v>
      </c>
      <c r="K220" s="10">
        <f t="shared" ref="K220:K230" ca="1" si="115">K219+H220</f>
        <v>8</v>
      </c>
      <c r="L220" s="10">
        <f t="shared" ref="L220:L230" ca="1" si="116">L219+I220</f>
        <v>4</v>
      </c>
      <c r="M220" s="4">
        <f t="shared" ref="M220:M230" ca="1" si="117">IF(K220=0,"-",L220/K220)</f>
        <v>0.5</v>
      </c>
      <c r="N220" s="10">
        <f t="shared" ref="N220:N230" si="118">B220+H220</f>
        <v>0</v>
      </c>
      <c r="O220" s="10">
        <f t="shared" ref="O220:O230" si="119">C220+I220</f>
        <v>0</v>
      </c>
      <c r="P220" s="3" t="str">
        <f t="shared" ref="P220:P230" si="120">IF(N220=0,"-",O220/N220)</f>
        <v>-</v>
      </c>
      <c r="Q220" s="10">
        <f t="shared" ref="Q220:Q230" ca="1" si="121">E220+K220</f>
        <v>24</v>
      </c>
      <c r="R220" s="10">
        <f t="shared" ca="1" si="108"/>
        <v>18</v>
      </c>
      <c r="S220" s="4">
        <f t="shared" ref="S220:S230" ca="1" si="122">IF(Q220=0,"-",R220/Q220)</f>
        <v>0.75</v>
      </c>
      <c r="T220" s="478"/>
    </row>
    <row r="221" spans="1:20" x14ac:dyDescent="0.45">
      <c r="A221" s="64">
        <v>32174</v>
      </c>
      <c r="B221" s="14">
        <f>COUNTIFS(发射纪录!B:B,"&lt;&gt;-",发射纪录!G:G,"&gt;="&amp;DATE(YEAR(A221),MONTH(A221),1),发射纪录!G:G,"&lt;="&amp;DATE(YEAR(A221),MONTH(A221),DAY(EOMONTH(A221,0))),发射纪录!N:N,"&lt;&gt;")</f>
        <v>0</v>
      </c>
      <c r="C221" s="10">
        <f>COUNTIFS(发射纪录!B:B,"&lt;&gt;-",发射纪录!G:G,"&gt;="&amp;DATE(YEAR(A221),MONTH(A221),1),发射纪录!G:G,"&lt;="&amp;DATE(YEAR(A221),MONTH(A221),DAY(EOMONTH(A221,0))),发射纪录!N:N,"=成功",发射纪录!N:N,"&lt;&gt;")</f>
        <v>0</v>
      </c>
      <c r="D221" s="1" t="str">
        <f t="shared" si="110"/>
        <v>-</v>
      </c>
      <c r="E221" s="10">
        <f t="shared" si="111"/>
        <v>16</v>
      </c>
      <c r="F221" s="10">
        <f t="shared" si="112"/>
        <v>14</v>
      </c>
      <c r="G221" s="2">
        <f t="shared" si="113"/>
        <v>0.875</v>
      </c>
      <c r="H221" s="10">
        <f>COUNTIFS(发射纪录!C:C,"&lt;&gt;-",发射纪录!G:G,"&gt;="&amp;DATE(YEAR(A221),MONTH(A221),1),发射纪录!G:G,"&lt;="&amp;DATE(YEAR(A221),MONTH(A221),DAY(EOMONTH(A221,0))),发射纪录!N:N,"&lt;&gt;")</f>
        <v>0</v>
      </c>
      <c r="I221" s="10">
        <f>COUNTIFS(发射纪录!C:C,"&lt;&gt;-",发射纪录!G:G,"&gt;="&amp;DATE(YEAR(A221),MONTH(A221),1),发射纪录!G:G,"&lt;="&amp;DATE(YEAR(A221),MONTH(A221),DAY(EOMONTH(A221,0))),发射纪录!N:N,"=成功",发射纪录!N:N,"&lt;&gt;")</f>
        <v>0</v>
      </c>
      <c r="J221" s="1" t="str">
        <f t="shared" si="114"/>
        <v>-</v>
      </c>
      <c r="K221" s="10">
        <f t="shared" ca="1" si="115"/>
        <v>8</v>
      </c>
      <c r="L221" s="10">
        <f t="shared" ca="1" si="116"/>
        <v>4</v>
      </c>
      <c r="M221" s="2">
        <f t="shared" ca="1" si="117"/>
        <v>0.5</v>
      </c>
      <c r="N221" s="10">
        <f t="shared" si="118"/>
        <v>0</v>
      </c>
      <c r="O221" s="10">
        <f t="shared" si="119"/>
        <v>0</v>
      </c>
      <c r="P221" s="3" t="str">
        <f t="shared" si="120"/>
        <v>-</v>
      </c>
      <c r="Q221" s="10">
        <f t="shared" ca="1" si="121"/>
        <v>24</v>
      </c>
      <c r="R221" s="10">
        <f t="shared" ca="1" si="108"/>
        <v>18</v>
      </c>
      <c r="S221" s="4">
        <f t="shared" ca="1" si="122"/>
        <v>0.75</v>
      </c>
      <c r="T221" s="478"/>
    </row>
    <row r="222" spans="1:20" x14ac:dyDescent="0.45">
      <c r="A222" s="64">
        <v>32203</v>
      </c>
      <c r="B222" s="14">
        <f>COUNTIFS(发射纪录!B:B,"&lt;&gt;-",发射纪录!G:G,"&gt;="&amp;DATE(YEAR(A222),MONTH(A222),1),发射纪录!G:G,"&lt;="&amp;DATE(YEAR(A222),MONTH(A222),DAY(EOMONTH(A222,0))),发射纪录!N:N,"&lt;&gt;")</f>
        <v>1</v>
      </c>
      <c r="C222" s="10">
        <f>COUNTIFS(发射纪录!B:B,"&lt;&gt;-",发射纪录!G:G,"&gt;="&amp;DATE(YEAR(A222),MONTH(A222),1),发射纪录!G:G,"&lt;="&amp;DATE(YEAR(A222),MONTH(A222),DAY(EOMONTH(A222,0))),发射纪录!N:N,"=成功",发射纪录!N:N,"&lt;&gt;")</f>
        <v>1</v>
      </c>
      <c r="D222" s="1">
        <f t="shared" si="110"/>
        <v>1</v>
      </c>
      <c r="E222" s="10">
        <f t="shared" si="111"/>
        <v>17</v>
      </c>
      <c r="F222" s="10">
        <f t="shared" si="112"/>
        <v>15</v>
      </c>
      <c r="G222" s="2">
        <f t="shared" si="113"/>
        <v>0.88235294117647056</v>
      </c>
      <c r="H222" s="10">
        <f>COUNTIFS(发射纪录!C:C,"&lt;&gt;-",发射纪录!G:G,"&gt;="&amp;DATE(YEAR(A222),MONTH(A222),1),发射纪录!G:G,"&lt;="&amp;DATE(YEAR(A222),MONTH(A222),DAY(EOMONTH(A222,0))),发射纪录!N:N,"&lt;&gt;")</f>
        <v>0</v>
      </c>
      <c r="I222" s="10">
        <f>COUNTIFS(发射纪录!C:C,"&lt;&gt;-",发射纪录!G:G,"&gt;="&amp;DATE(YEAR(A222),MONTH(A222),1),发射纪录!G:G,"&lt;="&amp;DATE(YEAR(A222),MONTH(A222),DAY(EOMONTH(A222,0))),发射纪录!N:N,"=成功",发射纪录!N:N,"&lt;&gt;")</f>
        <v>0</v>
      </c>
      <c r="J222" s="1" t="str">
        <f t="shared" si="114"/>
        <v>-</v>
      </c>
      <c r="K222" s="10">
        <f t="shared" ca="1" si="115"/>
        <v>8</v>
      </c>
      <c r="L222" s="10">
        <f t="shared" ca="1" si="116"/>
        <v>4</v>
      </c>
      <c r="M222" s="2">
        <f t="shared" ca="1" si="117"/>
        <v>0.5</v>
      </c>
      <c r="N222" s="10">
        <f t="shared" si="118"/>
        <v>1</v>
      </c>
      <c r="O222" s="10">
        <f t="shared" si="119"/>
        <v>1</v>
      </c>
      <c r="P222" s="3">
        <f t="shared" si="120"/>
        <v>1</v>
      </c>
      <c r="Q222" s="10">
        <f t="shared" ca="1" si="121"/>
        <v>25</v>
      </c>
      <c r="R222" s="10">
        <f t="shared" ca="1" si="108"/>
        <v>19</v>
      </c>
      <c r="S222" s="4">
        <f t="shared" ca="1" si="122"/>
        <v>0.76</v>
      </c>
      <c r="T222" s="478"/>
    </row>
    <row r="223" spans="1:20" x14ac:dyDescent="0.45">
      <c r="A223" s="64">
        <v>32234</v>
      </c>
      <c r="B223" s="14">
        <f>COUNTIFS(发射纪录!B:B,"&lt;&gt;-",发射纪录!G:G,"&gt;="&amp;DATE(YEAR(A223),MONTH(A223),1),发射纪录!G:G,"&lt;="&amp;DATE(YEAR(A223),MONTH(A223),DAY(EOMONTH(A223,0))),发射纪录!N:N,"&lt;&gt;")</f>
        <v>0</v>
      </c>
      <c r="C223" s="10">
        <f>COUNTIFS(发射纪录!B:B,"&lt;&gt;-",发射纪录!G:G,"&gt;="&amp;DATE(YEAR(A223),MONTH(A223),1),发射纪录!G:G,"&lt;="&amp;DATE(YEAR(A223),MONTH(A223),DAY(EOMONTH(A223,0))),发射纪录!N:N,"=成功",发射纪录!N:N,"&lt;&gt;")</f>
        <v>0</v>
      </c>
      <c r="D223" s="1" t="str">
        <f t="shared" si="110"/>
        <v>-</v>
      </c>
      <c r="E223" s="10">
        <f t="shared" si="111"/>
        <v>17</v>
      </c>
      <c r="F223" s="10">
        <f t="shared" si="112"/>
        <v>15</v>
      </c>
      <c r="G223" s="2">
        <f t="shared" si="113"/>
        <v>0.88235294117647056</v>
      </c>
      <c r="H223" s="10">
        <f ca="1">COUNTIFS(发射纪录!C:C,"&lt;&gt;-",发射纪录!G:G,"&gt;="&amp;DATE(YEAR(A223),MONTH(A223),1),发射纪录!G:G,"&lt;="&amp;DATE(YEAR(A223),MONTH(A223),DAY(EOMONTH(A223,0))),发射纪录!N:N,"&lt;&gt;")</f>
        <v>0</v>
      </c>
      <c r="I223" s="10">
        <f>COUNTIFS(发射纪录!C:C,"&lt;&gt;-",发射纪录!G:G,"&gt;="&amp;DATE(YEAR(A223),MONTH(A223),1),发射纪录!G:G,"&lt;="&amp;DATE(YEAR(A223),MONTH(A223),DAY(EOMONTH(A223,0))),发射纪录!N:N,"=成功",发射纪录!N:N,"&lt;&gt;")</f>
        <v>0</v>
      </c>
      <c r="J223" s="1" t="str">
        <f t="shared" ca="1" si="114"/>
        <v>-</v>
      </c>
      <c r="K223" s="10">
        <f t="shared" ca="1" si="115"/>
        <v>8</v>
      </c>
      <c r="L223" s="10">
        <f t="shared" ca="1" si="116"/>
        <v>4</v>
      </c>
      <c r="M223" s="2">
        <f t="shared" ca="1" si="117"/>
        <v>0.5</v>
      </c>
      <c r="N223" s="10">
        <f t="shared" ca="1" si="118"/>
        <v>0</v>
      </c>
      <c r="O223" s="10">
        <f t="shared" si="119"/>
        <v>0</v>
      </c>
      <c r="P223" s="3" t="str">
        <f t="shared" ca="1" si="120"/>
        <v>-</v>
      </c>
      <c r="Q223" s="10">
        <f t="shared" ca="1" si="121"/>
        <v>25</v>
      </c>
      <c r="R223" s="10">
        <f t="shared" ca="1" si="108"/>
        <v>19</v>
      </c>
      <c r="S223" s="4">
        <f t="shared" ca="1" si="122"/>
        <v>0.76</v>
      </c>
      <c r="T223" s="478"/>
    </row>
    <row r="224" spans="1:20" x14ac:dyDescent="0.45">
      <c r="A224" s="64">
        <v>32264</v>
      </c>
      <c r="B224" s="14">
        <f>COUNTIFS(发射纪录!B:B,"&lt;&gt;-",发射纪录!G:G,"&gt;="&amp;DATE(YEAR(A224),MONTH(A224),1),发射纪录!G:G,"&lt;="&amp;DATE(YEAR(A224),MONTH(A224),DAY(EOMONTH(A224,0))),发射纪录!N:N,"&lt;&gt;")</f>
        <v>0</v>
      </c>
      <c r="C224" s="10">
        <f>COUNTIFS(发射纪录!B:B,"&lt;&gt;-",发射纪录!G:G,"&gt;="&amp;DATE(YEAR(A224),MONTH(A224),1),发射纪录!G:G,"&lt;="&amp;DATE(YEAR(A224),MONTH(A224),DAY(EOMONTH(A224,0))),发射纪录!N:N,"=成功",发射纪录!N:N,"&lt;&gt;")</f>
        <v>0</v>
      </c>
      <c r="D224" s="1" t="str">
        <f t="shared" si="110"/>
        <v>-</v>
      </c>
      <c r="E224" s="10">
        <f t="shared" si="111"/>
        <v>17</v>
      </c>
      <c r="F224" s="10">
        <f t="shared" si="112"/>
        <v>15</v>
      </c>
      <c r="G224" s="2">
        <f t="shared" si="113"/>
        <v>0.88235294117647056</v>
      </c>
      <c r="H224" s="10">
        <f>COUNTIFS(发射纪录!C:C,"&lt;&gt;-",发射纪录!G:G,"&gt;="&amp;DATE(YEAR(A224),MONTH(A224),1),发射纪录!G:G,"&lt;="&amp;DATE(YEAR(A224),MONTH(A224),DAY(EOMONTH(A224,0))),发射纪录!N:N,"&lt;&gt;")</f>
        <v>0</v>
      </c>
      <c r="I224" s="10">
        <f ca="1">COUNTIFS(发射纪录!C:C,"&lt;&gt;-",发射纪录!G:G,"&gt;="&amp;DATE(YEAR(A224),MONTH(A224),1),发射纪录!G:G,"&lt;="&amp;DATE(YEAR(A224),MONTH(A224),DAY(EOMONTH(A224,0))),发射纪录!N:N,"=成功",发射纪录!N:N,"&lt;&gt;")</f>
        <v>0</v>
      </c>
      <c r="J224" s="1" t="str">
        <f t="shared" si="114"/>
        <v>-</v>
      </c>
      <c r="K224" s="10">
        <f t="shared" ca="1" si="115"/>
        <v>8</v>
      </c>
      <c r="L224" s="10">
        <f t="shared" ca="1" si="116"/>
        <v>4</v>
      </c>
      <c r="M224" s="2">
        <f t="shared" ca="1" si="117"/>
        <v>0.5</v>
      </c>
      <c r="N224" s="10">
        <f t="shared" si="118"/>
        <v>0</v>
      </c>
      <c r="O224" s="10">
        <f t="shared" ca="1" si="119"/>
        <v>0</v>
      </c>
      <c r="P224" s="3" t="str">
        <f t="shared" si="120"/>
        <v>-</v>
      </c>
      <c r="Q224" s="10">
        <f t="shared" ca="1" si="121"/>
        <v>25</v>
      </c>
      <c r="R224" s="10">
        <f t="shared" ca="1" si="108"/>
        <v>19</v>
      </c>
      <c r="S224" s="4">
        <f t="shared" ca="1" si="122"/>
        <v>0.76</v>
      </c>
      <c r="T224" s="478"/>
    </row>
    <row r="225" spans="1:20" x14ac:dyDescent="0.45">
      <c r="A225" s="64">
        <v>32295</v>
      </c>
      <c r="B225" s="14">
        <f>COUNTIFS(发射纪录!B:B,"&lt;&gt;-",发射纪录!G:G,"&gt;="&amp;DATE(YEAR(A225),MONTH(A225),1),发射纪录!G:G,"&lt;="&amp;DATE(YEAR(A225),MONTH(A225),DAY(EOMONTH(A225,0))),发射纪录!N:N,"&lt;&gt;")</f>
        <v>0</v>
      </c>
      <c r="C225" s="10">
        <f>COUNTIFS(发射纪录!B:B,"&lt;&gt;-",发射纪录!G:G,"&gt;="&amp;DATE(YEAR(A225),MONTH(A225),1),发射纪录!G:G,"&lt;="&amp;DATE(YEAR(A225),MONTH(A225),DAY(EOMONTH(A225,0))),发射纪录!N:N,"=成功",发射纪录!N:N,"&lt;&gt;")</f>
        <v>0</v>
      </c>
      <c r="D225" s="1" t="str">
        <f t="shared" si="110"/>
        <v>-</v>
      </c>
      <c r="E225" s="10">
        <f t="shared" si="111"/>
        <v>17</v>
      </c>
      <c r="F225" s="10">
        <f t="shared" si="112"/>
        <v>15</v>
      </c>
      <c r="G225" s="2">
        <f t="shared" si="113"/>
        <v>0.88235294117647056</v>
      </c>
      <c r="H225" s="10">
        <f>COUNTIFS(发射纪录!C:C,"&lt;&gt;-",发射纪录!G:G,"&gt;="&amp;DATE(YEAR(A225),MONTH(A225),1),发射纪录!G:G,"&lt;="&amp;DATE(YEAR(A225),MONTH(A225),DAY(EOMONTH(A225,0))),发射纪录!N:N,"&lt;&gt;")</f>
        <v>0</v>
      </c>
      <c r="I225" s="10">
        <f>COUNTIFS(发射纪录!C:C,"&lt;&gt;-",发射纪录!G:G,"&gt;="&amp;DATE(YEAR(A225),MONTH(A225),1),发射纪录!G:G,"&lt;="&amp;DATE(YEAR(A225),MONTH(A225),DAY(EOMONTH(A225,0))),发射纪录!N:N,"=成功",发射纪录!N:N,"&lt;&gt;")</f>
        <v>0</v>
      </c>
      <c r="J225" s="1" t="str">
        <f t="shared" si="114"/>
        <v>-</v>
      </c>
      <c r="K225" s="10">
        <f t="shared" ca="1" si="115"/>
        <v>8</v>
      </c>
      <c r="L225" s="10">
        <f t="shared" ca="1" si="116"/>
        <v>4</v>
      </c>
      <c r="M225" s="2">
        <f t="shared" ca="1" si="117"/>
        <v>0.5</v>
      </c>
      <c r="N225" s="10">
        <f t="shared" si="118"/>
        <v>0</v>
      </c>
      <c r="O225" s="10">
        <f t="shared" si="119"/>
        <v>0</v>
      </c>
      <c r="P225" s="3" t="str">
        <f t="shared" si="120"/>
        <v>-</v>
      </c>
      <c r="Q225" s="10">
        <f t="shared" ca="1" si="121"/>
        <v>25</v>
      </c>
      <c r="R225" s="10">
        <f t="shared" ca="1" si="108"/>
        <v>19</v>
      </c>
      <c r="S225" s="4">
        <f t="shared" ca="1" si="122"/>
        <v>0.76</v>
      </c>
      <c r="T225" s="478"/>
    </row>
    <row r="226" spans="1:20" x14ac:dyDescent="0.45">
      <c r="A226" s="64">
        <v>32325</v>
      </c>
      <c r="B226" s="14">
        <f>COUNTIFS(发射纪录!B:B,"&lt;&gt;-",发射纪录!G:G,"&gt;="&amp;DATE(YEAR(A226),MONTH(A226),1),发射纪录!G:G,"&lt;="&amp;DATE(YEAR(A226),MONTH(A226),DAY(EOMONTH(A226,0))),发射纪录!N:N,"&lt;&gt;")</f>
        <v>0</v>
      </c>
      <c r="C226" s="10">
        <f>COUNTIFS(发射纪录!B:B,"&lt;&gt;-",发射纪录!G:G,"&gt;="&amp;DATE(YEAR(A226),MONTH(A226),1),发射纪录!G:G,"&lt;="&amp;DATE(YEAR(A226),MONTH(A226),DAY(EOMONTH(A226,0))),发射纪录!N:N,"=成功",发射纪录!N:N,"&lt;&gt;")</f>
        <v>0</v>
      </c>
      <c r="D226" s="1" t="str">
        <f t="shared" si="110"/>
        <v>-</v>
      </c>
      <c r="E226" s="10">
        <f t="shared" si="111"/>
        <v>17</v>
      </c>
      <c r="F226" s="10">
        <f t="shared" si="112"/>
        <v>15</v>
      </c>
      <c r="G226" s="2">
        <f t="shared" si="113"/>
        <v>0.88235294117647056</v>
      </c>
      <c r="H226" s="10">
        <f>COUNTIFS(发射纪录!C:C,"&lt;&gt;-",发射纪录!G:G,"&gt;="&amp;DATE(YEAR(A226),MONTH(A226),1),发射纪录!G:G,"&lt;="&amp;DATE(YEAR(A226),MONTH(A226),DAY(EOMONTH(A226,0))),发射纪录!N:N,"&lt;&gt;")</f>
        <v>0</v>
      </c>
      <c r="I226" s="10">
        <f>COUNTIFS(发射纪录!C:C,"&lt;&gt;-",发射纪录!G:G,"&gt;="&amp;DATE(YEAR(A226),MONTH(A226),1),发射纪录!G:G,"&lt;="&amp;DATE(YEAR(A226),MONTH(A226),DAY(EOMONTH(A226,0))),发射纪录!N:N,"=成功",发射纪录!N:N,"&lt;&gt;")</f>
        <v>0</v>
      </c>
      <c r="J226" s="1" t="str">
        <f t="shared" si="114"/>
        <v>-</v>
      </c>
      <c r="K226" s="10">
        <f t="shared" ca="1" si="115"/>
        <v>8</v>
      </c>
      <c r="L226" s="10">
        <f t="shared" ca="1" si="116"/>
        <v>4</v>
      </c>
      <c r="M226" s="2">
        <f t="shared" ca="1" si="117"/>
        <v>0.5</v>
      </c>
      <c r="N226" s="10">
        <f t="shared" si="118"/>
        <v>0</v>
      </c>
      <c r="O226" s="10">
        <f t="shared" si="119"/>
        <v>0</v>
      </c>
      <c r="P226" s="3" t="str">
        <f t="shared" si="120"/>
        <v>-</v>
      </c>
      <c r="Q226" s="10">
        <f t="shared" ca="1" si="121"/>
        <v>25</v>
      </c>
      <c r="R226" s="10">
        <f t="shared" ca="1" si="108"/>
        <v>19</v>
      </c>
      <c r="S226" s="4">
        <f t="shared" ca="1" si="122"/>
        <v>0.76</v>
      </c>
      <c r="T226" s="478"/>
    </row>
    <row r="227" spans="1:20" x14ac:dyDescent="0.45">
      <c r="A227" s="64">
        <v>32356</v>
      </c>
      <c r="B227" s="14">
        <f>COUNTIFS(发射纪录!B:B,"&lt;&gt;-",发射纪录!G:G,"&gt;="&amp;DATE(YEAR(A227),MONTH(A227),1),发射纪录!G:G,"&lt;="&amp;DATE(YEAR(A227),MONTH(A227),DAY(EOMONTH(A227,0))),发射纪录!N:N,"&lt;&gt;")</f>
        <v>1</v>
      </c>
      <c r="C227" s="10">
        <f>COUNTIFS(发射纪录!B:B,"&lt;&gt;-",发射纪录!G:G,"&gt;="&amp;DATE(YEAR(A227),MONTH(A227),1),发射纪录!G:G,"&lt;="&amp;DATE(YEAR(A227),MONTH(A227),DAY(EOMONTH(A227,0))),发射纪录!N:N,"=成功",发射纪录!N:N,"&lt;&gt;")</f>
        <v>1</v>
      </c>
      <c r="D227" s="1">
        <f t="shared" si="110"/>
        <v>1</v>
      </c>
      <c r="E227" s="10">
        <f t="shared" si="111"/>
        <v>18</v>
      </c>
      <c r="F227" s="10">
        <f t="shared" si="112"/>
        <v>16</v>
      </c>
      <c r="G227" s="2">
        <f t="shared" si="113"/>
        <v>0.88888888888888884</v>
      </c>
      <c r="H227" s="10">
        <f>COUNTIFS(发射纪录!C:C,"&lt;&gt;-",发射纪录!G:G,"&gt;="&amp;DATE(YEAR(A227),MONTH(A227),1),发射纪录!G:G,"&lt;="&amp;DATE(YEAR(A227),MONTH(A227),DAY(EOMONTH(A227,0))),发射纪录!N:N,"&lt;&gt;")</f>
        <v>0</v>
      </c>
      <c r="I227" s="10">
        <f>COUNTIFS(发射纪录!C:C,"&lt;&gt;-",发射纪录!G:G,"&gt;="&amp;DATE(YEAR(A227),MONTH(A227),1),发射纪录!G:G,"&lt;="&amp;DATE(YEAR(A227),MONTH(A227),DAY(EOMONTH(A227,0))),发射纪录!N:N,"=成功",发射纪录!N:N,"&lt;&gt;")</f>
        <v>0</v>
      </c>
      <c r="J227" s="1" t="str">
        <f t="shared" si="114"/>
        <v>-</v>
      </c>
      <c r="K227" s="10">
        <f t="shared" ca="1" si="115"/>
        <v>8</v>
      </c>
      <c r="L227" s="10">
        <f t="shared" ca="1" si="116"/>
        <v>4</v>
      </c>
      <c r="M227" s="2">
        <f t="shared" ca="1" si="117"/>
        <v>0.5</v>
      </c>
      <c r="N227" s="10">
        <f t="shared" si="118"/>
        <v>1</v>
      </c>
      <c r="O227" s="10">
        <f t="shared" si="119"/>
        <v>1</v>
      </c>
      <c r="P227" s="3">
        <f t="shared" si="120"/>
        <v>1</v>
      </c>
      <c r="Q227" s="10">
        <f t="shared" ca="1" si="121"/>
        <v>26</v>
      </c>
      <c r="R227" s="10">
        <f t="shared" ca="1" si="108"/>
        <v>20</v>
      </c>
      <c r="S227" s="4">
        <f t="shared" ca="1" si="122"/>
        <v>0.76923076923076927</v>
      </c>
      <c r="T227" s="478"/>
    </row>
    <row r="228" spans="1:20" x14ac:dyDescent="0.45">
      <c r="A228" s="64">
        <v>32387</v>
      </c>
      <c r="B228" s="14">
        <f>COUNTIFS(发射纪录!B:B,"&lt;&gt;-",发射纪录!G:G,"&gt;="&amp;DATE(YEAR(A228),MONTH(A228),1),发射纪录!G:G,"&lt;="&amp;DATE(YEAR(A228),MONTH(A228),DAY(EOMONTH(A228,0))),发射纪录!N:N,"&lt;&gt;")</f>
        <v>1</v>
      </c>
      <c r="C228" s="10">
        <f>COUNTIFS(发射纪录!B:B,"&lt;&gt;-",发射纪录!G:G,"&gt;="&amp;DATE(YEAR(A228),MONTH(A228),1),发射纪录!G:G,"&lt;="&amp;DATE(YEAR(A228),MONTH(A228),DAY(EOMONTH(A228,0))),发射纪录!N:N,"=成功",发射纪录!N:N,"&lt;&gt;")</f>
        <v>1</v>
      </c>
      <c r="D228" s="1">
        <f t="shared" si="110"/>
        <v>1</v>
      </c>
      <c r="E228" s="10">
        <f t="shared" si="111"/>
        <v>19</v>
      </c>
      <c r="F228" s="10">
        <f t="shared" si="112"/>
        <v>17</v>
      </c>
      <c r="G228" s="2">
        <f t="shared" si="113"/>
        <v>0.89473684210526316</v>
      </c>
      <c r="H228" s="10">
        <f>COUNTIFS(发射纪录!C:C,"&lt;&gt;-",发射纪录!G:G,"&gt;="&amp;DATE(YEAR(A228),MONTH(A228),1),发射纪录!G:G,"&lt;="&amp;DATE(YEAR(A228),MONTH(A228),DAY(EOMONTH(A228,0))),发射纪录!N:N,"&lt;&gt;")</f>
        <v>0</v>
      </c>
      <c r="I228" s="10">
        <f>COUNTIFS(发射纪录!C:C,"&lt;&gt;-",发射纪录!G:G,"&gt;="&amp;DATE(YEAR(A228),MONTH(A228),1),发射纪录!G:G,"&lt;="&amp;DATE(YEAR(A228),MONTH(A228),DAY(EOMONTH(A228,0))),发射纪录!N:N,"=成功",发射纪录!N:N,"&lt;&gt;")</f>
        <v>0</v>
      </c>
      <c r="J228" s="1" t="str">
        <f t="shared" si="114"/>
        <v>-</v>
      </c>
      <c r="K228" s="10">
        <f t="shared" ca="1" si="115"/>
        <v>8</v>
      </c>
      <c r="L228" s="10">
        <f t="shared" ca="1" si="116"/>
        <v>4</v>
      </c>
      <c r="M228" s="2">
        <f t="shared" ca="1" si="117"/>
        <v>0.5</v>
      </c>
      <c r="N228" s="10">
        <f t="shared" si="118"/>
        <v>1</v>
      </c>
      <c r="O228" s="10">
        <f t="shared" si="119"/>
        <v>1</v>
      </c>
      <c r="P228" s="3">
        <f t="shared" si="120"/>
        <v>1</v>
      </c>
      <c r="Q228" s="10">
        <f t="shared" ca="1" si="121"/>
        <v>27</v>
      </c>
      <c r="R228" s="10">
        <f t="shared" ca="1" si="108"/>
        <v>21</v>
      </c>
      <c r="S228" s="4">
        <f t="shared" ca="1" si="122"/>
        <v>0.77777777777777779</v>
      </c>
      <c r="T228" s="478"/>
    </row>
    <row r="229" spans="1:20" x14ac:dyDescent="0.45">
      <c r="A229" s="64">
        <v>32417</v>
      </c>
      <c r="B229" s="14">
        <f>COUNTIFS(发射纪录!B:B,"&lt;&gt;-",发射纪录!G:G,"&gt;="&amp;DATE(YEAR(A229),MONTH(A229),1),发射纪录!G:G,"&lt;="&amp;DATE(YEAR(A229),MONTH(A229),DAY(EOMONTH(A229,0))),发射纪录!N:N,"&lt;&gt;")</f>
        <v>0</v>
      </c>
      <c r="C229" s="10">
        <f>COUNTIFS(发射纪录!B:B,"&lt;&gt;-",发射纪录!G:G,"&gt;="&amp;DATE(YEAR(A229),MONTH(A229),1),发射纪录!G:G,"&lt;="&amp;DATE(YEAR(A229),MONTH(A229),DAY(EOMONTH(A229,0))),发射纪录!N:N,"=成功",发射纪录!N:N,"&lt;&gt;")</f>
        <v>0</v>
      </c>
      <c r="D229" s="1" t="str">
        <f t="shared" si="110"/>
        <v>-</v>
      </c>
      <c r="E229" s="10">
        <f t="shared" si="111"/>
        <v>19</v>
      </c>
      <c r="F229" s="10">
        <f t="shared" si="112"/>
        <v>17</v>
      </c>
      <c r="G229" s="2">
        <f t="shared" si="113"/>
        <v>0.89473684210526316</v>
      </c>
      <c r="H229" s="10">
        <f>COUNTIFS(发射纪录!C:C,"&lt;&gt;-",发射纪录!G:G,"&gt;="&amp;DATE(YEAR(A229),MONTH(A229),1),发射纪录!G:G,"&lt;="&amp;DATE(YEAR(A229),MONTH(A229),DAY(EOMONTH(A229,0))),发射纪录!N:N,"&lt;&gt;")</f>
        <v>0</v>
      </c>
      <c r="I229" s="10">
        <f ca="1">COUNTIFS(发射纪录!C:C,"&lt;&gt;-",发射纪录!G:G,"&gt;="&amp;DATE(YEAR(A229),MONTH(A229),1),发射纪录!G:G,"&lt;="&amp;DATE(YEAR(A229),MONTH(A229),DAY(EOMONTH(A229,0))),发射纪录!N:N,"=成功",发射纪录!N:N,"&lt;&gt;")</f>
        <v>0</v>
      </c>
      <c r="J229" s="1" t="str">
        <f t="shared" si="114"/>
        <v>-</v>
      </c>
      <c r="K229" s="10">
        <f t="shared" ca="1" si="115"/>
        <v>8</v>
      </c>
      <c r="L229" s="10">
        <f t="shared" ca="1" si="116"/>
        <v>4</v>
      </c>
      <c r="M229" s="2">
        <f t="shared" ca="1" si="117"/>
        <v>0.5</v>
      </c>
      <c r="N229" s="10">
        <f t="shared" si="118"/>
        <v>0</v>
      </c>
      <c r="O229" s="10">
        <f t="shared" ca="1" si="119"/>
        <v>0</v>
      </c>
      <c r="P229" s="3" t="str">
        <f t="shared" si="120"/>
        <v>-</v>
      </c>
      <c r="Q229" s="10">
        <f t="shared" ca="1" si="121"/>
        <v>27</v>
      </c>
      <c r="R229" s="10">
        <f t="shared" ca="1" si="108"/>
        <v>21</v>
      </c>
      <c r="S229" s="4">
        <f t="shared" ca="1" si="122"/>
        <v>0.77777777777777779</v>
      </c>
      <c r="T229" s="478"/>
    </row>
    <row r="230" spans="1:20" x14ac:dyDescent="0.45">
      <c r="A230" s="64">
        <v>32448</v>
      </c>
      <c r="B230" s="14">
        <f>COUNTIFS(发射纪录!B:B,"&lt;&gt;-",发射纪录!G:G,"&gt;="&amp;DATE(YEAR(A230),MONTH(A230),1),发射纪录!G:G,"&lt;="&amp;DATE(YEAR(A230),MONTH(A230),DAY(EOMONTH(A230,0))),发射纪录!N:N,"&lt;&gt;")</f>
        <v>0</v>
      </c>
      <c r="C230" s="10">
        <f>COUNTIFS(发射纪录!B:B,"&lt;&gt;-",发射纪录!G:G,"&gt;="&amp;DATE(YEAR(A230),MONTH(A230),1),发射纪录!G:G,"&lt;="&amp;DATE(YEAR(A230),MONTH(A230),DAY(EOMONTH(A230,0))),发射纪录!N:N,"=成功",发射纪录!N:N,"&lt;&gt;")</f>
        <v>0</v>
      </c>
      <c r="D230" s="1" t="str">
        <f t="shared" si="110"/>
        <v>-</v>
      </c>
      <c r="E230" s="10">
        <f t="shared" si="111"/>
        <v>19</v>
      </c>
      <c r="F230" s="10">
        <f t="shared" si="112"/>
        <v>17</v>
      </c>
      <c r="G230" s="2">
        <f t="shared" si="113"/>
        <v>0.89473684210526316</v>
      </c>
      <c r="H230" s="10">
        <f>COUNTIFS(发射纪录!C:C,"&lt;&gt;-",发射纪录!G:G,"&gt;="&amp;DATE(YEAR(A230),MONTH(A230),1),发射纪录!G:G,"&lt;="&amp;DATE(YEAR(A230),MONTH(A230),DAY(EOMONTH(A230,0))),发射纪录!N:N,"&lt;&gt;")</f>
        <v>0</v>
      </c>
      <c r="I230" s="10">
        <f>COUNTIFS(发射纪录!C:C,"&lt;&gt;-",发射纪录!G:G,"&gt;="&amp;DATE(YEAR(A230),MONTH(A230),1),发射纪录!G:G,"&lt;="&amp;DATE(YEAR(A230),MONTH(A230),DAY(EOMONTH(A230,0))),发射纪录!N:N,"=成功",发射纪录!N:N,"&lt;&gt;")</f>
        <v>0</v>
      </c>
      <c r="J230" s="1" t="str">
        <f t="shared" si="114"/>
        <v>-</v>
      </c>
      <c r="K230" s="10">
        <f t="shared" ca="1" si="115"/>
        <v>8</v>
      </c>
      <c r="L230" s="10">
        <f t="shared" ca="1" si="116"/>
        <v>4</v>
      </c>
      <c r="M230" s="2">
        <f t="shared" ca="1" si="117"/>
        <v>0.5</v>
      </c>
      <c r="N230" s="10">
        <f t="shared" si="118"/>
        <v>0</v>
      </c>
      <c r="O230" s="10">
        <f t="shared" si="119"/>
        <v>0</v>
      </c>
      <c r="P230" s="3" t="str">
        <f t="shared" si="120"/>
        <v>-</v>
      </c>
      <c r="Q230" s="10">
        <f t="shared" ca="1" si="121"/>
        <v>27</v>
      </c>
      <c r="R230" s="10">
        <f t="shared" ca="1" si="108"/>
        <v>21</v>
      </c>
      <c r="S230" s="4">
        <f t="shared" ca="1" si="122"/>
        <v>0.77777777777777779</v>
      </c>
      <c r="T230" s="478"/>
    </row>
    <row r="231" spans="1:20" ht="19.5" customHeight="1" thickBot="1" x14ac:dyDescent="0.5">
      <c r="A231" s="65">
        <v>32478</v>
      </c>
      <c r="B231" s="17">
        <f>COUNTIFS(发射纪录!B:B,"&lt;&gt;-",发射纪录!G:G,"&gt;="&amp;DATE(YEAR(A231),MONTH(A231),1),发射纪录!G:G,"&lt;="&amp;DATE(YEAR(A231),MONTH(A231),DAY(EOMONTH(A231,0))),发射纪录!N:N,"&lt;&gt;")</f>
        <v>1</v>
      </c>
      <c r="C231" s="18">
        <f>COUNTIFS(发射纪录!B:B,"&lt;&gt;-",发射纪录!G:G,"&gt;="&amp;DATE(YEAR(A231),MONTH(A231),1),发射纪录!G:G,"&lt;="&amp;DATE(YEAR(A231),MONTH(A231),DAY(EOMONTH(A231,0))),发射纪录!N:N,"=成功",发射纪录!N:N,"&lt;&gt;")</f>
        <v>1</v>
      </c>
      <c r="D231" s="12">
        <f>IF(B231=0,"-",C231/B231)</f>
        <v>1</v>
      </c>
      <c r="E231" s="18">
        <f>E230+B231</f>
        <v>20</v>
      </c>
      <c r="F231" s="18">
        <f>F230+C231</f>
        <v>18</v>
      </c>
      <c r="G231" s="13">
        <f>IF(E231=0,"-",F231/E231)</f>
        <v>0.9</v>
      </c>
      <c r="H231" s="18">
        <f ca="1">COUNTIFS(发射纪录!C:C,"&lt;&gt;-",发射纪录!G:G,"&gt;="&amp;DATE(YEAR(A231),MONTH(A231),1),发射纪录!G:G,"&lt;="&amp;DATE(YEAR(A231),MONTH(A231),DAY(EOMONTH(A231,0))),发射纪录!N:N,"&lt;&gt;")</f>
        <v>0</v>
      </c>
      <c r="I231" s="18">
        <f>COUNTIFS(发射纪录!C:C,"&lt;&gt;-",发射纪录!G:G,"&gt;="&amp;DATE(YEAR(A231),MONTH(A231),1),发射纪录!G:G,"&lt;="&amp;DATE(YEAR(A231),MONTH(A231),DAY(EOMONTH(A231,0))),发射纪录!N:N,"=成功",发射纪录!N:N,"&lt;&gt;")</f>
        <v>0</v>
      </c>
      <c r="J231" s="12" t="str">
        <f ca="1">IF(H231=0,"-",I231/H231)</f>
        <v>-</v>
      </c>
      <c r="K231" s="18">
        <f ca="1">K230+H231</f>
        <v>8</v>
      </c>
      <c r="L231" s="18">
        <f ca="1">L230+I231</f>
        <v>4</v>
      </c>
      <c r="M231" s="13">
        <f ca="1">IF(K231=0,"-",L231/K231)</f>
        <v>0.5</v>
      </c>
      <c r="N231" s="18">
        <f ca="1">B231+H231</f>
        <v>1</v>
      </c>
      <c r="O231" s="18">
        <f>C231+I231</f>
        <v>1</v>
      </c>
      <c r="P231" s="12">
        <f ca="1">IF(N231=0,"-",O231/N231)</f>
        <v>1</v>
      </c>
      <c r="Q231" s="18">
        <f ca="1">E231+K231</f>
        <v>28</v>
      </c>
      <c r="R231" s="18">
        <f ca="1">F231+L231</f>
        <v>22</v>
      </c>
      <c r="S231" s="13">
        <f ca="1">IF(Q231=0,"-",R231/Q231)</f>
        <v>0.7857142857142857</v>
      </c>
      <c r="T231" s="478"/>
    </row>
    <row r="232" spans="1:20" ht="19.5" customHeight="1" thickTop="1" x14ac:dyDescent="0.45">
      <c r="A232" s="63">
        <v>32509</v>
      </c>
      <c r="B232" s="14">
        <f>COUNTIFS(发射纪录!B:B,"&lt;&gt;-",发射纪录!G:G,"&gt;="&amp;DATE(YEAR(A232),MONTH(A232),1),发射纪录!G:G,"&lt;="&amp;DATE(YEAR(A232),MONTH(A232),DAY(EOMONTH(A232,0))),发射纪录!N:N,"&lt;&gt;")</f>
        <v>0</v>
      </c>
      <c r="C232" s="10">
        <f>COUNTIFS(发射纪录!B:B,"&lt;&gt;-",发射纪录!G:G,"&gt;="&amp;DATE(YEAR(A232),MONTH(A232),1),发射纪录!G:G,"&lt;="&amp;DATE(YEAR(A232),MONTH(A232),DAY(EOMONTH(A232,0))),发射纪录!N:N,"=成功",发射纪录!N:N,"&lt;&gt;")</f>
        <v>0</v>
      </c>
      <c r="D232" s="3" t="str">
        <f t="shared" ref="D232:D242" si="123">IF(B232=0,"-",C232/B232)</f>
        <v>-</v>
      </c>
      <c r="E232" s="10">
        <f t="shared" ref="E232:E242" si="124">E231+B232</f>
        <v>20</v>
      </c>
      <c r="F232" s="10">
        <f t="shared" ref="F232:F242" si="125">F231+C232</f>
        <v>18</v>
      </c>
      <c r="G232" s="4">
        <f t="shared" ref="G232:G242" si="126">IF(E232=0,"-",F232/E232)</f>
        <v>0.9</v>
      </c>
      <c r="H232" s="10">
        <f>COUNTIFS(发射纪录!C:C,"&lt;&gt;-",发射纪录!G:G,"&gt;="&amp;DATE(YEAR(A232),MONTH(A232),1),发射纪录!G:G,"&lt;="&amp;DATE(YEAR(A232),MONTH(A232),DAY(EOMONTH(A232,0))),发射纪录!N:N,"&lt;&gt;")</f>
        <v>0</v>
      </c>
      <c r="I232" s="10">
        <f>COUNTIFS(发射纪录!C:C,"&lt;&gt;-",发射纪录!G:G,"&gt;="&amp;DATE(YEAR(A232),MONTH(A232),1),发射纪录!G:G,"&lt;="&amp;DATE(YEAR(A232),MONTH(A232),DAY(EOMONTH(A232,0))),发射纪录!N:N,"=成功",发射纪录!N:N,"&lt;&gt;")</f>
        <v>0</v>
      </c>
      <c r="J232" s="3" t="str">
        <f t="shared" ref="J232:J242" si="127">IF(H232=0,"-",I232/H232)</f>
        <v>-</v>
      </c>
      <c r="K232" s="10">
        <f t="shared" ref="K232:K242" ca="1" si="128">K231+H232</f>
        <v>8</v>
      </c>
      <c r="L232" s="10">
        <f t="shared" ref="L232:L242" ca="1" si="129">L231+I232</f>
        <v>4</v>
      </c>
      <c r="M232" s="4">
        <f t="shared" ref="M232:M242" ca="1" si="130">IF(K232=0,"-",L232/K232)</f>
        <v>0.5</v>
      </c>
      <c r="N232" s="10">
        <f t="shared" ref="N232:N242" si="131">B232+H232</f>
        <v>0</v>
      </c>
      <c r="O232" s="10">
        <f t="shared" ref="O232:O242" si="132">C232+I232</f>
        <v>0</v>
      </c>
      <c r="P232" s="3" t="str">
        <f t="shared" ref="P232:P242" si="133">IF(N232=0,"-",O232/N232)</f>
        <v>-</v>
      </c>
      <c r="Q232" s="10">
        <f t="shared" ref="Q232:Q242" ca="1" si="134">E232+K232</f>
        <v>28</v>
      </c>
      <c r="R232" s="10">
        <f t="shared" ca="1" si="108"/>
        <v>22</v>
      </c>
      <c r="S232" s="4">
        <f t="shared" ref="S232:S242" ca="1" si="135">IF(Q232=0,"-",R232/Q232)</f>
        <v>0.7857142857142857</v>
      </c>
      <c r="T232" s="478"/>
    </row>
    <row r="233" spans="1:20" x14ac:dyDescent="0.45">
      <c r="A233" s="64">
        <v>32540</v>
      </c>
      <c r="B233" s="14">
        <f>COUNTIFS(发射纪录!B:B,"&lt;&gt;-",发射纪录!G:G,"&gt;="&amp;DATE(YEAR(A233),MONTH(A233),1),发射纪录!G:G,"&lt;="&amp;DATE(YEAR(A233),MONTH(A233),DAY(EOMONTH(A233,0))),发射纪录!N:N,"&lt;&gt;")</f>
        <v>0</v>
      </c>
      <c r="C233" s="10">
        <f>COUNTIFS(发射纪录!B:B,"&lt;&gt;-",发射纪录!G:G,"&gt;="&amp;DATE(YEAR(A233),MONTH(A233),1),发射纪录!G:G,"&lt;="&amp;DATE(YEAR(A233),MONTH(A233),DAY(EOMONTH(A233,0))),发射纪录!N:N,"=成功",发射纪录!N:N,"&lt;&gt;")</f>
        <v>0</v>
      </c>
      <c r="D233" s="1" t="str">
        <f t="shared" si="123"/>
        <v>-</v>
      </c>
      <c r="E233" s="10">
        <f t="shared" si="124"/>
        <v>20</v>
      </c>
      <c r="F233" s="10">
        <f t="shared" si="125"/>
        <v>18</v>
      </c>
      <c r="G233" s="2">
        <f t="shared" si="126"/>
        <v>0.9</v>
      </c>
      <c r="H233" s="10">
        <f>COUNTIFS(发射纪录!C:C,"&lt;&gt;-",发射纪录!G:G,"&gt;="&amp;DATE(YEAR(A233),MONTH(A233),1),发射纪录!G:G,"&lt;="&amp;DATE(YEAR(A233),MONTH(A233),DAY(EOMONTH(A233,0))),发射纪录!N:N,"&lt;&gt;")</f>
        <v>0</v>
      </c>
      <c r="I233" s="10">
        <f>COUNTIFS(发射纪录!C:C,"&lt;&gt;-",发射纪录!G:G,"&gt;="&amp;DATE(YEAR(A233),MONTH(A233),1),发射纪录!G:G,"&lt;="&amp;DATE(YEAR(A233),MONTH(A233),DAY(EOMONTH(A233,0))),发射纪录!N:N,"=成功",发射纪录!N:N,"&lt;&gt;")</f>
        <v>0</v>
      </c>
      <c r="J233" s="1" t="str">
        <f t="shared" si="127"/>
        <v>-</v>
      </c>
      <c r="K233" s="10">
        <f t="shared" ca="1" si="128"/>
        <v>8</v>
      </c>
      <c r="L233" s="10">
        <f t="shared" ca="1" si="129"/>
        <v>4</v>
      </c>
      <c r="M233" s="2">
        <f t="shared" ca="1" si="130"/>
        <v>0.5</v>
      </c>
      <c r="N233" s="10">
        <f t="shared" si="131"/>
        <v>0</v>
      </c>
      <c r="O233" s="10">
        <f t="shared" si="132"/>
        <v>0</v>
      </c>
      <c r="P233" s="3" t="str">
        <f t="shared" si="133"/>
        <v>-</v>
      </c>
      <c r="Q233" s="10">
        <f t="shared" ca="1" si="134"/>
        <v>28</v>
      </c>
      <c r="R233" s="10">
        <f t="shared" ca="1" si="108"/>
        <v>22</v>
      </c>
      <c r="S233" s="4">
        <f t="shared" ca="1" si="135"/>
        <v>0.7857142857142857</v>
      </c>
      <c r="T233" s="478"/>
    </row>
    <row r="234" spans="1:20" x14ac:dyDescent="0.45">
      <c r="A234" s="64">
        <v>32568</v>
      </c>
      <c r="B234" s="14">
        <f>COUNTIFS(发射纪录!B:B,"&lt;&gt;-",发射纪录!G:G,"&gt;="&amp;DATE(YEAR(A234),MONTH(A234),1),发射纪录!G:G,"&lt;="&amp;DATE(YEAR(A234),MONTH(A234),DAY(EOMONTH(A234,0))),发射纪录!N:N,"&lt;&gt;")</f>
        <v>0</v>
      </c>
      <c r="C234" s="10">
        <f>COUNTIFS(发射纪录!B:B,"&lt;&gt;-",发射纪录!G:G,"&gt;="&amp;DATE(YEAR(A234),MONTH(A234),1),发射纪录!G:G,"&lt;="&amp;DATE(YEAR(A234),MONTH(A234),DAY(EOMONTH(A234,0))),发射纪录!N:N,"=成功",发射纪录!N:N,"&lt;&gt;")</f>
        <v>0</v>
      </c>
      <c r="D234" s="1" t="str">
        <f t="shared" si="123"/>
        <v>-</v>
      </c>
      <c r="E234" s="10">
        <f t="shared" si="124"/>
        <v>20</v>
      </c>
      <c r="F234" s="10">
        <f t="shared" si="125"/>
        <v>18</v>
      </c>
      <c r="G234" s="2">
        <f t="shared" si="126"/>
        <v>0.9</v>
      </c>
      <c r="H234" s="10">
        <f>COUNTIFS(发射纪录!C:C,"&lt;&gt;-",发射纪录!G:G,"&gt;="&amp;DATE(YEAR(A234),MONTH(A234),1),发射纪录!G:G,"&lt;="&amp;DATE(YEAR(A234),MONTH(A234),DAY(EOMONTH(A234,0))),发射纪录!N:N,"&lt;&gt;")</f>
        <v>0</v>
      </c>
      <c r="I234" s="10">
        <f>COUNTIFS(发射纪录!C:C,"&lt;&gt;-",发射纪录!G:G,"&gt;="&amp;DATE(YEAR(A234),MONTH(A234),1),发射纪录!G:G,"&lt;="&amp;DATE(YEAR(A234),MONTH(A234),DAY(EOMONTH(A234,0))),发射纪录!N:N,"=成功",发射纪录!N:N,"&lt;&gt;")</f>
        <v>0</v>
      </c>
      <c r="J234" s="1" t="str">
        <f t="shared" si="127"/>
        <v>-</v>
      </c>
      <c r="K234" s="10">
        <f t="shared" ca="1" si="128"/>
        <v>8</v>
      </c>
      <c r="L234" s="10">
        <f t="shared" ca="1" si="129"/>
        <v>4</v>
      </c>
      <c r="M234" s="2">
        <f t="shared" ca="1" si="130"/>
        <v>0.5</v>
      </c>
      <c r="N234" s="10">
        <f t="shared" si="131"/>
        <v>0</v>
      </c>
      <c r="O234" s="10">
        <f t="shared" si="132"/>
        <v>0</v>
      </c>
      <c r="P234" s="3" t="str">
        <f t="shared" si="133"/>
        <v>-</v>
      </c>
      <c r="Q234" s="10">
        <f t="shared" ca="1" si="134"/>
        <v>28</v>
      </c>
      <c r="R234" s="10">
        <f t="shared" ca="1" si="108"/>
        <v>22</v>
      </c>
      <c r="S234" s="4">
        <f t="shared" ca="1" si="135"/>
        <v>0.7857142857142857</v>
      </c>
      <c r="T234" s="478"/>
    </row>
    <row r="235" spans="1:20" x14ac:dyDescent="0.45">
      <c r="A235" s="64">
        <v>32599</v>
      </c>
      <c r="B235" s="14">
        <f>COUNTIFS(发射纪录!B:B,"&lt;&gt;-",发射纪录!G:G,"&gt;="&amp;DATE(YEAR(A235),MONTH(A235),1),发射纪录!G:G,"&lt;="&amp;DATE(YEAR(A235),MONTH(A235),DAY(EOMONTH(A235,0))),发射纪录!N:N,"&lt;&gt;")</f>
        <v>0</v>
      </c>
      <c r="C235" s="10">
        <f>COUNTIFS(发射纪录!B:B,"&lt;&gt;-",发射纪录!G:G,"&gt;="&amp;DATE(YEAR(A235),MONTH(A235),1),发射纪录!G:G,"&lt;="&amp;DATE(YEAR(A235),MONTH(A235),DAY(EOMONTH(A235,0))),发射纪录!N:N,"=成功",发射纪录!N:N,"&lt;&gt;")</f>
        <v>0</v>
      </c>
      <c r="D235" s="1" t="str">
        <f t="shared" si="123"/>
        <v>-</v>
      </c>
      <c r="E235" s="10">
        <f t="shared" si="124"/>
        <v>20</v>
      </c>
      <c r="F235" s="10">
        <f t="shared" si="125"/>
        <v>18</v>
      </c>
      <c r="G235" s="2">
        <f t="shared" si="126"/>
        <v>0.9</v>
      </c>
      <c r="H235" s="10">
        <f>COUNTIFS(发射纪录!C:C,"&lt;&gt;-",发射纪录!G:G,"&gt;="&amp;DATE(YEAR(A235),MONTH(A235),1),发射纪录!G:G,"&lt;="&amp;DATE(YEAR(A235),MONTH(A235),DAY(EOMONTH(A235,0))),发射纪录!N:N,"&lt;&gt;")</f>
        <v>0</v>
      </c>
      <c r="I235" s="10">
        <f>COUNTIFS(发射纪录!C:C,"&lt;&gt;-",发射纪录!G:G,"&gt;="&amp;DATE(YEAR(A235),MONTH(A235),1),发射纪录!G:G,"&lt;="&amp;DATE(YEAR(A235),MONTH(A235),DAY(EOMONTH(A235,0))),发射纪录!N:N,"=成功",发射纪录!N:N,"&lt;&gt;")</f>
        <v>0</v>
      </c>
      <c r="J235" s="1" t="str">
        <f t="shared" si="127"/>
        <v>-</v>
      </c>
      <c r="K235" s="10">
        <f t="shared" ca="1" si="128"/>
        <v>8</v>
      </c>
      <c r="L235" s="10">
        <f t="shared" ca="1" si="129"/>
        <v>4</v>
      </c>
      <c r="M235" s="2">
        <f t="shared" ca="1" si="130"/>
        <v>0.5</v>
      </c>
      <c r="N235" s="10">
        <f t="shared" si="131"/>
        <v>0</v>
      </c>
      <c r="O235" s="10">
        <f t="shared" si="132"/>
        <v>0</v>
      </c>
      <c r="P235" s="3" t="str">
        <f t="shared" si="133"/>
        <v>-</v>
      </c>
      <c r="Q235" s="10">
        <f t="shared" ca="1" si="134"/>
        <v>28</v>
      </c>
      <c r="R235" s="10">
        <f t="shared" ca="1" si="108"/>
        <v>22</v>
      </c>
      <c r="S235" s="4">
        <f t="shared" ca="1" si="135"/>
        <v>0.7857142857142857</v>
      </c>
      <c r="T235" s="478"/>
    </row>
    <row r="236" spans="1:20" x14ac:dyDescent="0.45">
      <c r="A236" s="64">
        <v>32629</v>
      </c>
      <c r="B236" s="14">
        <f>COUNTIFS(发射纪录!B:B,"&lt;&gt;-",发射纪录!G:G,"&gt;="&amp;DATE(YEAR(A236),MONTH(A236),1),发射纪录!G:G,"&lt;="&amp;DATE(YEAR(A236),MONTH(A236),DAY(EOMONTH(A236,0))),发射纪录!N:N,"&lt;&gt;")</f>
        <v>0</v>
      </c>
      <c r="C236" s="10">
        <f>COUNTIFS(发射纪录!B:B,"&lt;&gt;-",发射纪录!G:G,"&gt;="&amp;DATE(YEAR(A236),MONTH(A236),1),发射纪录!G:G,"&lt;="&amp;DATE(YEAR(A236),MONTH(A236),DAY(EOMONTH(A236,0))),发射纪录!N:N,"=成功",发射纪录!N:N,"&lt;&gt;")</f>
        <v>0</v>
      </c>
      <c r="D236" s="1" t="str">
        <f t="shared" si="123"/>
        <v>-</v>
      </c>
      <c r="E236" s="10">
        <f t="shared" si="124"/>
        <v>20</v>
      </c>
      <c r="F236" s="10">
        <f t="shared" si="125"/>
        <v>18</v>
      </c>
      <c r="G236" s="2">
        <f t="shared" si="126"/>
        <v>0.9</v>
      </c>
      <c r="H236" s="10">
        <f ca="1">COUNTIFS(发射纪录!C:C,"&lt;&gt;-",发射纪录!G:G,"&gt;="&amp;DATE(YEAR(A236),MONTH(A236),1),发射纪录!G:G,"&lt;="&amp;DATE(YEAR(A236),MONTH(A236),DAY(EOMONTH(A236,0))),发射纪录!N:N,"&lt;&gt;")</f>
        <v>0</v>
      </c>
      <c r="I236" s="10">
        <f ca="1">COUNTIFS(发射纪录!C:C,"&lt;&gt;-",发射纪录!G:G,"&gt;="&amp;DATE(YEAR(A236),MONTH(A236),1),发射纪录!G:G,"&lt;="&amp;DATE(YEAR(A236),MONTH(A236),DAY(EOMONTH(A236,0))),发射纪录!N:N,"=成功",发射纪录!N:N,"&lt;&gt;")</f>
        <v>0</v>
      </c>
      <c r="J236" s="1" t="str">
        <f t="shared" ca="1" si="127"/>
        <v>-</v>
      </c>
      <c r="K236" s="10">
        <f t="shared" ca="1" si="128"/>
        <v>8</v>
      </c>
      <c r="L236" s="10">
        <f t="shared" ca="1" si="129"/>
        <v>4</v>
      </c>
      <c r="M236" s="2">
        <f t="shared" ca="1" si="130"/>
        <v>0.5</v>
      </c>
      <c r="N236" s="10">
        <f t="shared" ca="1" si="131"/>
        <v>0</v>
      </c>
      <c r="O236" s="10">
        <f t="shared" ca="1" si="132"/>
        <v>0</v>
      </c>
      <c r="P236" s="3" t="str">
        <f t="shared" ca="1" si="133"/>
        <v>-</v>
      </c>
      <c r="Q236" s="10">
        <f t="shared" ca="1" si="134"/>
        <v>28</v>
      </c>
      <c r="R236" s="10">
        <f t="shared" ca="1" si="108"/>
        <v>22</v>
      </c>
      <c r="S236" s="4">
        <f t="shared" ca="1" si="135"/>
        <v>0.7857142857142857</v>
      </c>
      <c r="T236" s="478"/>
    </row>
    <row r="237" spans="1:20" x14ac:dyDescent="0.45">
      <c r="A237" s="64">
        <v>32660</v>
      </c>
      <c r="B237" s="14">
        <f>COUNTIFS(发射纪录!B:B,"&lt;&gt;-",发射纪录!G:G,"&gt;="&amp;DATE(YEAR(A237),MONTH(A237),1),发射纪录!G:G,"&lt;="&amp;DATE(YEAR(A237),MONTH(A237),DAY(EOMONTH(A237,0))),发射纪录!N:N,"&lt;&gt;")</f>
        <v>0</v>
      </c>
      <c r="C237" s="10">
        <f>COUNTIFS(发射纪录!B:B,"&lt;&gt;-",发射纪录!G:G,"&gt;="&amp;DATE(YEAR(A237),MONTH(A237),1),发射纪录!G:G,"&lt;="&amp;DATE(YEAR(A237),MONTH(A237),DAY(EOMONTH(A237,0))),发射纪录!N:N,"=成功",发射纪录!N:N,"&lt;&gt;")</f>
        <v>0</v>
      </c>
      <c r="D237" s="1" t="str">
        <f t="shared" si="123"/>
        <v>-</v>
      </c>
      <c r="E237" s="10">
        <f t="shared" si="124"/>
        <v>20</v>
      </c>
      <c r="F237" s="10">
        <f t="shared" si="125"/>
        <v>18</v>
      </c>
      <c r="G237" s="2">
        <f t="shared" si="126"/>
        <v>0.9</v>
      </c>
      <c r="H237" s="10">
        <f>COUNTIFS(发射纪录!C:C,"&lt;&gt;-",发射纪录!G:G,"&gt;="&amp;DATE(YEAR(A237),MONTH(A237),1),发射纪录!G:G,"&lt;="&amp;DATE(YEAR(A237),MONTH(A237),DAY(EOMONTH(A237,0))),发射纪录!N:N,"&lt;&gt;")</f>
        <v>0</v>
      </c>
      <c r="I237" s="10">
        <f>COUNTIFS(发射纪录!C:C,"&lt;&gt;-",发射纪录!G:G,"&gt;="&amp;DATE(YEAR(A237),MONTH(A237),1),发射纪录!G:G,"&lt;="&amp;DATE(YEAR(A237),MONTH(A237),DAY(EOMONTH(A237,0))),发射纪录!N:N,"=成功",发射纪录!N:N,"&lt;&gt;")</f>
        <v>0</v>
      </c>
      <c r="J237" s="1" t="str">
        <f t="shared" si="127"/>
        <v>-</v>
      </c>
      <c r="K237" s="10">
        <f t="shared" ca="1" si="128"/>
        <v>8</v>
      </c>
      <c r="L237" s="10">
        <f t="shared" ca="1" si="129"/>
        <v>4</v>
      </c>
      <c r="M237" s="2">
        <f t="shared" ca="1" si="130"/>
        <v>0.5</v>
      </c>
      <c r="N237" s="10">
        <f t="shared" si="131"/>
        <v>0</v>
      </c>
      <c r="O237" s="10">
        <f t="shared" si="132"/>
        <v>0</v>
      </c>
      <c r="P237" s="3" t="str">
        <f t="shared" si="133"/>
        <v>-</v>
      </c>
      <c r="Q237" s="10">
        <f t="shared" ca="1" si="134"/>
        <v>28</v>
      </c>
      <c r="R237" s="10">
        <f t="shared" ca="1" si="108"/>
        <v>22</v>
      </c>
      <c r="S237" s="4">
        <f t="shared" ca="1" si="135"/>
        <v>0.7857142857142857</v>
      </c>
      <c r="T237" s="478"/>
    </row>
    <row r="238" spans="1:20" x14ac:dyDescent="0.45">
      <c r="A238" s="64">
        <v>32690</v>
      </c>
      <c r="B238" s="14">
        <f>COUNTIFS(发射纪录!B:B,"&lt;&gt;-",发射纪录!G:G,"&gt;="&amp;DATE(YEAR(A238),MONTH(A238),1),发射纪录!G:G,"&lt;="&amp;DATE(YEAR(A238),MONTH(A238),DAY(EOMONTH(A238,0))),发射纪录!N:N,"&lt;&gt;")</f>
        <v>0</v>
      </c>
      <c r="C238" s="10">
        <f>COUNTIFS(发射纪录!B:B,"&lt;&gt;-",发射纪录!G:G,"&gt;="&amp;DATE(YEAR(A238),MONTH(A238),1),发射纪录!G:G,"&lt;="&amp;DATE(YEAR(A238),MONTH(A238),DAY(EOMONTH(A238,0))),发射纪录!N:N,"=成功",发射纪录!N:N,"&lt;&gt;")</f>
        <v>0</v>
      </c>
      <c r="D238" s="1" t="str">
        <f t="shared" si="123"/>
        <v>-</v>
      </c>
      <c r="E238" s="10">
        <f t="shared" si="124"/>
        <v>20</v>
      </c>
      <c r="F238" s="10">
        <f t="shared" si="125"/>
        <v>18</v>
      </c>
      <c r="G238" s="2">
        <f t="shared" si="126"/>
        <v>0.9</v>
      </c>
      <c r="H238" s="10">
        <f ca="1">COUNTIFS(发射纪录!C:C,"&lt;&gt;-",发射纪录!G:G,"&gt;="&amp;DATE(YEAR(A238),MONTH(A238),1),发射纪录!G:G,"&lt;="&amp;DATE(YEAR(A238),MONTH(A238),DAY(EOMONTH(A238,0))),发射纪录!N:N,"&lt;&gt;")</f>
        <v>0</v>
      </c>
      <c r="I238" s="10">
        <f>COUNTIFS(发射纪录!C:C,"&lt;&gt;-",发射纪录!G:G,"&gt;="&amp;DATE(YEAR(A238),MONTH(A238),1),发射纪录!G:G,"&lt;="&amp;DATE(YEAR(A238),MONTH(A238),DAY(EOMONTH(A238,0))),发射纪录!N:N,"=成功",发射纪录!N:N,"&lt;&gt;")</f>
        <v>0</v>
      </c>
      <c r="J238" s="1" t="str">
        <f t="shared" ca="1" si="127"/>
        <v>-</v>
      </c>
      <c r="K238" s="10">
        <f t="shared" ca="1" si="128"/>
        <v>8</v>
      </c>
      <c r="L238" s="10">
        <f t="shared" ca="1" si="129"/>
        <v>4</v>
      </c>
      <c r="M238" s="2">
        <f t="shared" ca="1" si="130"/>
        <v>0.5</v>
      </c>
      <c r="N238" s="10">
        <f t="shared" ca="1" si="131"/>
        <v>0</v>
      </c>
      <c r="O238" s="10">
        <f t="shared" si="132"/>
        <v>0</v>
      </c>
      <c r="P238" s="3" t="str">
        <f t="shared" ca="1" si="133"/>
        <v>-</v>
      </c>
      <c r="Q238" s="10">
        <f t="shared" ca="1" si="134"/>
        <v>28</v>
      </c>
      <c r="R238" s="10">
        <f t="shared" ca="1" si="108"/>
        <v>22</v>
      </c>
      <c r="S238" s="4">
        <f t="shared" ca="1" si="135"/>
        <v>0.7857142857142857</v>
      </c>
      <c r="T238" s="478"/>
    </row>
    <row r="239" spans="1:20" x14ac:dyDescent="0.45">
      <c r="A239" s="64">
        <v>32721</v>
      </c>
      <c r="B239" s="14">
        <f>COUNTIFS(发射纪录!B:B,"&lt;&gt;-",发射纪录!G:G,"&gt;="&amp;DATE(YEAR(A239),MONTH(A239),1),发射纪录!G:G,"&lt;="&amp;DATE(YEAR(A239),MONTH(A239),DAY(EOMONTH(A239,0))),发射纪录!N:N,"&lt;&gt;")</f>
        <v>0</v>
      </c>
      <c r="C239" s="10">
        <f>COUNTIFS(发射纪录!B:B,"&lt;&gt;-",发射纪录!G:G,"&gt;="&amp;DATE(YEAR(A239),MONTH(A239),1),发射纪录!G:G,"&lt;="&amp;DATE(YEAR(A239),MONTH(A239),DAY(EOMONTH(A239,0))),发射纪录!N:N,"=成功",发射纪录!N:N,"&lt;&gt;")</f>
        <v>0</v>
      </c>
      <c r="D239" s="1" t="str">
        <f t="shared" si="123"/>
        <v>-</v>
      </c>
      <c r="E239" s="10">
        <f t="shared" si="124"/>
        <v>20</v>
      </c>
      <c r="F239" s="10">
        <f t="shared" si="125"/>
        <v>18</v>
      </c>
      <c r="G239" s="2">
        <f t="shared" si="126"/>
        <v>0.9</v>
      </c>
      <c r="H239" s="10">
        <f>COUNTIFS(发射纪录!C:C,"&lt;&gt;-",发射纪录!G:G,"&gt;="&amp;DATE(YEAR(A239),MONTH(A239),1),发射纪录!G:G,"&lt;="&amp;DATE(YEAR(A239),MONTH(A239),DAY(EOMONTH(A239,0))),发射纪录!N:N,"&lt;&gt;")</f>
        <v>0</v>
      </c>
      <c r="I239" s="10">
        <f>COUNTIFS(发射纪录!C:C,"&lt;&gt;-",发射纪录!G:G,"&gt;="&amp;DATE(YEAR(A239),MONTH(A239),1),发射纪录!G:G,"&lt;="&amp;DATE(YEAR(A239),MONTH(A239),DAY(EOMONTH(A239,0))),发射纪录!N:N,"=成功",发射纪录!N:N,"&lt;&gt;")</f>
        <v>0</v>
      </c>
      <c r="J239" s="1" t="str">
        <f t="shared" si="127"/>
        <v>-</v>
      </c>
      <c r="K239" s="10">
        <f t="shared" ca="1" si="128"/>
        <v>8</v>
      </c>
      <c r="L239" s="10">
        <f t="shared" ca="1" si="129"/>
        <v>4</v>
      </c>
      <c r="M239" s="2">
        <f t="shared" ca="1" si="130"/>
        <v>0.5</v>
      </c>
      <c r="N239" s="10">
        <f t="shared" si="131"/>
        <v>0</v>
      </c>
      <c r="O239" s="10">
        <f t="shared" si="132"/>
        <v>0</v>
      </c>
      <c r="P239" s="3" t="str">
        <f t="shared" si="133"/>
        <v>-</v>
      </c>
      <c r="Q239" s="10">
        <f t="shared" ca="1" si="134"/>
        <v>28</v>
      </c>
      <c r="R239" s="10">
        <f t="shared" ca="1" si="108"/>
        <v>22</v>
      </c>
      <c r="S239" s="4">
        <f t="shared" ca="1" si="135"/>
        <v>0.7857142857142857</v>
      </c>
      <c r="T239" s="478"/>
    </row>
    <row r="240" spans="1:20" x14ac:dyDescent="0.45">
      <c r="A240" s="64">
        <v>32752</v>
      </c>
      <c r="B240" s="14">
        <f>COUNTIFS(发射纪录!B:B,"&lt;&gt;-",发射纪录!G:G,"&gt;="&amp;DATE(YEAR(A240),MONTH(A240),1),发射纪录!G:G,"&lt;="&amp;DATE(YEAR(A240),MONTH(A240),DAY(EOMONTH(A240,0))),发射纪录!N:N,"&lt;&gt;")</f>
        <v>0</v>
      </c>
      <c r="C240" s="10">
        <f>COUNTIFS(发射纪录!B:B,"&lt;&gt;-",发射纪录!G:G,"&gt;="&amp;DATE(YEAR(A240),MONTH(A240),1),发射纪录!G:G,"&lt;="&amp;DATE(YEAR(A240),MONTH(A240),DAY(EOMONTH(A240,0))),发射纪录!N:N,"=成功",发射纪录!N:N,"&lt;&gt;")</f>
        <v>0</v>
      </c>
      <c r="D240" s="1" t="str">
        <f t="shared" si="123"/>
        <v>-</v>
      </c>
      <c r="E240" s="10">
        <f t="shared" si="124"/>
        <v>20</v>
      </c>
      <c r="F240" s="10">
        <f t="shared" si="125"/>
        <v>18</v>
      </c>
      <c r="G240" s="2">
        <f t="shared" si="126"/>
        <v>0.9</v>
      </c>
      <c r="H240" s="10">
        <f>COUNTIFS(发射纪录!C:C,"&lt;&gt;-",发射纪录!G:G,"&gt;="&amp;DATE(YEAR(A240),MONTH(A240),1),发射纪录!G:G,"&lt;="&amp;DATE(YEAR(A240),MONTH(A240),DAY(EOMONTH(A240,0))),发射纪录!N:N,"&lt;&gt;")</f>
        <v>0</v>
      </c>
      <c r="I240" s="10">
        <f>COUNTIFS(发射纪录!C:C,"&lt;&gt;-",发射纪录!G:G,"&gt;="&amp;DATE(YEAR(A240),MONTH(A240),1),发射纪录!G:G,"&lt;="&amp;DATE(YEAR(A240),MONTH(A240),DAY(EOMONTH(A240,0))),发射纪录!N:N,"=成功",发射纪录!N:N,"&lt;&gt;")</f>
        <v>0</v>
      </c>
      <c r="J240" s="1" t="str">
        <f t="shared" si="127"/>
        <v>-</v>
      </c>
      <c r="K240" s="10">
        <f t="shared" ca="1" si="128"/>
        <v>8</v>
      </c>
      <c r="L240" s="10">
        <f t="shared" ca="1" si="129"/>
        <v>4</v>
      </c>
      <c r="M240" s="2">
        <f t="shared" ca="1" si="130"/>
        <v>0.5</v>
      </c>
      <c r="N240" s="10">
        <f t="shared" si="131"/>
        <v>0</v>
      </c>
      <c r="O240" s="10">
        <f t="shared" si="132"/>
        <v>0</v>
      </c>
      <c r="P240" s="3" t="str">
        <f t="shared" si="133"/>
        <v>-</v>
      </c>
      <c r="Q240" s="10">
        <f t="shared" ca="1" si="134"/>
        <v>28</v>
      </c>
      <c r="R240" s="10">
        <f t="shared" ca="1" si="108"/>
        <v>22</v>
      </c>
      <c r="S240" s="4">
        <f t="shared" ca="1" si="135"/>
        <v>0.7857142857142857</v>
      </c>
      <c r="T240" s="478"/>
    </row>
    <row r="241" spans="1:20" x14ac:dyDescent="0.45">
      <c r="A241" s="64">
        <v>32782</v>
      </c>
      <c r="B241" s="14">
        <f>COUNTIFS(发射纪录!B:B,"&lt;&gt;-",发射纪录!G:G,"&gt;="&amp;DATE(YEAR(A241),MONTH(A241),1),发射纪录!G:G,"&lt;="&amp;DATE(YEAR(A241),MONTH(A241),DAY(EOMONTH(A241,0))),发射纪录!N:N,"&lt;&gt;")</f>
        <v>0</v>
      </c>
      <c r="C241" s="10">
        <f>COUNTIFS(发射纪录!B:B,"&lt;&gt;-",发射纪录!G:G,"&gt;="&amp;DATE(YEAR(A241),MONTH(A241),1),发射纪录!G:G,"&lt;="&amp;DATE(YEAR(A241),MONTH(A241),DAY(EOMONTH(A241,0))),发射纪录!N:N,"=成功",发射纪录!N:N,"&lt;&gt;")</f>
        <v>0</v>
      </c>
      <c r="D241" s="1" t="str">
        <f t="shared" si="123"/>
        <v>-</v>
      </c>
      <c r="E241" s="10">
        <f t="shared" si="124"/>
        <v>20</v>
      </c>
      <c r="F241" s="10">
        <f t="shared" si="125"/>
        <v>18</v>
      </c>
      <c r="G241" s="2">
        <f t="shared" si="126"/>
        <v>0.9</v>
      </c>
      <c r="H241" s="10">
        <f ca="1">COUNTIFS(发射纪录!C:C,"&lt;&gt;-",发射纪录!G:G,"&gt;="&amp;DATE(YEAR(A241),MONTH(A241),1),发射纪录!G:G,"&lt;="&amp;DATE(YEAR(A241),MONTH(A241),DAY(EOMONTH(A241,0))),发射纪录!N:N,"&lt;&gt;")</f>
        <v>0</v>
      </c>
      <c r="I241" s="10">
        <f>COUNTIFS(发射纪录!C:C,"&lt;&gt;-",发射纪录!G:G,"&gt;="&amp;DATE(YEAR(A241),MONTH(A241),1),发射纪录!G:G,"&lt;="&amp;DATE(YEAR(A241),MONTH(A241),DAY(EOMONTH(A241,0))),发射纪录!N:N,"=成功",发射纪录!N:N,"&lt;&gt;")</f>
        <v>0</v>
      </c>
      <c r="J241" s="1" t="str">
        <f t="shared" ca="1" si="127"/>
        <v>-</v>
      </c>
      <c r="K241" s="10">
        <f t="shared" ca="1" si="128"/>
        <v>8</v>
      </c>
      <c r="L241" s="10">
        <f t="shared" ca="1" si="129"/>
        <v>4</v>
      </c>
      <c r="M241" s="2">
        <f t="shared" ca="1" si="130"/>
        <v>0.5</v>
      </c>
      <c r="N241" s="10">
        <f t="shared" ca="1" si="131"/>
        <v>0</v>
      </c>
      <c r="O241" s="10">
        <f t="shared" si="132"/>
        <v>0</v>
      </c>
      <c r="P241" s="3" t="str">
        <f t="shared" ca="1" si="133"/>
        <v>-</v>
      </c>
      <c r="Q241" s="10">
        <f t="shared" ca="1" si="134"/>
        <v>28</v>
      </c>
      <c r="R241" s="10">
        <f t="shared" ca="1" si="108"/>
        <v>22</v>
      </c>
      <c r="S241" s="4">
        <f t="shared" ca="1" si="135"/>
        <v>0.7857142857142857</v>
      </c>
      <c r="T241" s="478"/>
    </row>
    <row r="242" spans="1:20" x14ac:dyDescent="0.45">
      <c r="A242" s="64">
        <v>32813</v>
      </c>
      <c r="B242" s="14">
        <f>COUNTIFS(发射纪录!B:B,"&lt;&gt;-",发射纪录!G:G,"&gt;="&amp;DATE(YEAR(A242),MONTH(A242),1),发射纪录!G:G,"&lt;="&amp;DATE(YEAR(A242),MONTH(A242),DAY(EOMONTH(A242,0))),发射纪录!N:N,"&lt;&gt;")</f>
        <v>0</v>
      </c>
      <c r="C242" s="10">
        <f>COUNTIFS(发射纪录!B:B,"&lt;&gt;-",发射纪录!G:G,"&gt;="&amp;DATE(YEAR(A242),MONTH(A242),1),发射纪录!G:G,"&lt;="&amp;DATE(YEAR(A242),MONTH(A242),DAY(EOMONTH(A242,0))),发射纪录!N:N,"=成功",发射纪录!N:N,"&lt;&gt;")</f>
        <v>0</v>
      </c>
      <c r="D242" s="1" t="str">
        <f t="shared" si="123"/>
        <v>-</v>
      </c>
      <c r="E242" s="10">
        <f t="shared" si="124"/>
        <v>20</v>
      </c>
      <c r="F242" s="10">
        <f t="shared" si="125"/>
        <v>18</v>
      </c>
      <c r="G242" s="2">
        <f t="shared" si="126"/>
        <v>0.9</v>
      </c>
      <c r="H242" s="10">
        <f>COUNTIFS(发射纪录!C:C,"&lt;&gt;-",发射纪录!G:G,"&gt;="&amp;DATE(YEAR(A242),MONTH(A242),1),发射纪录!G:G,"&lt;="&amp;DATE(YEAR(A242),MONTH(A242),DAY(EOMONTH(A242,0))),发射纪录!N:N,"&lt;&gt;")</f>
        <v>0</v>
      </c>
      <c r="I242" s="10">
        <f>COUNTIFS(发射纪录!C:C,"&lt;&gt;-",发射纪录!G:G,"&gt;="&amp;DATE(YEAR(A242),MONTH(A242),1),发射纪录!G:G,"&lt;="&amp;DATE(YEAR(A242),MONTH(A242),DAY(EOMONTH(A242,0))),发射纪录!N:N,"=成功",发射纪录!N:N,"&lt;&gt;")</f>
        <v>0</v>
      </c>
      <c r="J242" s="1" t="str">
        <f t="shared" si="127"/>
        <v>-</v>
      </c>
      <c r="K242" s="10">
        <f t="shared" ca="1" si="128"/>
        <v>8</v>
      </c>
      <c r="L242" s="10">
        <f t="shared" ca="1" si="129"/>
        <v>4</v>
      </c>
      <c r="M242" s="2">
        <f t="shared" ca="1" si="130"/>
        <v>0.5</v>
      </c>
      <c r="N242" s="10">
        <f t="shared" si="131"/>
        <v>0</v>
      </c>
      <c r="O242" s="10">
        <f t="shared" si="132"/>
        <v>0</v>
      </c>
      <c r="P242" s="3" t="str">
        <f t="shared" si="133"/>
        <v>-</v>
      </c>
      <c r="Q242" s="10">
        <f t="shared" ca="1" si="134"/>
        <v>28</v>
      </c>
      <c r="R242" s="10">
        <f t="shared" ca="1" si="108"/>
        <v>22</v>
      </c>
      <c r="S242" s="4">
        <f t="shared" ca="1" si="135"/>
        <v>0.7857142857142857</v>
      </c>
      <c r="T242" s="478"/>
    </row>
    <row r="243" spans="1:20" ht="19.5" customHeight="1" thickBot="1" x14ac:dyDescent="0.5">
      <c r="A243" s="65">
        <v>32843</v>
      </c>
      <c r="B243" s="17">
        <f>COUNTIFS(发射纪录!B:B,"&lt;&gt;-",发射纪录!G:G,"&gt;="&amp;DATE(YEAR(A243),MONTH(A243),1),发射纪录!G:G,"&lt;="&amp;DATE(YEAR(A243),MONTH(A243),DAY(EOMONTH(A243,0))),发射纪录!N:N,"&lt;&gt;")</f>
        <v>0</v>
      </c>
      <c r="C243" s="18">
        <f>COUNTIFS(发射纪录!B:B,"&lt;&gt;-",发射纪录!G:G,"&gt;="&amp;DATE(YEAR(A243),MONTH(A243),1),发射纪录!G:G,"&lt;="&amp;DATE(YEAR(A243),MONTH(A243),DAY(EOMONTH(A243,0))),发射纪录!N:N,"=成功",发射纪录!N:N,"&lt;&gt;")</f>
        <v>0</v>
      </c>
      <c r="D243" s="12" t="str">
        <f>IF(B243=0,"-",C243/B243)</f>
        <v>-</v>
      </c>
      <c r="E243" s="18">
        <f>E242+B243</f>
        <v>20</v>
      </c>
      <c r="F243" s="18">
        <f>F242+C243</f>
        <v>18</v>
      </c>
      <c r="G243" s="13">
        <f>IF(E243=0,"-",F243/E243)</f>
        <v>0.9</v>
      </c>
      <c r="H243" s="18">
        <f ca="1">COUNTIFS(发射纪录!C:C,"&lt;&gt;-",发射纪录!G:G,"&gt;="&amp;DATE(YEAR(A243),MONTH(A243),1),发射纪录!G:G,"&lt;="&amp;DATE(YEAR(A243),MONTH(A243),DAY(EOMONTH(A243,0))),发射纪录!N:N,"&lt;&gt;")</f>
        <v>0</v>
      </c>
      <c r="I243" s="18">
        <f>COUNTIFS(发射纪录!C:C,"&lt;&gt;-",发射纪录!G:G,"&gt;="&amp;DATE(YEAR(A243),MONTH(A243),1),发射纪录!G:G,"&lt;="&amp;DATE(YEAR(A243),MONTH(A243),DAY(EOMONTH(A243,0))),发射纪录!N:N,"=成功",发射纪录!N:N,"&lt;&gt;")</f>
        <v>0</v>
      </c>
      <c r="J243" s="12" t="str">
        <f ca="1">IF(H243=0,"-",I243/H243)</f>
        <v>-</v>
      </c>
      <c r="K243" s="18">
        <f ca="1">K242+H243</f>
        <v>8</v>
      </c>
      <c r="L243" s="18">
        <f ca="1">L242+I243</f>
        <v>4</v>
      </c>
      <c r="M243" s="13">
        <f ca="1">IF(K243=0,"-",L243/K243)</f>
        <v>0.5</v>
      </c>
      <c r="N243" s="18">
        <f ca="1">B243+H243</f>
        <v>0</v>
      </c>
      <c r="O243" s="18">
        <f>C243+I243</f>
        <v>0</v>
      </c>
      <c r="P243" s="12" t="str">
        <f ca="1">IF(N243=0,"-",O243/N243)</f>
        <v>-</v>
      </c>
      <c r="Q243" s="18">
        <f ca="1">E243+K243</f>
        <v>28</v>
      </c>
      <c r="R243" s="18">
        <f ca="1">F243+L243</f>
        <v>22</v>
      </c>
      <c r="S243" s="13">
        <f ca="1">IF(Q243=0,"-",R243/Q243)</f>
        <v>0.7857142857142857</v>
      </c>
      <c r="T243" s="478"/>
    </row>
    <row r="244" spans="1:20" ht="19.5" customHeight="1" thickTop="1" x14ac:dyDescent="0.45">
      <c r="A244" s="63">
        <v>32874</v>
      </c>
      <c r="B244" s="14">
        <f>COUNTIFS(发射纪录!B:B,"&lt;&gt;-",发射纪录!G:G,"&gt;="&amp;DATE(YEAR(A244),MONTH(A244),1),发射纪录!G:G,"&lt;="&amp;DATE(YEAR(A244),MONTH(A244),DAY(EOMONTH(A244,0))),发射纪录!N:N,"&lt;&gt;")</f>
        <v>0</v>
      </c>
      <c r="C244" s="10">
        <f>COUNTIFS(发射纪录!B:B,"&lt;&gt;-",发射纪录!G:G,"&gt;="&amp;DATE(YEAR(A244),MONTH(A244),1),发射纪录!G:G,"&lt;="&amp;DATE(YEAR(A244),MONTH(A244),DAY(EOMONTH(A244,0))),发射纪录!N:N,"=成功",发射纪录!N:N,"&lt;&gt;")</f>
        <v>0</v>
      </c>
      <c r="D244" s="3" t="str">
        <f t="shared" ref="D244:D254" si="136">IF(B244=0,"-",C244/B244)</f>
        <v>-</v>
      </c>
      <c r="E244" s="10">
        <f t="shared" ref="E244:E254" si="137">E243+B244</f>
        <v>20</v>
      </c>
      <c r="F244" s="10">
        <f t="shared" ref="F244:F254" si="138">F243+C244</f>
        <v>18</v>
      </c>
      <c r="G244" s="4">
        <f t="shared" ref="G244:G254" si="139">IF(E244=0,"-",F244/E244)</f>
        <v>0.9</v>
      </c>
      <c r="H244" s="10">
        <f>COUNTIFS(发射纪录!C:C,"&lt;&gt;-",发射纪录!G:G,"&gt;="&amp;DATE(YEAR(A244),MONTH(A244),1),发射纪录!G:G,"&lt;="&amp;DATE(YEAR(A244),MONTH(A244),DAY(EOMONTH(A244,0))),发射纪录!N:N,"&lt;&gt;")</f>
        <v>0</v>
      </c>
      <c r="I244" s="10">
        <f>COUNTIFS(发射纪录!C:C,"&lt;&gt;-",发射纪录!G:G,"&gt;="&amp;DATE(YEAR(A244),MONTH(A244),1),发射纪录!G:G,"&lt;="&amp;DATE(YEAR(A244),MONTH(A244),DAY(EOMONTH(A244,0))),发射纪录!N:N,"=成功",发射纪录!N:N,"&lt;&gt;")</f>
        <v>0</v>
      </c>
      <c r="J244" s="3" t="str">
        <f t="shared" ref="J244:J254" si="140">IF(H244=0,"-",I244/H244)</f>
        <v>-</v>
      </c>
      <c r="K244" s="10">
        <f t="shared" ref="K244:K254" ca="1" si="141">K243+H244</f>
        <v>8</v>
      </c>
      <c r="L244" s="10">
        <f t="shared" ref="L244:L254" ca="1" si="142">L243+I244</f>
        <v>4</v>
      </c>
      <c r="M244" s="4">
        <f t="shared" ref="M244:M254" ca="1" si="143">IF(K244=0,"-",L244/K244)</f>
        <v>0.5</v>
      </c>
      <c r="N244" s="10">
        <f t="shared" ref="N244:N254" si="144">B244+H244</f>
        <v>0</v>
      </c>
      <c r="O244" s="10">
        <f t="shared" ref="O244:O254" si="145">C244+I244</f>
        <v>0</v>
      </c>
      <c r="P244" s="3" t="str">
        <f t="shared" ref="P244:P254" si="146">IF(N244=0,"-",O244/N244)</f>
        <v>-</v>
      </c>
      <c r="Q244" s="10">
        <f t="shared" ref="Q244:Q254" ca="1" si="147">E244+K244</f>
        <v>28</v>
      </c>
      <c r="R244" s="10">
        <f t="shared" ca="1" si="108"/>
        <v>22</v>
      </c>
      <c r="S244" s="4">
        <f t="shared" ref="S244:S254" ca="1" si="148">IF(Q244=0,"-",R244/Q244)</f>
        <v>0.7857142857142857</v>
      </c>
      <c r="T244" s="478"/>
    </row>
    <row r="245" spans="1:20" x14ac:dyDescent="0.45">
      <c r="A245" s="64">
        <v>32905</v>
      </c>
      <c r="B245" s="14">
        <f>COUNTIFS(发射纪录!B:B,"&lt;&gt;-",发射纪录!G:G,"&gt;="&amp;DATE(YEAR(A245),MONTH(A245),1),发射纪录!G:G,"&lt;="&amp;DATE(YEAR(A245),MONTH(A245),DAY(EOMONTH(A245,0))),发射纪录!N:N,"&lt;&gt;")</f>
        <v>1</v>
      </c>
      <c r="C245" s="10">
        <f>COUNTIFS(发射纪录!B:B,"&lt;&gt;-",发射纪录!G:G,"&gt;="&amp;DATE(YEAR(A245),MONTH(A245),1),发射纪录!G:G,"&lt;="&amp;DATE(YEAR(A245),MONTH(A245),DAY(EOMONTH(A245,0))),发射纪录!N:N,"=成功",发射纪录!N:N,"&lt;&gt;")</f>
        <v>1</v>
      </c>
      <c r="D245" s="1">
        <f t="shared" si="136"/>
        <v>1</v>
      </c>
      <c r="E245" s="10">
        <f t="shared" si="137"/>
        <v>21</v>
      </c>
      <c r="F245" s="10">
        <f t="shared" si="138"/>
        <v>19</v>
      </c>
      <c r="G245" s="2">
        <f t="shared" si="139"/>
        <v>0.90476190476190477</v>
      </c>
      <c r="H245" s="10">
        <f>COUNTIFS(发射纪录!C:C,"&lt;&gt;-",发射纪录!G:G,"&gt;="&amp;DATE(YEAR(A245),MONTH(A245),1),发射纪录!G:G,"&lt;="&amp;DATE(YEAR(A245),MONTH(A245),DAY(EOMONTH(A245,0))),发射纪录!N:N,"&lt;&gt;")</f>
        <v>0</v>
      </c>
      <c r="I245" s="10">
        <f>COUNTIFS(发射纪录!C:C,"&lt;&gt;-",发射纪录!G:G,"&gt;="&amp;DATE(YEAR(A245),MONTH(A245),1),发射纪录!G:G,"&lt;="&amp;DATE(YEAR(A245),MONTH(A245),DAY(EOMONTH(A245,0))),发射纪录!N:N,"=成功",发射纪录!N:N,"&lt;&gt;")</f>
        <v>0</v>
      </c>
      <c r="J245" s="1" t="str">
        <f t="shared" si="140"/>
        <v>-</v>
      </c>
      <c r="K245" s="10">
        <f t="shared" ca="1" si="141"/>
        <v>8</v>
      </c>
      <c r="L245" s="10">
        <f t="shared" ca="1" si="142"/>
        <v>4</v>
      </c>
      <c r="M245" s="2">
        <f t="shared" ca="1" si="143"/>
        <v>0.5</v>
      </c>
      <c r="N245" s="10">
        <f t="shared" si="144"/>
        <v>1</v>
      </c>
      <c r="O245" s="10">
        <f t="shared" si="145"/>
        <v>1</v>
      </c>
      <c r="P245" s="3">
        <f t="shared" si="146"/>
        <v>1</v>
      </c>
      <c r="Q245" s="10">
        <f t="shared" ca="1" si="147"/>
        <v>29</v>
      </c>
      <c r="R245" s="10">
        <f t="shared" ca="1" si="108"/>
        <v>23</v>
      </c>
      <c r="S245" s="4">
        <f t="shared" ca="1" si="148"/>
        <v>0.7931034482758621</v>
      </c>
      <c r="T245" s="478"/>
    </row>
    <row r="246" spans="1:20" x14ac:dyDescent="0.45">
      <c r="A246" s="64">
        <v>32933</v>
      </c>
      <c r="B246" s="14">
        <f>COUNTIFS(发射纪录!B:B,"&lt;&gt;-",发射纪录!G:G,"&gt;="&amp;DATE(YEAR(A246),MONTH(A246),1),发射纪录!G:G,"&lt;="&amp;DATE(YEAR(A246),MONTH(A246),DAY(EOMONTH(A246,0))),发射纪录!N:N,"&lt;&gt;")</f>
        <v>0</v>
      </c>
      <c r="C246" s="10">
        <f>COUNTIFS(发射纪录!B:B,"&lt;&gt;-",发射纪录!G:G,"&gt;="&amp;DATE(YEAR(A246),MONTH(A246),1),发射纪录!G:G,"&lt;="&amp;DATE(YEAR(A246),MONTH(A246),DAY(EOMONTH(A246,0))),发射纪录!N:N,"=成功",发射纪录!N:N,"&lt;&gt;")</f>
        <v>0</v>
      </c>
      <c r="D246" s="1" t="str">
        <f t="shared" si="136"/>
        <v>-</v>
      </c>
      <c r="E246" s="10">
        <f t="shared" si="137"/>
        <v>21</v>
      </c>
      <c r="F246" s="10">
        <f t="shared" si="138"/>
        <v>19</v>
      </c>
      <c r="G246" s="2">
        <f t="shared" si="139"/>
        <v>0.90476190476190477</v>
      </c>
      <c r="H246" s="10">
        <f>COUNTIFS(发射纪录!C:C,"&lt;&gt;-",发射纪录!G:G,"&gt;="&amp;DATE(YEAR(A246),MONTH(A246),1),发射纪录!G:G,"&lt;="&amp;DATE(YEAR(A246),MONTH(A246),DAY(EOMONTH(A246,0))),发射纪录!N:N,"&lt;&gt;")</f>
        <v>0</v>
      </c>
      <c r="I246" s="10">
        <f>COUNTIFS(发射纪录!C:C,"&lt;&gt;-",发射纪录!G:G,"&gt;="&amp;DATE(YEAR(A246),MONTH(A246),1),发射纪录!G:G,"&lt;="&amp;DATE(YEAR(A246),MONTH(A246),DAY(EOMONTH(A246,0))),发射纪录!N:N,"=成功",发射纪录!N:N,"&lt;&gt;")</f>
        <v>0</v>
      </c>
      <c r="J246" s="1" t="str">
        <f t="shared" si="140"/>
        <v>-</v>
      </c>
      <c r="K246" s="10">
        <f t="shared" ca="1" si="141"/>
        <v>8</v>
      </c>
      <c r="L246" s="10">
        <f t="shared" ca="1" si="142"/>
        <v>4</v>
      </c>
      <c r="M246" s="2">
        <f t="shared" ca="1" si="143"/>
        <v>0.5</v>
      </c>
      <c r="N246" s="10">
        <f t="shared" si="144"/>
        <v>0</v>
      </c>
      <c r="O246" s="10">
        <f t="shared" si="145"/>
        <v>0</v>
      </c>
      <c r="P246" s="3" t="str">
        <f t="shared" si="146"/>
        <v>-</v>
      </c>
      <c r="Q246" s="10">
        <f t="shared" ca="1" si="147"/>
        <v>29</v>
      </c>
      <c r="R246" s="10">
        <f t="shared" ca="1" si="108"/>
        <v>23</v>
      </c>
      <c r="S246" s="4">
        <f t="shared" ca="1" si="148"/>
        <v>0.7931034482758621</v>
      </c>
      <c r="T246" s="478"/>
    </row>
    <row r="247" spans="1:20" x14ac:dyDescent="0.45">
      <c r="A247" s="64">
        <v>32964</v>
      </c>
      <c r="B247" s="14">
        <f>COUNTIFS(发射纪录!B:B,"&lt;&gt;-",发射纪录!G:G,"&gt;="&amp;DATE(YEAR(A247),MONTH(A247),1),发射纪录!G:G,"&lt;="&amp;DATE(YEAR(A247),MONTH(A247),DAY(EOMONTH(A247,0))),发射纪录!N:N,"&lt;&gt;")</f>
        <v>1</v>
      </c>
      <c r="C247" s="10">
        <f>COUNTIFS(发射纪录!B:B,"&lt;&gt;-",发射纪录!G:G,"&gt;="&amp;DATE(YEAR(A247),MONTH(A247),1),发射纪录!G:G,"&lt;="&amp;DATE(YEAR(A247),MONTH(A247),DAY(EOMONTH(A247,0))),发射纪录!N:N,"=成功",发射纪录!N:N,"&lt;&gt;")</f>
        <v>1</v>
      </c>
      <c r="D247" s="1">
        <f t="shared" si="136"/>
        <v>1</v>
      </c>
      <c r="E247" s="10">
        <f t="shared" si="137"/>
        <v>22</v>
      </c>
      <c r="F247" s="10">
        <f t="shared" si="138"/>
        <v>20</v>
      </c>
      <c r="G247" s="2">
        <f t="shared" si="139"/>
        <v>0.90909090909090906</v>
      </c>
      <c r="H247" s="10">
        <f>COUNTIFS(发射纪录!C:C,"&lt;&gt;-",发射纪录!G:G,"&gt;="&amp;DATE(YEAR(A247),MONTH(A247),1),发射纪录!G:G,"&lt;="&amp;DATE(YEAR(A247),MONTH(A247),DAY(EOMONTH(A247,0))),发射纪录!N:N,"&lt;&gt;")</f>
        <v>0</v>
      </c>
      <c r="I247" s="10">
        <f>COUNTIFS(发射纪录!C:C,"&lt;&gt;-",发射纪录!G:G,"&gt;="&amp;DATE(YEAR(A247),MONTH(A247),1),发射纪录!G:G,"&lt;="&amp;DATE(YEAR(A247),MONTH(A247),DAY(EOMONTH(A247,0))),发射纪录!N:N,"=成功",发射纪录!N:N,"&lt;&gt;")</f>
        <v>0</v>
      </c>
      <c r="J247" s="1" t="str">
        <f t="shared" si="140"/>
        <v>-</v>
      </c>
      <c r="K247" s="10">
        <f t="shared" ca="1" si="141"/>
        <v>8</v>
      </c>
      <c r="L247" s="10">
        <f t="shared" ca="1" si="142"/>
        <v>4</v>
      </c>
      <c r="M247" s="2">
        <f t="shared" ca="1" si="143"/>
        <v>0.5</v>
      </c>
      <c r="N247" s="10">
        <f t="shared" si="144"/>
        <v>1</v>
      </c>
      <c r="O247" s="10">
        <f t="shared" si="145"/>
        <v>1</v>
      </c>
      <c r="P247" s="3">
        <f t="shared" si="146"/>
        <v>1</v>
      </c>
      <c r="Q247" s="10">
        <f t="shared" ca="1" si="147"/>
        <v>30</v>
      </c>
      <c r="R247" s="10">
        <f t="shared" ca="1" si="108"/>
        <v>24</v>
      </c>
      <c r="S247" s="4">
        <f t="shared" ca="1" si="148"/>
        <v>0.8</v>
      </c>
      <c r="T247" s="478"/>
    </row>
    <row r="248" spans="1:20" x14ac:dyDescent="0.45">
      <c r="A248" s="64">
        <v>32994</v>
      </c>
      <c r="B248" s="14">
        <f>COUNTIFS(发射纪录!B:B,"&lt;&gt;-",发射纪录!G:G,"&gt;="&amp;DATE(YEAR(A248),MONTH(A248),1),发射纪录!G:G,"&lt;="&amp;DATE(YEAR(A248),MONTH(A248),DAY(EOMONTH(A248,0))),发射纪录!N:N,"&lt;&gt;")</f>
        <v>0</v>
      </c>
      <c r="C248" s="10">
        <f>COUNTIFS(发射纪录!B:B,"&lt;&gt;-",发射纪录!G:G,"&gt;="&amp;DATE(YEAR(A248),MONTH(A248),1),发射纪录!G:G,"&lt;="&amp;DATE(YEAR(A248),MONTH(A248),DAY(EOMONTH(A248,0))),发射纪录!N:N,"=成功",发射纪录!N:N,"&lt;&gt;")</f>
        <v>0</v>
      </c>
      <c r="D248" s="1" t="str">
        <f t="shared" si="136"/>
        <v>-</v>
      </c>
      <c r="E248" s="10">
        <f t="shared" si="137"/>
        <v>22</v>
      </c>
      <c r="F248" s="10">
        <f t="shared" si="138"/>
        <v>20</v>
      </c>
      <c r="G248" s="2">
        <f t="shared" si="139"/>
        <v>0.90909090909090906</v>
      </c>
      <c r="H248" s="10">
        <f>COUNTIFS(发射纪录!C:C,"&lt;&gt;-",发射纪录!G:G,"&gt;="&amp;DATE(YEAR(A248),MONTH(A248),1),发射纪录!G:G,"&lt;="&amp;DATE(YEAR(A248),MONTH(A248),DAY(EOMONTH(A248,0))),发射纪录!N:N,"&lt;&gt;")</f>
        <v>0</v>
      </c>
      <c r="I248" s="10">
        <f>COUNTIFS(发射纪录!C:C,"&lt;&gt;-",发射纪录!G:G,"&gt;="&amp;DATE(YEAR(A248),MONTH(A248),1),发射纪录!G:G,"&lt;="&amp;DATE(YEAR(A248),MONTH(A248),DAY(EOMONTH(A248,0))),发射纪录!N:N,"=成功",发射纪录!N:N,"&lt;&gt;")</f>
        <v>0</v>
      </c>
      <c r="J248" s="1" t="str">
        <f t="shared" si="140"/>
        <v>-</v>
      </c>
      <c r="K248" s="10">
        <f t="shared" ca="1" si="141"/>
        <v>8</v>
      </c>
      <c r="L248" s="10">
        <f t="shared" ca="1" si="142"/>
        <v>4</v>
      </c>
      <c r="M248" s="2">
        <f t="shared" ca="1" si="143"/>
        <v>0.5</v>
      </c>
      <c r="N248" s="10">
        <f t="shared" si="144"/>
        <v>0</v>
      </c>
      <c r="O248" s="10">
        <f t="shared" si="145"/>
        <v>0</v>
      </c>
      <c r="P248" s="3" t="str">
        <f t="shared" si="146"/>
        <v>-</v>
      </c>
      <c r="Q248" s="10">
        <f t="shared" ca="1" si="147"/>
        <v>30</v>
      </c>
      <c r="R248" s="10">
        <f t="shared" ca="1" si="108"/>
        <v>24</v>
      </c>
      <c r="S248" s="4">
        <f t="shared" ca="1" si="148"/>
        <v>0.8</v>
      </c>
      <c r="T248" s="478"/>
    </row>
    <row r="249" spans="1:20" x14ac:dyDescent="0.45">
      <c r="A249" s="64">
        <v>33025</v>
      </c>
      <c r="B249" s="14">
        <f>COUNTIFS(发射纪录!B:B,"&lt;&gt;-",发射纪录!G:G,"&gt;="&amp;DATE(YEAR(A249),MONTH(A249),1),发射纪录!G:G,"&lt;="&amp;DATE(YEAR(A249),MONTH(A249),DAY(EOMONTH(A249,0))),发射纪录!N:N,"&lt;&gt;")</f>
        <v>0</v>
      </c>
      <c r="C249" s="10">
        <f>COUNTIFS(发射纪录!B:B,"&lt;&gt;-",发射纪录!G:G,"&gt;="&amp;DATE(YEAR(A249),MONTH(A249),1),发射纪录!G:G,"&lt;="&amp;DATE(YEAR(A249),MONTH(A249),DAY(EOMONTH(A249,0))),发射纪录!N:N,"=成功",发射纪录!N:N,"&lt;&gt;")</f>
        <v>0</v>
      </c>
      <c r="D249" s="1" t="str">
        <f t="shared" si="136"/>
        <v>-</v>
      </c>
      <c r="E249" s="10">
        <f t="shared" si="137"/>
        <v>22</v>
      </c>
      <c r="F249" s="10">
        <f t="shared" si="138"/>
        <v>20</v>
      </c>
      <c r="G249" s="2">
        <f t="shared" si="139"/>
        <v>0.90909090909090906</v>
      </c>
      <c r="H249" s="10">
        <f>COUNTIFS(发射纪录!C:C,"&lt;&gt;-",发射纪录!G:G,"&gt;="&amp;DATE(YEAR(A249),MONTH(A249),1),发射纪录!G:G,"&lt;="&amp;DATE(YEAR(A249),MONTH(A249),DAY(EOMONTH(A249,0))),发射纪录!N:N,"&lt;&gt;")</f>
        <v>0</v>
      </c>
      <c r="I249" s="10">
        <f ca="1">COUNTIFS(发射纪录!C:C,"&lt;&gt;-",发射纪录!G:G,"&gt;="&amp;DATE(YEAR(A249),MONTH(A249),1),发射纪录!G:G,"&lt;="&amp;DATE(YEAR(A249),MONTH(A249),DAY(EOMONTH(A249,0))),发射纪录!N:N,"=成功",发射纪录!N:N,"&lt;&gt;")</f>
        <v>0</v>
      </c>
      <c r="J249" s="1" t="str">
        <f t="shared" si="140"/>
        <v>-</v>
      </c>
      <c r="K249" s="10">
        <f t="shared" ca="1" si="141"/>
        <v>8</v>
      </c>
      <c r="L249" s="10">
        <f t="shared" ca="1" si="142"/>
        <v>4</v>
      </c>
      <c r="M249" s="2">
        <f t="shared" ca="1" si="143"/>
        <v>0.5</v>
      </c>
      <c r="N249" s="10">
        <f t="shared" si="144"/>
        <v>0</v>
      </c>
      <c r="O249" s="10">
        <f t="shared" ca="1" si="145"/>
        <v>0</v>
      </c>
      <c r="P249" s="3" t="str">
        <f t="shared" si="146"/>
        <v>-</v>
      </c>
      <c r="Q249" s="10">
        <f t="shared" ca="1" si="147"/>
        <v>30</v>
      </c>
      <c r="R249" s="10">
        <f t="shared" ca="1" si="108"/>
        <v>24</v>
      </c>
      <c r="S249" s="4">
        <f t="shared" ca="1" si="148"/>
        <v>0.8</v>
      </c>
      <c r="T249" s="478"/>
    </row>
    <row r="250" spans="1:20" x14ac:dyDescent="0.45">
      <c r="A250" s="64">
        <v>33055</v>
      </c>
      <c r="B250" s="14">
        <f>COUNTIFS(发射纪录!B:B,"&lt;&gt;-",发射纪录!G:G,"&gt;="&amp;DATE(YEAR(A250),MONTH(A250),1),发射纪录!G:G,"&lt;="&amp;DATE(YEAR(A250),MONTH(A250),DAY(EOMONTH(A250,0))),发射纪录!N:N,"&lt;&gt;")</f>
        <v>1</v>
      </c>
      <c r="C250" s="10">
        <f>COUNTIFS(发射纪录!B:B,"&lt;&gt;-",发射纪录!G:G,"&gt;="&amp;DATE(YEAR(A250),MONTH(A250),1),发射纪录!G:G,"&lt;="&amp;DATE(YEAR(A250),MONTH(A250),DAY(EOMONTH(A250,0))),发射纪录!N:N,"=成功",发射纪录!N:N,"&lt;&gt;")</f>
        <v>1</v>
      </c>
      <c r="D250" s="1">
        <f t="shared" si="136"/>
        <v>1</v>
      </c>
      <c r="E250" s="10">
        <f t="shared" si="137"/>
        <v>23</v>
      </c>
      <c r="F250" s="10">
        <f t="shared" si="138"/>
        <v>21</v>
      </c>
      <c r="G250" s="2">
        <f t="shared" si="139"/>
        <v>0.91304347826086951</v>
      </c>
      <c r="H250" s="10">
        <f>COUNTIFS(发射纪录!C:C,"&lt;&gt;-",发射纪录!G:G,"&gt;="&amp;DATE(YEAR(A250),MONTH(A250),1),发射纪录!G:G,"&lt;="&amp;DATE(YEAR(A250),MONTH(A250),DAY(EOMONTH(A250,0))),发射纪录!N:N,"&lt;&gt;")</f>
        <v>0</v>
      </c>
      <c r="I250" s="10">
        <f>COUNTIFS(发射纪录!C:C,"&lt;&gt;-",发射纪录!G:G,"&gt;="&amp;DATE(YEAR(A250),MONTH(A250),1),发射纪录!G:G,"&lt;="&amp;DATE(YEAR(A250),MONTH(A250),DAY(EOMONTH(A250,0))),发射纪录!N:N,"=成功",发射纪录!N:N,"&lt;&gt;")</f>
        <v>0</v>
      </c>
      <c r="J250" s="1" t="str">
        <f t="shared" si="140"/>
        <v>-</v>
      </c>
      <c r="K250" s="10">
        <f t="shared" ca="1" si="141"/>
        <v>8</v>
      </c>
      <c r="L250" s="10">
        <f t="shared" ca="1" si="142"/>
        <v>4</v>
      </c>
      <c r="M250" s="2">
        <f t="shared" ca="1" si="143"/>
        <v>0.5</v>
      </c>
      <c r="N250" s="10">
        <f t="shared" si="144"/>
        <v>1</v>
      </c>
      <c r="O250" s="10">
        <f t="shared" si="145"/>
        <v>1</v>
      </c>
      <c r="P250" s="3">
        <f t="shared" si="146"/>
        <v>1</v>
      </c>
      <c r="Q250" s="10">
        <f t="shared" ca="1" si="147"/>
        <v>31</v>
      </c>
      <c r="R250" s="10">
        <f t="shared" ca="1" si="108"/>
        <v>25</v>
      </c>
      <c r="S250" s="4">
        <f t="shared" ca="1" si="148"/>
        <v>0.80645161290322576</v>
      </c>
      <c r="T250" s="478"/>
    </row>
    <row r="251" spans="1:20" x14ac:dyDescent="0.45">
      <c r="A251" s="64">
        <v>33086</v>
      </c>
      <c r="B251" s="14">
        <f>COUNTIFS(发射纪录!B:B,"&lt;&gt;-",发射纪录!G:G,"&gt;="&amp;DATE(YEAR(A251),MONTH(A251),1),发射纪录!G:G,"&lt;="&amp;DATE(YEAR(A251),MONTH(A251),DAY(EOMONTH(A251,0))),发射纪录!N:N,"&lt;&gt;")</f>
        <v>0</v>
      </c>
      <c r="C251" s="10">
        <f>COUNTIFS(发射纪录!B:B,"&lt;&gt;-",发射纪录!G:G,"&gt;="&amp;DATE(YEAR(A251),MONTH(A251),1),发射纪录!G:G,"&lt;="&amp;DATE(YEAR(A251),MONTH(A251),DAY(EOMONTH(A251,0))),发射纪录!N:N,"=成功",发射纪录!N:N,"&lt;&gt;")</f>
        <v>0</v>
      </c>
      <c r="D251" s="1" t="str">
        <f t="shared" si="136"/>
        <v>-</v>
      </c>
      <c r="E251" s="10">
        <f t="shared" si="137"/>
        <v>23</v>
      </c>
      <c r="F251" s="10">
        <f t="shared" si="138"/>
        <v>21</v>
      </c>
      <c r="G251" s="2">
        <f t="shared" si="139"/>
        <v>0.91304347826086951</v>
      </c>
      <c r="H251" s="10">
        <f>COUNTIFS(发射纪录!C:C,"&lt;&gt;-",发射纪录!G:G,"&gt;="&amp;DATE(YEAR(A251),MONTH(A251),1),发射纪录!G:G,"&lt;="&amp;DATE(YEAR(A251),MONTH(A251),DAY(EOMONTH(A251,0))),发射纪录!N:N,"&lt;&gt;")</f>
        <v>0</v>
      </c>
      <c r="I251" s="10">
        <f ca="1">COUNTIFS(发射纪录!C:C,"&lt;&gt;-",发射纪录!G:G,"&gt;="&amp;DATE(YEAR(A251),MONTH(A251),1),发射纪录!G:G,"&lt;="&amp;DATE(YEAR(A251),MONTH(A251),DAY(EOMONTH(A251,0))),发射纪录!N:N,"=成功",发射纪录!N:N,"&lt;&gt;")</f>
        <v>0</v>
      </c>
      <c r="J251" s="1" t="str">
        <f t="shared" si="140"/>
        <v>-</v>
      </c>
      <c r="K251" s="10">
        <f t="shared" ca="1" si="141"/>
        <v>8</v>
      </c>
      <c r="L251" s="10">
        <f t="shared" ca="1" si="142"/>
        <v>4</v>
      </c>
      <c r="M251" s="2">
        <f t="shared" ca="1" si="143"/>
        <v>0.5</v>
      </c>
      <c r="N251" s="10">
        <f t="shared" si="144"/>
        <v>0</v>
      </c>
      <c r="O251" s="10">
        <f t="shared" ca="1" si="145"/>
        <v>0</v>
      </c>
      <c r="P251" s="3" t="str">
        <f t="shared" si="146"/>
        <v>-</v>
      </c>
      <c r="Q251" s="10">
        <f t="shared" ca="1" si="147"/>
        <v>31</v>
      </c>
      <c r="R251" s="10">
        <f t="shared" ca="1" si="108"/>
        <v>25</v>
      </c>
      <c r="S251" s="4">
        <f t="shared" ca="1" si="148"/>
        <v>0.80645161290322576</v>
      </c>
      <c r="T251" s="478"/>
    </row>
    <row r="252" spans="1:20" x14ac:dyDescent="0.45">
      <c r="A252" s="64">
        <v>33117</v>
      </c>
      <c r="B252" s="14">
        <f>COUNTIFS(发射纪录!B:B,"&lt;&gt;-",发射纪录!G:G,"&gt;="&amp;DATE(YEAR(A252),MONTH(A252),1),发射纪录!G:G,"&lt;="&amp;DATE(YEAR(A252),MONTH(A252),DAY(EOMONTH(A252,0))),发射纪录!N:N,"&lt;&gt;")</f>
        <v>1</v>
      </c>
      <c r="C252" s="10">
        <f>COUNTIFS(发射纪录!B:B,"&lt;&gt;-",发射纪录!G:G,"&gt;="&amp;DATE(YEAR(A252),MONTH(A252),1),发射纪录!G:G,"&lt;="&amp;DATE(YEAR(A252),MONTH(A252),DAY(EOMONTH(A252,0))),发射纪录!N:N,"=成功",发射纪录!N:N,"&lt;&gt;")</f>
        <v>1</v>
      </c>
      <c r="D252" s="1">
        <f t="shared" si="136"/>
        <v>1</v>
      </c>
      <c r="E252" s="10">
        <f t="shared" si="137"/>
        <v>24</v>
      </c>
      <c r="F252" s="10">
        <f t="shared" si="138"/>
        <v>22</v>
      </c>
      <c r="G252" s="2">
        <f t="shared" si="139"/>
        <v>0.91666666666666663</v>
      </c>
      <c r="H252" s="10">
        <f>COUNTIFS(发射纪录!C:C,"&lt;&gt;-",发射纪录!G:G,"&gt;="&amp;DATE(YEAR(A252),MONTH(A252),1),发射纪录!G:G,"&lt;="&amp;DATE(YEAR(A252),MONTH(A252),DAY(EOMONTH(A252,0))),发射纪录!N:N,"&lt;&gt;")</f>
        <v>0</v>
      </c>
      <c r="I252" s="10">
        <f ca="1">COUNTIFS(发射纪录!C:C,"&lt;&gt;-",发射纪录!G:G,"&gt;="&amp;DATE(YEAR(A252),MONTH(A252),1),发射纪录!G:G,"&lt;="&amp;DATE(YEAR(A252),MONTH(A252),DAY(EOMONTH(A252,0))),发射纪录!N:N,"=成功",发射纪录!N:N,"&lt;&gt;")</f>
        <v>0</v>
      </c>
      <c r="J252" s="1" t="str">
        <f t="shared" si="140"/>
        <v>-</v>
      </c>
      <c r="K252" s="10">
        <f t="shared" ca="1" si="141"/>
        <v>8</v>
      </c>
      <c r="L252" s="10">
        <f t="shared" ca="1" si="142"/>
        <v>4</v>
      </c>
      <c r="M252" s="2">
        <f t="shared" ca="1" si="143"/>
        <v>0.5</v>
      </c>
      <c r="N252" s="10">
        <f t="shared" si="144"/>
        <v>1</v>
      </c>
      <c r="O252" s="10">
        <f t="shared" ca="1" si="145"/>
        <v>1</v>
      </c>
      <c r="P252" s="3">
        <f t="shared" ca="1" si="146"/>
        <v>1</v>
      </c>
      <c r="Q252" s="10">
        <f t="shared" ca="1" si="147"/>
        <v>32</v>
      </c>
      <c r="R252" s="10">
        <f t="shared" ca="1" si="108"/>
        <v>26</v>
      </c>
      <c r="S252" s="4">
        <f t="shared" ca="1" si="148"/>
        <v>0.8125</v>
      </c>
      <c r="T252" s="478"/>
    </row>
    <row r="253" spans="1:20" x14ac:dyDescent="0.45">
      <c r="A253" s="64">
        <v>33147</v>
      </c>
      <c r="B253" s="14">
        <f>COUNTIFS(发射纪录!B:B,"&lt;&gt;-",发射纪录!G:G,"&gt;="&amp;DATE(YEAR(A253),MONTH(A253),1),发射纪录!G:G,"&lt;="&amp;DATE(YEAR(A253),MONTH(A253),DAY(EOMONTH(A253,0))),发射纪录!N:N,"&lt;&gt;")</f>
        <v>1</v>
      </c>
      <c r="C253" s="10">
        <f>COUNTIFS(发射纪录!B:B,"&lt;&gt;-",发射纪录!G:G,"&gt;="&amp;DATE(YEAR(A253),MONTH(A253),1),发射纪录!G:G,"&lt;="&amp;DATE(YEAR(A253),MONTH(A253),DAY(EOMONTH(A253,0))),发射纪录!N:N,"=成功",发射纪录!N:N,"&lt;&gt;")</f>
        <v>1</v>
      </c>
      <c r="D253" s="1">
        <f t="shared" si="136"/>
        <v>1</v>
      </c>
      <c r="E253" s="10">
        <f t="shared" si="137"/>
        <v>25</v>
      </c>
      <c r="F253" s="10">
        <f t="shared" si="138"/>
        <v>23</v>
      </c>
      <c r="G253" s="2">
        <f t="shared" si="139"/>
        <v>0.92</v>
      </c>
      <c r="H253" s="10">
        <f>COUNTIFS(发射纪录!C:C,"&lt;&gt;-",发射纪录!G:G,"&gt;="&amp;DATE(YEAR(A253),MONTH(A253),1),发射纪录!G:G,"&lt;="&amp;DATE(YEAR(A253),MONTH(A253),DAY(EOMONTH(A253,0))),发射纪录!N:N,"&lt;&gt;")</f>
        <v>0</v>
      </c>
      <c r="I253" s="10">
        <f>COUNTIFS(发射纪录!C:C,"&lt;&gt;-",发射纪录!G:G,"&gt;="&amp;DATE(YEAR(A253),MONTH(A253),1),发射纪录!G:G,"&lt;="&amp;DATE(YEAR(A253),MONTH(A253),DAY(EOMONTH(A253,0))),发射纪录!N:N,"=成功",发射纪录!N:N,"&lt;&gt;")</f>
        <v>0</v>
      </c>
      <c r="J253" s="1" t="str">
        <f t="shared" si="140"/>
        <v>-</v>
      </c>
      <c r="K253" s="10">
        <f t="shared" ca="1" si="141"/>
        <v>8</v>
      </c>
      <c r="L253" s="10">
        <f t="shared" ca="1" si="142"/>
        <v>4</v>
      </c>
      <c r="M253" s="2">
        <f t="shared" ca="1" si="143"/>
        <v>0.5</v>
      </c>
      <c r="N253" s="10">
        <f t="shared" si="144"/>
        <v>1</v>
      </c>
      <c r="O253" s="10">
        <f t="shared" si="145"/>
        <v>1</v>
      </c>
      <c r="P253" s="3">
        <f t="shared" si="146"/>
        <v>1</v>
      </c>
      <c r="Q253" s="10">
        <f t="shared" ca="1" si="147"/>
        <v>33</v>
      </c>
      <c r="R253" s="10">
        <f t="shared" ca="1" si="108"/>
        <v>27</v>
      </c>
      <c r="S253" s="4">
        <f t="shared" ca="1" si="148"/>
        <v>0.81818181818181823</v>
      </c>
      <c r="T253" s="478"/>
    </row>
    <row r="254" spans="1:20" x14ac:dyDescent="0.45">
      <c r="A254" s="64">
        <v>33178</v>
      </c>
      <c r="B254" s="14">
        <f>COUNTIFS(发射纪录!B:B,"&lt;&gt;-",发射纪录!G:G,"&gt;="&amp;DATE(YEAR(A254),MONTH(A254),1),发射纪录!G:G,"&lt;="&amp;DATE(YEAR(A254),MONTH(A254),DAY(EOMONTH(A254,0))),发射纪录!N:N,"&lt;&gt;")</f>
        <v>0</v>
      </c>
      <c r="C254" s="10">
        <f>COUNTIFS(发射纪录!B:B,"&lt;&gt;-",发射纪录!G:G,"&gt;="&amp;DATE(YEAR(A254),MONTH(A254),1),发射纪录!G:G,"&lt;="&amp;DATE(YEAR(A254),MONTH(A254),DAY(EOMONTH(A254,0))),发射纪录!N:N,"=成功",发射纪录!N:N,"&lt;&gt;")</f>
        <v>0</v>
      </c>
      <c r="D254" s="1" t="str">
        <f t="shared" si="136"/>
        <v>-</v>
      </c>
      <c r="E254" s="10">
        <f t="shared" si="137"/>
        <v>25</v>
      </c>
      <c r="F254" s="10">
        <f t="shared" si="138"/>
        <v>23</v>
      </c>
      <c r="G254" s="2">
        <f t="shared" si="139"/>
        <v>0.92</v>
      </c>
      <c r="H254" s="10">
        <f ca="1">COUNTIFS(发射纪录!C:C,"&lt;&gt;-",发射纪录!G:G,"&gt;="&amp;DATE(YEAR(A254),MONTH(A254),1),发射纪录!G:G,"&lt;="&amp;DATE(YEAR(A254),MONTH(A254),DAY(EOMONTH(A254,0))),发射纪录!N:N,"&lt;&gt;")</f>
        <v>0</v>
      </c>
      <c r="I254" s="10">
        <f ca="1">COUNTIFS(发射纪录!C:C,"&lt;&gt;-",发射纪录!G:G,"&gt;="&amp;DATE(YEAR(A254),MONTH(A254),1),发射纪录!G:G,"&lt;="&amp;DATE(YEAR(A254),MONTH(A254),DAY(EOMONTH(A254,0))),发射纪录!N:N,"=成功",发射纪录!N:N,"&lt;&gt;")</f>
        <v>0</v>
      </c>
      <c r="J254" s="1" t="str">
        <f t="shared" ca="1" si="140"/>
        <v>-</v>
      </c>
      <c r="K254" s="10">
        <f t="shared" ca="1" si="141"/>
        <v>8</v>
      </c>
      <c r="L254" s="10">
        <f t="shared" ca="1" si="142"/>
        <v>4</v>
      </c>
      <c r="M254" s="2">
        <f t="shared" ca="1" si="143"/>
        <v>0.5</v>
      </c>
      <c r="N254" s="10">
        <f t="shared" ca="1" si="144"/>
        <v>0</v>
      </c>
      <c r="O254" s="10">
        <f t="shared" ca="1" si="145"/>
        <v>0</v>
      </c>
      <c r="P254" s="3" t="str">
        <f t="shared" ca="1" si="146"/>
        <v>-</v>
      </c>
      <c r="Q254" s="10">
        <f t="shared" ca="1" si="147"/>
        <v>33</v>
      </c>
      <c r="R254" s="10">
        <f t="shared" ca="1" si="108"/>
        <v>27</v>
      </c>
      <c r="S254" s="4">
        <f t="shared" ca="1" si="148"/>
        <v>0.81818181818181823</v>
      </c>
      <c r="T254" s="478"/>
    </row>
    <row r="255" spans="1:20" ht="19.5" customHeight="1" thickBot="1" x14ac:dyDescent="0.5">
      <c r="A255" s="65">
        <v>33208</v>
      </c>
      <c r="B255" s="17">
        <f>COUNTIFS(发射纪录!B:B,"&lt;&gt;-",发射纪录!G:G,"&gt;="&amp;DATE(YEAR(A255),MONTH(A255),1),发射纪录!G:G,"&lt;="&amp;DATE(YEAR(A255),MONTH(A255),DAY(EOMONTH(A255,0))),发射纪录!N:N,"&lt;&gt;")</f>
        <v>0</v>
      </c>
      <c r="C255" s="18">
        <f>COUNTIFS(发射纪录!B:B,"&lt;&gt;-",发射纪录!G:G,"&gt;="&amp;DATE(YEAR(A255),MONTH(A255),1),发射纪录!G:G,"&lt;="&amp;DATE(YEAR(A255),MONTH(A255),DAY(EOMONTH(A255,0))),发射纪录!N:N,"=成功",发射纪录!N:N,"&lt;&gt;")</f>
        <v>0</v>
      </c>
      <c r="D255" s="12" t="str">
        <f>IF(B255=0,"-",C255/B255)</f>
        <v>-</v>
      </c>
      <c r="E255" s="18">
        <f>E254+B255</f>
        <v>25</v>
      </c>
      <c r="F255" s="18">
        <f>F254+C255</f>
        <v>23</v>
      </c>
      <c r="G255" s="13">
        <f>IF(E255=0,"-",F255/E255)</f>
        <v>0.92</v>
      </c>
      <c r="H255" s="18">
        <f>COUNTIFS(发射纪录!C:C,"&lt;&gt;-",发射纪录!G:G,"&gt;="&amp;DATE(YEAR(A255),MONTH(A255),1),发射纪录!G:G,"&lt;="&amp;DATE(YEAR(A255),MONTH(A255),DAY(EOMONTH(A255,0))),发射纪录!N:N,"&lt;&gt;")</f>
        <v>0</v>
      </c>
      <c r="I255" s="18">
        <f>COUNTIFS(发射纪录!C:C,"&lt;&gt;-",发射纪录!G:G,"&gt;="&amp;DATE(YEAR(A255),MONTH(A255),1),发射纪录!G:G,"&lt;="&amp;DATE(YEAR(A255),MONTH(A255),DAY(EOMONTH(A255,0))),发射纪录!N:N,"=成功",发射纪录!N:N,"&lt;&gt;")</f>
        <v>0</v>
      </c>
      <c r="J255" s="12" t="str">
        <f>IF(H255=0,"-",I255/H255)</f>
        <v>-</v>
      </c>
      <c r="K255" s="18">
        <f ca="1">K254+H255</f>
        <v>8</v>
      </c>
      <c r="L255" s="18">
        <f ca="1">L254+I255</f>
        <v>4</v>
      </c>
      <c r="M255" s="13">
        <f ca="1">IF(K255=0,"-",L255/K255)</f>
        <v>0.5</v>
      </c>
      <c r="N255" s="18">
        <f>B255+H255</f>
        <v>0</v>
      </c>
      <c r="O255" s="18">
        <f>C255+I255</f>
        <v>0</v>
      </c>
      <c r="P255" s="12" t="str">
        <f>IF(N255=0,"-",O255/N255)</f>
        <v>-</v>
      </c>
      <c r="Q255" s="18">
        <f ca="1">E255+K255</f>
        <v>33</v>
      </c>
      <c r="R255" s="18">
        <f ca="1">F255+L255</f>
        <v>27</v>
      </c>
      <c r="S255" s="13">
        <f ca="1">IF(Q255=0,"-",R255/Q255)</f>
        <v>0.81818181818181823</v>
      </c>
      <c r="T255" s="478"/>
    </row>
    <row r="256" spans="1:20" ht="19.5" customHeight="1" thickTop="1" x14ac:dyDescent="0.45">
      <c r="A256" s="63">
        <v>33239</v>
      </c>
      <c r="B256" s="14">
        <f>COUNTIFS(发射纪录!B:B,"&lt;&gt;-",发射纪录!G:G,"&gt;="&amp;DATE(YEAR(A256),MONTH(A256),1),发射纪录!G:G,"&lt;="&amp;DATE(YEAR(A256),MONTH(A256),DAY(EOMONTH(A256,0))),发射纪录!N:N,"&lt;&gt;")</f>
        <v>0</v>
      </c>
      <c r="C256" s="10">
        <f>COUNTIFS(发射纪录!B:B,"&lt;&gt;-",发射纪录!G:G,"&gt;="&amp;DATE(YEAR(A256),MONTH(A256),1),发射纪录!G:G,"&lt;="&amp;DATE(YEAR(A256),MONTH(A256),DAY(EOMONTH(A256,0))),发射纪录!N:N,"=成功",发射纪录!N:N,"&lt;&gt;")</f>
        <v>0</v>
      </c>
      <c r="D256" s="3" t="str">
        <f t="shared" ref="D256:D266" si="149">IF(B256=0,"-",C256/B256)</f>
        <v>-</v>
      </c>
      <c r="E256" s="10">
        <f t="shared" ref="E256:E266" si="150">E255+B256</f>
        <v>25</v>
      </c>
      <c r="F256" s="10">
        <f t="shared" ref="F256:F266" si="151">F255+C256</f>
        <v>23</v>
      </c>
      <c r="G256" s="4">
        <f t="shared" ref="G256:G266" si="152">IF(E256=0,"-",F256/E256)</f>
        <v>0.92</v>
      </c>
      <c r="H256" s="10">
        <f>COUNTIFS(发射纪录!C:C,"&lt;&gt;-",发射纪录!G:G,"&gt;="&amp;DATE(YEAR(A256),MONTH(A256),1),发射纪录!G:G,"&lt;="&amp;DATE(YEAR(A256),MONTH(A256),DAY(EOMONTH(A256,0))),发射纪录!N:N,"&lt;&gt;")</f>
        <v>0</v>
      </c>
      <c r="I256" s="10">
        <f>COUNTIFS(发射纪录!C:C,"&lt;&gt;-",发射纪录!G:G,"&gt;="&amp;DATE(YEAR(A256),MONTH(A256),1),发射纪录!G:G,"&lt;="&amp;DATE(YEAR(A256),MONTH(A256),DAY(EOMONTH(A256,0))),发射纪录!N:N,"=成功",发射纪录!N:N,"&lt;&gt;")</f>
        <v>0</v>
      </c>
      <c r="J256" s="3" t="str">
        <f t="shared" ref="J256:J266" si="153">IF(H256=0,"-",I256/H256)</f>
        <v>-</v>
      </c>
      <c r="K256" s="10">
        <f t="shared" ref="K256:K266" ca="1" si="154">K255+H256</f>
        <v>8</v>
      </c>
      <c r="L256" s="10">
        <f t="shared" ref="L256:L266" ca="1" si="155">L255+I256</f>
        <v>4</v>
      </c>
      <c r="M256" s="4">
        <f t="shared" ref="M256:M266" ca="1" si="156">IF(K256=0,"-",L256/K256)</f>
        <v>0.5</v>
      </c>
      <c r="N256" s="10">
        <f t="shared" ref="N256:N266" si="157">B256+H256</f>
        <v>0</v>
      </c>
      <c r="O256" s="10">
        <f t="shared" ref="O256:O266" si="158">C256+I256</f>
        <v>0</v>
      </c>
      <c r="P256" s="3" t="str">
        <f t="shared" ref="P256:P266" si="159">IF(N256=0,"-",O256/N256)</f>
        <v>-</v>
      </c>
      <c r="Q256" s="10">
        <f t="shared" ref="Q256:Q266" ca="1" si="160">E256+K256</f>
        <v>33</v>
      </c>
      <c r="R256" s="10">
        <f t="shared" ca="1" si="108"/>
        <v>27</v>
      </c>
      <c r="S256" s="4">
        <f t="shared" ref="S256:S266" ca="1" si="161">IF(Q256=0,"-",R256/Q256)</f>
        <v>0.81818181818181823</v>
      </c>
      <c r="T256" s="478"/>
    </row>
    <row r="257" spans="1:20" x14ac:dyDescent="0.45">
      <c r="A257" s="64">
        <v>33270</v>
      </c>
      <c r="B257" s="14">
        <f>COUNTIFS(发射纪录!B:B,"&lt;&gt;-",发射纪录!G:G,"&gt;="&amp;DATE(YEAR(A257),MONTH(A257),1),发射纪录!G:G,"&lt;="&amp;DATE(YEAR(A257),MONTH(A257),DAY(EOMONTH(A257,0))),发射纪录!N:N,"&lt;&gt;")</f>
        <v>0</v>
      </c>
      <c r="C257" s="10">
        <f>COUNTIFS(发射纪录!B:B,"&lt;&gt;-",发射纪录!G:G,"&gt;="&amp;DATE(YEAR(A257),MONTH(A257),1),发射纪录!G:G,"&lt;="&amp;DATE(YEAR(A257),MONTH(A257),DAY(EOMONTH(A257,0))),发射纪录!N:N,"=成功",发射纪录!N:N,"&lt;&gt;")</f>
        <v>0</v>
      </c>
      <c r="D257" s="1" t="str">
        <f t="shared" si="149"/>
        <v>-</v>
      </c>
      <c r="E257" s="10">
        <f t="shared" si="150"/>
        <v>25</v>
      </c>
      <c r="F257" s="10">
        <f t="shared" si="151"/>
        <v>23</v>
      </c>
      <c r="G257" s="2">
        <f t="shared" si="152"/>
        <v>0.92</v>
      </c>
      <c r="H257" s="10">
        <f>COUNTIFS(发射纪录!C:C,"&lt;&gt;-",发射纪录!G:G,"&gt;="&amp;DATE(YEAR(A257),MONTH(A257),1),发射纪录!G:G,"&lt;="&amp;DATE(YEAR(A257),MONTH(A257),DAY(EOMONTH(A257,0))),发射纪录!N:N,"&lt;&gt;")</f>
        <v>0</v>
      </c>
      <c r="I257" s="10">
        <f>COUNTIFS(发射纪录!C:C,"&lt;&gt;-",发射纪录!G:G,"&gt;="&amp;DATE(YEAR(A257),MONTH(A257),1),发射纪录!G:G,"&lt;="&amp;DATE(YEAR(A257),MONTH(A257),DAY(EOMONTH(A257,0))),发射纪录!N:N,"=成功",发射纪录!N:N,"&lt;&gt;")</f>
        <v>0</v>
      </c>
      <c r="J257" s="1" t="str">
        <f t="shared" si="153"/>
        <v>-</v>
      </c>
      <c r="K257" s="10">
        <f t="shared" ca="1" si="154"/>
        <v>8</v>
      </c>
      <c r="L257" s="10">
        <f t="shared" ca="1" si="155"/>
        <v>4</v>
      </c>
      <c r="M257" s="2">
        <f t="shared" ca="1" si="156"/>
        <v>0.5</v>
      </c>
      <c r="N257" s="10">
        <f t="shared" si="157"/>
        <v>0</v>
      </c>
      <c r="O257" s="10">
        <f t="shared" si="158"/>
        <v>0</v>
      </c>
      <c r="P257" s="3" t="str">
        <f t="shared" si="159"/>
        <v>-</v>
      </c>
      <c r="Q257" s="10">
        <f t="shared" ca="1" si="160"/>
        <v>33</v>
      </c>
      <c r="R257" s="10">
        <f t="shared" ca="1" si="108"/>
        <v>27</v>
      </c>
      <c r="S257" s="4">
        <f t="shared" ca="1" si="161"/>
        <v>0.81818181818181823</v>
      </c>
      <c r="T257" s="478"/>
    </row>
    <row r="258" spans="1:20" x14ac:dyDescent="0.45">
      <c r="A258" s="64">
        <v>33298</v>
      </c>
      <c r="B258" s="14">
        <f>COUNTIFS(发射纪录!B:B,"&lt;&gt;-",发射纪录!G:G,"&gt;="&amp;DATE(YEAR(A258),MONTH(A258),1),发射纪录!G:G,"&lt;="&amp;DATE(YEAR(A258),MONTH(A258),DAY(EOMONTH(A258,0))),发射纪录!N:N,"&lt;&gt;")</f>
        <v>0</v>
      </c>
      <c r="C258" s="10">
        <f>COUNTIFS(发射纪录!B:B,"&lt;&gt;-",发射纪录!G:G,"&gt;="&amp;DATE(YEAR(A258),MONTH(A258),1),发射纪录!G:G,"&lt;="&amp;DATE(YEAR(A258),MONTH(A258),DAY(EOMONTH(A258,0))),发射纪录!N:N,"=成功",发射纪录!N:N,"&lt;&gt;")</f>
        <v>0</v>
      </c>
      <c r="D258" s="1" t="str">
        <f t="shared" si="149"/>
        <v>-</v>
      </c>
      <c r="E258" s="10">
        <f t="shared" si="150"/>
        <v>25</v>
      </c>
      <c r="F258" s="10">
        <f t="shared" si="151"/>
        <v>23</v>
      </c>
      <c r="G258" s="2">
        <f t="shared" si="152"/>
        <v>0.92</v>
      </c>
      <c r="H258" s="10">
        <f>COUNTIFS(发射纪录!C:C,"&lt;&gt;-",发射纪录!G:G,"&gt;="&amp;DATE(YEAR(A258),MONTH(A258),1),发射纪录!G:G,"&lt;="&amp;DATE(YEAR(A258),MONTH(A258),DAY(EOMONTH(A258,0))),发射纪录!N:N,"&lt;&gt;")</f>
        <v>0</v>
      </c>
      <c r="I258" s="10">
        <f>COUNTIFS(发射纪录!C:C,"&lt;&gt;-",发射纪录!G:G,"&gt;="&amp;DATE(YEAR(A258),MONTH(A258),1),发射纪录!G:G,"&lt;="&amp;DATE(YEAR(A258),MONTH(A258),DAY(EOMONTH(A258,0))),发射纪录!N:N,"=成功",发射纪录!N:N,"&lt;&gt;")</f>
        <v>0</v>
      </c>
      <c r="J258" s="1" t="str">
        <f t="shared" si="153"/>
        <v>-</v>
      </c>
      <c r="K258" s="10">
        <f t="shared" ca="1" si="154"/>
        <v>8</v>
      </c>
      <c r="L258" s="10">
        <f t="shared" ca="1" si="155"/>
        <v>4</v>
      </c>
      <c r="M258" s="2">
        <f t="shared" ca="1" si="156"/>
        <v>0.5</v>
      </c>
      <c r="N258" s="10">
        <f t="shared" si="157"/>
        <v>0</v>
      </c>
      <c r="O258" s="10">
        <f t="shared" si="158"/>
        <v>0</v>
      </c>
      <c r="P258" s="3" t="str">
        <f t="shared" si="159"/>
        <v>-</v>
      </c>
      <c r="Q258" s="10">
        <f t="shared" ca="1" si="160"/>
        <v>33</v>
      </c>
      <c r="R258" s="10">
        <f t="shared" ca="1" si="108"/>
        <v>27</v>
      </c>
      <c r="S258" s="4">
        <f t="shared" ca="1" si="161"/>
        <v>0.81818181818181823</v>
      </c>
      <c r="T258" s="478"/>
    </row>
    <row r="259" spans="1:20" x14ac:dyDescent="0.45">
      <c r="A259" s="64">
        <v>33329</v>
      </c>
      <c r="B259" s="14">
        <f>COUNTIFS(发射纪录!B:B,"&lt;&gt;-",发射纪录!G:G,"&gt;="&amp;DATE(YEAR(A259),MONTH(A259),1),发射纪录!G:G,"&lt;="&amp;DATE(YEAR(A259),MONTH(A259),DAY(EOMONTH(A259,0))),发射纪录!N:N,"&lt;&gt;")</f>
        <v>0</v>
      </c>
      <c r="C259" s="10">
        <f>COUNTIFS(发射纪录!B:B,"&lt;&gt;-",发射纪录!G:G,"&gt;="&amp;DATE(YEAR(A259),MONTH(A259),1),发射纪录!G:G,"&lt;="&amp;DATE(YEAR(A259),MONTH(A259),DAY(EOMONTH(A259,0))),发射纪录!N:N,"=成功",发射纪录!N:N,"&lt;&gt;")</f>
        <v>0</v>
      </c>
      <c r="D259" s="1" t="str">
        <f t="shared" si="149"/>
        <v>-</v>
      </c>
      <c r="E259" s="10">
        <f t="shared" si="150"/>
        <v>25</v>
      </c>
      <c r="F259" s="10">
        <f t="shared" si="151"/>
        <v>23</v>
      </c>
      <c r="G259" s="2">
        <f t="shared" si="152"/>
        <v>0.92</v>
      </c>
      <c r="H259" s="10">
        <f>COUNTIFS(发射纪录!C:C,"&lt;&gt;-",发射纪录!G:G,"&gt;="&amp;DATE(YEAR(A259),MONTH(A259),1),发射纪录!G:G,"&lt;="&amp;DATE(YEAR(A259),MONTH(A259),DAY(EOMONTH(A259,0))),发射纪录!N:N,"&lt;&gt;")</f>
        <v>0</v>
      </c>
      <c r="I259" s="10">
        <f>COUNTIFS(发射纪录!C:C,"&lt;&gt;-",发射纪录!G:G,"&gt;="&amp;DATE(YEAR(A259),MONTH(A259),1),发射纪录!G:G,"&lt;="&amp;DATE(YEAR(A259),MONTH(A259),DAY(EOMONTH(A259,0))),发射纪录!N:N,"=成功",发射纪录!N:N,"&lt;&gt;")</f>
        <v>0</v>
      </c>
      <c r="J259" s="1" t="str">
        <f t="shared" si="153"/>
        <v>-</v>
      </c>
      <c r="K259" s="10">
        <f t="shared" ca="1" si="154"/>
        <v>8</v>
      </c>
      <c r="L259" s="10">
        <f t="shared" ca="1" si="155"/>
        <v>4</v>
      </c>
      <c r="M259" s="2">
        <f t="shared" ca="1" si="156"/>
        <v>0.5</v>
      </c>
      <c r="N259" s="10">
        <f t="shared" si="157"/>
        <v>0</v>
      </c>
      <c r="O259" s="10">
        <f t="shared" si="158"/>
        <v>0</v>
      </c>
      <c r="P259" s="3" t="str">
        <f t="shared" si="159"/>
        <v>-</v>
      </c>
      <c r="Q259" s="10">
        <f t="shared" ca="1" si="160"/>
        <v>33</v>
      </c>
      <c r="R259" s="10">
        <f t="shared" ca="1" si="108"/>
        <v>27</v>
      </c>
      <c r="S259" s="4">
        <f t="shared" ca="1" si="161"/>
        <v>0.81818181818181823</v>
      </c>
      <c r="T259" s="478"/>
    </row>
    <row r="260" spans="1:20" x14ac:dyDescent="0.45">
      <c r="A260" s="64">
        <v>33359</v>
      </c>
      <c r="B260" s="14">
        <f>COUNTIFS(发射纪录!B:B,"&lt;&gt;-",发射纪录!G:G,"&gt;="&amp;DATE(YEAR(A260),MONTH(A260),1),发射纪录!G:G,"&lt;="&amp;DATE(YEAR(A260),MONTH(A260),DAY(EOMONTH(A260,0))),发射纪录!N:N,"&lt;&gt;")</f>
        <v>0</v>
      </c>
      <c r="C260" s="10">
        <f>COUNTIFS(发射纪录!B:B,"&lt;&gt;-",发射纪录!G:G,"&gt;="&amp;DATE(YEAR(A260),MONTH(A260),1),发射纪录!G:G,"&lt;="&amp;DATE(YEAR(A260),MONTH(A260),DAY(EOMONTH(A260,0))),发射纪录!N:N,"=成功",发射纪录!N:N,"&lt;&gt;")</f>
        <v>0</v>
      </c>
      <c r="D260" s="1" t="str">
        <f t="shared" si="149"/>
        <v>-</v>
      </c>
      <c r="E260" s="10">
        <f t="shared" si="150"/>
        <v>25</v>
      </c>
      <c r="F260" s="10">
        <f t="shared" si="151"/>
        <v>23</v>
      </c>
      <c r="G260" s="2">
        <f t="shared" si="152"/>
        <v>0.92</v>
      </c>
      <c r="H260" s="10">
        <f>COUNTIFS(发射纪录!C:C,"&lt;&gt;-",发射纪录!G:G,"&gt;="&amp;DATE(YEAR(A260),MONTH(A260),1),发射纪录!G:G,"&lt;="&amp;DATE(YEAR(A260),MONTH(A260),DAY(EOMONTH(A260,0))),发射纪录!N:N,"&lt;&gt;")</f>
        <v>0</v>
      </c>
      <c r="I260" s="10">
        <f ca="1">COUNTIFS(发射纪录!C:C,"&lt;&gt;-",发射纪录!G:G,"&gt;="&amp;DATE(YEAR(A260),MONTH(A260),1),发射纪录!G:G,"&lt;="&amp;DATE(YEAR(A260),MONTH(A260),DAY(EOMONTH(A260,0))),发射纪录!N:N,"=成功",发射纪录!N:N,"&lt;&gt;")</f>
        <v>0</v>
      </c>
      <c r="J260" s="1" t="str">
        <f t="shared" si="153"/>
        <v>-</v>
      </c>
      <c r="K260" s="10">
        <f t="shared" ca="1" si="154"/>
        <v>8</v>
      </c>
      <c r="L260" s="10">
        <f t="shared" ca="1" si="155"/>
        <v>4</v>
      </c>
      <c r="M260" s="2">
        <f t="shared" ca="1" si="156"/>
        <v>0.5</v>
      </c>
      <c r="N260" s="10">
        <f t="shared" si="157"/>
        <v>0</v>
      </c>
      <c r="O260" s="10">
        <f t="shared" ca="1" si="158"/>
        <v>0</v>
      </c>
      <c r="P260" s="3" t="str">
        <f t="shared" si="159"/>
        <v>-</v>
      </c>
      <c r="Q260" s="10">
        <f t="shared" ca="1" si="160"/>
        <v>33</v>
      </c>
      <c r="R260" s="10">
        <f t="shared" ref="R260:R266" ca="1" si="162">F260+L260</f>
        <v>27</v>
      </c>
      <c r="S260" s="4">
        <f t="shared" ca="1" si="161"/>
        <v>0.81818181818181823</v>
      </c>
      <c r="T260" s="478"/>
    </row>
    <row r="261" spans="1:20" x14ac:dyDescent="0.45">
      <c r="A261" s="64">
        <v>33390</v>
      </c>
      <c r="B261" s="14">
        <f>COUNTIFS(发射纪录!B:B,"&lt;&gt;-",发射纪录!G:G,"&gt;="&amp;DATE(YEAR(A261),MONTH(A261),1),发射纪录!G:G,"&lt;="&amp;DATE(YEAR(A261),MONTH(A261),DAY(EOMONTH(A261,0))),发射纪录!N:N,"&lt;&gt;")</f>
        <v>0</v>
      </c>
      <c r="C261" s="10">
        <f>COUNTIFS(发射纪录!B:B,"&lt;&gt;-",发射纪录!G:G,"&gt;="&amp;DATE(YEAR(A261),MONTH(A261),1),发射纪录!G:G,"&lt;="&amp;DATE(YEAR(A261),MONTH(A261),DAY(EOMONTH(A261,0))),发射纪录!N:N,"=成功",发射纪录!N:N,"&lt;&gt;")</f>
        <v>0</v>
      </c>
      <c r="D261" s="1" t="str">
        <f t="shared" si="149"/>
        <v>-</v>
      </c>
      <c r="E261" s="10">
        <f t="shared" si="150"/>
        <v>25</v>
      </c>
      <c r="F261" s="10">
        <f t="shared" si="151"/>
        <v>23</v>
      </c>
      <c r="G261" s="2">
        <f t="shared" si="152"/>
        <v>0.92</v>
      </c>
      <c r="H261" s="10">
        <f>COUNTIFS(发射纪录!C:C,"&lt;&gt;-",发射纪录!G:G,"&gt;="&amp;DATE(YEAR(A261),MONTH(A261),1),发射纪录!G:G,"&lt;="&amp;DATE(YEAR(A261),MONTH(A261),DAY(EOMONTH(A261,0))),发射纪录!N:N,"&lt;&gt;")</f>
        <v>0</v>
      </c>
      <c r="I261" s="10">
        <f ca="1">COUNTIFS(发射纪录!C:C,"&lt;&gt;-",发射纪录!G:G,"&gt;="&amp;DATE(YEAR(A261),MONTH(A261),1),发射纪录!G:G,"&lt;="&amp;DATE(YEAR(A261),MONTH(A261),DAY(EOMONTH(A261,0))),发射纪录!N:N,"=成功",发射纪录!N:N,"&lt;&gt;")</f>
        <v>0</v>
      </c>
      <c r="J261" s="1" t="str">
        <f t="shared" si="153"/>
        <v>-</v>
      </c>
      <c r="K261" s="10">
        <f t="shared" ca="1" si="154"/>
        <v>8</v>
      </c>
      <c r="L261" s="10">
        <f t="shared" ca="1" si="155"/>
        <v>4</v>
      </c>
      <c r="M261" s="2">
        <f t="shared" ca="1" si="156"/>
        <v>0.5</v>
      </c>
      <c r="N261" s="10">
        <f t="shared" si="157"/>
        <v>0</v>
      </c>
      <c r="O261" s="10">
        <f t="shared" ca="1" si="158"/>
        <v>0</v>
      </c>
      <c r="P261" s="3" t="str">
        <f t="shared" si="159"/>
        <v>-</v>
      </c>
      <c r="Q261" s="10">
        <f t="shared" ca="1" si="160"/>
        <v>33</v>
      </c>
      <c r="R261" s="10">
        <f t="shared" ca="1" si="162"/>
        <v>27</v>
      </c>
      <c r="S261" s="4">
        <f t="shared" ca="1" si="161"/>
        <v>0.81818181818181823</v>
      </c>
      <c r="T261" s="478"/>
    </row>
    <row r="262" spans="1:20" x14ac:dyDescent="0.45">
      <c r="A262" s="64">
        <v>33420</v>
      </c>
      <c r="B262" s="14">
        <f>COUNTIFS(发射纪录!B:B,"&lt;&gt;-",发射纪录!G:G,"&gt;="&amp;DATE(YEAR(A262),MONTH(A262),1),发射纪录!G:G,"&lt;="&amp;DATE(YEAR(A262),MONTH(A262),DAY(EOMONTH(A262,0))),发射纪录!N:N,"&lt;&gt;")</f>
        <v>0</v>
      </c>
      <c r="C262" s="10">
        <f>COUNTIFS(发射纪录!B:B,"&lt;&gt;-",发射纪录!G:G,"&gt;="&amp;DATE(YEAR(A262),MONTH(A262),1),发射纪录!G:G,"&lt;="&amp;DATE(YEAR(A262),MONTH(A262),DAY(EOMONTH(A262,0))),发射纪录!N:N,"=成功",发射纪录!N:N,"&lt;&gt;")</f>
        <v>0</v>
      </c>
      <c r="D262" s="1" t="str">
        <f t="shared" si="149"/>
        <v>-</v>
      </c>
      <c r="E262" s="10">
        <f t="shared" si="150"/>
        <v>25</v>
      </c>
      <c r="F262" s="10">
        <f t="shared" si="151"/>
        <v>23</v>
      </c>
      <c r="G262" s="2">
        <f t="shared" si="152"/>
        <v>0.92</v>
      </c>
      <c r="H262" s="10">
        <f ca="1">COUNTIFS(发射纪录!C:C,"&lt;&gt;-",发射纪录!G:G,"&gt;="&amp;DATE(YEAR(A262),MONTH(A262),1),发射纪录!G:G,"&lt;="&amp;DATE(YEAR(A262),MONTH(A262),DAY(EOMONTH(A262,0))),发射纪录!N:N,"&lt;&gt;")</f>
        <v>0</v>
      </c>
      <c r="I262" s="10">
        <f>COUNTIFS(发射纪录!C:C,"&lt;&gt;-",发射纪录!G:G,"&gt;="&amp;DATE(YEAR(A262),MONTH(A262),1),发射纪录!G:G,"&lt;="&amp;DATE(YEAR(A262),MONTH(A262),DAY(EOMONTH(A262,0))),发射纪录!N:N,"=成功",发射纪录!N:N,"&lt;&gt;")</f>
        <v>0</v>
      </c>
      <c r="J262" s="1" t="str">
        <f t="shared" ca="1" si="153"/>
        <v>-</v>
      </c>
      <c r="K262" s="10">
        <f t="shared" ca="1" si="154"/>
        <v>8</v>
      </c>
      <c r="L262" s="10">
        <f t="shared" ca="1" si="155"/>
        <v>4</v>
      </c>
      <c r="M262" s="2">
        <f t="shared" ca="1" si="156"/>
        <v>0.5</v>
      </c>
      <c r="N262" s="10">
        <f t="shared" ca="1" si="157"/>
        <v>0</v>
      </c>
      <c r="O262" s="10">
        <f t="shared" si="158"/>
        <v>0</v>
      </c>
      <c r="P262" s="3" t="str">
        <f t="shared" ca="1" si="159"/>
        <v>-</v>
      </c>
      <c r="Q262" s="10">
        <f t="shared" ca="1" si="160"/>
        <v>33</v>
      </c>
      <c r="R262" s="10">
        <f t="shared" ca="1" si="162"/>
        <v>27</v>
      </c>
      <c r="S262" s="4">
        <f t="shared" ca="1" si="161"/>
        <v>0.81818181818181823</v>
      </c>
      <c r="T262" s="478"/>
    </row>
    <row r="263" spans="1:20" x14ac:dyDescent="0.45">
      <c r="A263" s="64">
        <v>33451</v>
      </c>
      <c r="B263" s="14">
        <f>COUNTIFS(发射纪录!B:B,"&lt;&gt;-",发射纪录!G:G,"&gt;="&amp;DATE(YEAR(A263),MONTH(A263),1),发射纪录!G:G,"&lt;="&amp;DATE(YEAR(A263),MONTH(A263),DAY(EOMONTH(A263,0))),发射纪录!N:N,"&lt;&gt;")</f>
        <v>0</v>
      </c>
      <c r="C263" s="10">
        <f>COUNTIFS(发射纪录!B:B,"&lt;&gt;-",发射纪录!G:G,"&gt;="&amp;DATE(YEAR(A263),MONTH(A263),1),发射纪录!G:G,"&lt;="&amp;DATE(YEAR(A263),MONTH(A263),DAY(EOMONTH(A263,0))),发射纪录!N:N,"=成功",发射纪录!N:N,"&lt;&gt;")</f>
        <v>0</v>
      </c>
      <c r="D263" s="1" t="str">
        <f t="shared" si="149"/>
        <v>-</v>
      </c>
      <c r="E263" s="10">
        <f t="shared" si="150"/>
        <v>25</v>
      </c>
      <c r="F263" s="10">
        <f t="shared" si="151"/>
        <v>23</v>
      </c>
      <c r="G263" s="2">
        <f t="shared" si="152"/>
        <v>0.92</v>
      </c>
      <c r="H263" s="10">
        <f>COUNTIFS(发射纪录!C:C,"&lt;&gt;-",发射纪录!G:G,"&gt;="&amp;DATE(YEAR(A263),MONTH(A263),1),发射纪录!G:G,"&lt;="&amp;DATE(YEAR(A263),MONTH(A263),DAY(EOMONTH(A263,0))),发射纪录!N:N,"&lt;&gt;")</f>
        <v>0</v>
      </c>
      <c r="I263" s="10">
        <f ca="1">COUNTIFS(发射纪录!C:C,"&lt;&gt;-",发射纪录!G:G,"&gt;="&amp;DATE(YEAR(A263),MONTH(A263),1),发射纪录!G:G,"&lt;="&amp;DATE(YEAR(A263),MONTH(A263),DAY(EOMONTH(A263,0))),发射纪录!N:N,"=成功",发射纪录!N:N,"&lt;&gt;")</f>
        <v>0</v>
      </c>
      <c r="J263" s="1" t="str">
        <f t="shared" si="153"/>
        <v>-</v>
      </c>
      <c r="K263" s="10">
        <f t="shared" ca="1" si="154"/>
        <v>8</v>
      </c>
      <c r="L263" s="10">
        <f t="shared" ca="1" si="155"/>
        <v>4</v>
      </c>
      <c r="M263" s="2">
        <f t="shared" ca="1" si="156"/>
        <v>0.5</v>
      </c>
      <c r="N263" s="10">
        <f t="shared" si="157"/>
        <v>0</v>
      </c>
      <c r="O263" s="10">
        <f t="shared" ca="1" si="158"/>
        <v>0</v>
      </c>
      <c r="P263" s="3" t="str">
        <f t="shared" si="159"/>
        <v>-</v>
      </c>
      <c r="Q263" s="10">
        <f t="shared" ca="1" si="160"/>
        <v>33</v>
      </c>
      <c r="R263" s="10">
        <f t="shared" ca="1" si="162"/>
        <v>27</v>
      </c>
      <c r="S263" s="4">
        <f t="shared" ca="1" si="161"/>
        <v>0.81818181818181823</v>
      </c>
      <c r="T263" s="478"/>
    </row>
    <row r="264" spans="1:20" x14ac:dyDescent="0.45">
      <c r="A264" s="64">
        <v>33482</v>
      </c>
      <c r="B264" s="14">
        <f>COUNTIFS(发射纪录!B:B,"&lt;&gt;-",发射纪录!G:G,"&gt;="&amp;DATE(YEAR(A264),MONTH(A264),1),发射纪录!G:G,"&lt;="&amp;DATE(YEAR(A264),MONTH(A264),DAY(EOMONTH(A264,0))),发射纪录!N:N,"&lt;&gt;")</f>
        <v>0</v>
      </c>
      <c r="C264" s="10">
        <f>COUNTIFS(发射纪录!B:B,"&lt;&gt;-",发射纪录!G:G,"&gt;="&amp;DATE(YEAR(A264),MONTH(A264),1),发射纪录!G:G,"&lt;="&amp;DATE(YEAR(A264),MONTH(A264),DAY(EOMONTH(A264,0))),发射纪录!N:N,"=成功",发射纪录!N:N,"&lt;&gt;")</f>
        <v>0</v>
      </c>
      <c r="D264" s="1" t="str">
        <f t="shared" si="149"/>
        <v>-</v>
      </c>
      <c r="E264" s="10">
        <f t="shared" si="150"/>
        <v>25</v>
      </c>
      <c r="F264" s="10">
        <f t="shared" si="151"/>
        <v>23</v>
      </c>
      <c r="G264" s="2">
        <f t="shared" si="152"/>
        <v>0.92</v>
      </c>
      <c r="H264" s="10">
        <f>COUNTIFS(发射纪录!C:C,"&lt;&gt;-",发射纪录!G:G,"&gt;="&amp;DATE(YEAR(A264),MONTH(A264),1),发射纪录!G:G,"&lt;="&amp;DATE(YEAR(A264),MONTH(A264),DAY(EOMONTH(A264,0))),发射纪录!N:N,"&lt;&gt;")</f>
        <v>0</v>
      </c>
      <c r="I264" s="10">
        <f>COUNTIFS(发射纪录!C:C,"&lt;&gt;-",发射纪录!G:G,"&gt;="&amp;DATE(YEAR(A264),MONTH(A264),1),发射纪录!G:G,"&lt;="&amp;DATE(YEAR(A264),MONTH(A264),DAY(EOMONTH(A264,0))),发射纪录!N:N,"=成功",发射纪录!N:N,"&lt;&gt;")</f>
        <v>0</v>
      </c>
      <c r="J264" s="1" t="str">
        <f t="shared" si="153"/>
        <v>-</v>
      </c>
      <c r="K264" s="10">
        <f t="shared" ca="1" si="154"/>
        <v>8</v>
      </c>
      <c r="L264" s="10">
        <f t="shared" ca="1" si="155"/>
        <v>4</v>
      </c>
      <c r="M264" s="2">
        <f t="shared" ca="1" si="156"/>
        <v>0.5</v>
      </c>
      <c r="N264" s="10">
        <f t="shared" si="157"/>
        <v>0</v>
      </c>
      <c r="O264" s="10">
        <f t="shared" si="158"/>
        <v>0</v>
      </c>
      <c r="P264" s="3" t="str">
        <f t="shared" si="159"/>
        <v>-</v>
      </c>
      <c r="Q264" s="10">
        <f t="shared" ca="1" si="160"/>
        <v>33</v>
      </c>
      <c r="R264" s="10">
        <f t="shared" ca="1" si="162"/>
        <v>27</v>
      </c>
      <c r="S264" s="4">
        <f t="shared" ca="1" si="161"/>
        <v>0.81818181818181823</v>
      </c>
      <c r="T264" s="478"/>
    </row>
    <row r="265" spans="1:20" x14ac:dyDescent="0.45">
      <c r="A265" s="64">
        <v>33512</v>
      </c>
      <c r="B265" s="14">
        <f>COUNTIFS(发射纪录!B:B,"&lt;&gt;-",发射纪录!G:G,"&gt;="&amp;DATE(YEAR(A265),MONTH(A265),1),发射纪录!G:G,"&lt;="&amp;DATE(YEAR(A265),MONTH(A265),DAY(EOMONTH(A265,0))),发射纪录!N:N,"&lt;&gt;")</f>
        <v>0</v>
      </c>
      <c r="C265" s="10">
        <f>COUNTIFS(发射纪录!B:B,"&lt;&gt;-",发射纪录!G:G,"&gt;="&amp;DATE(YEAR(A265),MONTH(A265),1),发射纪录!G:G,"&lt;="&amp;DATE(YEAR(A265),MONTH(A265),DAY(EOMONTH(A265,0))),发射纪录!N:N,"=成功",发射纪录!N:N,"&lt;&gt;")</f>
        <v>0</v>
      </c>
      <c r="D265" s="1" t="str">
        <f t="shared" si="149"/>
        <v>-</v>
      </c>
      <c r="E265" s="10">
        <f t="shared" si="150"/>
        <v>25</v>
      </c>
      <c r="F265" s="10">
        <f t="shared" si="151"/>
        <v>23</v>
      </c>
      <c r="G265" s="2">
        <f t="shared" si="152"/>
        <v>0.92</v>
      </c>
      <c r="H265" s="10">
        <f>COUNTIFS(发射纪录!C:C,"&lt;&gt;-",发射纪录!G:G,"&gt;="&amp;DATE(YEAR(A265),MONTH(A265),1),发射纪录!G:G,"&lt;="&amp;DATE(YEAR(A265),MONTH(A265),DAY(EOMONTH(A265,0))),发射纪录!N:N,"&lt;&gt;")</f>
        <v>0</v>
      </c>
      <c r="I265" s="10">
        <f>COUNTIFS(发射纪录!C:C,"&lt;&gt;-",发射纪录!G:G,"&gt;="&amp;DATE(YEAR(A265),MONTH(A265),1),发射纪录!G:G,"&lt;="&amp;DATE(YEAR(A265),MONTH(A265),DAY(EOMONTH(A265,0))),发射纪录!N:N,"=成功",发射纪录!N:N,"&lt;&gt;")</f>
        <v>0</v>
      </c>
      <c r="J265" s="1" t="str">
        <f t="shared" si="153"/>
        <v>-</v>
      </c>
      <c r="K265" s="10">
        <f t="shared" ca="1" si="154"/>
        <v>8</v>
      </c>
      <c r="L265" s="10">
        <f t="shared" ca="1" si="155"/>
        <v>4</v>
      </c>
      <c r="M265" s="2">
        <f t="shared" ca="1" si="156"/>
        <v>0.5</v>
      </c>
      <c r="N265" s="10">
        <f t="shared" si="157"/>
        <v>0</v>
      </c>
      <c r="O265" s="10">
        <f t="shared" si="158"/>
        <v>0</v>
      </c>
      <c r="P265" s="3" t="str">
        <f t="shared" si="159"/>
        <v>-</v>
      </c>
      <c r="Q265" s="10">
        <f t="shared" ca="1" si="160"/>
        <v>33</v>
      </c>
      <c r="R265" s="10">
        <f t="shared" ca="1" si="162"/>
        <v>27</v>
      </c>
      <c r="S265" s="4">
        <f t="shared" ca="1" si="161"/>
        <v>0.81818181818181823</v>
      </c>
      <c r="T265" s="478"/>
    </row>
    <row r="266" spans="1:20" x14ac:dyDescent="0.45">
      <c r="A266" s="64">
        <v>33543</v>
      </c>
      <c r="B266" s="14">
        <f>COUNTIFS(发射纪录!B:B,"&lt;&gt;-",发射纪录!G:G,"&gt;="&amp;DATE(YEAR(A266),MONTH(A266),1),发射纪录!G:G,"&lt;="&amp;DATE(YEAR(A266),MONTH(A266),DAY(EOMONTH(A266,0))),发射纪录!N:N,"&lt;&gt;")</f>
        <v>0</v>
      </c>
      <c r="C266" s="10">
        <f>COUNTIFS(发射纪录!B:B,"&lt;&gt;-",发射纪录!G:G,"&gt;="&amp;DATE(YEAR(A266),MONTH(A266),1),发射纪录!G:G,"&lt;="&amp;DATE(YEAR(A266),MONTH(A266),DAY(EOMONTH(A266,0))),发射纪录!N:N,"=成功",发射纪录!N:N,"&lt;&gt;")</f>
        <v>0</v>
      </c>
      <c r="D266" s="1" t="str">
        <f t="shared" si="149"/>
        <v>-</v>
      </c>
      <c r="E266" s="10">
        <f t="shared" si="150"/>
        <v>25</v>
      </c>
      <c r="F266" s="10">
        <f t="shared" si="151"/>
        <v>23</v>
      </c>
      <c r="G266" s="2">
        <f t="shared" si="152"/>
        <v>0.92</v>
      </c>
      <c r="H266" s="10">
        <f>COUNTIFS(发射纪录!C:C,"&lt;&gt;-",发射纪录!G:G,"&gt;="&amp;DATE(YEAR(A266),MONTH(A266),1),发射纪录!G:G,"&lt;="&amp;DATE(YEAR(A266),MONTH(A266),DAY(EOMONTH(A266,0))),发射纪录!N:N,"&lt;&gt;")</f>
        <v>0</v>
      </c>
      <c r="I266" s="10">
        <f ca="1">COUNTIFS(发射纪录!C:C,"&lt;&gt;-",发射纪录!G:G,"&gt;="&amp;DATE(YEAR(A266),MONTH(A266),1),发射纪录!G:G,"&lt;="&amp;DATE(YEAR(A266),MONTH(A266),DAY(EOMONTH(A266,0))),发射纪录!N:N,"=成功",发射纪录!N:N,"&lt;&gt;")</f>
        <v>0</v>
      </c>
      <c r="J266" s="1" t="str">
        <f t="shared" si="153"/>
        <v>-</v>
      </c>
      <c r="K266" s="10">
        <f t="shared" ca="1" si="154"/>
        <v>8</v>
      </c>
      <c r="L266" s="10">
        <f t="shared" ca="1" si="155"/>
        <v>4</v>
      </c>
      <c r="M266" s="2">
        <f t="shared" ca="1" si="156"/>
        <v>0.5</v>
      </c>
      <c r="N266" s="10">
        <f t="shared" si="157"/>
        <v>0</v>
      </c>
      <c r="O266" s="10">
        <f t="shared" ca="1" si="158"/>
        <v>0</v>
      </c>
      <c r="P266" s="3" t="str">
        <f t="shared" si="159"/>
        <v>-</v>
      </c>
      <c r="Q266" s="10">
        <f t="shared" ca="1" si="160"/>
        <v>33</v>
      </c>
      <c r="R266" s="10">
        <f t="shared" ca="1" si="162"/>
        <v>27</v>
      </c>
      <c r="S266" s="4">
        <f t="shared" ca="1" si="161"/>
        <v>0.81818181818181823</v>
      </c>
      <c r="T266" s="478"/>
    </row>
    <row r="267" spans="1:20" ht="19.5" customHeight="1" thickBot="1" x14ac:dyDescent="0.5">
      <c r="A267" s="65">
        <v>33573</v>
      </c>
      <c r="B267" s="17">
        <f>COUNTIFS(发射纪录!B:B,"&lt;&gt;-",发射纪录!G:G,"&gt;="&amp;DATE(YEAR(A267),MONTH(A267),1),发射纪录!G:G,"&lt;="&amp;DATE(YEAR(A267),MONTH(A267),DAY(EOMONTH(A267,0))),发射纪录!N:N,"&lt;&gt;")</f>
        <v>1</v>
      </c>
      <c r="C267" s="18">
        <f>COUNTIFS(发射纪录!B:B,"&lt;&gt;-",发射纪录!G:G,"&gt;="&amp;DATE(YEAR(A267),MONTH(A267),1),发射纪录!G:G,"&lt;="&amp;DATE(YEAR(A267),MONTH(A267),DAY(EOMONTH(A267,0))),发射纪录!N:N,"=成功",发射纪录!N:N,"&lt;&gt;")</f>
        <v>0</v>
      </c>
      <c r="D267" s="12">
        <f>IF(B267=0,"-",C267/B267)</f>
        <v>0</v>
      </c>
      <c r="E267" s="18">
        <f>E266+B267</f>
        <v>26</v>
      </c>
      <c r="F267" s="18">
        <f>F266+C267</f>
        <v>23</v>
      </c>
      <c r="G267" s="13">
        <f>IF(E267=0,"-",F267/E267)</f>
        <v>0.88461538461538458</v>
      </c>
      <c r="H267" s="18">
        <f>COUNTIFS(发射纪录!C:C,"&lt;&gt;-",发射纪录!G:G,"&gt;="&amp;DATE(YEAR(A267),MONTH(A267),1),发射纪录!G:G,"&lt;="&amp;DATE(YEAR(A267),MONTH(A267),DAY(EOMONTH(A267,0))),发射纪录!N:N,"&lt;&gt;")</f>
        <v>0</v>
      </c>
      <c r="I267" s="18">
        <f>COUNTIFS(发射纪录!C:C,"&lt;&gt;-",发射纪录!G:G,"&gt;="&amp;DATE(YEAR(A267),MONTH(A267),1),发射纪录!G:G,"&lt;="&amp;DATE(YEAR(A267),MONTH(A267),DAY(EOMONTH(A267,0))),发射纪录!N:N,"=成功",发射纪录!N:N,"&lt;&gt;")</f>
        <v>0</v>
      </c>
      <c r="J267" s="12" t="str">
        <f>IF(H267=0,"-",I267/H267)</f>
        <v>-</v>
      </c>
      <c r="K267" s="18">
        <f ca="1">K266+H267</f>
        <v>8</v>
      </c>
      <c r="L267" s="18">
        <f ca="1">L266+I267</f>
        <v>4</v>
      </c>
      <c r="M267" s="13">
        <f ca="1">IF(K267=0,"-",L267/K267)</f>
        <v>0.5</v>
      </c>
      <c r="N267" s="18">
        <f>B267+H267</f>
        <v>1</v>
      </c>
      <c r="O267" s="18">
        <f>C267+I267</f>
        <v>0</v>
      </c>
      <c r="P267" s="12">
        <f>IF(N267=0,"-",O267/N267)</f>
        <v>0</v>
      </c>
      <c r="Q267" s="18">
        <f ca="1">E267+K267</f>
        <v>34</v>
      </c>
      <c r="R267" s="18">
        <f ca="1">F267+L267</f>
        <v>27</v>
      </c>
      <c r="S267" s="13">
        <f ca="1">IF(Q267=0,"-",R267/Q267)</f>
        <v>0.79411764705882348</v>
      </c>
      <c r="T267" s="478"/>
    </row>
    <row r="268" spans="1:20" ht="19.5" customHeight="1" thickTop="1" x14ac:dyDescent="0.45">
      <c r="A268" s="63">
        <v>33604</v>
      </c>
      <c r="B268" s="14">
        <f>COUNTIFS(发射纪录!B:B,"&lt;&gt;-",发射纪录!G:G,"&gt;="&amp;DATE(YEAR(A268),MONTH(A268),1),发射纪录!G:G,"&lt;="&amp;DATE(YEAR(A268),MONTH(A268),DAY(EOMONTH(A268,0))),发射纪录!N:N,"&lt;&gt;")</f>
        <v>0</v>
      </c>
      <c r="C268" s="10">
        <f>COUNTIFS(发射纪录!B:B,"&lt;&gt;-",发射纪录!G:G,"&gt;="&amp;DATE(YEAR(A268),MONTH(A268),1),发射纪录!G:G,"&lt;="&amp;DATE(YEAR(A268),MONTH(A268),DAY(EOMONTH(A268,0))),发射纪录!N:N,"=成功",发射纪录!N:N,"&lt;&gt;")</f>
        <v>0</v>
      </c>
      <c r="D268" s="3" t="str">
        <f t="shared" ref="D268:D278" si="163">IF(B268=0,"-",C268/B268)</f>
        <v>-</v>
      </c>
      <c r="E268" s="10">
        <f t="shared" ref="E268:E278" si="164">E267+B268</f>
        <v>26</v>
      </c>
      <c r="F268" s="10">
        <f t="shared" ref="F268:F278" si="165">F267+C268</f>
        <v>23</v>
      </c>
      <c r="G268" s="4">
        <f t="shared" ref="G268:G278" si="166">IF(E268=0,"-",F268/E268)</f>
        <v>0.88461538461538458</v>
      </c>
      <c r="H268" s="10">
        <f>COUNTIFS(发射纪录!C:C,"&lt;&gt;-",发射纪录!G:G,"&gt;="&amp;DATE(YEAR(A268),MONTH(A268),1),发射纪录!G:G,"&lt;="&amp;DATE(YEAR(A268),MONTH(A268),DAY(EOMONTH(A268,0))),发射纪录!N:N,"&lt;&gt;")</f>
        <v>0</v>
      </c>
      <c r="I268" s="10">
        <f>COUNTIFS(发射纪录!C:C,"&lt;&gt;-",发射纪录!G:G,"&gt;="&amp;DATE(YEAR(A268),MONTH(A268),1),发射纪录!G:G,"&lt;="&amp;DATE(YEAR(A268),MONTH(A268),DAY(EOMONTH(A268,0))),发射纪录!N:N,"=成功",发射纪录!N:N,"&lt;&gt;")</f>
        <v>0</v>
      </c>
      <c r="J268" s="3" t="str">
        <f t="shared" ref="J268:J278" si="167">IF(H268=0,"-",I268/H268)</f>
        <v>-</v>
      </c>
      <c r="K268" s="10">
        <f t="shared" ref="K268:K278" ca="1" si="168">K267+H268</f>
        <v>8</v>
      </c>
      <c r="L268" s="10">
        <f t="shared" ref="L268:L278" ca="1" si="169">L267+I268</f>
        <v>4</v>
      </c>
      <c r="M268" s="4">
        <f t="shared" ref="M268:M278" ca="1" si="170">IF(K268=0,"-",L268/K268)</f>
        <v>0.5</v>
      </c>
      <c r="N268" s="10">
        <f t="shared" ref="N268:N278" si="171">B268+H268</f>
        <v>0</v>
      </c>
      <c r="O268" s="10">
        <f t="shared" ref="O268:O278" si="172">C268+I268</f>
        <v>0</v>
      </c>
      <c r="P268" s="3" t="str">
        <f t="shared" ref="P268:P278" si="173">IF(N268=0,"-",O268/N268)</f>
        <v>-</v>
      </c>
      <c r="Q268" s="10">
        <f t="shared" ref="Q268:Q278" ca="1" si="174">E268+K268</f>
        <v>34</v>
      </c>
      <c r="R268" s="10">
        <f t="shared" ref="R268:R323" ca="1" si="175">F268+L268</f>
        <v>27</v>
      </c>
      <c r="S268" s="4">
        <f t="shared" ref="S268:S278" ca="1" si="176">IF(Q268=0,"-",R268/Q268)</f>
        <v>0.79411764705882348</v>
      </c>
      <c r="T268" s="478"/>
    </row>
    <row r="269" spans="1:20" x14ac:dyDescent="0.45">
      <c r="A269" s="64">
        <v>33635</v>
      </c>
      <c r="B269" s="14">
        <f>COUNTIFS(发射纪录!B:B,"&lt;&gt;-",发射纪录!G:G,"&gt;="&amp;DATE(YEAR(A269),MONTH(A269),1),发射纪录!G:G,"&lt;="&amp;DATE(YEAR(A269),MONTH(A269),DAY(EOMONTH(A269,0))),发射纪录!N:N,"&lt;&gt;")</f>
        <v>0</v>
      </c>
      <c r="C269" s="10">
        <f>COUNTIFS(发射纪录!B:B,"&lt;&gt;-",发射纪录!G:G,"&gt;="&amp;DATE(YEAR(A269),MONTH(A269),1),发射纪录!G:G,"&lt;="&amp;DATE(YEAR(A269),MONTH(A269),DAY(EOMONTH(A269,0))),发射纪录!N:N,"=成功",发射纪录!N:N,"&lt;&gt;")</f>
        <v>0</v>
      </c>
      <c r="D269" s="1" t="str">
        <f t="shared" si="163"/>
        <v>-</v>
      </c>
      <c r="E269" s="10">
        <f t="shared" si="164"/>
        <v>26</v>
      </c>
      <c r="F269" s="10">
        <f t="shared" si="165"/>
        <v>23</v>
      </c>
      <c r="G269" s="2">
        <f t="shared" si="166"/>
        <v>0.88461538461538458</v>
      </c>
      <c r="H269" s="10">
        <f>COUNTIFS(发射纪录!C:C,"&lt;&gt;-",发射纪录!G:G,"&gt;="&amp;DATE(YEAR(A269),MONTH(A269),1),发射纪录!G:G,"&lt;="&amp;DATE(YEAR(A269),MONTH(A269),DAY(EOMONTH(A269,0))),发射纪录!N:N,"&lt;&gt;")</f>
        <v>0</v>
      </c>
      <c r="I269" s="10">
        <f>COUNTIFS(发射纪录!C:C,"&lt;&gt;-",发射纪录!G:G,"&gt;="&amp;DATE(YEAR(A269),MONTH(A269),1),发射纪录!G:G,"&lt;="&amp;DATE(YEAR(A269),MONTH(A269),DAY(EOMONTH(A269,0))),发射纪录!N:N,"=成功",发射纪录!N:N,"&lt;&gt;")</f>
        <v>0</v>
      </c>
      <c r="J269" s="1" t="str">
        <f t="shared" si="167"/>
        <v>-</v>
      </c>
      <c r="K269" s="10">
        <f t="shared" ca="1" si="168"/>
        <v>8</v>
      </c>
      <c r="L269" s="10">
        <f t="shared" ca="1" si="169"/>
        <v>4</v>
      </c>
      <c r="M269" s="2">
        <f t="shared" ca="1" si="170"/>
        <v>0.5</v>
      </c>
      <c r="N269" s="10">
        <f t="shared" si="171"/>
        <v>0</v>
      </c>
      <c r="O269" s="10">
        <f t="shared" si="172"/>
        <v>0</v>
      </c>
      <c r="P269" s="3" t="str">
        <f t="shared" si="173"/>
        <v>-</v>
      </c>
      <c r="Q269" s="10">
        <f t="shared" ca="1" si="174"/>
        <v>34</v>
      </c>
      <c r="R269" s="10">
        <f t="shared" ca="1" si="175"/>
        <v>27</v>
      </c>
      <c r="S269" s="4">
        <f t="shared" ca="1" si="176"/>
        <v>0.79411764705882348</v>
      </c>
      <c r="T269" s="478"/>
    </row>
    <row r="270" spans="1:20" x14ac:dyDescent="0.45">
      <c r="A270" s="64">
        <v>33664</v>
      </c>
      <c r="B270" s="14">
        <f>COUNTIFS(发射纪录!B:B,"&lt;&gt;-",发射纪录!G:G,"&gt;="&amp;DATE(YEAR(A270),MONTH(A270),1),发射纪录!G:G,"&lt;="&amp;DATE(YEAR(A270),MONTH(A270),DAY(EOMONTH(A270,0))),发射纪录!N:N,"&lt;&gt;")</f>
        <v>0</v>
      </c>
      <c r="C270" s="10">
        <f>COUNTIFS(发射纪录!B:B,"&lt;&gt;-",发射纪录!G:G,"&gt;="&amp;DATE(YEAR(A270),MONTH(A270),1),发射纪录!G:G,"&lt;="&amp;DATE(YEAR(A270),MONTH(A270),DAY(EOMONTH(A270,0))),发射纪录!N:N,"=成功",发射纪录!N:N,"&lt;&gt;")</f>
        <v>0</v>
      </c>
      <c r="D270" s="1" t="str">
        <f t="shared" si="163"/>
        <v>-</v>
      </c>
      <c r="E270" s="10">
        <f t="shared" si="164"/>
        <v>26</v>
      </c>
      <c r="F270" s="10">
        <f t="shared" si="165"/>
        <v>23</v>
      </c>
      <c r="G270" s="2">
        <f t="shared" si="166"/>
        <v>0.88461538461538458</v>
      </c>
      <c r="H270" s="10">
        <f>COUNTIFS(发射纪录!C:C,"&lt;&gt;-",发射纪录!G:G,"&gt;="&amp;DATE(YEAR(A270),MONTH(A270),1),发射纪录!G:G,"&lt;="&amp;DATE(YEAR(A270),MONTH(A270),DAY(EOMONTH(A270,0))),发射纪录!N:N,"&lt;&gt;")</f>
        <v>0</v>
      </c>
      <c r="I270" s="10">
        <f>COUNTIFS(发射纪录!C:C,"&lt;&gt;-",发射纪录!G:G,"&gt;="&amp;DATE(YEAR(A270),MONTH(A270),1),发射纪录!G:G,"&lt;="&amp;DATE(YEAR(A270),MONTH(A270),DAY(EOMONTH(A270,0))),发射纪录!N:N,"=成功",发射纪录!N:N,"&lt;&gt;")</f>
        <v>0</v>
      </c>
      <c r="J270" s="1" t="str">
        <f t="shared" si="167"/>
        <v>-</v>
      </c>
      <c r="K270" s="10">
        <f t="shared" ca="1" si="168"/>
        <v>8</v>
      </c>
      <c r="L270" s="10">
        <f t="shared" ca="1" si="169"/>
        <v>4</v>
      </c>
      <c r="M270" s="2">
        <f t="shared" ca="1" si="170"/>
        <v>0.5</v>
      </c>
      <c r="N270" s="10">
        <f t="shared" si="171"/>
        <v>0</v>
      </c>
      <c r="O270" s="10">
        <f t="shared" si="172"/>
        <v>0</v>
      </c>
      <c r="P270" s="3" t="str">
        <f t="shared" si="173"/>
        <v>-</v>
      </c>
      <c r="Q270" s="10">
        <f t="shared" ca="1" si="174"/>
        <v>34</v>
      </c>
      <c r="R270" s="10">
        <f t="shared" ca="1" si="175"/>
        <v>27</v>
      </c>
      <c r="S270" s="4">
        <f t="shared" ca="1" si="176"/>
        <v>0.79411764705882348</v>
      </c>
      <c r="T270" s="478"/>
    </row>
    <row r="271" spans="1:20" x14ac:dyDescent="0.45">
      <c r="A271" s="64">
        <v>33695</v>
      </c>
      <c r="B271" s="14">
        <f>COUNTIFS(发射纪录!B:B,"&lt;&gt;-",发射纪录!G:G,"&gt;="&amp;DATE(YEAR(A271),MONTH(A271),1),发射纪录!G:G,"&lt;="&amp;DATE(YEAR(A271),MONTH(A271),DAY(EOMONTH(A271,0))),发射纪录!N:N,"&lt;&gt;")</f>
        <v>0</v>
      </c>
      <c r="C271" s="10">
        <f>COUNTIFS(发射纪录!B:B,"&lt;&gt;-",发射纪录!G:G,"&gt;="&amp;DATE(YEAR(A271),MONTH(A271),1),发射纪录!G:G,"&lt;="&amp;DATE(YEAR(A271),MONTH(A271),DAY(EOMONTH(A271,0))),发射纪录!N:N,"=成功",发射纪录!N:N,"&lt;&gt;")</f>
        <v>0</v>
      </c>
      <c r="D271" s="1" t="str">
        <f t="shared" si="163"/>
        <v>-</v>
      </c>
      <c r="E271" s="10">
        <f t="shared" si="164"/>
        <v>26</v>
      </c>
      <c r="F271" s="10">
        <f t="shared" si="165"/>
        <v>23</v>
      </c>
      <c r="G271" s="2">
        <f t="shared" si="166"/>
        <v>0.88461538461538458</v>
      </c>
      <c r="H271" s="10">
        <f>COUNTIFS(发射纪录!C:C,"&lt;&gt;-",发射纪录!G:G,"&gt;="&amp;DATE(YEAR(A271),MONTH(A271),1),发射纪录!G:G,"&lt;="&amp;DATE(YEAR(A271),MONTH(A271),DAY(EOMONTH(A271,0))),发射纪录!N:N,"&lt;&gt;")</f>
        <v>0</v>
      </c>
      <c r="I271" s="10">
        <f>COUNTIFS(发射纪录!C:C,"&lt;&gt;-",发射纪录!G:G,"&gt;="&amp;DATE(YEAR(A271),MONTH(A271),1),发射纪录!G:G,"&lt;="&amp;DATE(YEAR(A271),MONTH(A271),DAY(EOMONTH(A271,0))),发射纪录!N:N,"=成功",发射纪录!N:N,"&lt;&gt;")</f>
        <v>0</v>
      </c>
      <c r="J271" s="1" t="str">
        <f t="shared" si="167"/>
        <v>-</v>
      </c>
      <c r="K271" s="10">
        <f t="shared" ca="1" si="168"/>
        <v>8</v>
      </c>
      <c r="L271" s="10">
        <f t="shared" ca="1" si="169"/>
        <v>4</v>
      </c>
      <c r="M271" s="2">
        <f t="shared" ca="1" si="170"/>
        <v>0.5</v>
      </c>
      <c r="N271" s="10">
        <f t="shared" si="171"/>
        <v>0</v>
      </c>
      <c r="O271" s="10">
        <f t="shared" si="172"/>
        <v>0</v>
      </c>
      <c r="P271" s="3" t="str">
        <f t="shared" si="173"/>
        <v>-</v>
      </c>
      <c r="Q271" s="10">
        <f t="shared" ca="1" si="174"/>
        <v>34</v>
      </c>
      <c r="R271" s="10">
        <f t="shared" ca="1" si="175"/>
        <v>27</v>
      </c>
      <c r="S271" s="4">
        <f t="shared" ca="1" si="176"/>
        <v>0.79411764705882348</v>
      </c>
      <c r="T271" s="478"/>
    </row>
    <row r="272" spans="1:20" x14ac:dyDescent="0.45">
      <c r="A272" s="64">
        <v>33725</v>
      </c>
      <c r="B272" s="14">
        <f>COUNTIFS(发射纪录!B:B,"&lt;&gt;-",发射纪录!G:G,"&gt;="&amp;DATE(YEAR(A272),MONTH(A272),1),发射纪录!G:G,"&lt;="&amp;DATE(YEAR(A272),MONTH(A272),DAY(EOMONTH(A272,0))),发射纪录!N:N,"&lt;&gt;")</f>
        <v>0</v>
      </c>
      <c r="C272" s="10">
        <f>COUNTIFS(发射纪录!B:B,"&lt;&gt;-",发射纪录!G:G,"&gt;="&amp;DATE(YEAR(A272),MONTH(A272),1),发射纪录!G:G,"&lt;="&amp;DATE(YEAR(A272),MONTH(A272),DAY(EOMONTH(A272,0))),发射纪录!N:N,"=成功",发射纪录!N:N,"&lt;&gt;")</f>
        <v>0</v>
      </c>
      <c r="D272" s="1" t="str">
        <f t="shared" si="163"/>
        <v>-</v>
      </c>
      <c r="E272" s="10">
        <f t="shared" si="164"/>
        <v>26</v>
      </c>
      <c r="F272" s="10">
        <f t="shared" si="165"/>
        <v>23</v>
      </c>
      <c r="G272" s="2">
        <f t="shared" si="166"/>
        <v>0.88461538461538458</v>
      </c>
      <c r="H272" s="10">
        <f>COUNTIFS(发射纪录!C:C,"&lt;&gt;-",发射纪录!G:G,"&gt;="&amp;DATE(YEAR(A272),MONTH(A272),1),发射纪录!G:G,"&lt;="&amp;DATE(YEAR(A272),MONTH(A272),DAY(EOMONTH(A272,0))),发射纪录!N:N,"&lt;&gt;")</f>
        <v>0</v>
      </c>
      <c r="I272" s="10">
        <f>COUNTIFS(发射纪录!C:C,"&lt;&gt;-",发射纪录!G:G,"&gt;="&amp;DATE(YEAR(A272),MONTH(A272),1),发射纪录!G:G,"&lt;="&amp;DATE(YEAR(A272),MONTH(A272),DAY(EOMONTH(A272,0))),发射纪录!N:N,"=成功",发射纪录!N:N,"&lt;&gt;")</f>
        <v>0</v>
      </c>
      <c r="J272" s="1" t="str">
        <f t="shared" si="167"/>
        <v>-</v>
      </c>
      <c r="K272" s="10">
        <f t="shared" ca="1" si="168"/>
        <v>8</v>
      </c>
      <c r="L272" s="10">
        <f t="shared" ca="1" si="169"/>
        <v>4</v>
      </c>
      <c r="M272" s="2">
        <f t="shared" ca="1" si="170"/>
        <v>0.5</v>
      </c>
      <c r="N272" s="10">
        <f t="shared" si="171"/>
        <v>0</v>
      </c>
      <c r="O272" s="10">
        <f t="shared" si="172"/>
        <v>0</v>
      </c>
      <c r="P272" s="3" t="str">
        <f t="shared" si="173"/>
        <v>-</v>
      </c>
      <c r="Q272" s="10">
        <f t="shared" ca="1" si="174"/>
        <v>34</v>
      </c>
      <c r="R272" s="10">
        <f t="shared" ca="1" si="175"/>
        <v>27</v>
      </c>
      <c r="S272" s="4">
        <f t="shared" ca="1" si="176"/>
        <v>0.79411764705882348</v>
      </c>
      <c r="T272" s="478"/>
    </row>
    <row r="273" spans="1:20" x14ac:dyDescent="0.45">
      <c r="A273" s="64">
        <v>33756</v>
      </c>
      <c r="B273" s="14">
        <f>COUNTIFS(发射纪录!B:B,"&lt;&gt;-",发射纪录!G:G,"&gt;="&amp;DATE(YEAR(A273),MONTH(A273),1),发射纪录!G:G,"&lt;="&amp;DATE(YEAR(A273),MONTH(A273),DAY(EOMONTH(A273,0))),发射纪录!N:N,"&lt;&gt;")</f>
        <v>0</v>
      </c>
      <c r="C273" s="10">
        <f>COUNTIFS(发射纪录!B:B,"&lt;&gt;-",发射纪录!G:G,"&gt;="&amp;DATE(YEAR(A273),MONTH(A273),1),发射纪录!G:G,"&lt;="&amp;DATE(YEAR(A273),MONTH(A273),DAY(EOMONTH(A273,0))),发射纪录!N:N,"=成功",发射纪录!N:N,"&lt;&gt;")</f>
        <v>0</v>
      </c>
      <c r="D273" s="1" t="str">
        <f t="shared" si="163"/>
        <v>-</v>
      </c>
      <c r="E273" s="10">
        <f t="shared" si="164"/>
        <v>26</v>
      </c>
      <c r="F273" s="10">
        <f t="shared" si="165"/>
        <v>23</v>
      </c>
      <c r="G273" s="2">
        <f t="shared" si="166"/>
        <v>0.88461538461538458</v>
      </c>
      <c r="H273" s="10">
        <f>COUNTIFS(发射纪录!C:C,"&lt;&gt;-",发射纪录!G:G,"&gt;="&amp;DATE(YEAR(A273),MONTH(A273),1),发射纪录!G:G,"&lt;="&amp;DATE(YEAR(A273),MONTH(A273),DAY(EOMONTH(A273,0))),发射纪录!N:N,"&lt;&gt;")</f>
        <v>0</v>
      </c>
      <c r="I273" s="10">
        <f ca="1">COUNTIFS(发射纪录!C:C,"&lt;&gt;-",发射纪录!G:G,"&gt;="&amp;DATE(YEAR(A273),MONTH(A273),1),发射纪录!G:G,"&lt;="&amp;DATE(YEAR(A273),MONTH(A273),DAY(EOMONTH(A273,0))),发射纪录!N:N,"=成功",发射纪录!N:N,"&lt;&gt;")</f>
        <v>0</v>
      </c>
      <c r="J273" s="1" t="str">
        <f t="shared" si="167"/>
        <v>-</v>
      </c>
      <c r="K273" s="10">
        <f t="shared" ca="1" si="168"/>
        <v>8</v>
      </c>
      <c r="L273" s="10">
        <f t="shared" ca="1" si="169"/>
        <v>4</v>
      </c>
      <c r="M273" s="2">
        <f t="shared" ca="1" si="170"/>
        <v>0.5</v>
      </c>
      <c r="N273" s="10">
        <f t="shared" si="171"/>
        <v>0</v>
      </c>
      <c r="O273" s="10">
        <f t="shared" ca="1" si="172"/>
        <v>0</v>
      </c>
      <c r="P273" s="3" t="str">
        <f t="shared" si="173"/>
        <v>-</v>
      </c>
      <c r="Q273" s="10">
        <f t="shared" ca="1" si="174"/>
        <v>34</v>
      </c>
      <c r="R273" s="10">
        <f t="shared" ca="1" si="175"/>
        <v>27</v>
      </c>
      <c r="S273" s="4">
        <f t="shared" ca="1" si="176"/>
        <v>0.79411764705882348</v>
      </c>
      <c r="T273" s="478"/>
    </row>
    <row r="274" spans="1:20" x14ac:dyDescent="0.45">
      <c r="A274" s="64">
        <v>33786</v>
      </c>
      <c r="B274" s="14">
        <f>COUNTIFS(发射纪录!B:B,"&lt;&gt;-",发射纪录!G:G,"&gt;="&amp;DATE(YEAR(A274),MONTH(A274),1),发射纪录!G:G,"&lt;="&amp;DATE(YEAR(A274),MONTH(A274),DAY(EOMONTH(A274,0))),发射纪录!N:N,"&lt;&gt;")</f>
        <v>0</v>
      </c>
      <c r="C274" s="10">
        <f>COUNTIFS(发射纪录!B:B,"&lt;&gt;-",发射纪录!G:G,"&gt;="&amp;DATE(YEAR(A274),MONTH(A274),1),发射纪录!G:G,"&lt;="&amp;DATE(YEAR(A274),MONTH(A274),DAY(EOMONTH(A274,0))),发射纪录!N:N,"=成功",发射纪录!N:N,"&lt;&gt;")</f>
        <v>0</v>
      </c>
      <c r="D274" s="1" t="str">
        <f t="shared" si="163"/>
        <v>-</v>
      </c>
      <c r="E274" s="10">
        <f t="shared" si="164"/>
        <v>26</v>
      </c>
      <c r="F274" s="10">
        <f t="shared" si="165"/>
        <v>23</v>
      </c>
      <c r="G274" s="2">
        <f t="shared" si="166"/>
        <v>0.88461538461538458</v>
      </c>
      <c r="H274" s="10">
        <f>COUNTIFS(发射纪录!C:C,"&lt;&gt;-",发射纪录!G:G,"&gt;="&amp;DATE(YEAR(A274),MONTH(A274),1),发射纪录!G:G,"&lt;="&amp;DATE(YEAR(A274),MONTH(A274),DAY(EOMONTH(A274,0))),发射纪录!N:N,"&lt;&gt;")</f>
        <v>0</v>
      </c>
      <c r="I274" s="10">
        <f>COUNTIFS(发射纪录!C:C,"&lt;&gt;-",发射纪录!G:G,"&gt;="&amp;DATE(YEAR(A274),MONTH(A274),1),发射纪录!G:G,"&lt;="&amp;DATE(YEAR(A274),MONTH(A274),DAY(EOMONTH(A274,0))),发射纪录!N:N,"=成功",发射纪录!N:N,"&lt;&gt;")</f>
        <v>0</v>
      </c>
      <c r="J274" s="1" t="str">
        <f t="shared" si="167"/>
        <v>-</v>
      </c>
      <c r="K274" s="10">
        <f t="shared" ca="1" si="168"/>
        <v>8</v>
      </c>
      <c r="L274" s="10">
        <f t="shared" ca="1" si="169"/>
        <v>4</v>
      </c>
      <c r="M274" s="2">
        <f t="shared" ca="1" si="170"/>
        <v>0.5</v>
      </c>
      <c r="N274" s="10">
        <f t="shared" si="171"/>
        <v>0</v>
      </c>
      <c r="O274" s="10">
        <f t="shared" si="172"/>
        <v>0</v>
      </c>
      <c r="P274" s="3" t="str">
        <f t="shared" si="173"/>
        <v>-</v>
      </c>
      <c r="Q274" s="10">
        <f t="shared" ca="1" si="174"/>
        <v>34</v>
      </c>
      <c r="R274" s="10">
        <f t="shared" ca="1" si="175"/>
        <v>27</v>
      </c>
      <c r="S274" s="4">
        <f t="shared" ca="1" si="176"/>
        <v>0.79411764705882348</v>
      </c>
      <c r="T274" s="478"/>
    </row>
    <row r="275" spans="1:20" x14ac:dyDescent="0.45">
      <c r="A275" s="64">
        <v>33817</v>
      </c>
      <c r="B275" s="14">
        <f>COUNTIFS(发射纪录!B:B,"&lt;&gt;-",发射纪录!G:G,"&gt;="&amp;DATE(YEAR(A275),MONTH(A275),1),发射纪录!G:G,"&lt;="&amp;DATE(YEAR(A275),MONTH(A275),DAY(EOMONTH(A275,0))),发射纪录!N:N,"&lt;&gt;")</f>
        <v>2</v>
      </c>
      <c r="C275" s="10">
        <f>COUNTIFS(发射纪录!B:B,"&lt;&gt;-",发射纪录!G:G,"&gt;="&amp;DATE(YEAR(A275),MONTH(A275),1),发射纪录!G:G,"&lt;="&amp;DATE(YEAR(A275),MONTH(A275),DAY(EOMONTH(A275,0))),发射纪录!N:N,"=成功",发射纪录!N:N,"&lt;&gt;")</f>
        <v>2</v>
      </c>
      <c r="D275" s="1">
        <f t="shared" si="163"/>
        <v>1</v>
      </c>
      <c r="E275" s="10">
        <f t="shared" si="164"/>
        <v>28</v>
      </c>
      <c r="F275" s="10">
        <f t="shared" si="165"/>
        <v>25</v>
      </c>
      <c r="G275" s="2">
        <f t="shared" si="166"/>
        <v>0.8928571428571429</v>
      </c>
      <c r="H275" s="10">
        <f>COUNTIFS(发射纪录!C:C,"&lt;&gt;-",发射纪录!G:G,"&gt;="&amp;DATE(YEAR(A275),MONTH(A275),1),发射纪录!G:G,"&lt;="&amp;DATE(YEAR(A275),MONTH(A275),DAY(EOMONTH(A275,0))),发射纪录!N:N,"&lt;&gt;")</f>
        <v>0</v>
      </c>
      <c r="I275" s="10">
        <f>COUNTIFS(发射纪录!C:C,"&lt;&gt;-",发射纪录!G:G,"&gt;="&amp;DATE(YEAR(A275),MONTH(A275),1),发射纪录!G:G,"&lt;="&amp;DATE(YEAR(A275),MONTH(A275),DAY(EOMONTH(A275,0))),发射纪录!N:N,"=成功",发射纪录!N:N,"&lt;&gt;")</f>
        <v>0</v>
      </c>
      <c r="J275" s="1" t="str">
        <f t="shared" si="167"/>
        <v>-</v>
      </c>
      <c r="K275" s="10">
        <f t="shared" ca="1" si="168"/>
        <v>8</v>
      </c>
      <c r="L275" s="10">
        <f t="shared" ca="1" si="169"/>
        <v>4</v>
      </c>
      <c r="M275" s="2">
        <f t="shared" ca="1" si="170"/>
        <v>0.5</v>
      </c>
      <c r="N275" s="10">
        <f t="shared" si="171"/>
        <v>2</v>
      </c>
      <c r="O275" s="10">
        <f t="shared" si="172"/>
        <v>2</v>
      </c>
      <c r="P275" s="3">
        <f t="shared" si="173"/>
        <v>1</v>
      </c>
      <c r="Q275" s="10">
        <f t="shared" ca="1" si="174"/>
        <v>36</v>
      </c>
      <c r="R275" s="10">
        <f t="shared" ca="1" si="175"/>
        <v>29</v>
      </c>
      <c r="S275" s="4">
        <f t="shared" ca="1" si="176"/>
        <v>0.80555555555555558</v>
      </c>
      <c r="T275" s="478"/>
    </row>
    <row r="276" spans="1:20" x14ac:dyDescent="0.45">
      <c r="A276" s="64">
        <v>33848</v>
      </c>
      <c r="B276" s="14">
        <f>COUNTIFS(发射纪录!B:B,"&lt;&gt;-",发射纪录!G:G,"&gt;="&amp;DATE(YEAR(A276),MONTH(A276),1),发射纪录!G:G,"&lt;="&amp;DATE(YEAR(A276),MONTH(A276),DAY(EOMONTH(A276,0))),发射纪录!N:N,"&lt;&gt;")</f>
        <v>0</v>
      </c>
      <c r="C276" s="10">
        <f>COUNTIFS(发射纪录!B:B,"&lt;&gt;-",发射纪录!G:G,"&gt;="&amp;DATE(YEAR(A276),MONTH(A276),1),发射纪录!G:G,"&lt;="&amp;DATE(YEAR(A276),MONTH(A276),DAY(EOMONTH(A276,0))),发射纪录!N:N,"=成功",发射纪录!N:N,"&lt;&gt;")</f>
        <v>0</v>
      </c>
      <c r="D276" s="1" t="str">
        <f t="shared" si="163"/>
        <v>-</v>
      </c>
      <c r="E276" s="10">
        <f t="shared" si="164"/>
        <v>28</v>
      </c>
      <c r="F276" s="10">
        <f t="shared" si="165"/>
        <v>25</v>
      </c>
      <c r="G276" s="2">
        <f t="shared" si="166"/>
        <v>0.8928571428571429</v>
      </c>
      <c r="H276" s="10">
        <f ca="1">COUNTIFS(发射纪录!C:C,"&lt;&gt;-",发射纪录!G:G,"&gt;="&amp;DATE(YEAR(A276),MONTH(A276),1),发射纪录!G:G,"&lt;="&amp;DATE(YEAR(A276),MONTH(A276),DAY(EOMONTH(A276,0))),发射纪录!N:N,"&lt;&gt;")</f>
        <v>0</v>
      </c>
      <c r="I276" s="10">
        <f>COUNTIFS(发射纪录!C:C,"&lt;&gt;-",发射纪录!G:G,"&gt;="&amp;DATE(YEAR(A276),MONTH(A276),1),发射纪录!G:G,"&lt;="&amp;DATE(YEAR(A276),MONTH(A276),DAY(EOMONTH(A276,0))),发射纪录!N:N,"=成功",发射纪录!N:N,"&lt;&gt;")</f>
        <v>0</v>
      </c>
      <c r="J276" s="1" t="str">
        <f t="shared" ca="1" si="167"/>
        <v>-</v>
      </c>
      <c r="K276" s="10">
        <f t="shared" ca="1" si="168"/>
        <v>8</v>
      </c>
      <c r="L276" s="10">
        <f t="shared" ca="1" si="169"/>
        <v>4</v>
      </c>
      <c r="M276" s="2">
        <f t="shared" ca="1" si="170"/>
        <v>0.5</v>
      </c>
      <c r="N276" s="10">
        <f t="shared" ca="1" si="171"/>
        <v>0</v>
      </c>
      <c r="O276" s="10">
        <f t="shared" si="172"/>
        <v>0</v>
      </c>
      <c r="P276" s="3" t="str">
        <f t="shared" ca="1" si="173"/>
        <v>-</v>
      </c>
      <c r="Q276" s="10">
        <f t="shared" ca="1" si="174"/>
        <v>36</v>
      </c>
      <c r="R276" s="10">
        <f t="shared" ca="1" si="175"/>
        <v>29</v>
      </c>
      <c r="S276" s="4">
        <f t="shared" ca="1" si="176"/>
        <v>0.80555555555555558</v>
      </c>
      <c r="T276" s="478"/>
    </row>
    <row r="277" spans="1:20" x14ac:dyDescent="0.45">
      <c r="A277" s="64">
        <v>33878</v>
      </c>
      <c r="B277" s="14">
        <f>COUNTIFS(发射纪录!B:B,"&lt;&gt;-",发射纪录!G:G,"&gt;="&amp;DATE(YEAR(A277),MONTH(A277),1),发射纪录!G:G,"&lt;="&amp;DATE(YEAR(A277),MONTH(A277),DAY(EOMONTH(A277,0))),发射纪录!N:N,"&lt;&gt;")</f>
        <v>1</v>
      </c>
      <c r="C277" s="10">
        <f>COUNTIFS(发射纪录!B:B,"&lt;&gt;-",发射纪录!G:G,"&gt;="&amp;DATE(YEAR(A277),MONTH(A277),1),发射纪录!G:G,"&lt;="&amp;DATE(YEAR(A277),MONTH(A277),DAY(EOMONTH(A277,0))),发射纪录!N:N,"=成功",发射纪录!N:N,"&lt;&gt;")</f>
        <v>1</v>
      </c>
      <c r="D277" s="1">
        <f t="shared" si="163"/>
        <v>1</v>
      </c>
      <c r="E277" s="10">
        <f t="shared" si="164"/>
        <v>29</v>
      </c>
      <c r="F277" s="10">
        <f t="shared" si="165"/>
        <v>26</v>
      </c>
      <c r="G277" s="2">
        <f t="shared" si="166"/>
        <v>0.89655172413793105</v>
      </c>
      <c r="H277" s="10">
        <f>COUNTIFS(发射纪录!C:C,"&lt;&gt;-",发射纪录!G:G,"&gt;="&amp;DATE(YEAR(A277),MONTH(A277),1),发射纪录!G:G,"&lt;="&amp;DATE(YEAR(A277),MONTH(A277),DAY(EOMONTH(A277,0))),发射纪录!N:N,"&lt;&gt;")</f>
        <v>0</v>
      </c>
      <c r="I277" s="10">
        <f>COUNTIFS(发射纪录!C:C,"&lt;&gt;-",发射纪录!G:G,"&gt;="&amp;DATE(YEAR(A277),MONTH(A277),1),发射纪录!G:G,"&lt;="&amp;DATE(YEAR(A277),MONTH(A277),DAY(EOMONTH(A277,0))),发射纪录!N:N,"=成功",发射纪录!N:N,"&lt;&gt;")</f>
        <v>0</v>
      </c>
      <c r="J277" s="1" t="str">
        <f t="shared" si="167"/>
        <v>-</v>
      </c>
      <c r="K277" s="10">
        <f t="shared" ca="1" si="168"/>
        <v>8</v>
      </c>
      <c r="L277" s="10">
        <f t="shared" ca="1" si="169"/>
        <v>4</v>
      </c>
      <c r="M277" s="2">
        <f t="shared" ca="1" si="170"/>
        <v>0.5</v>
      </c>
      <c r="N277" s="10">
        <f t="shared" si="171"/>
        <v>1</v>
      </c>
      <c r="O277" s="10">
        <f t="shared" si="172"/>
        <v>1</v>
      </c>
      <c r="P277" s="3">
        <f t="shared" si="173"/>
        <v>1</v>
      </c>
      <c r="Q277" s="10">
        <f t="shared" ca="1" si="174"/>
        <v>37</v>
      </c>
      <c r="R277" s="10">
        <f t="shared" ca="1" si="175"/>
        <v>30</v>
      </c>
      <c r="S277" s="4">
        <f t="shared" ca="1" si="176"/>
        <v>0.81081081081081086</v>
      </c>
      <c r="T277" s="478"/>
    </row>
    <row r="278" spans="1:20" x14ac:dyDescent="0.45">
      <c r="A278" s="64">
        <v>33909</v>
      </c>
      <c r="B278" s="14">
        <f>COUNTIFS(发射纪录!B:B,"&lt;&gt;-",发射纪录!G:G,"&gt;="&amp;DATE(YEAR(A278),MONTH(A278),1),发射纪录!G:G,"&lt;="&amp;DATE(YEAR(A278),MONTH(A278),DAY(EOMONTH(A278,0))),发射纪录!N:N,"&lt;&gt;")</f>
        <v>0</v>
      </c>
      <c r="C278" s="10">
        <f>COUNTIFS(发射纪录!B:B,"&lt;&gt;-",发射纪录!G:G,"&gt;="&amp;DATE(YEAR(A278),MONTH(A278),1),发射纪录!G:G,"&lt;="&amp;DATE(YEAR(A278),MONTH(A278),DAY(EOMONTH(A278,0))),发射纪录!N:N,"=成功",发射纪录!N:N,"&lt;&gt;")</f>
        <v>0</v>
      </c>
      <c r="D278" s="1" t="str">
        <f t="shared" si="163"/>
        <v>-</v>
      </c>
      <c r="E278" s="10">
        <f t="shared" si="164"/>
        <v>29</v>
      </c>
      <c r="F278" s="10">
        <f t="shared" si="165"/>
        <v>26</v>
      </c>
      <c r="G278" s="2">
        <f t="shared" si="166"/>
        <v>0.89655172413793105</v>
      </c>
      <c r="H278" s="10">
        <f ca="1">COUNTIFS(发射纪录!C:C,"&lt;&gt;-",发射纪录!G:G,"&gt;="&amp;DATE(YEAR(A278),MONTH(A278),1),发射纪录!G:G,"&lt;="&amp;DATE(YEAR(A278),MONTH(A278),DAY(EOMONTH(A278,0))),发射纪录!N:N,"&lt;&gt;")</f>
        <v>0</v>
      </c>
      <c r="I278" s="10">
        <f>COUNTIFS(发射纪录!C:C,"&lt;&gt;-",发射纪录!G:G,"&gt;="&amp;DATE(YEAR(A278),MONTH(A278),1),发射纪录!G:G,"&lt;="&amp;DATE(YEAR(A278),MONTH(A278),DAY(EOMONTH(A278,0))),发射纪录!N:N,"=成功",发射纪录!N:N,"&lt;&gt;")</f>
        <v>0</v>
      </c>
      <c r="J278" s="1" t="str">
        <f t="shared" ca="1" si="167"/>
        <v>-</v>
      </c>
      <c r="K278" s="10">
        <f t="shared" ca="1" si="168"/>
        <v>8</v>
      </c>
      <c r="L278" s="10">
        <f t="shared" ca="1" si="169"/>
        <v>4</v>
      </c>
      <c r="M278" s="2">
        <f t="shared" ca="1" si="170"/>
        <v>0.5</v>
      </c>
      <c r="N278" s="10">
        <f t="shared" ca="1" si="171"/>
        <v>0</v>
      </c>
      <c r="O278" s="10">
        <f t="shared" si="172"/>
        <v>0</v>
      </c>
      <c r="P278" s="3" t="str">
        <f t="shared" ca="1" si="173"/>
        <v>-</v>
      </c>
      <c r="Q278" s="10">
        <f t="shared" ca="1" si="174"/>
        <v>37</v>
      </c>
      <c r="R278" s="10">
        <f t="shared" ca="1" si="175"/>
        <v>30</v>
      </c>
      <c r="S278" s="4">
        <f t="shared" ca="1" si="176"/>
        <v>0.81081081081081086</v>
      </c>
      <c r="T278" s="478"/>
    </row>
    <row r="279" spans="1:20" ht="19.5" customHeight="1" thickBot="1" x14ac:dyDescent="0.5">
      <c r="A279" s="65">
        <v>33939</v>
      </c>
      <c r="B279" s="17">
        <f>COUNTIFS(发射纪录!B:B,"&lt;&gt;-",发射纪录!G:G,"&gt;="&amp;DATE(YEAR(A279),MONTH(A279),1),发射纪录!G:G,"&lt;="&amp;DATE(YEAR(A279),MONTH(A279),DAY(EOMONTH(A279,0))),发射纪录!N:N,"&lt;&gt;")</f>
        <v>1</v>
      </c>
      <c r="C279" s="18">
        <f>COUNTIFS(发射纪录!B:B,"&lt;&gt;-",发射纪录!G:G,"&gt;="&amp;DATE(YEAR(A279),MONTH(A279),1),发射纪录!G:G,"&lt;="&amp;DATE(YEAR(A279),MONTH(A279),DAY(EOMONTH(A279,0))),发射纪录!N:N,"=成功",发射纪录!N:N,"&lt;&gt;")</f>
        <v>0</v>
      </c>
      <c r="D279" s="12">
        <f>IF(B279=0,"-",C279/B279)</f>
        <v>0</v>
      </c>
      <c r="E279" s="18">
        <f>E278+B279</f>
        <v>30</v>
      </c>
      <c r="F279" s="18">
        <f>F278+C279</f>
        <v>26</v>
      </c>
      <c r="G279" s="13">
        <f>IF(E279=0,"-",F279/E279)</f>
        <v>0.8666666666666667</v>
      </c>
      <c r="H279" s="18">
        <f ca="1">COUNTIFS(发射纪录!C:C,"&lt;&gt;-",发射纪录!G:G,"&gt;="&amp;DATE(YEAR(A279),MONTH(A279),1),发射纪录!G:G,"&lt;="&amp;DATE(YEAR(A279),MONTH(A279),DAY(EOMONTH(A279,0))),发射纪录!N:N,"&lt;&gt;")</f>
        <v>0</v>
      </c>
      <c r="I279" s="18">
        <f ca="1">COUNTIFS(发射纪录!C:C,"&lt;&gt;-",发射纪录!G:G,"&gt;="&amp;DATE(YEAR(A279),MONTH(A279),1),发射纪录!G:G,"&lt;="&amp;DATE(YEAR(A279),MONTH(A279),DAY(EOMONTH(A279,0))),发射纪录!N:N,"=成功",发射纪录!N:N,"&lt;&gt;")</f>
        <v>0</v>
      </c>
      <c r="J279" s="12" t="str">
        <f ca="1">IF(H279=0,"-",I279/H279)</f>
        <v>-</v>
      </c>
      <c r="K279" s="18">
        <f ca="1">K278+H279</f>
        <v>8</v>
      </c>
      <c r="L279" s="18">
        <f ca="1">L278+I279</f>
        <v>4</v>
      </c>
      <c r="M279" s="13">
        <f ca="1">IF(K279=0,"-",L279/K279)</f>
        <v>0.5</v>
      </c>
      <c r="N279" s="18">
        <f ca="1">B279+H279</f>
        <v>1</v>
      </c>
      <c r="O279" s="18">
        <f ca="1">C279+I279</f>
        <v>0</v>
      </c>
      <c r="P279" s="12">
        <f ca="1">IF(N279=0,"-",O279/N279)</f>
        <v>0</v>
      </c>
      <c r="Q279" s="18">
        <f ca="1">E279+K279</f>
        <v>38</v>
      </c>
      <c r="R279" s="18">
        <f ca="1">F279+L279</f>
        <v>30</v>
      </c>
      <c r="S279" s="13">
        <f ca="1">IF(Q279=0,"-",R279/Q279)</f>
        <v>0.78947368421052633</v>
      </c>
      <c r="T279" s="478"/>
    </row>
    <row r="280" spans="1:20" ht="19.5" customHeight="1" thickTop="1" x14ac:dyDescent="0.45">
      <c r="A280" s="63">
        <v>33970</v>
      </c>
      <c r="B280" s="14">
        <f>COUNTIFS(发射纪录!B:B,"&lt;&gt;-",发射纪录!G:G,"&gt;="&amp;DATE(YEAR(A280),MONTH(A280),1),发射纪录!G:G,"&lt;="&amp;DATE(YEAR(A280),MONTH(A280),DAY(EOMONTH(A280,0))),发射纪录!N:N,"&lt;&gt;")</f>
        <v>0</v>
      </c>
      <c r="C280" s="10">
        <f>COUNTIFS(发射纪录!B:B,"&lt;&gt;-",发射纪录!G:G,"&gt;="&amp;DATE(YEAR(A280),MONTH(A280),1),发射纪录!G:G,"&lt;="&amp;DATE(YEAR(A280),MONTH(A280),DAY(EOMONTH(A280,0))),发射纪录!N:N,"=成功",发射纪录!N:N,"&lt;&gt;")</f>
        <v>0</v>
      </c>
      <c r="D280" s="3" t="str">
        <f t="shared" ref="D280:D290" si="177">IF(B280=0,"-",C280/B280)</f>
        <v>-</v>
      </c>
      <c r="E280" s="10">
        <f t="shared" ref="E280:E290" si="178">E279+B280</f>
        <v>30</v>
      </c>
      <c r="F280" s="10">
        <f t="shared" ref="F280:F290" si="179">F279+C280</f>
        <v>26</v>
      </c>
      <c r="G280" s="4">
        <f t="shared" ref="G280:G290" si="180">IF(E280=0,"-",F280/E280)</f>
        <v>0.8666666666666667</v>
      </c>
      <c r="H280" s="10">
        <f>COUNTIFS(发射纪录!C:C,"&lt;&gt;-",发射纪录!G:G,"&gt;="&amp;DATE(YEAR(A280),MONTH(A280),1),发射纪录!G:G,"&lt;="&amp;DATE(YEAR(A280),MONTH(A280),DAY(EOMONTH(A280,0))),发射纪录!N:N,"&lt;&gt;")</f>
        <v>0</v>
      </c>
      <c r="I280" s="10">
        <f>COUNTIFS(发射纪录!C:C,"&lt;&gt;-",发射纪录!G:G,"&gt;="&amp;DATE(YEAR(A280),MONTH(A280),1),发射纪录!G:G,"&lt;="&amp;DATE(YEAR(A280),MONTH(A280),DAY(EOMONTH(A280,0))),发射纪录!N:N,"=成功",发射纪录!N:N,"&lt;&gt;")</f>
        <v>0</v>
      </c>
      <c r="J280" s="3" t="str">
        <f t="shared" ref="J280:J290" si="181">IF(H280=0,"-",I280/H280)</f>
        <v>-</v>
      </c>
      <c r="K280" s="10">
        <f t="shared" ref="K280:K290" ca="1" si="182">K279+H280</f>
        <v>8</v>
      </c>
      <c r="L280" s="10">
        <f t="shared" ref="L280:L290" ca="1" si="183">L279+I280</f>
        <v>4</v>
      </c>
      <c r="M280" s="4">
        <f t="shared" ref="M280:M290" ca="1" si="184">IF(K280=0,"-",L280/K280)</f>
        <v>0.5</v>
      </c>
      <c r="N280" s="10">
        <f t="shared" ref="N280:N290" si="185">B280+H280</f>
        <v>0</v>
      </c>
      <c r="O280" s="10">
        <f t="shared" ref="O280:O290" si="186">C280+I280</f>
        <v>0</v>
      </c>
      <c r="P280" s="3" t="str">
        <f t="shared" ref="P280:P290" si="187">IF(N280=0,"-",O280/N280)</f>
        <v>-</v>
      </c>
      <c r="Q280" s="10">
        <f t="shared" ref="Q280:Q290" ca="1" si="188">E280+K280</f>
        <v>38</v>
      </c>
      <c r="R280" s="10">
        <f t="shared" ca="1" si="175"/>
        <v>30</v>
      </c>
      <c r="S280" s="4">
        <f t="shared" ref="S280:S290" ca="1" si="189">IF(Q280=0,"-",R280/Q280)</f>
        <v>0.78947368421052633</v>
      </c>
      <c r="T280" s="478"/>
    </row>
    <row r="281" spans="1:20" x14ac:dyDescent="0.45">
      <c r="A281" s="64">
        <v>34001</v>
      </c>
      <c r="B281" s="14">
        <f>COUNTIFS(发射纪录!B:B,"&lt;&gt;-",发射纪录!G:G,"&gt;="&amp;DATE(YEAR(A281),MONTH(A281),1),发射纪录!G:G,"&lt;="&amp;DATE(YEAR(A281),MONTH(A281),DAY(EOMONTH(A281,0))),发射纪录!N:N,"&lt;&gt;")</f>
        <v>0</v>
      </c>
      <c r="C281" s="10">
        <f>COUNTIFS(发射纪录!B:B,"&lt;&gt;-",发射纪录!G:G,"&gt;="&amp;DATE(YEAR(A281),MONTH(A281),1),发射纪录!G:G,"&lt;="&amp;DATE(YEAR(A281),MONTH(A281),DAY(EOMONTH(A281,0))),发射纪录!N:N,"=成功",发射纪录!N:N,"&lt;&gt;")</f>
        <v>0</v>
      </c>
      <c r="D281" s="1" t="str">
        <f t="shared" si="177"/>
        <v>-</v>
      </c>
      <c r="E281" s="10">
        <f t="shared" si="178"/>
        <v>30</v>
      </c>
      <c r="F281" s="10">
        <f t="shared" si="179"/>
        <v>26</v>
      </c>
      <c r="G281" s="2">
        <f t="shared" si="180"/>
        <v>0.8666666666666667</v>
      </c>
      <c r="H281" s="10">
        <f>COUNTIFS(发射纪录!C:C,"&lt;&gt;-",发射纪录!G:G,"&gt;="&amp;DATE(YEAR(A281),MONTH(A281),1),发射纪录!G:G,"&lt;="&amp;DATE(YEAR(A281),MONTH(A281),DAY(EOMONTH(A281,0))),发射纪录!N:N,"&lt;&gt;")</f>
        <v>0</v>
      </c>
      <c r="I281" s="10">
        <f>COUNTIFS(发射纪录!C:C,"&lt;&gt;-",发射纪录!G:G,"&gt;="&amp;DATE(YEAR(A281),MONTH(A281),1),发射纪录!G:G,"&lt;="&amp;DATE(YEAR(A281),MONTH(A281),DAY(EOMONTH(A281,0))),发射纪录!N:N,"=成功",发射纪录!N:N,"&lt;&gt;")</f>
        <v>0</v>
      </c>
      <c r="J281" s="1" t="str">
        <f t="shared" si="181"/>
        <v>-</v>
      </c>
      <c r="K281" s="10">
        <f t="shared" ca="1" si="182"/>
        <v>8</v>
      </c>
      <c r="L281" s="10">
        <f t="shared" ca="1" si="183"/>
        <v>4</v>
      </c>
      <c r="M281" s="2">
        <f t="shared" ca="1" si="184"/>
        <v>0.5</v>
      </c>
      <c r="N281" s="10">
        <f t="shared" si="185"/>
        <v>0</v>
      </c>
      <c r="O281" s="10">
        <f t="shared" si="186"/>
        <v>0</v>
      </c>
      <c r="P281" s="3" t="str">
        <f t="shared" si="187"/>
        <v>-</v>
      </c>
      <c r="Q281" s="10">
        <f t="shared" ca="1" si="188"/>
        <v>38</v>
      </c>
      <c r="R281" s="10">
        <f t="shared" ca="1" si="175"/>
        <v>30</v>
      </c>
      <c r="S281" s="4">
        <f t="shared" ca="1" si="189"/>
        <v>0.78947368421052633</v>
      </c>
      <c r="T281" s="478"/>
    </row>
    <row r="282" spans="1:20" x14ac:dyDescent="0.45">
      <c r="A282" s="64">
        <v>34029</v>
      </c>
      <c r="B282" s="14">
        <f>COUNTIFS(发射纪录!B:B,"&lt;&gt;-",发射纪录!G:G,"&gt;="&amp;DATE(YEAR(A282),MONTH(A282),1),发射纪录!G:G,"&lt;="&amp;DATE(YEAR(A282),MONTH(A282),DAY(EOMONTH(A282,0))),发射纪录!N:N,"&lt;&gt;")</f>
        <v>0</v>
      </c>
      <c r="C282" s="10">
        <f>COUNTIFS(发射纪录!B:B,"&lt;&gt;-",发射纪录!G:G,"&gt;="&amp;DATE(YEAR(A282),MONTH(A282),1),发射纪录!G:G,"&lt;="&amp;DATE(YEAR(A282),MONTH(A282),DAY(EOMONTH(A282,0))),发射纪录!N:N,"=成功",发射纪录!N:N,"&lt;&gt;")</f>
        <v>0</v>
      </c>
      <c r="D282" s="1" t="str">
        <f t="shared" si="177"/>
        <v>-</v>
      </c>
      <c r="E282" s="10">
        <f t="shared" si="178"/>
        <v>30</v>
      </c>
      <c r="F282" s="10">
        <f t="shared" si="179"/>
        <v>26</v>
      </c>
      <c r="G282" s="2">
        <f t="shared" si="180"/>
        <v>0.8666666666666667</v>
      </c>
      <c r="H282" s="10">
        <f>COUNTIFS(发射纪录!C:C,"&lt;&gt;-",发射纪录!G:G,"&gt;="&amp;DATE(YEAR(A282),MONTH(A282),1),发射纪录!G:G,"&lt;="&amp;DATE(YEAR(A282),MONTH(A282),DAY(EOMONTH(A282,0))),发射纪录!N:N,"&lt;&gt;")</f>
        <v>0</v>
      </c>
      <c r="I282" s="10">
        <f>COUNTIFS(发射纪录!C:C,"&lt;&gt;-",发射纪录!G:G,"&gt;="&amp;DATE(YEAR(A282),MONTH(A282),1),发射纪录!G:G,"&lt;="&amp;DATE(YEAR(A282),MONTH(A282),DAY(EOMONTH(A282,0))),发射纪录!N:N,"=成功",发射纪录!N:N,"&lt;&gt;")</f>
        <v>0</v>
      </c>
      <c r="J282" s="1" t="str">
        <f t="shared" si="181"/>
        <v>-</v>
      </c>
      <c r="K282" s="10">
        <f t="shared" ca="1" si="182"/>
        <v>8</v>
      </c>
      <c r="L282" s="10">
        <f t="shared" ca="1" si="183"/>
        <v>4</v>
      </c>
      <c r="M282" s="2">
        <f t="shared" ca="1" si="184"/>
        <v>0.5</v>
      </c>
      <c r="N282" s="10">
        <f t="shared" si="185"/>
        <v>0</v>
      </c>
      <c r="O282" s="10">
        <f t="shared" si="186"/>
        <v>0</v>
      </c>
      <c r="P282" s="3" t="str">
        <f t="shared" si="187"/>
        <v>-</v>
      </c>
      <c r="Q282" s="10">
        <f t="shared" ca="1" si="188"/>
        <v>38</v>
      </c>
      <c r="R282" s="10">
        <f t="shared" ca="1" si="175"/>
        <v>30</v>
      </c>
      <c r="S282" s="4">
        <f t="shared" ca="1" si="189"/>
        <v>0.78947368421052633</v>
      </c>
      <c r="T282" s="478"/>
    </row>
    <row r="283" spans="1:20" x14ac:dyDescent="0.45">
      <c r="A283" s="64">
        <v>34060</v>
      </c>
      <c r="B283" s="14">
        <f>COUNTIFS(发射纪录!B:B,"&lt;&gt;-",发射纪录!G:G,"&gt;="&amp;DATE(YEAR(A283),MONTH(A283),1),发射纪录!G:G,"&lt;="&amp;DATE(YEAR(A283),MONTH(A283),DAY(EOMONTH(A283,0))),发射纪录!N:N,"&lt;&gt;")</f>
        <v>0</v>
      </c>
      <c r="C283" s="10">
        <f>COUNTIFS(发射纪录!B:B,"&lt;&gt;-",发射纪录!G:G,"&gt;="&amp;DATE(YEAR(A283),MONTH(A283),1),发射纪录!G:G,"&lt;="&amp;DATE(YEAR(A283),MONTH(A283),DAY(EOMONTH(A283,0))),发射纪录!N:N,"=成功",发射纪录!N:N,"&lt;&gt;")</f>
        <v>0</v>
      </c>
      <c r="D283" s="1" t="str">
        <f t="shared" si="177"/>
        <v>-</v>
      </c>
      <c r="E283" s="10">
        <f t="shared" si="178"/>
        <v>30</v>
      </c>
      <c r="F283" s="10">
        <f t="shared" si="179"/>
        <v>26</v>
      </c>
      <c r="G283" s="2">
        <f t="shared" si="180"/>
        <v>0.8666666666666667</v>
      </c>
      <c r="H283" s="10">
        <f ca="1">COUNTIFS(发射纪录!C:C,"&lt;&gt;-",发射纪录!G:G,"&gt;="&amp;DATE(YEAR(A283),MONTH(A283),1),发射纪录!G:G,"&lt;="&amp;DATE(YEAR(A283),MONTH(A283),DAY(EOMONTH(A283,0))),发射纪录!N:N,"&lt;&gt;")</f>
        <v>0</v>
      </c>
      <c r="I283" s="10">
        <f>COUNTIFS(发射纪录!C:C,"&lt;&gt;-",发射纪录!G:G,"&gt;="&amp;DATE(YEAR(A283),MONTH(A283),1),发射纪录!G:G,"&lt;="&amp;DATE(YEAR(A283),MONTH(A283),DAY(EOMONTH(A283,0))),发射纪录!N:N,"=成功",发射纪录!N:N,"&lt;&gt;")</f>
        <v>0</v>
      </c>
      <c r="J283" s="1" t="str">
        <f t="shared" ca="1" si="181"/>
        <v>-</v>
      </c>
      <c r="K283" s="10">
        <f t="shared" ca="1" si="182"/>
        <v>8</v>
      </c>
      <c r="L283" s="10">
        <f t="shared" ca="1" si="183"/>
        <v>4</v>
      </c>
      <c r="M283" s="2">
        <f t="shared" ca="1" si="184"/>
        <v>0.5</v>
      </c>
      <c r="N283" s="10">
        <f t="shared" ca="1" si="185"/>
        <v>0</v>
      </c>
      <c r="O283" s="10">
        <f t="shared" si="186"/>
        <v>0</v>
      </c>
      <c r="P283" s="3" t="str">
        <f t="shared" ca="1" si="187"/>
        <v>-</v>
      </c>
      <c r="Q283" s="10">
        <f t="shared" ca="1" si="188"/>
        <v>38</v>
      </c>
      <c r="R283" s="10">
        <f t="shared" ca="1" si="175"/>
        <v>30</v>
      </c>
      <c r="S283" s="4">
        <f t="shared" ca="1" si="189"/>
        <v>0.78947368421052633</v>
      </c>
      <c r="T283" s="478"/>
    </row>
    <row r="284" spans="1:20" x14ac:dyDescent="0.45">
      <c r="A284" s="64">
        <v>34090</v>
      </c>
      <c r="B284" s="14">
        <f>COUNTIFS(发射纪录!B:B,"&lt;&gt;-",发射纪录!G:G,"&gt;="&amp;DATE(YEAR(A284),MONTH(A284),1),发射纪录!G:G,"&lt;="&amp;DATE(YEAR(A284),MONTH(A284),DAY(EOMONTH(A284,0))),发射纪录!N:N,"&lt;&gt;")</f>
        <v>0</v>
      </c>
      <c r="C284" s="10">
        <f>COUNTIFS(发射纪录!B:B,"&lt;&gt;-",发射纪录!G:G,"&gt;="&amp;DATE(YEAR(A284),MONTH(A284),1),发射纪录!G:G,"&lt;="&amp;DATE(YEAR(A284),MONTH(A284),DAY(EOMONTH(A284,0))),发射纪录!N:N,"=成功",发射纪录!N:N,"&lt;&gt;")</f>
        <v>0</v>
      </c>
      <c r="D284" s="1" t="str">
        <f t="shared" si="177"/>
        <v>-</v>
      </c>
      <c r="E284" s="10">
        <f t="shared" si="178"/>
        <v>30</v>
      </c>
      <c r="F284" s="10">
        <f t="shared" si="179"/>
        <v>26</v>
      </c>
      <c r="G284" s="2">
        <f t="shared" si="180"/>
        <v>0.8666666666666667</v>
      </c>
      <c r="H284" s="10">
        <f>COUNTIFS(发射纪录!C:C,"&lt;&gt;-",发射纪录!G:G,"&gt;="&amp;DATE(YEAR(A284),MONTH(A284),1),发射纪录!G:G,"&lt;="&amp;DATE(YEAR(A284),MONTH(A284),DAY(EOMONTH(A284,0))),发射纪录!N:N,"&lt;&gt;")</f>
        <v>0</v>
      </c>
      <c r="I284" s="10">
        <f ca="1">COUNTIFS(发射纪录!C:C,"&lt;&gt;-",发射纪录!G:G,"&gt;="&amp;DATE(YEAR(A284),MONTH(A284),1),发射纪录!G:G,"&lt;="&amp;DATE(YEAR(A284),MONTH(A284),DAY(EOMONTH(A284,0))),发射纪录!N:N,"=成功",发射纪录!N:N,"&lt;&gt;")</f>
        <v>0</v>
      </c>
      <c r="J284" s="1" t="str">
        <f t="shared" si="181"/>
        <v>-</v>
      </c>
      <c r="K284" s="10">
        <f t="shared" ca="1" si="182"/>
        <v>8</v>
      </c>
      <c r="L284" s="10">
        <f t="shared" ca="1" si="183"/>
        <v>4</v>
      </c>
      <c r="M284" s="2">
        <f t="shared" ca="1" si="184"/>
        <v>0.5</v>
      </c>
      <c r="N284" s="10">
        <f t="shared" si="185"/>
        <v>0</v>
      </c>
      <c r="O284" s="10">
        <f t="shared" ca="1" si="186"/>
        <v>0</v>
      </c>
      <c r="P284" s="3" t="str">
        <f t="shared" si="187"/>
        <v>-</v>
      </c>
      <c r="Q284" s="10">
        <f t="shared" ca="1" si="188"/>
        <v>38</v>
      </c>
      <c r="R284" s="10">
        <f t="shared" ca="1" si="175"/>
        <v>30</v>
      </c>
      <c r="S284" s="4">
        <f t="shared" ca="1" si="189"/>
        <v>0.78947368421052633</v>
      </c>
      <c r="T284" s="478"/>
    </row>
    <row r="285" spans="1:20" x14ac:dyDescent="0.45">
      <c r="A285" s="64">
        <v>34121</v>
      </c>
      <c r="B285" s="14">
        <f>COUNTIFS(发射纪录!B:B,"&lt;&gt;-",发射纪录!G:G,"&gt;="&amp;DATE(YEAR(A285),MONTH(A285),1),发射纪录!G:G,"&lt;="&amp;DATE(YEAR(A285),MONTH(A285),DAY(EOMONTH(A285,0))),发射纪录!N:N,"&lt;&gt;")</f>
        <v>0</v>
      </c>
      <c r="C285" s="10">
        <f>COUNTIFS(发射纪录!B:B,"&lt;&gt;-",发射纪录!G:G,"&gt;="&amp;DATE(YEAR(A285),MONTH(A285),1),发射纪录!G:G,"&lt;="&amp;DATE(YEAR(A285),MONTH(A285),DAY(EOMONTH(A285,0))),发射纪录!N:N,"=成功",发射纪录!N:N,"&lt;&gt;")</f>
        <v>0</v>
      </c>
      <c r="D285" s="1" t="str">
        <f t="shared" si="177"/>
        <v>-</v>
      </c>
      <c r="E285" s="10">
        <f t="shared" si="178"/>
        <v>30</v>
      </c>
      <c r="F285" s="10">
        <f t="shared" si="179"/>
        <v>26</v>
      </c>
      <c r="G285" s="2">
        <f t="shared" si="180"/>
        <v>0.8666666666666667</v>
      </c>
      <c r="H285" s="10">
        <f>COUNTIFS(发射纪录!C:C,"&lt;&gt;-",发射纪录!G:G,"&gt;="&amp;DATE(YEAR(A285),MONTH(A285),1),发射纪录!G:G,"&lt;="&amp;DATE(YEAR(A285),MONTH(A285),DAY(EOMONTH(A285,0))),发射纪录!N:N,"&lt;&gt;")</f>
        <v>0</v>
      </c>
      <c r="I285" s="10">
        <f>COUNTIFS(发射纪录!C:C,"&lt;&gt;-",发射纪录!G:G,"&gt;="&amp;DATE(YEAR(A285),MONTH(A285),1),发射纪录!G:G,"&lt;="&amp;DATE(YEAR(A285),MONTH(A285),DAY(EOMONTH(A285,0))),发射纪录!N:N,"=成功",发射纪录!N:N,"&lt;&gt;")</f>
        <v>0</v>
      </c>
      <c r="J285" s="1" t="str">
        <f t="shared" si="181"/>
        <v>-</v>
      </c>
      <c r="K285" s="10">
        <f t="shared" ca="1" si="182"/>
        <v>8</v>
      </c>
      <c r="L285" s="10">
        <f t="shared" ca="1" si="183"/>
        <v>4</v>
      </c>
      <c r="M285" s="2">
        <f t="shared" ca="1" si="184"/>
        <v>0.5</v>
      </c>
      <c r="N285" s="10">
        <f t="shared" si="185"/>
        <v>0</v>
      </c>
      <c r="O285" s="10">
        <f t="shared" si="186"/>
        <v>0</v>
      </c>
      <c r="P285" s="3" t="str">
        <f t="shared" si="187"/>
        <v>-</v>
      </c>
      <c r="Q285" s="10">
        <f t="shared" ca="1" si="188"/>
        <v>38</v>
      </c>
      <c r="R285" s="10">
        <f t="shared" ca="1" si="175"/>
        <v>30</v>
      </c>
      <c r="S285" s="4">
        <f t="shared" ca="1" si="189"/>
        <v>0.78947368421052633</v>
      </c>
      <c r="T285" s="478"/>
    </row>
    <row r="286" spans="1:20" x14ac:dyDescent="0.45">
      <c r="A286" s="64">
        <v>34151</v>
      </c>
      <c r="B286" s="14">
        <f>COUNTIFS(发射纪录!B:B,"&lt;&gt;-",发射纪录!G:G,"&gt;="&amp;DATE(YEAR(A286),MONTH(A286),1),发射纪录!G:G,"&lt;="&amp;DATE(YEAR(A286),MONTH(A286),DAY(EOMONTH(A286,0))),发射纪录!N:N,"&lt;&gt;")</f>
        <v>0</v>
      </c>
      <c r="C286" s="10">
        <f>COUNTIFS(发射纪录!B:B,"&lt;&gt;-",发射纪录!G:G,"&gt;="&amp;DATE(YEAR(A286),MONTH(A286),1),发射纪录!G:G,"&lt;="&amp;DATE(YEAR(A286),MONTH(A286),DAY(EOMONTH(A286,0))),发射纪录!N:N,"=成功",发射纪录!N:N,"&lt;&gt;")</f>
        <v>0</v>
      </c>
      <c r="D286" s="1" t="str">
        <f t="shared" si="177"/>
        <v>-</v>
      </c>
      <c r="E286" s="10">
        <f t="shared" si="178"/>
        <v>30</v>
      </c>
      <c r="F286" s="10">
        <f t="shared" si="179"/>
        <v>26</v>
      </c>
      <c r="G286" s="2">
        <f t="shared" si="180"/>
        <v>0.8666666666666667</v>
      </c>
      <c r="H286" s="10">
        <f>COUNTIFS(发射纪录!C:C,"&lt;&gt;-",发射纪录!G:G,"&gt;="&amp;DATE(YEAR(A286),MONTH(A286),1),发射纪录!G:G,"&lt;="&amp;DATE(YEAR(A286),MONTH(A286),DAY(EOMONTH(A286,0))),发射纪录!N:N,"&lt;&gt;")</f>
        <v>0</v>
      </c>
      <c r="I286" s="10">
        <f ca="1">COUNTIFS(发射纪录!C:C,"&lt;&gt;-",发射纪录!G:G,"&gt;="&amp;DATE(YEAR(A286),MONTH(A286),1),发射纪录!G:G,"&lt;="&amp;DATE(YEAR(A286),MONTH(A286),DAY(EOMONTH(A286,0))),发射纪录!N:N,"=成功",发射纪录!N:N,"&lt;&gt;")</f>
        <v>0</v>
      </c>
      <c r="J286" s="1" t="str">
        <f t="shared" si="181"/>
        <v>-</v>
      </c>
      <c r="K286" s="10">
        <f t="shared" ca="1" si="182"/>
        <v>8</v>
      </c>
      <c r="L286" s="10">
        <f t="shared" ca="1" si="183"/>
        <v>4</v>
      </c>
      <c r="M286" s="2">
        <f t="shared" ca="1" si="184"/>
        <v>0.5</v>
      </c>
      <c r="N286" s="10">
        <f t="shared" si="185"/>
        <v>0</v>
      </c>
      <c r="O286" s="10">
        <f t="shared" ca="1" si="186"/>
        <v>0</v>
      </c>
      <c r="P286" s="3" t="str">
        <f t="shared" si="187"/>
        <v>-</v>
      </c>
      <c r="Q286" s="10">
        <f t="shared" ca="1" si="188"/>
        <v>38</v>
      </c>
      <c r="R286" s="10">
        <f t="shared" ca="1" si="175"/>
        <v>30</v>
      </c>
      <c r="S286" s="4">
        <f t="shared" ca="1" si="189"/>
        <v>0.78947368421052633</v>
      </c>
      <c r="T286" s="478"/>
    </row>
    <row r="287" spans="1:20" x14ac:dyDescent="0.45">
      <c r="A287" s="64">
        <v>34182</v>
      </c>
      <c r="B287" s="14">
        <f>COUNTIFS(发射纪录!B:B,"&lt;&gt;-",发射纪录!G:G,"&gt;="&amp;DATE(YEAR(A287),MONTH(A287),1),发射纪录!G:G,"&lt;="&amp;DATE(YEAR(A287),MONTH(A287),DAY(EOMONTH(A287,0))),发射纪录!N:N,"&lt;&gt;")</f>
        <v>0</v>
      </c>
      <c r="C287" s="10">
        <f>COUNTIFS(发射纪录!B:B,"&lt;&gt;-",发射纪录!G:G,"&gt;="&amp;DATE(YEAR(A287),MONTH(A287),1),发射纪录!G:G,"&lt;="&amp;DATE(YEAR(A287),MONTH(A287),DAY(EOMONTH(A287,0))),发射纪录!N:N,"=成功",发射纪录!N:N,"&lt;&gt;")</f>
        <v>0</v>
      </c>
      <c r="D287" s="1" t="str">
        <f t="shared" si="177"/>
        <v>-</v>
      </c>
      <c r="E287" s="10">
        <f t="shared" si="178"/>
        <v>30</v>
      </c>
      <c r="F287" s="10">
        <f t="shared" si="179"/>
        <v>26</v>
      </c>
      <c r="G287" s="2">
        <f t="shared" si="180"/>
        <v>0.8666666666666667</v>
      </c>
      <c r="H287" s="10">
        <f>COUNTIFS(发射纪录!C:C,"&lt;&gt;-",发射纪录!G:G,"&gt;="&amp;DATE(YEAR(A287),MONTH(A287),1),发射纪录!G:G,"&lt;="&amp;DATE(YEAR(A287),MONTH(A287),DAY(EOMONTH(A287,0))),发射纪录!N:N,"&lt;&gt;")</f>
        <v>0</v>
      </c>
      <c r="I287" s="10">
        <f>COUNTIFS(发射纪录!C:C,"&lt;&gt;-",发射纪录!G:G,"&gt;="&amp;DATE(YEAR(A287),MONTH(A287),1),发射纪录!G:G,"&lt;="&amp;DATE(YEAR(A287),MONTH(A287),DAY(EOMONTH(A287,0))),发射纪录!N:N,"=成功",发射纪录!N:N,"&lt;&gt;")</f>
        <v>0</v>
      </c>
      <c r="J287" s="1" t="str">
        <f t="shared" si="181"/>
        <v>-</v>
      </c>
      <c r="K287" s="10">
        <f t="shared" ca="1" si="182"/>
        <v>8</v>
      </c>
      <c r="L287" s="10">
        <f t="shared" ca="1" si="183"/>
        <v>4</v>
      </c>
      <c r="M287" s="2">
        <f t="shared" ca="1" si="184"/>
        <v>0.5</v>
      </c>
      <c r="N287" s="10">
        <f t="shared" si="185"/>
        <v>0</v>
      </c>
      <c r="O287" s="10">
        <f t="shared" si="186"/>
        <v>0</v>
      </c>
      <c r="P287" s="3" t="str">
        <f t="shared" si="187"/>
        <v>-</v>
      </c>
      <c r="Q287" s="10">
        <f t="shared" ca="1" si="188"/>
        <v>38</v>
      </c>
      <c r="R287" s="10">
        <f t="shared" ca="1" si="175"/>
        <v>30</v>
      </c>
      <c r="S287" s="4">
        <f t="shared" ca="1" si="189"/>
        <v>0.78947368421052633</v>
      </c>
      <c r="T287" s="478"/>
    </row>
    <row r="288" spans="1:20" x14ac:dyDescent="0.45">
      <c r="A288" s="64">
        <v>34213</v>
      </c>
      <c r="B288" s="14">
        <f>COUNTIFS(发射纪录!B:B,"&lt;&gt;-",发射纪录!G:G,"&gt;="&amp;DATE(YEAR(A288),MONTH(A288),1),发射纪录!G:G,"&lt;="&amp;DATE(YEAR(A288),MONTH(A288),DAY(EOMONTH(A288,0))),发射纪录!N:N,"&lt;&gt;")</f>
        <v>0</v>
      </c>
      <c r="C288" s="10">
        <f>COUNTIFS(发射纪录!B:B,"&lt;&gt;-",发射纪录!G:G,"&gt;="&amp;DATE(YEAR(A288),MONTH(A288),1),发射纪录!G:G,"&lt;="&amp;DATE(YEAR(A288),MONTH(A288),DAY(EOMONTH(A288,0))),发射纪录!N:N,"=成功",发射纪录!N:N,"&lt;&gt;")</f>
        <v>0</v>
      </c>
      <c r="D288" s="1" t="str">
        <f t="shared" si="177"/>
        <v>-</v>
      </c>
      <c r="E288" s="10">
        <f t="shared" si="178"/>
        <v>30</v>
      </c>
      <c r="F288" s="10">
        <f t="shared" si="179"/>
        <v>26</v>
      </c>
      <c r="G288" s="2">
        <f t="shared" si="180"/>
        <v>0.8666666666666667</v>
      </c>
      <c r="H288" s="10">
        <f>COUNTIFS(发射纪录!C:C,"&lt;&gt;-",发射纪录!G:G,"&gt;="&amp;DATE(YEAR(A288),MONTH(A288),1),发射纪录!G:G,"&lt;="&amp;DATE(YEAR(A288),MONTH(A288),DAY(EOMONTH(A288,0))),发射纪录!N:N,"&lt;&gt;")</f>
        <v>0</v>
      </c>
      <c r="I288" s="10">
        <f>COUNTIFS(发射纪录!C:C,"&lt;&gt;-",发射纪录!G:G,"&gt;="&amp;DATE(YEAR(A288),MONTH(A288),1),发射纪录!G:G,"&lt;="&amp;DATE(YEAR(A288),MONTH(A288),DAY(EOMONTH(A288,0))),发射纪录!N:N,"=成功",发射纪录!N:N,"&lt;&gt;")</f>
        <v>0</v>
      </c>
      <c r="J288" s="1" t="str">
        <f t="shared" si="181"/>
        <v>-</v>
      </c>
      <c r="K288" s="10">
        <f t="shared" ca="1" si="182"/>
        <v>8</v>
      </c>
      <c r="L288" s="10">
        <f t="shared" ca="1" si="183"/>
        <v>4</v>
      </c>
      <c r="M288" s="2">
        <f t="shared" ca="1" si="184"/>
        <v>0.5</v>
      </c>
      <c r="N288" s="10">
        <f t="shared" si="185"/>
        <v>0</v>
      </c>
      <c r="O288" s="10">
        <f t="shared" si="186"/>
        <v>0</v>
      </c>
      <c r="P288" s="3" t="str">
        <f t="shared" si="187"/>
        <v>-</v>
      </c>
      <c r="Q288" s="10">
        <f t="shared" ca="1" si="188"/>
        <v>38</v>
      </c>
      <c r="R288" s="10">
        <f t="shared" ca="1" si="175"/>
        <v>30</v>
      </c>
      <c r="S288" s="4">
        <f t="shared" ca="1" si="189"/>
        <v>0.78947368421052633</v>
      </c>
      <c r="T288" s="478"/>
    </row>
    <row r="289" spans="1:20" x14ac:dyDescent="0.45">
      <c r="A289" s="64">
        <v>34243</v>
      </c>
      <c r="B289" s="14">
        <f>COUNTIFS(发射纪录!B:B,"&lt;&gt;-",发射纪录!G:G,"&gt;="&amp;DATE(YEAR(A289),MONTH(A289),1),发射纪录!G:G,"&lt;="&amp;DATE(YEAR(A289),MONTH(A289),DAY(EOMONTH(A289,0))),发射纪录!N:N,"&lt;&gt;")</f>
        <v>1</v>
      </c>
      <c r="C289" s="10">
        <f>COUNTIFS(发射纪录!B:B,"&lt;&gt;-",发射纪录!G:G,"&gt;="&amp;DATE(YEAR(A289),MONTH(A289),1),发射纪录!G:G,"&lt;="&amp;DATE(YEAR(A289),MONTH(A289),DAY(EOMONTH(A289,0))),发射纪录!N:N,"=成功",发射纪录!N:N,"&lt;&gt;")</f>
        <v>1</v>
      </c>
      <c r="D289" s="1">
        <f t="shared" si="177"/>
        <v>1</v>
      </c>
      <c r="E289" s="10">
        <f t="shared" si="178"/>
        <v>31</v>
      </c>
      <c r="F289" s="10">
        <f t="shared" si="179"/>
        <v>27</v>
      </c>
      <c r="G289" s="2">
        <f t="shared" si="180"/>
        <v>0.87096774193548387</v>
      </c>
      <c r="H289" s="10">
        <f>COUNTIFS(发射纪录!C:C,"&lt;&gt;-",发射纪录!G:G,"&gt;="&amp;DATE(YEAR(A289),MONTH(A289),1),发射纪录!G:G,"&lt;="&amp;DATE(YEAR(A289),MONTH(A289),DAY(EOMONTH(A289,0))),发射纪录!N:N,"&lt;&gt;")</f>
        <v>0</v>
      </c>
      <c r="I289" s="10">
        <f>COUNTIFS(发射纪录!C:C,"&lt;&gt;-",发射纪录!G:G,"&gt;="&amp;DATE(YEAR(A289),MONTH(A289),1),发射纪录!G:G,"&lt;="&amp;DATE(YEAR(A289),MONTH(A289),DAY(EOMONTH(A289,0))),发射纪录!N:N,"=成功",发射纪录!N:N,"&lt;&gt;")</f>
        <v>0</v>
      </c>
      <c r="J289" s="1" t="str">
        <f t="shared" si="181"/>
        <v>-</v>
      </c>
      <c r="K289" s="10">
        <f t="shared" ca="1" si="182"/>
        <v>8</v>
      </c>
      <c r="L289" s="10">
        <f t="shared" ca="1" si="183"/>
        <v>4</v>
      </c>
      <c r="M289" s="2">
        <f t="shared" ca="1" si="184"/>
        <v>0.5</v>
      </c>
      <c r="N289" s="10">
        <f t="shared" si="185"/>
        <v>1</v>
      </c>
      <c r="O289" s="10">
        <f t="shared" si="186"/>
        <v>1</v>
      </c>
      <c r="P289" s="3">
        <f t="shared" si="187"/>
        <v>1</v>
      </c>
      <c r="Q289" s="10">
        <f t="shared" ca="1" si="188"/>
        <v>39</v>
      </c>
      <c r="R289" s="10">
        <f t="shared" ca="1" si="175"/>
        <v>31</v>
      </c>
      <c r="S289" s="4">
        <f t="shared" ca="1" si="189"/>
        <v>0.79487179487179482</v>
      </c>
      <c r="T289" s="478"/>
    </row>
    <row r="290" spans="1:20" x14ac:dyDescent="0.45">
      <c r="A290" s="64">
        <v>34274</v>
      </c>
      <c r="B290" s="14">
        <f>COUNTIFS(发射纪录!B:B,"&lt;&gt;-",发射纪录!G:G,"&gt;="&amp;DATE(YEAR(A290),MONTH(A290),1),发射纪录!G:G,"&lt;="&amp;DATE(YEAR(A290),MONTH(A290),DAY(EOMONTH(A290,0))),发射纪录!N:N,"&lt;&gt;")</f>
        <v>0</v>
      </c>
      <c r="C290" s="10">
        <f>COUNTIFS(发射纪录!B:B,"&lt;&gt;-",发射纪录!G:G,"&gt;="&amp;DATE(YEAR(A290),MONTH(A290),1),发射纪录!G:G,"&lt;="&amp;DATE(YEAR(A290),MONTH(A290),DAY(EOMONTH(A290,0))),发射纪录!N:N,"=成功",发射纪录!N:N,"&lt;&gt;")</f>
        <v>0</v>
      </c>
      <c r="D290" s="1" t="str">
        <f t="shared" si="177"/>
        <v>-</v>
      </c>
      <c r="E290" s="10">
        <f t="shared" si="178"/>
        <v>31</v>
      </c>
      <c r="F290" s="10">
        <f t="shared" si="179"/>
        <v>27</v>
      </c>
      <c r="G290" s="2">
        <f t="shared" si="180"/>
        <v>0.87096774193548387</v>
      </c>
      <c r="H290" s="10">
        <f>COUNTIFS(发射纪录!C:C,"&lt;&gt;-",发射纪录!G:G,"&gt;="&amp;DATE(YEAR(A290),MONTH(A290),1),发射纪录!G:G,"&lt;="&amp;DATE(YEAR(A290),MONTH(A290),DAY(EOMONTH(A290,0))),发射纪录!N:N,"&lt;&gt;")</f>
        <v>0</v>
      </c>
      <c r="I290" s="10">
        <f>COUNTIFS(发射纪录!C:C,"&lt;&gt;-",发射纪录!G:G,"&gt;="&amp;DATE(YEAR(A290),MONTH(A290),1),发射纪录!G:G,"&lt;="&amp;DATE(YEAR(A290),MONTH(A290),DAY(EOMONTH(A290,0))),发射纪录!N:N,"=成功",发射纪录!N:N,"&lt;&gt;")</f>
        <v>0</v>
      </c>
      <c r="J290" s="1" t="str">
        <f t="shared" si="181"/>
        <v>-</v>
      </c>
      <c r="K290" s="10">
        <f t="shared" ca="1" si="182"/>
        <v>8</v>
      </c>
      <c r="L290" s="10">
        <f t="shared" ca="1" si="183"/>
        <v>4</v>
      </c>
      <c r="M290" s="2">
        <f t="shared" ca="1" si="184"/>
        <v>0.5</v>
      </c>
      <c r="N290" s="10">
        <f t="shared" si="185"/>
        <v>0</v>
      </c>
      <c r="O290" s="10">
        <f t="shared" si="186"/>
        <v>0</v>
      </c>
      <c r="P290" s="3" t="str">
        <f t="shared" si="187"/>
        <v>-</v>
      </c>
      <c r="Q290" s="10">
        <f t="shared" ca="1" si="188"/>
        <v>39</v>
      </c>
      <c r="R290" s="10">
        <f t="shared" ca="1" si="175"/>
        <v>31</v>
      </c>
      <c r="S290" s="4">
        <f t="shared" ca="1" si="189"/>
        <v>0.79487179487179482</v>
      </c>
      <c r="T290" s="478"/>
    </row>
    <row r="291" spans="1:20" ht="19.5" customHeight="1" thickBot="1" x14ac:dyDescent="0.5">
      <c r="A291" s="65">
        <v>34304</v>
      </c>
      <c r="B291" s="17">
        <f>COUNTIFS(发射纪录!B:B,"&lt;&gt;-",发射纪录!G:G,"&gt;="&amp;DATE(YEAR(A291),MONTH(A291),1),发射纪录!G:G,"&lt;="&amp;DATE(YEAR(A291),MONTH(A291),DAY(EOMONTH(A291,0))),发射纪录!N:N,"&lt;&gt;")</f>
        <v>0</v>
      </c>
      <c r="C291" s="18">
        <f>COUNTIFS(发射纪录!B:B,"&lt;&gt;-",发射纪录!G:G,"&gt;="&amp;DATE(YEAR(A291),MONTH(A291),1),发射纪录!G:G,"&lt;="&amp;DATE(YEAR(A291),MONTH(A291),DAY(EOMONTH(A291,0))),发射纪录!N:N,"=成功",发射纪录!N:N,"&lt;&gt;")</f>
        <v>0</v>
      </c>
      <c r="D291" s="12" t="str">
        <f>IF(B291=0,"-",C291/B291)</f>
        <v>-</v>
      </c>
      <c r="E291" s="18">
        <f>E290+B291</f>
        <v>31</v>
      </c>
      <c r="F291" s="18">
        <f>F290+C291</f>
        <v>27</v>
      </c>
      <c r="G291" s="13">
        <f>IF(E291=0,"-",F291/E291)</f>
        <v>0.87096774193548387</v>
      </c>
      <c r="H291" s="18">
        <f ca="1">COUNTIFS(发射纪录!C:C,"&lt;&gt;-",发射纪录!G:G,"&gt;="&amp;DATE(YEAR(A291),MONTH(A291),1),发射纪录!G:G,"&lt;="&amp;DATE(YEAR(A291),MONTH(A291),DAY(EOMONTH(A291,0))),发射纪录!N:N,"&lt;&gt;")</f>
        <v>0</v>
      </c>
      <c r="I291" s="18">
        <f>COUNTIFS(发射纪录!C:C,"&lt;&gt;-",发射纪录!G:G,"&gt;="&amp;DATE(YEAR(A291),MONTH(A291),1),发射纪录!G:G,"&lt;="&amp;DATE(YEAR(A291),MONTH(A291),DAY(EOMONTH(A291,0))),发射纪录!N:N,"=成功",发射纪录!N:N,"&lt;&gt;")</f>
        <v>0</v>
      </c>
      <c r="J291" s="12" t="str">
        <f ca="1">IF(H291=0,"-",I291/H291)</f>
        <v>-</v>
      </c>
      <c r="K291" s="18">
        <f ca="1">K290+H291</f>
        <v>8</v>
      </c>
      <c r="L291" s="18">
        <f ca="1">L290+I291</f>
        <v>4</v>
      </c>
      <c r="M291" s="13">
        <f ca="1">IF(K291=0,"-",L291/K291)</f>
        <v>0.5</v>
      </c>
      <c r="N291" s="18">
        <f ca="1">B291+H291</f>
        <v>0</v>
      </c>
      <c r="O291" s="18">
        <f>C291+I291</f>
        <v>0</v>
      </c>
      <c r="P291" s="12" t="str">
        <f ca="1">IF(N291=0,"-",O291/N291)</f>
        <v>-</v>
      </c>
      <c r="Q291" s="18">
        <f ca="1">E291+K291</f>
        <v>39</v>
      </c>
      <c r="R291" s="18">
        <f ca="1">F291+L291</f>
        <v>31</v>
      </c>
      <c r="S291" s="13">
        <f ca="1">IF(Q291=0,"-",R291/Q291)</f>
        <v>0.79487179487179482</v>
      </c>
      <c r="T291" s="478"/>
    </row>
    <row r="292" spans="1:20" ht="19.5" customHeight="1" thickTop="1" x14ac:dyDescent="0.45">
      <c r="A292" s="63">
        <v>34335</v>
      </c>
      <c r="B292" s="14">
        <f>COUNTIFS(发射纪录!B:B,"&lt;&gt;-",发射纪录!G:G,"&gt;="&amp;DATE(YEAR(A292),MONTH(A292),1),发射纪录!G:G,"&lt;="&amp;DATE(YEAR(A292),MONTH(A292),DAY(EOMONTH(A292,0))),发射纪录!N:N,"&lt;&gt;")</f>
        <v>0</v>
      </c>
      <c r="C292" s="10">
        <f>COUNTIFS(发射纪录!B:B,"&lt;&gt;-",发射纪录!G:G,"&gt;="&amp;DATE(YEAR(A292),MONTH(A292),1),发射纪录!G:G,"&lt;="&amp;DATE(YEAR(A292),MONTH(A292),DAY(EOMONTH(A292,0))),发射纪录!N:N,"=成功",发射纪录!N:N,"&lt;&gt;")</f>
        <v>0</v>
      </c>
      <c r="D292" s="3" t="str">
        <f t="shared" ref="D292:D302" si="190">IF(B292=0,"-",C292/B292)</f>
        <v>-</v>
      </c>
      <c r="E292" s="10">
        <f t="shared" ref="E292:E302" si="191">E291+B292</f>
        <v>31</v>
      </c>
      <c r="F292" s="10">
        <f t="shared" ref="F292:F302" si="192">F291+C292</f>
        <v>27</v>
      </c>
      <c r="G292" s="4">
        <f t="shared" ref="G292:G302" si="193">IF(E292=0,"-",F292/E292)</f>
        <v>0.87096774193548387</v>
      </c>
      <c r="H292" s="10">
        <f>COUNTIFS(发射纪录!C:C,"&lt;&gt;-",发射纪录!G:G,"&gt;="&amp;DATE(YEAR(A292),MONTH(A292),1),发射纪录!G:G,"&lt;="&amp;DATE(YEAR(A292),MONTH(A292),DAY(EOMONTH(A292,0))),发射纪录!N:N,"&lt;&gt;")</f>
        <v>0</v>
      </c>
      <c r="I292" s="10">
        <f>COUNTIFS(发射纪录!C:C,"&lt;&gt;-",发射纪录!G:G,"&gt;="&amp;DATE(YEAR(A292),MONTH(A292),1),发射纪录!G:G,"&lt;="&amp;DATE(YEAR(A292),MONTH(A292),DAY(EOMONTH(A292,0))),发射纪录!N:N,"=成功",发射纪录!N:N,"&lt;&gt;")</f>
        <v>0</v>
      </c>
      <c r="J292" s="3" t="str">
        <f t="shared" ref="J292:J302" si="194">IF(H292=0,"-",I292/H292)</f>
        <v>-</v>
      </c>
      <c r="K292" s="10">
        <f t="shared" ref="K292:K302" ca="1" si="195">K291+H292</f>
        <v>8</v>
      </c>
      <c r="L292" s="10">
        <f t="shared" ref="L292:L302" ca="1" si="196">L291+I292</f>
        <v>4</v>
      </c>
      <c r="M292" s="4">
        <f t="shared" ref="M292:M302" ca="1" si="197">IF(K292=0,"-",L292/K292)</f>
        <v>0.5</v>
      </c>
      <c r="N292" s="10">
        <f t="shared" ref="N292:N302" si="198">B292+H292</f>
        <v>0</v>
      </c>
      <c r="O292" s="10">
        <f t="shared" ref="O292:O302" si="199">C292+I292</f>
        <v>0</v>
      </c>
      <c r="P292" s="3" t="str">
        <f t="shared" ref="P292:P302" si="200">IF(N292=0,"-",O292/N292)</f>
        <v>-</v>
      </c>
      <c r="Q292" s="10">
        <f t="shared" ref="Q292:Q302" ca="1" si="201">E292+K292</f>
        <v>39</v>
      </c>
      <c r="R292" s="10">
        <f t="shared" ca="1" si="175"/>
        <v>31</v>
      </c>
      <c r="S292" s="4">
        <f t="shared" ref="S292:S302" ca="1" si="202">IF(Q292=0,"-",R292/Q292)</f>
        <v>0.79487179487179482</v>
      </c>
      <c r="T292" s="478"/>
    </row>
    <row r="293" spans="1:20" x14ac:dyDescent="0.45">
      <c r="A293" s="64">
        <v>34366</v>
      </c>
      <c r="B293" s="14">
        <f>COUNTIFS(发射纪录!B:B,"&lt;&gt;-",发射纪录!G:G,"&gt;="&amp;DATE(YEAR(A293),MONTH(A293),1),发射纪录!G:G,"&lt;="&amp;DATE(YEAR(A293),MONTH(A293),DAY(EOMONTH(A293,0))),发射纪录!N:N,"&lt;&gt;")</f>
        <v>1</v>
      </c>
      <c r="C293" s="10">
        <f>COUNTIFS(发射纪录!B:B,"&lt;&gt;-",发射纪录!G:G,"&gt;="&amp;DATE(YEAR(A293),MONTH(A293),1),发射纪录!G:G,"&lt;="&amp;DATE(YEAR(A293),MONTH(A293),DAY(EOMONTH(A293,0))),发射纪录!N:N,"=成功",发射纪录!N:N,"&lt;&gt;")</f>
        <v>1</v>
      </c>
      <c r="D293" s="1">
        <f t="shared" si="190"/>
        <v>1</v>
      </c>
      <c r="E293" s="10">
        <f t="shared" si="191"/>
        <v>32</v>
      </c>
      <c r="F293" s="10">
        <f t="shared" si="192"/>
        <v>28</v>
      </c>
      <c r="G293" s="2">
        <f t="shared" si="193"/>
        <v>0.875</v>
      </c>
      <c r="H293" s="10">
        <f>COUNTIFS(发射纪录!C:C,"&lt;&gt;-",发射纪录!G:G,"&gt;="&amp;DATE(YEAR(A293),MONTH(A293),1),发射纪录!G:G,"&lt;="&amp;DATE(YEAR(A293),MONTH(A293),DAY(EOMONTH(A293,0))),发射纪录!N:N,"&lt;&gt;")</f>
        <v>0</v>
      </c>
      <c r="I293" s="10">
        <f>COUNTIFS(发射纪录!C:C,"&lt;&gt;-",发射纪录!G:G,"&gt;="&amp;DATE(YEAR(A293),MONTH(A293),1),发射纪录!G:G,"&lt;="&amp;DATE(YEAR(A293),MONTH(A293),DAY(EOMONTH(A293,0))),发射纪录!N:N,"=成功",发射纪录!N:N,"&lt;&gt;")</f>
        <v>0</v>
      </c>
      <c r="J293" s="1" t="str">
        <f t="shared" si="194"/>
        <v>-</v>
      </c>
      <c r="K293" s="10">
        <f t="shared" ca="1" si="195"/>
        <v>8</v>
      </c>
      <c r="L293" s="10">
        <f t="shared" ca="1" si="196"/>
        <v>4</v>
      </c>
      <c r="M293" s="2">
        <f t="shared" ca="1" si="197"/>
        <v>0.5</v>
      </c>
      <c r="N293" s="10">
        <f t="shared" si="198"/>
        <v>1</v>
      </c>
      <c r="O293" s="10">
        <f t="shared" si="199"/>
        <v>1</v>
      </c>
      <c r="P293" s="3">
        <f t="shared" si="200"/>
        <v>1</v>
      </c>
      <c r="Q293" s="10">
        <f t="shared" ca="1" si="201"/>
        <v>40</v>
      </c>
      <c r="R293" s="10">
        <f t="shared" ca="1" si="175"/>
        <v>32</v>
      </c>
      <c r="S293" s="4">
        <f t="shared" ca="1" si="202"/>
        <v>0.8</v>
      </c>
      <c r="T293" s="478"/>
    </row>
    <row r="294" spans="1:20" x14ac:dyDescent="0.45">
      <c r="A294" s="64">
        <v>34394</v>
      </c>
      <c r="B294" s="14">
        <f>COUNTIFS(发射纪录!B:B,"&lt;&gt;-",发射纪录!G:G,"&gt;="&amp;DATE(YEAR(A294),MONTH(A294),1),发射纪录!G:G,"&lt;="&amp;DATE(YEAR(A294),MONTH(A294),DAY(EOMONTH(A294,0))),发射纪录!N:N,"&lt;&gt;")</f>
        <v>0</v>
      </c>
      <c r="C294" s="10">
        <f>COUNTIFS(发射纪录!B:B,"&lt;&gt;-",发射纪录!G:G,"&gt;="&amp;DATE(YEAR(A294),MONTH(A294),1),发射纪录!G:G,"&lt;="&amp;DATE(YEAR(A294),MONTH(A294),DAY(EOMONTH(A294,0))),发射纪录!N:N,"=成功",发射纪录!N:N,"&lt;&gt;")</f>
        <v>0</v>
      </c>
      <c r="D294" s="1" t="str">
        <f t="shared" si="190"/>
        <v>-</v>
      </c>
      <c r="E294" s="10">
        <f t="shared" si="191"/>
        <v>32</v>
      </c>
      <c r="F294" s="10">
        <f t="shared" si="192"/>
        <v>28</v>
      </c>
      <c r="G294" s="2">
        <f t="shared" si="193"/>
        <v>0.875</v>
      </c>
      <c r="H294" s="10">
        <f>COUNTIFS(发射纪录!C:C,"&lt;&gt;-",发射纪录!G:G,"&gt;="&amp;DATE(YEAR(A294),MONTH(A294),1),发射纪录!G:G,"&lt;="&amp;DATE(YEAR(A294),MONTH(A294),DAY(EOMONTH(A294,0))),发射纪录!N:N,"&lt;&gt;")</f>
        <v>0</v>
      </c>
      <c r="I294" s="10">
        <f>COUNTIFS(发射纪录!C:C,"&lt;&gt;-",发射纪录!G:G,"&gt;="&amp;DATE(YEAR(A294),MONTH(A294),1),发射纪录!G:G,"&lt;="&amp;DATE(YEAR(A294),MONTH(A294),DAY(EOMONTH(A294,0))),发射纪录!N:N,"=成功",发射纪录!N:N,"&lt;&gt;")</f>
        <v>0</v>
      </c>
      <c r="J294" s="1" t="str">
        <f t="shared" si="194"/>
        <v>-</v>
      </c>
      <c r="K294" s="10">
        <f t="shared" ca="1" si="195"/>
        <v>8</v>
      </c>
      <c r="L294" s="10">
        <f t="shared" ca="1" si="196"/>
        <v>4</v>
      </c>
      <c r="M294" s="2">
        <f t="shared" ca="1" si="197"/>
        <v>0.5</v>
      </c>
      <c r="N294" s="10">
        <f t="shared" si="198"/>
        <v>0</v>
      </c>
      <c r="O294" s="10">
        <f t="shared" si="199"/>
        <v>0</v>
      </c>
      <c r="P294" s="3" t="str">
        <f t="shared" si="200"/>
        <v>-</v>
      </c>
      <c r="Q294" s="10">
        <f t="shared" ca="1" si="201"/>
        <v>40</v>
      </c>
      <c r="R294" s="10">
        <f t="shared" ca="1" si="175"/>
        <v>32</v>
      </c>
      <c r="S294" s="4">
        <f t="shared" ca="1" si="202"/>
        <v>0.8</v>
      </c>
      <c r="T294" s="478"/>
    </row>
    <row r="295" spans="1:20" x14ac:dyDescent="0.45">
      <c r="A295" s="64">
        <v>34425</v>
      </c>
      <c r="B295" s="14">
        <f>COUNTIFS(发射纪录!B:B,"&lt;&gt;-",发射纪录!G:G,"&gt;="&amp;DATE(YEAR(A295),MONTH(A295),1),发射纪录!G:G,"&lt;="&amp;DATE(YEAR(A295),MONTH(A295),DAY(EOMONTH(A295,0))),发射纪录!N:N,"&lt;&gt;")</f>
        <v>0</v>
      </c>
      <c r="C295" s="10">
        <f>COUNTIFS(发射纪录!B:B,"&lt;&gt;-",发射纪录!G:G,"&gt;="&amp;DATE(YEAR(A295),MONTH(A295),1),发射纪录!G:G,"&lt;="&amp;DATE(YEAR(A295),MONTH(A295),DAY(EOMONTH(A295,0))),发射纪录!N:N,"=成功",发射纪录!N:N,"&lt;&gt;")</f>
        <v>0</v>
      </c>
      <c r="D295" s="1" t="str">
        <f t="shared" si="190"/>
        <v>-</v>
      </c>
      <c r="E295" s="10">
        <f t="shared" si="191"/>
        <v>32</v>
      </c>
      <c r="F295" s="10">
        <f t="shared" si="192"/>
        <v>28</v>
      </c>
      <c r="G295" s="2">
        <f t="shared" si="193"/>
        <v>0.875</v>
      </c>
      <c r="H295" s="10">
        <f>COUNTIFS(发射纪录!C:C,"&lt;&gt;-",发射纪录!G:G,"&gt;="&amp;DATE(YEAR(A295),MONTH(A295),1),发射纪录!G:G,"&lt;="&amp;DATE(YEAR(A295),MONTH(A295),DAY(EOMONTH(A295,0))),发射纪录!N:N,"&lt;&gt;")</f>
        <v>0</v>
      </c>
      <c r="I295" s="10">
        <f>COUNTIFS(发射纪录!C:C,"&lt;&gt;-",发射纪录!G:G,"&gt;="&amp;DATE(YEAR(A295),MONTH(A295),1),发射纪录!G:G,"&lt;="&amp;DATE(YEAR(A295),MONTH(A295),DAY(EOMONTH(A295,0))),发射纪录!N:N,"=成功",发射纪录!N:N,"&lt;&gt;")</f>
        <v>0</v>
      </c>
      <c r="J295" s="1" t="str">
        <f t="shared" si="194"/>
        <v>-</v>
      </c>
      <c r="K295" s="10">
        <f t="shared" ca="1" si="195"/>
        <v>8</v>
      </c>
      <c r="L295" s="10">
        <f t="shared" ca="1" si="196"/>
        <v>4</v>
      </c>
      <c r="M295" s="2">
        <f t="shared" ca="1" si="197"/>
        <v>0.5</v>
      </c>
      <c r="N295" s="10">
        <f t="shared" si="198"/>
        <v>0</v>
      </c>
      <c r="O295" s="10">
        <f t="shared" si="199"/>
        <v>0</v>
      </c>
      <c r="P295" s="3" t="str">
        <f t="shared" si="200"/>
        <v>-</v>
      </c>
      <c r="Q295" s="10">
        <f t="shared" ca="1" si="201"/>
        <v>40</v>
      </c>
      <c r="R295" s="10">
        <f t="shared" ca="1" si="175"/>
        <v>32</v>
      </c>
      <c r="S295" s="4">
        <f t="shared" ca="1" si="202"/>
        <v>0.8</v>
      </c>
      <c r="T295" s="478"/>
    </row>
    <row r="296" spans="1:20" x14ac:dyDescent="0.45">
      <c r="A296" s="64">
        <v>34455</v>
      </c>
      <c r="B296" s="14">
        <f>COUNTIFS(发射纪录!B:B,"&lt;&gt;-",发射纪录!G:G,"&gt;="&amp;DATE(YEAR(A296),MONTH(A296),1),发射纪录!G:G,"&lt;="&amp;DATE(YEAR(A296),MONTH(A296),DAY(EOMONTH(A296,0))),发射纪录!N:N,"&lt;&gt;")</f>
        <v>0</v>
      </c>
      <c r="C296" s="10">
        <f>COUNTIFS(发射纪录!B:B,"&lt;&gt;-",发射纪录!G:G,"&gt;="&amp;DATE(YEAR(A296),MONTH(A296),1),发射纪录!G:G,"&lt;="&amp;DATE(YEAR(A296),MONTH(A296),DAY(EOMONTH(A296,0))),发射纪录!N:N,"=成功",发射纪录!N:N,"&lt;&gt;")</f>
        <v>0</v>
      </c>
      <c r="D296" s="1" t="str">
        <f t="shared" si="190"/>
        <v>-</v>
      </c>
      <c r="E296" s="10">
        <f t="shared" si="191"/>
        <v>32</v>
      </c>
      <c r="F296" s="10">
        <f t="shared" si="192"/>
        <v>28</v>
      </c>
      <c r="G296" s="2">
        <f t="shared" si="193"/>
        <v>0.875</v>
      </c>
      <c r="H296" s="10">
        <f ca="1">COUNTIFS(发射纪录!C:C,"&lt;&gt;-",发射纪录!G:G,"&gt;="&amp;DATE(YEAR(A296),MONTH(A296),1),发射纪录!G:G,"&lt;="&amp;DATE(YEAR(A296),MONTH(A296),DAY(EOMONTH(A296,0))),发射纪录!N:N,"&lt;&gt;")</f>
        <v>0</v>
      </c>
      <c r="I296" s="10">
        <f>COUNTIFS(发射纪录!C:C,"&lt;&gt;-",发射纪录!G:G,"&gt;="&amp;DATE(YEAR(A296),MONTH(A296),1),发射纪录!G:G,"&lt;="&amp;DATE(YEAR(A296),MONTH(A296),DAY(EOMONTH(A296,0))),发射纪录!N:N,"=成功",发射纪录!N:N,"&lt;&gt;")</f>
        <v>0</v>
      </c>
      <c r="J296" s="1" t="str">
        <f t="shared" ca="1" si="194"/>
        <v>-</v>
      </c>
      <c r="K296" s="10">
        <f t="shared" ca="1" si="195"/>
        <v>8</v>
      </c>
      <c r="L296" s="10">
        <f t="shared" ca="1" si="196"/>
        <v>4</v>
      </c>
      <c r="M296" s="2">
        <f t="shared" ca="1" si="197"/>
        <v>0.5</v>
      </c>
      <c r="N296" s="10">
        <f t="shared" ca="1" si="198"/>
        <v>0</v>
      </c>
      <c r="O296" s="10">
        <f t="shared" si="199"/>
        <v>0</v>
      </c>
      <c r="P296" s="3" t="str">
        <f t="shared" ca="1" si="200"/>
        <v>-</v>
      </c>
      <c r="Q296" s="10">
        <f t="shared" ca="1" si="201"/>
        <v>40</v>
      </c>
      <c r="R296" s="10">
        <f t="shared" ca="1" si="175"/>
        <v>32</v>
      </c>
      <c r="S296" s="4">
        <f t="shared" ca="1" si="202"/>
        <v>0.8</v>
      </c>
      <c r="T296" s="478"/>
    </row>
    <row r="297" spans="1:20" x14ac:dyDescent="0.45">
      <c r="A297" s="64">
        <v>34486</v>
      </c>
      <c r="B297" s="14">
        <f>COUNTIFS(发射纪录!B:B,"&lt;&gt;-",发射纪录!G:G,"&gt;="&amp;DATE(YEAR(A297),MONTH(A297),1),发射纪录!G:G,"&lt;="&amp;DATE(YEAR(A297),MONTH(A297),DAY(EOMONTH(A297,0))),发射纪录!N:N,"&lt;&gt;")</f>
        <v>0</v>
      </c>
      <c r="C297" s="10">
        <f>COUNTIFS(发射纪录!B:B,"&lt;&gt;-",发射纪录!G:G,"&gt;="&amp;DATE(YEAR(A297),MONTH(A297),1),发射纪录!G:G,"&lt;="&amp;DATE(YEAR(A297),MONTH(A297),DAY(EOMONTH(A297,0))),发射纪录!N:N,"=成功",发射纪录!N:N,"&lt;&gt;")</f>
        <v>0</v>
      </c>
      <c r="D297" s="1" t="str">
        <f t="shared" si="190"/>
        <v>-</v>
      </c>
      <c r="E297" s="10">
        <f t="shared" si="191"/>
        <v>32</v>
      </c>
      <c r="F297" s="10">
        <f t="shared" si="192"/>
        <v>28</v>
      </c>
      <c r="G297" s="2">
        <f t="shared" si="193"/>
        <v>0.875</v>
      </c>
      <c r="H297" s="10">
        <f ca="1">COUNTIFS(发射纪录!C:C,"&lt;&gt;-",发射纪录!G:G,"&gt;="&amp;DATE(YEAR(A297),MONTH(A297),1),发射纪录!G:G,"&lt;="&amp;DATE(YEAR(A297),MONTH(A297),DAY(EOMONTH(A297,0))),发射纪录!N:N,"&lt;&gt;")</f>
        <v>0</v>
      </c>
      <c r="I297" s="10">
        <f>COUNTIFS(发射纪录!C:C,"&lt;&gt;-",发射纪录!G:G,"&gt;="&amp;DATE(YEAR(A297),MONTH(A297),1),发射纪录!G:G,"&lt;="&amp;DATE(YEAR(A297),MONTH(A297),DAY(EOMONTH(A297,0))),发射纪录!N:N,"=成功",发射纪录!N:N,"&lt;&gt;")</f>
        <v>0</v>
      </c>
      <c r="J297" s="1" t="str">
        <f t="shared" ca="1" si="194"/>
        <v>-</v>
      </c>
      <c r="K297" s="10">
        <f t="shared" ca="1" si="195"/>
        <v>8</v>
      </c>
      <c r="L297" s="10">
        <f t="shared" ca="1" si="196"/>
        <v>4</v>
      </c>
      <c r="M297" s="2">
        <f t="shared" ca="1" si="197"/>
        <v>0.5</v>
      </c>
      <c r="N297" s="10">
        <f t="shared" ca="1" si="198"/>
        <v>0</v>
      </c>
      <c r="O297" s="10">
        <f t="shared" si="199"/>
        <v>0</v>
      </c>
      <c r="P297" s="3" t="str">
        <f t="shared" ca="1" si="200"/>
        <v>-</v>
      </c>
      <c r="Q297" s="10">
        <f t="shared" ca="1" si="201"/>
        <v>40</v>
      </c>
      <c r="R297" s="10">
        <f t="shared" ca="1" si="175"/>
        <v>32</v>
      </c>
      <c r="S297" s="4">
        <f t="shared" ca="1" si="202"/>
        <v>0.8</v>
      </c>
      <c r="T297" s="478"/>
    </row>
    <row r="298" spans="1:20" x14ac:dyDescent="0.45">
      <c r="A298" s="64">
        <v>34516</v>
      </c>
      <c r="B298" s="14">
        <f>COUNTIFS(发射纪录!B:B,"&lt;&gt;-",发射纪录!G:G,"&gt;="&amp;DATE(YEAR(A298),MONTH(A298),1),发射纪录!G:G,"&lt;="&amp;DATE(YEAR(A298),MONTH(A298),DAY(EOMONTH(A298,0))),发射纪录!N:N,"&lt;&gt;")</f>
        <v>2</v>
      </c>
      <c r="C298" s="10">
        <f>COUNTIFS(发射纪录!B:B,"&lt;&gt;-",发射纪录!G:G,"&gt;="&amp;DATE(YEAR(A298),MONTH(A298),1),发射纪录!G:G,"&lt;="&amp;DATE(YEAR(A298),MONTH(A298),DAY(EOMONTH(A298,0))),发射纪录!N:N,"=成功",发射纪录!N:N,"&lt;&gt;")</f>
        <v>2</v>
      </c>
      <c r="D298" s="1">
        <f t="shared" si="190"/>
        <v>1</v>
      </c>
      <c r="E298" s="10">
        <f t="shared" si="191"/>
        <v>34</v>
      </c>
      <c r="F298" s="10">
        <f t="shared" si="192"/>
        <v>30</v>
      </c>
      <c r="G298" s="2">
        <f t="shared" si="193"/>
        <v>0.88235294117647056</v>
      </c>
      <c r="H298" s="10">
        <f>COUNTIFS(发射纪录!C:C,"&lt;&gt;-",发射纪录!G:G,"&gt;="&amp;DATE(YEAR(A298),MONTH(A298),1),发射纪录!G:G,"&lt;="&amp;DATE(YEAR(A298),MONTH(A298),DAY(EOMONTH(A298,0))),发射纪录!N:N,"&lt;&gt;")</f>
        <v>0</v>
      </c>
      <c r="I298" s="10">
        <f>COUNTIFS(发射纪录!C:C,"&lt;&gt;-",发射纪录!G:G,"&gt;="&amp;DATE(YEAR(A298),MONTH(A298),1),发射纪录!G:G,"&lt;="&amp;DATE(YEAR(A298),MONTH(A298),DAY(EOMONTH(A298,0))),发射纪录!N:N,"=成功",发射纪录!N:N,"&lt;&gt;")</f>
        <v>0</v>
      </c>
      <c r="J298" s="1" t="str">
        <f t="shared" si="194"/>
        <v>-</v>
      </c>
      <c r="K298" s="10">
        <f t="shared" ca="1" si="195"/>
        <v>8</v>
      </c>
      <c r="L298" s="10">
        <f t="shared" ca="1" si="196"/>
        <v>4</v>
      </c>
      <c r="M298" s="2">
        <f t="shared" ca="1" si="197"/>
        <v>0.5</v>
      </c>
      <c r="N298" s="10">
        <f t="shared" si="198"/>
        <v>2</v>
      </c>
      <c r="O298" s="10">
        <f t="shared" si="199"/>
        <v>2</v>
      </c>
      <c r="P298" s="3">
        <f t="shared" si="200"/>
        <v>1</v>
      </c>
      <c r="Q298" s="10">
        <f t="shared" ca="1" si="201"/>
        <v>42</v>
      </c>
      <c r="R298" s="10">
        <f t="shared" ca="1" si="175"/>
        <v>34</v>
      </c>
      <c r="S298" s="4">
        <f t="shared" ca="1" si="202"/>
        <v>0.80952380952380953</v>
      </c>
      <c r="T298" s="478"/>
    </row>
    <row r="299" spans="1:20" x14ac:dyDescent="0.45">
      <c r="A299" s="64">
        <v>34547</v>
      </c>
      <c r="B299" s="14">
        <f>COUNTIFS(发射纪录!B:B,"&lt;&gt;-",发射纪录!G:G,"&gt;="&amp;DATE(YEAR(A299),MONTH(A299),1),发射纪录!G:G,"&lt;="&amp;DATE(YEAR(A299),MONTH(A299),DAY(EOMONTH(A299,0))),发射纪录!N:N,"&lt;&gt;")</f>
        <v>1</v>
      </c>
      <c r="C299" s="10">
        <f>COUNTIFS(发射纪录!B:B,"&lt;&gt;-",发射纪录!G:G,"&gt;="&amp;DATE(YEAR(A299),MONTH(A299),1),发射纪录!G:G,"&lt;="&amp;DATE(YEAR(A299),MONTH(A299),DAY(EOMONTH(A299,0))),发射纪录!N:N,"=成功",发射纪录!N:N,"&lt;&gt;")</f>
        <v>1</v>
      </c>
      <c r="D299" s="1">
        <f t="shared" si="190"/>
        <v>1</v>
      </c>
      <c r="E299" s="10">
        <f t="shared" si="191"/>
        <v>35</v>
      </c>
      <c r="F299" s="10">
        <f t="shared" si="192"/>
        <v>31</v>
      </c>
      <c r="G299" s="2">
        <f t="shared" si="193"/>
        <v>0.88571428571428568</v>
      </c>
      <c r="H299" s="10">
        <f>COUNTIFS(发射纪录!C:C,"&lt;&gt;-",发射纪录!G:G,"&gt;="&amp;DATE(YEAR(A299),MONTH(A299),1),发射纪录!G:G,"&lt;="&amp;DATE(YEAR(A299),MONTH(A299),DAY(EOMONTH(A299,0))),发射纪录!N:N,"&lt;&gt;")</f>
        <v>0</v>
      </c>
      <c r="I299" s="10">
        <f ca="1">COUNTIFS(发射纪录!C:C,"&lt;&gt;-",发射纪录!G:G,"&gt;="&amp;DATE(YEAR(A299),MONTH(A299),1),发射纪录!G:G,"&lt;="&amp;DATE(YEAR(A299),MONTH(A299),DAY(EOMONTH(A299,0))),发射纪录!N:N,"=成功",发射纪录!N:N,"&lt;&gt;")</f>
        <v>0</v>
      </c>
      <c r="J299" s="1" t="str">
        <f t="shared" si="194"/>
        <v>-</v>
      </c>
      <c r="K299" s="10">
        <f t="shared" ca="1" si="195"/>
        <v>8</v>
      </c>
      <c r="L299" s="10">
        <f t="shared" ca="1" si="196"/>
        <v>4</v>
      </c>
      <c r="M299" s="2">
        <f t="shared" ca="1" si="197"/>
        <v>0.5</v>
      </c>
      <c r="N299" s="10">
        <f t="shared" si="198"/>
        <v>1</v>
      </c>
      <c r="O299" s="10">
        <f t="shared" ca="1" si="199"/>
        <v>1</v>
      </c>
      <c r="P299" s="3">
        <f t="shared" ca="1" si="200"/>
        <v>1</v>
      </c>
      <c r="Q299" s="10">
        <f t="shared" ca="1" si="201"/>
        <v>43</v>
      </c>
      <c r="R299" s="10">
        <f t="shared" ca="1" si="175"/>
        <v>35</v>
      </c>
      <c r="S299" s="4">
        <f t="shared" ca="1" si="202"/>
        <v>0.81395348837209303</v>
      </c>
      <c r="T299" s="478"/>
    </row>
    <row r="300" spans="1:20" x14ac:dyDescent="0.45">
      <c r="A300" s="64">
        <v>34578</v>
      </c>
      <c r="B300" s="14">
        <f>COUNTIFS(发射纪录!B:B,"&lt;&gt;-",发射纪录!G:G,"&gt;="&amp;DATE(YEAR(A300),MONTH(A300),1),发射纪录!G:G,"&lt;="&amp;DATE(YEAR(A300),MONTH(A300),DAY(EOMONTH(A300,0))),发射纪录!N:N,"&lt;&gt;")</f>
        <v>0</v>
      </c>
      <c r="C300" s="10">
        <f>COUNTIFS(发射纪录!B:B,"&lt;&gt;-",发射纪录!G:G,"&gt;="&amp;DATE(YEAR(A300),MONTH(A300),1),发射纪录!G:G,"&lt;="&amp;DATE(YEAR(A300),MONTH(A300),DAY(EOMONTH(A300,0))),发射纪录!N:N,"=成功",发射纪录!N:N,"&lt;&gt;")</f>
        <v>0</v>
      </c>
      <c r="D300" s="1" t="str">
        <f t="shared" si="190"/>
        <v>-</v>
      </c>
      <c r="E300" s="10">
        <f t="shared" si="191"/>
        <v>35</v>
      </c>
      <c r="F300" s="10">
        <f t="shared" si="192"/>
        <v>31</v>
      </c>
      <c r="G300" s="2">
        <f t="shared" si="193"/>
        <v>0.88571428571428568</v>
      </c>
      <c r="H300" s="10">
        <f>COUNTIFS(发射纪录!C:C,"&lt;&gt;-",发射纪录!G:G,"&gt;="&amp;DATE(YEAR(A300),MONTH(A300),1),发射纪录!G:G,"&lt;="&amp;DATE(YEAR(A300),MONTH(A300),DAY(EOMONTH(A300,0))),发射纪录!N:N,"&lt;&gt;")</f>
        <v>0</v>
      </c>
      <c r="I300" s="10">
        <f ca="1">COUNTIFS(发射纪录!C:C,"&lt;&gt;-",发射纪录!G:G,"&gt;="&amp;DATE(YEAR(A300),MONTH(A300),1),发射纪录!G:G,"&lt;="&amp;DATE(YEAR(A300),MONTH(A300),DAY(EOMONTH(A300,0))),发射纪录!N:N,"=成功",发射纪录!N:N,"&lt;&gt;")</f>
        <v>0</v>
      </c>
      <c r="J300" s="1" t="str">
        <f t="shared" si="194"/>
        <v>-</v>
      </c>
      <c r="K300" s="10">
        <f t="shared" ca="1" si="195"/>
        <v>8</v>
      </c>
      <c r="L300" s="10">
        <f t="shared" ca="1" si="196"/>
        <v>4</v>
      </c>
      <c r="M300" s="2">
        <f t="shared" ca="1" si="197"/>
        <v>0.5</v>
      </c>
      <c r="N300" s="10">
        <f t="shared" si="198"/>
        <v>0</v>
      </c>
      <c r="O300" s="10">
        <f t="shared" ca="1" si="199"/>
        <v>0</v>
      </c>
      <c r="P300" s="3" t="str">
        <f t="shared" si="200"/>
        <v>-</v>
      </c>
      <c r="Q300" s="10">
        <f t="shared" ca="1" si="201"/>
        <v>43</v>
      </c>
      <c r="R300" s="10">
        <f t="shared" ca="1" si="175"/>
        <v>35</v>
      </c>
      <c r="S300" s="4">
        <f t="shared" ca="1" si="202"/>
        <v>0.81395348837209303</v>
      </c>
      <c r="T300" s="478"/>
    </row>
    <row r="301" spans="1:20" x14ac:dyDescent="0.45">
      <c r="A301" s="64">
        <v>34608</v>
      </c>
      <c r="B301" s="14">
        <f>COUNTIFS(发射纪录!B:B,"&lt;&gt;-",发射纪录!G:G,"&gt;="&amp;DATE(YEAR(A301),MONTH(A301),1),发射纪录!G:G,"&lt;="&amp;DATE(YEAR(A301),MONTH(A301),DAY(EOMONTH(A301,0))),发射纪录!N:N,"&lt;&gt;")</f>
        <v>0</v>
      </c>
      <c r="C301" s="10">
        <f>COUNTIFS(发射纪录!B:B,"&lt;&gt;-",发射纪录!G:G,"&gt;="&amp;DATE(YEAR(A301),MONTH(A301),1),发射纪录!G:G,"&lt;="&amp;DATE(YEAR(A301),MONTH(A301),DAY(EOMONTH(A301,0))),发射纪录!N:N,"=成功",发射纪录!N:N,"&lt;&gt;")</f>
        <v>0</v>
      </c>
      <c r="D301" s="1" t="str">
        <f t="shared" si="190"/>
        <v>-</v>
      </c>
      <c r="E301" s="10">
        <f t="shared" si="191"/>
        <v>35</v>
      </c>
      <c r="F301" s="10">
        <f t="shared" si="192"/>
        <v>31</v>
      </c>
      <c r="G301" s="2">
        <f t="shared" si="193"/>
        <v>0.88571428571428568</v>
      </c>
      <c r="H301" s="10">
        <f>COUNTIFS(发射纪录!C:C,"&lt;&gt;-",发射纪录!G:G,"&gt;="&amp;DATE(YEAR(A301),MONTH(A301),1),发射纪录!G:G,"&lt;="&amp;DATE(YEAR(A301),MONTH(A301),DAY(EOMONTH(A301,0))),发射纪录!N:N,"&lt;&gt;")</f>
        <v>0</v>
      </c>
      <c r="I301" s="10">
        <f ca="1">COUNTIFS(发射纪录!C:C,"&lt;&gt;-",发射纪录!G:G,"&gt;="&amp;DATE(YEAR(A301),MONTH(A301),1),发射纪录!G:G,"&lt;="&amp;DATE(YEAR(A301),MONTH(A301),DAY(EOMONTH(A301,0))),发射纪录!N:N,"=成功",发射纪录!N:N,"&lt;&gt;")</f>
        <v>0</v>
      </c>
      <c r="J301" s="1" t="str">
        <f t="shared" si="194"/>
        <v>-</v>
      </c>
      <c r="K301" s="10">
        <f t="shared" ca="1" si="195"/>
        <v>8</v>
      </c>
      <c r="L301" s="10">
        <f t="shared" ca="1" si="196"/>
        <v>4</v>
      </c>
      <c r="M301" s="2">
        <f t="shared" ca="1" si="197"/>
        <v>0.5</v>
      </c>
      <c r="N301" s="10">
        <f t="shared" si="198"/>
        <v>0</v>
      </c>
      <c r="O301" s="10">
        <f t="shared" ca="1" si="199"/>
        <v>0</v>
      </c>
      <c r="P301" s="3" t="str">
        <f t="shared" si="200"/>
        <v>-</v>
      </c>
      <c r="Q301" s="10">
        <f t="shared" ca="1" si="201"/>
        <v>43</v>
      </c>
      <c r="R301" s="10">
        <f t="shared" ca="1" si="175"/>
        <v>35</v>
      </c>
      <c r="S301" s="4">
        <f t="shared" ca="1" si="202"/>
        <v>0.81395348837209303</v>
      </c>
      <c r="T301" s="478"/>
    </row>
    <row r="302" spans="1:20" x14ac:dyDescent="0.45">
      <c r="A302" s="64">
        <v>34639</v>
      </c>
      <c r="B302" s="14">
        <f>COUNTIFS(发射纪录!B:B,"&lt;&gt;-",发射纪录!G:G,"&gt;="&amp;DATE(YEAR(A302),MONTH(A302),1),发射纪录!G:G,"&lt;="&amp;DATE(YEAR(A302),MONTH(A302),DAY(EOMONTH(A302,0))),发射纪录!N:N,"&lt;&gt;")</f>
        <v>1</v>
      </c>
      <c r="C302" s="10">
        <f>COUNTIFS(发射纪录!B:B,"&lt;&gt;-",发射纪录!G:G,"&gt;="&amp;DATE(YEAR(A302),MONTH(A302),1),发射纪录!G:G,"&lt;="&amp;DATE(YEAR(A302),MONTH(A302),DAY(EOMONTH(A302,0))),发射纪录!N:N,"=成功",发射纪录!N:N,"&lt;&gt;")</f>
        <v>1</v>
      </c>
      <c r="D302" s="1">
        <f t="shared" si="190"/>
        <v>1</v>
      </c>
      <c r="E302" s="10">
        <f t="shared" si="191"/>
        <v>36</v>
      </c>
      <c r="F302" s="10">
        <f t="shared" si="192"/>
        <v>32</v>
      </c>
      <c r="G302" s="2">
        <f t="shared" si="193"/>
        <v>0.88888888888888884</v>
      </c>
      <c r="H302" s="10">
        <f ca="1">COUNTIFS(发射纪录!C:C,"&lt;&gt;-",发射纪录!G:G,"&gt;="&amp;DATE(YEAR(A302),MONTH(A302),1),发射纪录!G:G,"&lt;="&amp;DATE(YEAR(A302),MONTH(A302),DAY(EOMONTH(A302,0))),发射纪录!N:N,"&lt;&gt;")</f>
        <v>0</v>
      </c>
      <c r="I302" s="10">
        <f>COUNTIFS(发射纪录!C:C,"&lt;&gt;-",发射纪录!G:G,"&gt;="&amp;DATE(YEAR(A302),MONTH(A302),1),发射纪录!G:G,"&lt;="&amp;DATE(YEAR(A302),MONTH(A302),DAY(EOMONTH(A302,0))),发射纪录!N:N,"=成功",发射纪录!N:N,"&lt;&gt;")</f>
        <v>0</v>
      </c>
      <c r="J302" s="1" t="str">
        <f t="shared" ca="1" si="194"/>
        <v>-</v>
      </c>
      <c r="K302" s="10">
        <f t="shared" ca="1" si="195"/>
        <v>8</v>
      </c>
      <c r="L302" s="10">
        <f t="shared" ca="1" si="196"/>
        <v>4</v>
      </c>
      <c r="M302" s="2">
        <f t="shared" ca="1" si="197"/>
        <v>0.5</v>
      </c>
      <c r="N302" s="10">
        <f t="shared" ca="1" si="198"/>
        <v>1</v>
      </c>
      <c r="O302" s="10">
        <f t="shared" si="199"/>
        <v>1</v>
      </c>
      <c r="P302" s="3">
        <f t="shared" ca="1" si="200"/>
        <v>1</v>
      </c>
      <c r="Q302" s="10">
        <f t="shared" ca="1" si="201"/>
        <v>44</v>
      </c>
      <c r="R302" s="10">
        <f t="shared" ca="1" si="175"/>
        <v>36</v>
      </c>
      <c r="S302" s="4">
        <f t="shared" ca="1" si="202"/>
        <v>0.81818181818181823</v>
      </c>
      <c r="T302" s="478"/>
    </row>
    <row r="303" spans="1:20" ht="19.5" customHeight="1" thickBot="1" x14ac:dyDescent="0.5">
      <c r="A303" s="65">
        <v>34669</v>
      </c>
      <c r="B303" s="17">
        <f>COUNTIFS(发射纪录!B:B,"&lt;&gt;-",发射纪录!G:G,"&gt;="&amp;DATE(YEAR(A303),MONTH(A303),1),发射纪录!G:G,"&lt;="&amp;DATE(YEAR(A303),MONTH(A303),DAY(EOMONTH(A303,0))),发射纪录!N:N,"&lt;&gt;")</f>
        <v>0</v>
      </c>
      <c r="C303" s="18">
        <f>COUNTIFS(发射纪录!B:B,"&lt;&gt;-",发射纪录!G:G,"&gt;="&amp;DATE(YEAR(A303),MONTH(A303),1),发射纪录!G:G,"&lt;="&amp;DATE(YEAR(A303),MONTH(A303),DAY(EOMONTH(A303,0))),发射纪录!N:N,"=成功",发射纪录!N:N,"&lt;&gt;")</f>
        <v>0</v>
      </c>
      <c r="D303" s="12" t="str">
        <f>IF(B303=0,"-",C303/B303)</f>
        <v>-</v>
      </c>
      <c r="E303" s="18">
        <f>E302+B303</f>
        <v>36</v>
      </c>
      <c r="F303" s="18">
        <f>F302+C303</f>
        <v>32</v>
      </c>
      <c r="G303" s="13">
        <f>IF(E303=0,"-",F303/E303)</f>
        <v>0.88888888888888884</v>
      </c>
      <c r="H303" s="18">
        <f>COUNTIFS(发射纪录!C:C,"&lt;&gt;-",发射纪录!G:G,"&gt;="&amp;DATE(YEAR(A303),MONTH(A303),1),发射纪录!G:G,"&lt;="&amp;DATE(YEAR(A303),MONTH(A303),DAY(EOMONTH(A303,0))),发射纪录!N:N,"&lt;&gt;")</f>
        <v>0</v>
      </c>
      <c r="I303" s="18">
        <f>COUNTIFS(发射纪录!C:C,"&lt;&gt;-",发射纪录!G:G,"&gt;="&amp;DATE(YEAR(A303),MONTH(A303),1),发射纪录!G:G,"&lt;="&amp;DATE(YEAR(A303),MONTH(A303),DAY(EOMONTH(A303,0))),发射纪录!N:N,"=成功",发射纪录!N:N,"&lt;&gt;")</f>
        <v>0</v>
      </c>
      <c r="J303" s="12" t="str">
        <f>IF(H303=0,"-",I303/H303)</f>
        <v>-</v>
      </c>
      <c r="K303" s="18">
        <f ca="1">K302+H303</f>
        <v>8</v>
      </c>
      <c r="L303" s="18">
        <f ca="1">L302+I303</f>
        <v>4</v>
      </c>
      <c r="M303" s="13">
        <f ca="1">IF(K303=0,"-",L303/K303)</f>
        <v>0.5</v>
      </c>
      <c r="N303" s="18">
        <f>B303+H303</f>
        <v>0</v>
      </c>
      <c r="O303" s="18">
        <f>C303+I303</f>
        <v>0</v>
      </c>
      <c r="P303" s="12" t="str">
        <f>IF(N303=0,"-",O303/N303)</f>
        <v>-</v>
      </c>
      <c r="Q303" s="18">
        <f ca="1">E303+K303</f>
        <v>44</v>
      </c>
      <c r="R303" s="18">
        <f ca="1">F303+L303</f>
        <v>36</v>
      </c>
      <c r="S303" s="13">
        <f ca="1">IF(Q303=0,"-",R303/Q303)</f>
        <v>0.81818181818181823</v>
      </c>
      <c r="T303" s="478"/>
    </row>
    <row r="304" spans="1:20" ht="19.5" customHeight="1" thickTop="1" x14ac:dyDescent="0.45">
      <c r="A304" s="63">
        <v>34700</v>
      </c>
      <c r="B304" s="14">
        <f>COUNTIFS(发射纪录!B:B,"&lt;&gt;-",发射纪录!G:G,"&gt;="&amp;DATE(YEAR(A304),MONTH(A304),1),发射纪录!G:G,"&lt;="&amp;DATE(YEAR(A304),MONTH(A304),DAY(EOMONTH(A304,0))),发射纪录!N:N,"&lt;&gt;")</f>
        <v>1</v>
      </c>
      <c r="C304" s="10">
        <f>COUNTIFS(发射纪录!B:B,"&lt;&gt;-",发射纪录!G:G,"&gt;="&amp;DATE(YEAR(A304),MONTH(A304),1),发射纪录!G:G,"&lt;="&amp;DATE(YEAR(A304),MONTH(A304),DAY(EOMONTH(A304,0))),发射纪录!N:N,"=成功",发射纪录!N:N,"&lt;&gt;")</f>
        <v>0</v>
      </c>
      <c r="D304" s="3">
        <f t="shared" ref="D304:D314" si="203">IF(B304=0,"-",C304/B304)</f>
        <v>0</v>
      </c>
      <c r="E304" s="10">
        <f t="shared" ref="E304:E314" si="204">E303+B304</f>
        <v>37</v>
      </c>
      <c r="F304" s="10">
        <f t="shared" ref="F304:F314" si="205">F303+C304</f>
        <v>32</v>
      </c>
      <c r="G304" s="4">
        <f t="shared" ref="G304:G314" si="206">IF(E304=0,"-",F304/E304)</f>
        <v>0.86486486486486491</v>
      </c>
      <c r="H304" s="10">
        <f>COUNTIFS(发射纪录!C:C,"&lt;&gt;-",发射纪录!G:G,"&gt;="&amp;DATE(YEAR(A304),MONTH(A304),1),发射纪录!G:G,"&lt;="&amp;DATE(YEAR(A304),MONTH(A304),DAY(EOMONTH(A304,0))),发射纪录!N:N,"&lt;&gt;")</f>
        <v>0</v>
      </c>
      <c r="I304" s="10">
        <f>COUNTIFS(发射纪录!C:C,"&lt;&gt;-",发射纪录!G:G,"&gt;="&amp;DATE(YEAR(A304),MONTH(A304),1),发射纪录!G:G,"&lt;="&amp;DATE(YEAR(A304),MONTH(A304),DAY(EOMONTH(A304,0))),发射纪录!N:N,"=成功",发射纪录!N:N,"&lt;&gt;")</f>
        <v>0</v>
      </c>
      <c r="J304" s="3" t="str">
        <f t="shared" ref="J304:J314" si="207">IF(H304=0,"-",I304/H304)</f>
        <v>-</v>
      </c>
      <c r="K304" s="10">
        <f t="shared" ref="K304:K314" ca="1" si="208">K303+H304</f>
        <v>8</v>
      </c>
      <c r="L304" s="10">
        <f t="shared" ref="L304:L314" ca="1" si="209">L303+I304</f>
        <v>4</v>
      </c>
      <c r="M304" s="4">
        <f t="shared" ref="M304:M314" ca="1" si="210">IF(K304=0,"-",L304/K304)</f>
        <v>0.5</v>
      </c>
      <c r="N304" s="10">
        <f t="shared" ref="N304:N314" si="211">B304+H304</f>
        <v>1</v>
      </c>
      <c r="O304" s="10">
        <f t="shared" ref="O304:O314" si="212">C304+I304</f>
        <v>0</v>
      </c>
      <c r="P304" s="3">
        <f t="shared" ref="P304:P314" si="213">IF(N304=0,"-",O304/N304)</f>
        <v>0</v>
      </c>
      <c r="Q304" s="10">
        <f t="shared" ref="Q304:Q314" ca="1" si="214">E304+K304</f>
        <v>45</v>
      </c>
      <c r="R304" s="10">
        <f t="shared" ca="1" si="175"/>
        <v>36</v>
      </c>
      <c r="S304" s="4">
        <f t="shared" ref="S304:S314" ca="1" si="215">IF(Q304=0,"-",R304/Q304)</f>
        <v>0.8</v>
      </c>
      <c r="T304" s="478"/>
    </row>
    <row r="305" spans="1:20" x14ac:dyDescent="0.45">
      <c r="A305" s="64">
        <v>34731</v>
      </c>
      <c r="B305" s="14">
        <f>COUNTIFS(发射纪录!B:B,"&lt;&gt;-",发射纪录!G:G,"&gt;="&amp;DATE(YEAR(A305),MONTH(A305),1),发射纪录!G:G,"&lt;="&amp;DATE(YEAR(A305),MONTH(A305),DAY(EOMONTH(A305,0))),发射纪录!N:N,"&lt;&gt;")</f>
        <v>0</v>
      </c>
      <c r="C305" s="10">
        <f>COUNTIFS(发射纪录!B:B,"&lt;&gt;-",发射纪录!G:G,"&gt;="&amp;DATE(YEAR(A305),MONTH(A305),1),发射纪录!G:G,"&lt;="&amp;DATE(YEAR(A305),MONTH(A305),DAY(EOMONTH(A305,0))),发射纪录!N:N,"=成功",发射纪录!N:N,"&lt;&gt;")</f>
        <v>0</v>
      </c>
      <c r="D305" s="1" t="str">
        <f t="shared" si="203"/>
        <v>-</v>
      </c>
      <c r="E305" s="10">
        <f t="shared" si="204"/>
        <v>37</v>
      </c>
      <c r="F305" s="10">
        <f t="shared" si="205"/>
        <v>32</v>
      </c>
      <c r="G305" s="2">
        <f t="shared" si="206"/>
        <v>0.86486486486486491</v>
      </c>
      <c r="H305" s="10">
        <f>COUNTIFS(发射纪录!C:C,"&lt;&gt;-",发射纪录!G:G,"&gt;="&amp;DATE(YEAR(A305),MONTH(A305),1),发射纪录!G:G,"&lt;="&amp;DATE(YEAR(A305),MONTH(A305),DAY(EOMONTH(A305,0))),发射纪录!N:N,"&lt;&gt;")</f>
        <v>0</v>
      </c>
      <c r="I305" s="10">
        <f>COUNTIFS(发射纪录!C:C,"&lt;&gt;-",发射纪录!G:G,"&gt;="&amp;DATE(YEAR(A305),MONTH(A305),1),发射纪录!G:G,"&lt;="&amp;DATE(YEAR(A305),MONTH(A305),DAY(EOMONTH(A305,0))),发射纪录!N:N,"=成功",发射纪录!N:N,"&lt;&gt;")</f>
        <v>0</v>
      </c>
      <c r="J305" s="1" t="str">
        <f t="shared" si="207"/>
        <v>-</v>
      </c>
      <c r="K305" s="10">
        <f t="shared" ca="1" si="208"/>
        <v>8</v>
      </c>
      <c r="L305" s="10">
        <f t="shared" ca="1" si="209"/>
        <v>4</v>
      </c>
      <c r="M305" s="2">
        <f t="shared" ca="1" si="210"/>
        <v>0.5</v>
      </c>
      <c r="N305" s="10">
        <f t="shared" si="211"/>
        <v>0</v>
      </c>
      <c r="O305" s="10">
        <f t="shared" si="212"/>
        <v>0</v>
      </c>
      <c r="P305" s="3" t="str">
        <f t="shared" si="213"/>
        <v>-</v>
      </c>
      <c r="Q305" s="10">
        <f t="shared" ca="1" si="214"/>
        <v>45</v>
      </c>
      <c r="R305" s="10">
        <f t="shared" ca="1" si="175"/>
        <v>36</v>
      </c>
      <c r="S305" s="4">
        <f t="shared" ca="1" si="215"/>
        <v>0.8</v>
      </c>
      <c r="T305" s="478"/>
    </row>
    <row r="306" spans="1:20" x14ac:dyDescent="0.45">
      <c r="A306" s="64">
        <v>34759</v>
      </c>
      <c r="B306" s="14">
        <f>COUNTIFS(发射纪录!B:B,"&lt;&gt;-",发射纪录!G:G,"&gt;="&amp;DATE(YEAR(A306),MONTH(A306),1),发射纪录!G:G,"&lt;="&amp;DATE(YEAR(A306),MONTH(A306),DAY(EOMONTH(A306,0))),发射纪录!N:N,"&lt;&gt;")</f>
        <v>0</v>
      </c>
      <c r="C306" s="10">
        <f>COUNTIFS(发射纪录!B:B,"&lt;&gt;-",发射纪录!G:G,"&gt;="&amp;DATE(YEAR(A306),MONTH(A306),1),发射纪录!G:G,"&lt;="&amp;DATE(YEAR(A306),MONTH(A306),DAY(EOMONTH(A306,0))),发射纪录!N:N,"=成功",发射纪录!N:N,"&lt;&gt;")</f>
        <v>0</v>
      </c>
      <c r="D306" s="1" t="str">
        <f t="shared" si="203"/>
        <v>-</v>
      </c>
      <c r="E306" s="10">
        <f t="shared" si="204"/>
        <v>37</v>
      </c>
      <c r="F306" s="10">
        <f t="shared" si="205"/>
        <v>32</v>
      </c>
      <c r="G306" s="2">
        <f t="shared" si="206"/>
        <v>0.86486486486486491</v>
      </c>
      <c r="H306" s="10">
        <f>COUNTIFS(发射纪录!C:C,"&lt;&gt;-",发射纪录!G:G,"&gt;="&amp;DATE(YEAR(A306),MONTH(A306),1),发射纪录!G:G,"&lt;="&amp;DATE(YEAR(A306),MONTH(A306),DAY(EOMONTH(A306,0))),发射纪录!N:N,"&lt;&gt;")</f>
        <v>0</v>
      </c>
      <c r="I306" s="10">
        <f>COUNTIFS(发射纪录!C:C,"&lt;&gt;-",发射纪录!G:G,"&gt;="&amp;DATE(YEAR(A306),MONTH(A306),1),发射纪录!G:G,"&lt;="&amp;DATE(YEAR(A306),MONTH(A306),DAY(EOMONTH(A306,0))),发射纪录!N:N,"=成功",发射纪录!N:N,"&lt;&gt;")</f>
        <v>0</v>
      </c>
      <c r="J306" s="1" t="str">
        <f t="shared" si="207"/>
        <v>-</v>
      </c>
      <c r="K306" s="10">
        <f t="shared" ca="1" si="208"/>
        <v>8</v>
      </c>
      <c r="L306" s="10">
        <f t="shared" ca="1" si="209"/>
        <v>4</v>
      </c>
      <c r="M306" s="2">
        <f t="shared" ca="1" si="210"/>
        <v>0.5</v>
      </c>
      <c r="N306" s="10">
        <f t="shared" si="211"/>
        <v>0</v>
      </c>
      <c r="O306" s="10">
        <f t="shared" si="212"/>
        <v>0</v>
      </c>
      <c r="P306" s="3" t="str">
        <f t="shared" si="213"/>
        <v>-</v>
      </c>
      <c r="Q306" s="10">
        <f t="shared" ca="1" si="214"/>
        <v>45</v>
      </c>
      <c r="R306" s="10">
        <f t="shared" ca="1" si="175"/>
        <v>36</v>
      </c>
      <c r="S306" s="4">
        <f t="shared" ca="1" si="215"/>
        <v>0.8</v>
      </c>
      <c r="T306" s="478"/>
    </row>
    <row r="307" spans="1:20" x14ac:dyDescent="0.45">
      <c r="A307" s="64">
        <v>34790</v>
      </c>
      <c r="B307" s="14">
        <f>COUNTIFS(发射纪录!B:B,"&lt;&gt;-",发射纪录!G:G,"&gt;="&amp;DATE(YEAR(A307),MONTH(A307),1),发射纪录!G:G,"&lt;="&amp;DATE(YEAR(A307),MONTH(A307),DAY(EOMONTH(A307,0))),发射纪录!N:N,"&lt;&gt;")</f>
        <v>0</v>
      </c>
      <c r="C307" s="10">
        <f>COUNTIFS(发射纪录!B:B,"&lt;&gt;-",发射纪录!G:G,"&gt;="&amp;DATE(YEAR(A307),MONTH(A307),1),发射纪录!G:G,"&lt;="&amp;DATE(YEAR(A307),MONTH(A307),DAY(EOMONTH(A307,0))),发射纪录!N:N,"=成功",发射纪录!N:N,"&lt;&gt;")</f>
        <v>0</v>
      </c>
      <c r="D307" s="1" t="str">
        <f t="shared" si="203"/>
        <v>-</v>
      </c>
      <c r="E307" s="10">
        <f t="shared" si="204"/>
        <v>37</v>
      </c>
      <c r="F307" s="10">
        <f t="shared" si="205"/>
        <v>32</v>
      </c>
      <c r="G307" s="2">
        <f t="shared" si="206"/>
        <v>0.86486486486486491</v>
      </c>
      <c r="H307" s="10">
        <f>COUNTIFS(发射纪录!C:C,"&lt;&gt;-",发射纪录!G:G,"&gt;="&amp;DATE(YEAR(A307),MONTH(A307),1),发射纪录!G:G,"&lt;="&amp;DATE(YEAR(A307),MONTH(A307),DAY(EOMONTH(A307,0))),发射纪录!N:N,"&lt;&gt;")</f>
        <v>0</v>
      </c>
      <c r="I307" s="10">
        <f>COUNTIFS(发射纪录!C:C,"&lt;&gt;-",发射纪录!G:G,"&gt;="&amp;DATE(YEAR(A307),MONTH(A307),1),发射纪录!G:G,"&lt;="&amp;DATE(YEAR(A307),MONTH(A307),DAY(EOMONTH(A307,0))),发射纪录!N:N,"=成功",发射纪录!N:N,"&lt;&gt;")</f>
        <v>0</v>
      </c>
      <c r="J307" s="1" t="str">
        <f t="shared" si="207"/>
        <v>-</v>
      </c>
      <c r="K307" s="10">
        <f t="shared" ca="1" si="208"/>
        <v>8</v>
      </c>
      <c r="L307" s="10">
        <f t="shared" ca="1" si="209"/>
        <v>4</v>
      </c>
      <c r="M307" s="2">
        <f t="shared" ca="1" si="210"/>
        <v>0.5</v>
      </c>
      <c r="N307" s="10">
        <f t="shared" si="211"/>
        <v>0</v>
      </c>
      <c r="O307" s="10">
        <f t="shared" si="212"/>
        <v>0</v>
      </c>
      <c r="P307" s="3" t="str">
        <f t="shared" si="213"/>
        <v>-</v>
      </c>
      <c r="Q307" s="10">
        <f t="shared" ca="1" si="214"/>
        <v>45</v>
      </c>
      <c r="R307" s="10">
        <f t="shared" ca="1" si="175"/>
        <v>36</v>
      </c>
      <c r="S307" s="4">
        <f t="shared" ca="1" si="215"/>
        <v>0.8</v>
      </c>
      <c r="T307" s="478"/>
    </row>
    <row r="308" spans="1:20" x14ac:dyDescent="0.45">
      <c r="A308" s="64">
        <v>34820</v>
      </c>
      <c r="B308" s="14">
        <f>COUNTIFS(发射纪录!B:B,"&lt;&gt;-",发射纪录!G:G,"&gt;="&amp;DATE(YEAR(A308),MONTH(A308),1),发射纪录!G:G,"&lt;="&amp;DATE(YEAR(A308),MONTH(A308),DAY(EOMONTH(A308,0))),发射纪录!N:N,"&lt;&gt;")</f>
        <v>0</v>
      </c>
      <c r="C308" s="10">
        <f>COUNTIFS(发射纪录!B:B,"&lt;&gt;-",发射纪录!G:G,"&gt;="&amp;DATE(YEAR(A308),MONTH(A308),1),发射纪录!G:G,"&lt;="&amp;DATE(YEAR(A308),MONTH(A308),DAY(EOMONTH(A308,0))),发射纪录!N:N,"=成功",发射纪录!N:N,"&lt;&gt;")</f>
        <v>0</v>
      </c>
      <c r="D308" s="1" t="str">
        <f t="shared" si="203"/>
        <v>-</v>
      </c>
      <c r="E308" s="10">
        <f t="shared" si="204"/>
        <v>37</v>
      </c>
      <c r="F308" s="10">
        <f t="shared" si="205"/>
        <v>32</v>
      </c>
      <c r="G308" s="2">
        <f t="shared" si="206"/>
        <v>0.86486486486486491</v>
      </c>
      <c r="H308" s="10">
        <f ca="1">COUNTIFS(发射纪录!C:C,"&lt;&gt;-",发射纪录!G:G,"&gt;="&amp;DATE(YEAR(A308),MONTH(A308),1),发射纪录!G:G,"&lt;="&amp;DATE(YEAR(A308),MONTH(A308),DAY(EOMONTH(A308,0))),发射纪录!N:N,"&lt;&gt;")</f>
        <v>0</v>
      </c>
      <c r="I308" s="10">
        <f>COUNTIFS(发射纪录!C:C,"&lt;&gt;-",发射纪录!G:G,"&gt;="&amp;DATE(YEAR(A308),MONTH(A308),1),发射纪录!G:G,"&lt;="&amp;DATE(YEAR(A308),MONTH(A308),DAY(EOMONTH(A308,0))),发射纪录!N:N,"=成功",发射纪录!N:N,"&lt;&gt;")</f>
        <v>0</v>
      </c>
      <c r="J308" s="1" t="str">
        <f t="shared" ca="1" si="207"/>
        <v>-</v>
      </c>
      <c r="K308" s="10">
        <f t="shared" ca="1" si="208"/>
        <v>8</v>
      </c>
      <c r="L308" s="10">
        <f t="shared" ca="1" si="209"/>
        <v>4</v>
      </c>
      <c r="M308" s="2">
        <f t="shared" ca="1" si="210"/>
        <v>0.5</v>
      </c>
      <c r="N308" s="10">
        <f t="shared" ca="1" si="211"/>
        <v>0</v>
      </c>
      <c r="O308" s="10">
        <f t="shared" si="212"/>
        <v>0</v>
      </c>
      <c r="P308" s="3" t="str">
        <f t="shared" ca="1" si="213"/>
        <v>-</v>
      </c>
      <c r="Q308" s="10">
        <f t="shared" ca="1" si="214"/>
        <v>45</v>
      </c>
      <c r="R308" s="10">
        <f t="shared" ca="1" si="175"/>
        <v>36</v>
      </c>
      <c r="S308" s="4">
        <f t="shared" ca="1" si="215"/>
        <v>0.8</v>
      </c>
      <c r="T308" s="478"/>
    </row>
    <row r="309" spans="1:20" x14ac:dyDescent="0.45">
      <c r="A309" s="64">
        <v>34851</v>
      </c>
      <c r="B309" s="14">
        <f>COUNTIFS(发射纪录!B:B,"&lt;&gt;-",发射纪录!G:G,"&gt;="&amp;DATE(YEAR(A309),MONTH(A309),1),发射纪录!G:G,"&lt;="&amp;DATE(YEAR(A309),MONTH(A309),DAY(EOMONTH(A309,0))),发射纪录!N:N,"&lt;&gt;")</f>
        <v>0</v>
      </c>
      <c r="C309" s="10">
        <f>COUNTIFS(发射纪录!B:B,"&lt;&gt;-",发射纪录!G:G,"&gt;="&amp;DATE(YEAR(A309),MONTH(A309),1),发射纪录!G:G,"&lt;="&amp;DATE(YEAR(A309),MONTH(A309),DAY(EOMONTH(A309,0))),发射纪录!N:N,"=成功",发射纪录!N:N,"&lt;&gt;")</f>
        <v>0</v>
      </c>
      <c r="D309" s="1" t="str">
        <f t="shared" si="203"/>
        <v>-</v>
      </c>
      <c r="E309" s="10">
        <f t="shared" si="204"/>
        <v>37</v>
      </c>
      <c r="F309" s="10">
        <f t="shared" si="205"/>
        <v>32</v>
      </c>
      <c r="G309" s="2">
        <f t="shared" si="206"/>
        <v>0.86486486486486491</v>
      </c>
      <c r="H309" s="10">
        <f>COUNTIFS(发射纪录!C:C,"&lt;&gt;-",发射纪录!G:G,"&gt;="&amp;DATE(YEAR(A309),MONTH(A309),1),发射纪录!G:G,"&lt;="&amp;DATE(YEAR(A309),MONTH(A309),DAY(EOMONTH(A309,0))),发射纪录!N:N,"&lt;&gt;")</f>
        <v>0</v>
      </c>
      <c r="I309" s="10">
        <f>COUNTIFS(发射纪录!C:C,"&lt;&gt;-",发射纪录!G:G,"&gt;="&amp;DATE(YEAR(A309),MONTH(A309),1),发射纪录!G:G,"&lt;="&amp;DATE(YEAR(A309),MONTH(A309),DAY(EOMONTH(A309,0))),发射纪录!N:N,"=成功",发射纪录!N:N,"&lt;&gt;")</f>
        <v>0</v>
      </c>
      <c r="J309" s="1" t="str">
        <f t="shared" si="207"/>
        <v>-</v>
      </c>
      <c r="K309" s="10">
        <f t="shared" ca="1" si="208"/>
        <v>8</v>
      </c>
      <c r="L309" s="10">
        <f t="shared" ca="1" si="209"/>
        <v>4</v>
      </c>
      <c r="M309" s="2">
        <f t="shared" ca="1" si="210"/>
        <v>0.5</v>
      </c>
      <c r="N309" s="10">
        <f t="shared" si="211"/>
        <v>0</v>
      </c>
      <c r="O309" s="10">
        <f t="shared" si="212"/>
        <v>0</v>
      </c>
      <c r="P309" s="3" t="str">
        <f t="shared" si="213"/>
        <v>-</v>
      </c>
      <c r="Q309" s="10">
        <f t="shared" ca="1" si="214"/>
        <v>45</v>
      </c>
      <c r="R309" s="10">
        <f t="shared" ca="1" si="175"/>
        <v>36</v>
      </c>
      <c r="S309" s="4">
        <f t="shared" ca="1" si="215"/>
        <v>0.8</v>
      </c>
      <c r="T309" s="478"/>
    </row>
    <row r="310" spans="1:20" x14ac:dyDescent="0.45">
      <c r="A310" s="64">
        <v>34881</v>
      </c>
      <c r="B310" s="14">
        <f>COUNTIFS(发射纪录!B:B,"&lt;&gt;-",发射纪录!G:G,"&gt;="&amp;DATE(YEAR(A310),MONTH(A310),1),发射纪录!G:G,"&lt;="&amp;DATE(YEAR(A310),MONTH(A310),DAY(EOMONTH(A310,0))),发射纪录!N:N,"&lt;&gt;")</f>
        <v>0</v>
      </c>
      <c r="C310" s="10">
        <f>COUNTIFS(发射纪录!B:B,"&lt;&gt;-",发射纪录!G:G,"&gt;="&amp;DATE(YEAR(A310),MONTH(A310),1),发射纪录!G:G,"&lt;="&amp;DATE(YEAR(A310),MONTH(A310),DAY(EOMONTH(A310,0))),发射纪录!N:N,"=成功",发射纪录!N:N,"&lt;&gt;")</f>
        <v>0</v>
      </c>
      <c r="D310" s="1" t="str">
        <f t="shared" si="203"/>
        <v>-</v>
      </c>
      <c r="E310" s="10">
        <f t="shared" si="204"/>
        <v>37</v>
      </c>
      <c r="F310" s="10">
        <f t="shared" si="205"/>
        <v>32</v>
      </c>
      <c r="G310" s="2">
        <f t="shared" si="206"/>
        <v>0.86486486486486491</v>
      </c>
      <c r="H310" s="10">
        <f>COUNTIFS(发射纪录!C:C,"&lt;&gt;-",发射纪录!G:G,"&gt;="&amp;DATE(YEAR(A310),MONTH(A310),1),发射纪录!G:G,"&lt;="&amp;DATE(YEAR(A310),MONTH(A310),DAY(EOMONTH(A310,0))),发射纪录!N:N,"&lt;&gt;")</f>
        <v>0</v>
      </c>
      <c r="I310" s="10">
        <f>COUNTIFS(发射纪录!C:C,"&lt;&gt;-",发射纪录!G:G,"&gt;="&amp;DATE(YEAR(A310),MONTH(A310),1),发射纪录!G:G,"&lt;="&amp;DATE(YEAR(A310),MONTH(A310),DAY(EOMONTH(A310,0))),发射纪录!N:N,"=成功",发射纪录!N:N,"&lt;&gt;")</f>
        <v>0</v>
      </c>
      <c r="J310" s="1" t="str">
        <f t="shared" si="207"/>
        <v>-</v>
      </c>
      <c r="K310" s="10">
        <f t="shared" ca="1" si="208"/>
        <v>8</v>
      </c>
      <c r="L310" s="10">
        <f t="shared" ca="1" si="209"/>
        <v>4</v>
      </c>
      <c r="M310" s="2">
        <f t="shared" ca="1" si="210"/>
        <v>0.5</v>
      </c>
      <c r="N310" s="10">
        <f t="shared" si="211"/>
        <v>0</v>
      </c>
      <c r="O310" s="10">
        <f t="shared" si="212"/>
        <v>0</v>
      </c>
      <c r="P310" s="3" t="str">
        <f t="shared" si="213"/>
        <v>-</v>
      </c>
      <c r="Q310" s="10">
        <f t="shared" ca="1" si="214"/>
        <v>45</v>
      </c>
      <c r="R310" s="10">
        <f t="shared" ca="1" si="175"/>
        <v>36</v>
      </c>
      <c r="S310" s="4">
        <f t="shared" ca="1" si="215"/>
        <v>0.8</v>
      </c>
      <c r="T310" s="478"/>
    </row>
    <row r="311" spans="1:20" x14ac:dyDescent="0.45">
      <c r="A311" s="64">
        <v>34912</v>
      </c>
      <c r="B311" s="14">
        <f>COUNTIFS(发射纪录!B:B,"&lt;&gt;-",发射纪录!G:G,"&gt;="&amp;DATE(YEAR(A311),MONTH(A311),1),发射纪录!G:G,"&lt;="&amp;DATE(YEAR(A311),MONTH(A311),DAY(EOMONTH(A311,0))),发射纪录!N:N,"&lt;&gt;")</f>
        <v>0</v>
      </c>
      <c r="C311" s="10">
        <f>COUNTIFS(发射纪录!B:B,"&lt;&gt;-",发射纪录!G:G,"&gt;="&amp;DATE(YEAR(A311),MONTH(A311),1),发射纪录!G:G,"&lt;="&amp;DATE(YEAR(A311),MONTH(A311),DAY(EOMONTH(A311,0))),发射纪录!N:N,"=成功",发射纪录!N:N,"&lt;&gt;")</f>
        <v>0</v>
      </c>
      <c r="D311" s="1" t="str">
        <f t="shared" si="203"/>
        <v>-</v>
      </c>
      <c r="E311" s="10">
        <f t="shared" si="204"/>
        <v>37</v>
      </c>
      <c r="F311" s="10">
        <f t="shared" si="205"/>
        <v>32</v>
      </c>
      <c r="G311" s="2">
        <f t="shared" si="206"/>
        <v>0.86486486486486491</v>
      </c>
      <c r="H311" s="10">
        <f>COUNTIFS(发射纪录!C:C,"&lt;&gt;-",发射纪录!G:G,"&gt;="&amp;DATE(YEAR(A311),MONTH(A311),1),发射纪录!G:G,"&lt;="&amp;DATE(YEAR(A311),MONTH(A311),DAY(EOMONTH(A311,0))),发射纪录!N:N,"&lt;&gt;")</f>
        <v>0</v>
      </c>
      <c r="I311" s="10">
        <f ca="1">COUNTIFS(发射纪录!C:C,"&lt;&gt;-",发射纪录!G:G,"&gt;="&amp;DATE(YEAR(A311),MONTH(A311),1),发射纪录!G:G,"&lt;="&amp;DATE(YEAR(A311),MONTH(A311),DAY(EOMONTH(A311,0))),发射纪录!N:N,"=成功",发射纪录!N:N,"&lt;&gt;")</f>
        <v>0</v>
      </c>
      <c r="J311" s="1" t="str">
        <f t="shared" si="207"/>
        <v>-</v>
      </c>
      <c r="K311" s="10">
        <f t="shared" ca="1" si="208"/>
        <v>8</v>
      </c>
      <c r="L311" s="10">
        <f t="shared" ca="1" si="209"/>
        <v>4</v>
      </c>
      <c r="M311" s="2">
        <f t="shared" ca="1" si="210"/>
        <v>0.5</v>
      </c>
      <c r="N311" s="10">
        <f t="shared" si="211"/>
        <v>0</v>
      </c>
      <c r="O311" s="10">
        <f t="shared" ca="1" si="212"/>
        <v>0</v>
      </c>
      <c r="P311" s="3" t="str">
        <f t="shared" si="213"/>
        <v>-</v>
      </c>
      <c r="Q311" s="10">
        <f t="shared" ca="1" si="214"/>
        <v>45</v>
      </c>
      <c r="R311" s="10">
        <f t="shared" ca="1" si="175"/>
        <v>36</v>
      </c>
      <c r="S311" s="4">
        <f t="shared" ca="1" si="215"/>
        <v>0.8</v>
      </c>
      <c r="T311" s="478"/>
    </row>
    <row r="312" spans="1:20" x14ac:dyDescent="0.45">
      <c r="A312" s="64">
        <v>34943</v>
      </c>
      <c r="B312" s="14">
        <f>COUNTIFS(发射纪录!B:B,"&lt;&gt;-",发射纪录!G:G,"&gt;="&amp;DATE(YEAR(A312),MONTH(A312),1),发射纪录!G:G,"&lt;="&amp;DATE(YEAR(A312),MONTH(A312),DAY(EOMONTH(A312,0))),发射纪录!N:N,"&lt;&gt;")</f>
        <v>0</v>
      </c>
      <c r="C312" s="10">
        <f>COUNTIFS(发射纪录!B:B,"&lt;&gt;-",发射纪录!G:G,"&gt;="&amp;DATE(YEAR(A312),MONTH(A312),1),发射纪录!G:G,"&lt;="&amp;DATE(YEAR(A312),MONTH(A312),DAY(EOMONTH(A312,0))),发射纪录!N:N,"=成功",发射纪录!N:N,"&lt;&gt;")</f>
        <v>0</v>
      </c>
      <c r="D312" s="1" t="str">
        <f t="shared" si="203"/>
        <v>-</v>
      </c>
      <c r="E312" s="10">
        <f t="shared" si="204"/>
        <v>37</v>
      </c>
      <c r="F312" s="10">
        <f t="shared" si="205"/>
        <v>32</v>
      </c>
      <c r="G312" s="2">
        <f t="shared" si="206"/>
        <v>0.86486486486486491</v>
      </c>
      <c r="H312" s="10">
        <f>COUNTIFS(发射纪录!C:C,"&lt;&gt;-",发射纪录!G:G,"&gt;="&amp;DATE(YEAR(A312),MONTH(A312),1),发射纪录!G:G,"&lt;="&amp;DATE(YEAR(A312),MONTH(A312),DAY(EOMONTH(A312,0))),发射纪录!N:N,"&lt;&gt;")</f>
        <v>0</v>
      </c>
      <c r="I312" s="10">
        <f>COUNTIFS(发射纪录!C:C,"&lt;&gt;-",发射纪录!G:G,"&gt;="&amp;DATE(YEAR(A312),MONTH(A312),1),发射纪录!G:G,"&lt;="&amp;DATE(YEAR(A312),MONTH(A312),DAY(EOMONTH(A312,0))),发射纪录!N:N,"=成功",发射纪录!N:N,"&lt;&gt;")</f>
        <v>0</v>
      </c>
      <c r="J312" s="1" t="str">
        <f t="shared" si="207"/>
        <v>-</v>
      </c>
      <c r="K312" s="10">
        <f t="shared" ca="1" si="208"/>
        <v>8</v>
      </c>
      <c r="L312" s="10">
        <f t="shared" ca="1" si="209"/>
        <v>4</v>
      </c>
      <c r="M312" s="2">
        <f t="shared" ca="1" si="210"/>
        <v>0.5</v>
      </c>
      <c r="N312" s="10">
        <f t="shared" si="211"/>
        <v>0</v>
      </c>
      <c r="O312" s="10">
        <f t="shared" si="212"/>
        <v>0</v>
      </c>
      <c r="P312" s="3" t="str">
        <f t="shared" si="213"/>
        <v>-</v>
      </c>
      <c r="Q312" s="10">
        <f t="shared" ca="1" si="214"/>
        <v>45</v>
      </c>
      <c r="R312" s="10">
        <f t="shared" ca="1" si="175"/>
        <v>36</v>
      </c>
      <c r="S312" s="4">
        <f t="shared" ca="1" si="215"/>
        <v>0.8</v>
      </c>
      <c r="T312" s="478"/>
    </row>
    <row r="313" spans="1:20" x14ac:dyDescent="0.45">
      <c r="A313" s="64">
        <v>34973</v>
      </c>
      <c r="B313" s="14">
        <f>COUNTIFS(发射纪录!B:B,"&lt;&gt;-",发射纪录!G:G,"&gt;="&amp;DATE(YEAR(A313),MONTH(A313),1),发射纪录!G:G,"&lt;="&amp;DATE(YEAR(A313),MONTH(A313),DAY(EOMONTH(A313,0))),发射纪录!N:N,"&lt;&gt;")</f>
        <v>0</v>
      </c>
      <c r="C313" s="10">
        <f>COUNTIFS(发射纪录!B:B,"&lt;&gt;-",发射纪录!G:G,"&gt;="&amp;DATE(YEAR(A313),MONTH(A313),1),发射纪录!G:G,"&lt;="&amp;DATE(YEAR(A313),MONTH(A313),DAY(EOMONTH(A313,0))),发射纪录!N:N,"=成功",发射纪录!N:N,"&lt;&gt;")</f>
        <v>0</v>
      </c>
      <c r="D313" s="1" t="str">
        <f t="shared" si="203"/>
        <v>-</v>
      </c>
      <c r="E313" s="10">
        <f t="shared" si="204"/>
        <v>37</v>
      </c>
      <c r="F313" s="10">
        <f t="shared" si="205"/>
        <v>32</v>
      </c>
      <c r="G313" s="2">
        <f t="shared" si="206"/>
        <v>0.86486486486486491</v>
      </c>
      <c r="H313" s="10">
        <f>COUNTIFS(发射纪录!C:C,"&lt;&gt;-",发射纪录!G:G,"&gt;="&amp;DATE(YEAR(A313),MONTH(A313),1),发射纪录!G:G,"&lt;="&amp;DATE(YEAR(A313),MONTH(A313),DAY(EOMONTH(A313,0))),发射纪录!N:N,"&lt;&gt;")</f>
        <v>0</v>
      </c>
      <c r="I313" s="10">
        <f ca="1">COUNTIFS(发射纪录!C:C,"&lt;&gt;-",发射纪录!G:G,"&gt;="&amp;DATE(YEAR(A313),MONTH(A313),1),发射纪录!G:G,"&lt;="&amp;DATE(YEAR(A313),MONTH(A313),DAY(EOMONTH(A313,0))),发射纪录!N:N,"=成功",发射纪录!N:N,"&lt;&gt;")</f>
        <v>0</v>
      </c>
      <c r="J313" s="1" t="str">
        <f t="shared" si="207"/>
        <v>-</v>
      </c>
      <c r="K313" s="10">
        <f t="shared" ca="1" si="208"/>
        <v>8</v>
      </c>
      <c r="L313" s="10">
        <f t="shared" ca="1" si="209"/>
        <v>4</v>
      </c>
      <c r="M313" s="2">
        <f t="shared" ca="1" si="210"/>
        <v>0.5</v>
      </c>
      <c r="N313" s="10">
        <f t="shared" si="211"/>
        <v>0</v>
      </c>
      <c r="O313" s="10">
        <f t="shared" ca="1" si="212"/>
        <v>0</v>
      </c>
      <c r="P313" s="3" t="str">
        <f t="shared" si="213"/>
        <v>-</v>
      </c>
      <c r="Q313" s="10">
        <f t="shared" ca="1" si="214"/>
        <v>45</v>
      </c>
      <c r="R313" s="10">
        <f t="shared" ca="1" si="175"/>
        <v>36</v>
      </c>
      <c r="S313" s="4">
        <f t="shared" ca="1" si="215"/>
        <v>0.8</v>
      </c>
      <c r="T313" s="478"/>
    </row>
    <row r="314" spans="1:20" x14ac:dyDescent="0.45">
      <c r="A314" s="64">
        <v>35004</v>
      </c>
      <c r="B314" s="14">
        <f>COUNTIFS(发射纪录!B:B,"&lt;&gt;-",发射纪录!G:G,"&gt;="&amp;DATE(YEAR(A314),MONTH(A314),1),发射纪录!G:G,"&lt;="&amp;DATE(YEAR(A314),MONTH(A314),DAY(EOMONTH(A314,0))),发射纪录!N:N,"&lt;&gt;")</f>
        <v>1</v>
      </c>
      <c r="C314" s="10">
        <f>COUNTIFS(发射纪录!B:B,"&lt;&gt;-",发射纪录!G:G,"&gt;="&amp;DATE(YEAR(A314),MONTH(A314),1),发射纪录!G:G,"&lt;="&amp;DATE(YEAR(A314),MONTH(A314),DAY(EOMONTH(A314,0))),发射纪录!N:N,"=成功",发射纪录!N:N,"&lt;&gt;")</f>
        <v>1</v>
      </c>
      <c r="D314" s="1">
        <f t="shared" si="203"/>
        <v>1</v>
      </c>
      <c r="E314" s="10">
        <f t="shared" si="204"/>
        <v>38</v>
      </c>
      <c r="F314" s="10">
        <f t="shared" si="205"/>
        <v>33</v>
      </c>
      <c r="G314" s="2">
        <f t="shared" si="206"/>
        <v>0.86842105263157898</v>
      </c>
      <c r="H314" s="10">
        <f ca="1">COUNTIFS(发射纪录!C:C,"&lt;&gt;-",发射纪录!G:G,"&gt;="&amp;DATE(YEAR(A314),MONTH(A314),1),发射纪录!G:G,"&lt;="&amp;DATE(YEAR(A314),MONTH(A314),DAY(EOMONTH(A314,0))),发射纪录!N:N,"&lt;&gt;")</f>
        <v>0</v>
      </c>
      <c r="I314" s="10">
        <f>COUNTIFS(发射纪录!C:C,"&lt;&gt;-",发射纪录!G:G,"&gt;="&amp;DATE(YEAR(A314),MONTH(A314),1),发射纪录!G:G,"&lt;="&amp;DATE(YEAR(A314),MONTH(A314),DAY(EOMONTH(A314,0))),发射纪录!N:N,"=成功",发射纪录!N:N,"&lt;&gt;")</f>
        <v>0</v>
      </c>
      <c r="J314" s="1" t="str">
        <f t="shared" ca="1" si="207"/>
        <v>-</v>
      </c>
      <c r="K314" s="10">
        <f t="shared" ca="1" si="208"/>
        <v>8</v>
      </c>
      <c r="L314" s="10">
        <f t="shared" ca="1" si="209"/>
        <v>4</v>
      </c>
      <c r="M314" s="2">
        <f t="shared" ca="1" si="210"/>
        <v>0.5</v>
      </c>
      <c r="N314" s="10">
        <f t="shared" ca="1" si="211"/>
        <v>1</v>
      </c>
      <c r="O314" s="10">
        <f t="shared" si="212"/>
        <v>1</v>
      </c>
      <c r="P314" s="3">
        <f t="shared" ca="1" si="213"/>
        <v>1</v>
      </c>
      <c r="Q314" s="10">
        <f t="shared" ca="1" si="214"/>
        <v>46</v>
      </c>
      <c r="R314" s="10">
        <f t="shared" ca="1" si="175"/>
        <v>37</v>
      </c>
      <c r="S314" s="4">
        <f t="shared" ca="1" si="215"/>
        <v>0.80434782608695654</v>
      </c>
      <c r="T314" s="478"/>
    </row>
    <row r="315" spans="1:20" ht="19.5" customHeight="1" thickBot="1" x14ac:dyDescent="0.5">
      <c r="A315" s="65">
        <v>35034</v>
      </c>
      <c r="B315" s="17">
        <f>COUNTIFS(发射纪录!B:B,"&lt;&gt;-",发射纪录!G:G,"&gt;="&amp;DATE(YEAR(A315),MONTH(A315),1),发射纪录!G:G,"&lt;="&amp;DATE(YEAR(A315),MONTH(A315),DAY(EOMONTH(A315,0))),发射纪录!N:N,"&lt;&gt;")</f>
        <v>1</v>
      </c>
      <c r="C315" s="18">
        <f>COUNTIFS(发射纪录!B:B,"&lt;&gt;-",发射纪录!G:G,"&gt;="&amp;DATE(YEAR(A315),MONTH(A315),1),发射纪录!G:G,"&lt;="&amp;DATE(YEAR(A315),MONTH(A315),DAY(EOMONTH(A315,0))),发射纪录!N:N,"=成功",发射纪录!N:N,"&lt;&gt;")</f>
        <v>1</v>
      </c>
      <c r="D315" s="12">
        <f>IF(B315=0,"-",C315/B315)</f>
        <v>1</v>
      </c>
      <c r="E315" s="18">
        <f>E314+B315</f>
        <v>39</v>
      </c>
      <c r="F315" s="18">
        <f>F314+C315</f>
        <v>34</v>
      </c>
      <c r="G315" s="13">
        <f>IF(E315=0,"-",F315/E315)</f>
        <v>0.87179487179487181</v>
      </c>
      <c r="H315" s="18">
        <f ca="1">COUNTIFS(发射纪录!C:C,"&lt;&gt;-",发射纪录!G:G,"&gt;="&amp;DATE(YEAR(A315),MONTH(A315),1),发射纪录!G:G,"&lt;="&amp;DATE(YEAR(A315),MONTH(A315),DAY(EOMONTH(A315,0))),发射纪录!N:N,"&lt;&gt;")</f>
        <v>0</v>
      </c>
      <c r="I315" s="18">
        <f>COUNTIFS(发射纪录!C:C,"&lt;&gt;-",发射纪录!G:G,"&gt;="&amp;DATE(YEAR(A315),MONTH(A315),1),发射纪录!G:G,"&lt;="&amp;DATE(YEAR(A315),MONTH(A315),DAY(EOMONTH(A315,0))),发射纪录!N:N,"=成功",发射纪录!N:N,"&lt;&gt;")</f>
        <v>0</v>
      </c>
      <c r="J315" s="12" t="str">
        <f ca="1">IF(H315=0,"-",I315/H315)</f>
        <v>-</v>
      </c>
      <c r="K315" s="18">
        <f ca="1">K314+H315</f>
        <v>8</v>
      </c>
      <c r="L315" s="18">
        <f ca="1">L314+I315</f>
        <v>4</v>
      </c>
      <c r="M315" s="13">
        <f ca="1">IF(K315=0,"-",L315/K315)</f>
        <v>0.5</v>
      </c>
      <c r="N315" s="18">
        <f ca="1">B315+H315</f>
        <v>1</v>
      </c>
      <c r="O315" s="18">
        <f>C315+I315</f>
        <v>1</v>
      </c>
      <c r="P315" s="12">
        <f ca="1">IF(N315=0,"-",O315/N315)</f>
        <v>1</v>
      </c>
      <c r="Q315" s="18">
        <f ca="1">E315+K315</f>
        <v>47</v>
      </c>
      <c r="R315" s="18">
        <f ca="1">F315+L315</f>
        <v>38</v>
      </c>
      <c r="S315" s="13">
        <f ca="1">IF(Q315=0,"-",R315/Q315)</f>
        <v>0.80851063829787229</v>
      </c>
      <c r="T315" s="478"/>
    </row>
    <row r="316" spans="1:20" ht="19.5" customHeight="1" thickTop="1" x14ac:dyDescent="0.45">
      <c r="A316" s="63">
        <v>35065</v>
      </c>
      <c r="B316" s="14">
        <f>COUNTIFS(发射纪录!B:B,"&lt;&gt;-",发射纪录!G:G,"&gt;="&amp;DATE(YEAR(A316),MONTH(A316),1),发射纪录!G:G,"&lt;="&amp;DATE(YEAR(A316),MONTH(A316),DAY(EOMONTH(A316,0))),发射纪录!N:N,"&lt;&gt;")</f>
        <v>0</v>
      </c>
      <c r="C316" s="10">
        <f>COUNTIFS(发射纪录!B:B,"&lt;&gt;-",发射纪录!G:G,"&gt;="&amp;DATE(YEAR(A316),MONTH(A316),1),发射纪录!G:G,"&lt;="&amp;DATE(YEAR(A316),MONTH(A316),DAY(EOMONTH(A316,0))),发射纪录!N:N,"=成功",发射纪录!N:N,"&lt;&gt;")</f>
        <v>0</v>
      </c>
      <c r="D316" s="3" t="str">
        <f t="shared" ref="D316:D326" si="216">IF(B316=0,"-",C316/B316)</f>
        <v>-</v>
      </c>
      <c r="E316" s="10">
        <f t="shared" ref="E316:E326" si="217">E315+B316</f>
        <v>39</v>
      </c>
      <c r="F316" s="10">
        <f t="shared" ref="F316:F326" si="218">F315+C316</f>
        <v>34</v>
      </c>
      <c r="G316" s="4">
        <f t="shared" ref="G316:G326" si="219">IF(E316=0,"-",F316/E316)</f>
        <v>0.87179487179487181</v>
      </c>
      <c r="H316" s="10">
        <f>COUNTIFS(发射纪录!C:C,"&lt;&gt;-",发射纪录!G:G,"&gt;="&amp;DATE(YEAR(A316),MONTH(A316),1),发射纪录!G:G,"&lt;="&amp;DATE(YEAR(A316),MONTH(A316),DAY(EOMONTH(A316,0))),发射纪录!N:N,"&lt;&gt;")</f>
        <v>0</v>
      </c>
      <c r="I316" s="10">
        <f>COUNTIFS(发射纪录!C:C,"&lt;&gt;-",发射纪录!G:G,"&gt;="&amp;DATE(YEAR(A316),MONTH(A316),1),发射纪录!G:G,"&lt;="&amp;DATE(YEAR(A316),MONTH(A316),DAY(EOMONTH(A316,0))),发射纪录!N:N,"=成功",发射纪录!N:N,"&lt;&gt;")</f>
        <v>0</v>
      </c>
      <c r="J316" s="3" t="str">
        <f t="shared" ref="J316:J326" si="220">IF(H316=0,"-",I316/H316)</f>
        <v>-</v>
      </c>
      <c r="K316" s="10">
        <f t="shared" ref="K316:K326" ca="1" si="221">K315+H316</f>
        <v>8</v>
      </c>
      <c r="L316" s="10">
        <f t="shared" ref="L316:L326" ca="1" si="222">L315+I316</f>
        <v>4</v>
      </c>
      <c r="M316" s="4">
        <f t="shared" ref="M316:M326" ca="1" si="223">IF(K316=0,"-",L316/K316)</f>
        <v>0.5</v>
      </c>
      <c r="N316" s="10">
        <f t="shared" ref="N316:N326" si="224">B316+H316</f>
        <v>0</v>
      </c>
      <c r="O316" s="10">
        <f t="shared" ref="O316:O326" si="225">C316+I316</f>
        <v>0</v>
      </c>
      <c r="P316" s="3" t="str">
        <f t="shared" ref="P316:P326" si="226">IF(N316=0,"-",O316/N316)</f>
        <v>-</v>
      </c>
      <c r="Q316" s="10">
        <f t="shared" ref="Q316:Q326" ca="1" si="227">E316+K316</f>
        <v>47</v>
      </c>
      <c r="R316" s="10">
        <f t="shared" ca="1" si="175"/>
        <v>38</v>
      </c>
      <c r="S316" s="4">
        <f t="shared" ref="S316:S326" ca="1" si="228">IF(Q316=0,"-",R316/Q316)</f>
        <v>0.80851063829787229</v>
      </c>
      <c r="T316" s="478"/>
    </row>
    <row r="317" spans="1:20" x14ac:dyDescent="0.45">
      <c r="A317" s="64">
        <v>35096</v>
      </c>
      <c r="B317" s="14">
        <f>COUNTIFS(发射纪录!B:B,"&lt;&gt;-",发射纪录!G:G,"&gt;="&amp;DATE(YEAR(A317),MONTH(A317),1),发射纪录!G:G,"&lt;="&amp;DATE(YEAR(A317),MONTH(A317),DAY(EOMONTH(A317,0))),发射纪录!N:N,"&lt;&gt;")</f>
        <v>1</v>
      </c>
      <c r="C317" s="10">
        <f>COUNTIFS(发射纪录!B:B,"&lt;&gt;-",发射纪录!G:G,"&gt;="&amp;DATE(YEAR(A317),MONTH(A317),1),发射纪录!G:G,"&lt;="&amp;DATE(YEAR(A317),MONTH(A317),DAY(EOMONTH(A317,0))),发射纪录!N:N,"=成功",发射纪录!N:N,"&lt;&gt;")</f>
        <v>0</v>
      </c>
      <c r="D317" s="1">
        <f t="shared" si="216"/>
        <v>0</v>
      </c>
      <c r="E317" s="10">
        <f t="shared" si="217"/>
        <v>40</v>
      </c>
      <c r="F317" s="10">
        <f t="shared" si="218"/>
        <v>34</v>
      </c>
      <c r="G317" s="2">
        <f t="shared" si="219"/>
        <v>0.85</v>
      </c>
      <c r="H317" s="10">
        <f>COUNTIFS(发射纪录!C:C,"&lt;&gt;-",发射纪录!G:G,"&gt;="&amp;DATE(YEAR(A317),MONTH(A317),1),发射纪录!G:G,"&lt;="&amp;DATE(YEAR(A317),MONTH(A317),DAY(EOMONTH(A317,0))),发射纪录!N:N,"&lt;&gt;")</f>
        <v>0</v>
      </c>
      <c r="I317" s="10">
        <f>COUNTIFS(发射纪录!C:C,"&lt;&gt;-",发射纪录!G:G,"&gt;="&amp;DATE(YEAR(A317),MONTH(A317),1),发射纪录!G:G,"&lt;="&amp;DATE(YEAR(A317),MONTH(A317),DAY(EOMONTH(A317,0))),发射纪录!N:N,"=成功",发射纪录!N:N,"&lt;&gt;")</f>
        <v>0</v>
      </c>
      <c r="J317" s="1" t="str">
        <f t="shared" si="220"/>
        <v>-</v>
      </c>
      <c r="K317" s="10">
        <f t="shared" ca="1" si="221"/>
        <v>8</v>
      </c>
      <c r="L317" s="10">
        <f t="shared" ca="1" si="222"/>
        <v>4</v>
      </c>
      <c r="M317" s="2">
        <f t="shared" ca="1" si="223"/>
        <v>0.5</v>
      </c>
      <c r="N317" s="10">
        <f t="shared" si="224"/>
        <v>1</v>
      </c>
      <c r="O317" s="10">
        <f t="shared" si="225"/>
        <v>0</v>
      </c>
      <c r="P317" s="3">
        <f t="shared" si="226"/>
        <v>0</v>
      </c>
      <c r="Q317" s="10">
        <f t="shared" ca="1" si="227"/>
        <v>48</v>
      </c>
      <c r="R317" s="10">
        <f t="shared" ca="1" si="175"/>
        <v>38</v>
      </c>
      <c r="S317" s="4">
        <f t="shared" ca="1" si="228"/>
        <v>0.79166666666666663</v>
      </c>
      <c r="T317" s="478"/>
    </row>
    <row r="318" spans="1:20" x14ac:dyDescent="0.45">
      <c r="A318" s="64">
        <v>35125</v>
      </c>
      <c r="B318" s="14">
        <f>COUNTIFS(发射纪录!B:B,"&lt;&gt;-",发射纪录!G:G,"&gt;="&amp;DATE(YEAR(A318),MONTH(A318),1),发射纪录!G:G,"&lt;="&amp;DATE(YEAR(A318),MONTH(A318),DAY(EOMONTH(A318,0))),发射纪录!N:N,"&lt;&gt;")</f>
        <v>0</v>
      </c>
      <c r="C318" s="10">
        <f>COUNTIFS(发射纪录!B:B,"&lt;&gt;-",发射纪录!G:G,"&gt;="&amp;DATE(YEAR(A318),MONTH(A318),1),发射纪录!G:G,"&lt;="&amp;DATE(YEAR(A318),MONTH(A318),DAY(EOMONTH(A318,0))),发射纪录!N:N,"=成功",发射纪录!N:N,"&lt;&gt;")</f>
        <v>0</v>
      </c>
      <c r="D318" s="1" t="str">
        <f t="shared" si="216"/>
        <v>-</v>
      </c>
      <c r="E318" s="10">
        <f t="shared" si="217"/>
        <v>40</v>
      </c>
      <c r="F318" s="10">
        <f t="shared" si="218"/>
        <v>34</v>
      </c>
      <c r="G318" s="2">
        <f t="shared" si="219"/>
        <v>0.85</v>
      </c>
      <c r="H318" s="10">
        <f>COUNTIFS(发射纪录!C:C,"&lt;&gt;-",发射纪录!G:G,"&gt;="&amp;DATE(YEAR(A318),MONTH(A318),1),发射纪录!G:G,"&lt;="&amp;DATE(YEAR(A318),MONTH(A318),DAY(EOMONTH(A318,0))),发射纪录!N:N,"&lt;&gt;")</f>
        <v>0</v>
      </c>
      <c r="I318" s="10">
        <f>COUNTIFS(发射纪录!C:C,"&lt;&gt;-",发射纪录!G:G,"&gt;="&amp;DATE(YEAR(A318),MONTH(A318),1),发射纪录!G:G,"&lt;="&amp;DATE(YEAR(A318),MONTH(A318),DAY(EOMONTH(A318,0))),发射纪录!N:N,"=成功",发射纪录!N:N,"&lt;&gt;")</f>
        <v>0</v>
      </c>
      <c r="J318" s="1" t="str">
        <f t="shared" si="220"/>
        <v>-</v>
      </c>
      <c r="K318" s="10">
        <f t="shared" ca="1" si="221"/>
        <v>8</v>
      </c>
      <c r="L318" s="10">
        <f t="shared" ca="1" si="222"/>
        <v>4</v>
      </c>
      <c r="M318" s="2">
        <f t="shared" ca="1" si="223"/>
        <v>0.5</v>
      </c>
      <c r="N318" s="10">
        <f t="shared" si="224"/>
        <v>0</v>
      </c>
      <c r="O318" s="10">
        <f t="shared" si="225"/>
        <v>0</v>
      </c>
      <c r="P318" s="3" t="str">
        <f t="shared" si="226"/>
        <v>-</v>
      </c>
      <c r="Q318" s="10">
        <f t="shared" ca="1" si="227"/>
        <v>48</v>
      </c>
      <c r="R318" s="10">
        <f t="shared" ca="1" si="175"/>
        <v>38</v>
      </c>
      <c r="S318" s="4">
        <f t="shared" ca="1" si="228"/>
        <v>0.79166666666666663</v>
      </c>
      <c r="T318" s="478"/>
    </row>
    <row r="319" spans="1:20" x14ac:dyDescent="0.45">
      <c r="A319" s="64">
        <v>35156</v>
      </c>
      <c r="B319" s="14">
        <f>COUNTIFS(发射纪录!B:B,"&lt;&gt;-",发射纪录!G:G,"&gt;="&amp;DATE(YEAR(A319),MONTH(A319),1),发射纪录!G:G,"&lt;="&amp;DATE(YEAR(A319),MONTH(A319),DAY(EOMONTH(A319,0))),发射纪录!N:N,"&lt;&gt;")</f>
        <v>0</v>
      </c>
      <c r="C319" s="10">
        <f>COUNTIFS(发射纪录!B:B,"&lt;&gt;-",发射纪录!G:G,"&gt;="&amp;DATE(YEAR(A319),MONTH(A319),1),发射纪录!G:G,"&lt;="&amp;DATE(YEAR(A319),MONTH(A319),DAY(EOMONTH(A319,0))),发射纪录!N:N,"=成功",发射纪录!N:N,"&lt;&gt;")</f>
        <v>0</v>
      </c>
      <c r="D319" s="1" t="str">
        <f t="shared" si="216"/>
        <v>-</v>
      </c>
      <c r="E319" s="10">
        <f t="shared" si="217"/>
        <v>40</v>
      </c>
      <c r="F319" s="10">
        <f t="shared" si="218"/>
        <v>34</v>
      </c>
      <c r="G319" s="2">
        <f t="shared" si="219"/>
        <v>0.85</v>
      </c>
      <c r="H319" s="10">
        <f>COUNTIFS(发射纪录!C:C,"&lt;&gt;-",发射纪录!G:G,"&gt;="&amp;DATE(YEAR(A319),MONTH(A319),1),发射纪录!G:G,"&lt;="&amp;DATE(YEAR(A319),MONTH(A319),DAY(EOMONTH(A319,0))),发射纪录!N:N,"&lt;&gt;")</f>
        <v>0</v>
      </c>
      <c r="I319" s="10">
        <f>COUNTIFS(发射纪录!C:C,"&lt;&gt;-",发射纪录!G:G,"&gt;="&amp;DATE(YEAR(A319),MONTH(A319),1),发射纪录!G:G,"&lt;="&amp;DATE(YEAR(A319),MONTH(A319),DAY(EOMONTH(A319,0))),发射纪录!N:N,"=成功",发射纪录!N:N,"&lt;&gt;")</f>
        <v>0</v>
      </c>
      <c r="J319" s="1" t="str">
        <f t="shared" si="220"/>
        <v>-</v>
      </c>
      <c r="K319" s="10">
        <f t="shared" ca="1" si="221"/>
        <v>8</v>
      </c>
      <c r="L319" s="10">
        <f t="shared" ca="1" si="222"/>
        <v>4</v>
      </c>
      <c r="M319" s="2">
        <f t="shared" ca="1" si="223"/>
        <v>0.5</v>
      </c>
      <c r="N319" s="10">
        <f t="shared" si="224"/>
        <v>0</v>
      </c>
      <c r="O319" s="10">
        <f t="shared" si="225"/>
        <v>0</v>
      </c>
      <c r="P319" s="3" t="str">
        <f t="shared" si="226"/>
        <v>-</v>
      </c>
      <c r="Q319" s="10">
        <f t="shared" ca="1" si="227"/>
        <v>48</v>
      </c>
      <c r="R319" s="10">
        <f t="shared" ca="1" si="175"/>
        <v>38</v>
      </c>
      <c r="S319" s="4">
        <f t="shared" ca="1" si="228"/>
        <v>0.79166666666666663</v>
      </c>
      <c r="T319" s="478"/>
    </row>
    <row r="320" spans="1:20" x14ac:dyDescent="0.45">
      <c r="A320" s="64">
        <v>35186</v>
      </c>
      <c r="B320" s="14">
        <f>COUNTIFS(发射纪录!B:B,"&lt;&gt;-",发射纪录!G:G,"&gt;="&amp;DATE(YEAR(A320),MONTH(A320),1),发射纪录!G:G,"&lt;="&amp;DATE(YEAR(A320),MONTH(A320),DAY(EOMONTH(A320,0))),发射纪录!N:N,"&lt;&gt;")</f>
        <v>0</v>
      </c>
      <c r="C320" s="10">
        <f>COUNTIFS(发射纪录!B:B,"&lt;&gt;-",发射纪录!G:G,"&gt;="&amp;DATE(YEAR(A320),MONTH(A320),1),发射纪录!G:G,"&lt;="&amp;DATE(YEAR(A320),MONTH(A320),DAY(EOMONTH(A320,0))),发射纪录!N:N,"=成功",发射纪录!N:N,"&lt;&gt;")</f>
        <v>0</v>
      </c>
      <c r="D320" s="1" t="str">
        <f t="shared" si="216"/>
        <v>-</v>
      </c>
      <c r="E320" s="10">
        <f t="shared" si="217"/>
        <v>40</v>
      </c>
      <c r="F320" s="10">
        <f t="shared" si="218"/>
        <v>34</v>
      </c>
      <c r="G320" s="2">
        <f t="shared" si="219"/>
        <v>0.85</v>
      </c>
      <c r="H320" s="10">
        <f>COUNTIFS(发射纪录!C:C,"&lt;&gt;-",发射纪录!G:G,"&gt;="&amp;DATE(YEAR(A320),MONTH(A320),1),发射纪录!G:G,"&lt;="&amp;DATE(YEAR(A320),MONTH(A320),DAY(EOMONTH(A320,0))),发射纪录!N:N,"&lt;&gt;")</f>
        <v>0</v>
      </c>
      <c r="I320" s="10">
        <f>COUNTIFS(发射纪录!C:C,"&lt;&gt;-",发射纪录!G:G,"&gt;="&amp;DATE(YEAR(A320),MONTH(A320),1),发射纪录!G:G,"&lt;="&amp;DATE(YEAR(A320),MONTH(A320),DAY(EOMONTH(A320,0))),发射纪录!N:N,"=成功",发射纪录!N:N,"&lt;&gt;")</f>
        <v>0</v>
      </c>
      <c r="J320" s="1" t="str">
        <f t="shared" si="220"/>
        <v>-</v>
      </c>
      <c r="K320" s="10">
        <f t="shared" ca="1" si="221"/>
        <v>8</v>
      </c>
      <c r="L320" s="10">
        <f t="shared" ca="1" si="222"/>
        <v>4</v>
      </c>
      <c r="M320" s="2">
        <f t="shared" ca="1" si="223"/>
        <v>0.5</v>
      </c>
      <c r="N320" s="10">
        <f t="shared" si="224"/>
        <v>0</v>
      </c>
      <c r="O320" s="10">
        <f t="shared" si="225"/>
        <v>0</v>
      </c>
      <c r="P320" s="3" t="str">
        <f t="shared" si="226"/>
        <v>-</v>
      </c>
      <c r="Q320" s="10">
        <f t="shared" ca="1" si="227"/>
        <v>48</v>
      </c>
      <c r="R320" s="10">
        <f t="shared" ca="1" si="175"/>
        <v>38</v>
      </c>
      <c r="S320" s="4">
        <f t="shared" ca="1" si="228"/>
        <v>0.79166666666666663</v>
      </c>
      <c r="T320" s="478"/>
    </row>
    <row r="321" spans="1:20" x14ac:dyDescent="0.45">
      <c r="A321" s="64">
        <v>35217</v>
      </c>
      <c r="B321" s="14">
        <f>COUNTIFS(发射纪录!B:B,"&lt;&gt;-",发射纪录!G:G,"&gt;="&amp;DATE(YEAR(A321),MONTH(A321),1),发射纪录!G:G,"&lt;="&amp;DATE(YEAR(A321),MONTH(A321),DAY(EOMONTH(A321,0))),发射纪录!N:N,"&lt;&gt;")</f>
        <v>0</v>
      </c>
      <c r="C321" s="10">
        <f>COUNTIFS(发射纪录!B:B,"&lt;&gt;-",发射纪录!G:G,"&gt;="&amp;DATE(YEAR(A321),MONTH(A321),1),发射纪录!G:G,"&lt;="&amp;DATE(YEAR(A321),MONTH(A321),DAY(EOMONTH(A321,0))),发射纪录!N:N,"=成功",发射纪录!N:N,"&lt;&gt;")</f>
        <v>0</v>
      </c>
      <c r="D321" s="1" t="str">
        <f t="shared" si="216"/>
        <v>-</v>
      </c>
      <c r="E321" s="10">
        <f t="shared" si="217"/>
        <v>40</v>
      </c>
      <c r="F321" s="10">
        <f t="shared" si="218"/>
        <v>34</v>
      </c>
      <c r="G321" s="2">
        <f t="shared" si="219"/>
        <v>0.85</v>
      </c>
      <c r="H321" s="10">
        <f ca="1">COUNTIFS(发射纪录!C:C,"&lt;&gt;-",发射纪录!G:G,"&gt;="&amp;DATE(YEAR(A321),MONTH(A321),1),发射纪录!G:G,"&lt;="&amp;DATE(YEAR(A321),MONTH(A321),DAY(EOMONTH(A321,0))),发射纪录!N:N,"&lt;&gt;")</f>
        <v>0</v>
      </c>
      <c r="I321" s="10">
        <f>COUNTIFS(发射纪录!C:C,"&lt;&gt;-",发射纪录!G:G,"&gt;="&amp;DATE(YEAR(A321),MONTH(A321),1),发射纪录!G:G,"&lt;="&amp;DATE(YEAR(A321),MONTH(A321),DAY(EOMONTH(A321,0))),发射纪录!N:N,"=成功",发射纪录!N:N,"&lt;&gt;")</f>
        <v>0</v>
      </c>
      <c r="J321" s="1" t="str">
        <f t="shared" ca="1" si="220"/>
        <v>-</v>
      </c>
      <c r="K321" s="10">
        <f t="shared" ca="1" si="221"/>
        <v>8</v>
      </c>
      <c r="L321" s="10">
        <f t="shared" ca="1" si="222"/>
        <v>4</v>
      </c>
      <c r="M321" s="2">
        <f t="shared" ca="1" si="223"/>
        <v>0.5</v>
      </c>
      <c r="N321" s="10">
        <f t="shared" ca="1" si="224"/>
        <v>0</v>
      </c>
      <c r="O321" s="10">
        <f t="shared" si="225"/>
        <v>0</v>
      </c>
      <c r="P321" s="3" t="str">
        <f t="shared" ca="1" si="226"/>
        <v>-</v>
      </c>
      <c r="Q321" s="10">
        <f t="shared" ca="1" si="227"/>
        <v>48</v>
      </c>
      <c r="R321" s="10">
        <f t="shared" ca="1" si="175"/>
        <v>38</v>
      </c>
      <c r="S321" s="4">
        <f t="shared" ca="1" si="228"/>
        <v>0.79166666666666663</v>
      </c>
      <c r="T321" s="478"/>
    </row>
    <row r="322" spans="1:20" x14ac:dyDescent="0.45">
      <c r="A322" s="64">
        <v>35247</v>
      </c>
      <c r="B322" s="14">
        <f>COUNTIFS(发射纪录!B:B,"&lt;&gt;-",发射纪录!G:G,"&gt;="&amp;DATE(YEAR(A322),MONTH(A322),1),发射纪录!G:G,"&lt;="&amp;DATE(YEAR(A322),MONTH(A322),DAY(EOMONTH(A322,0))),发射纪录!N:N,"&lt;&gt;")</f>
        <v>1</v>
      </c>
      <c r="C322" s="10">
        <f>COUNTIFS(发射纪录!B:B,"&lt;&gt;-",发射纪录!G:G,"&gt;="&amp;DATE(YEAR(A322),MONTH(A322),1),发射纪录!G:G,"&lt;="&amp;DATE(YEAR(A322),MONTH(A322),DAY(EOMONTH(A322,0))),发射纪录!N:N,"=成功",发射纪录!N:N,"&lt;&gt;")</f>
        <v>1</v>
      </c>
      <c r="D322" s="1">
        <f t="shared" si="216"/>
        <v>1</v>
      </c>
      <c r="E322" s="10">
        <f t="shared" si="217"/>
        <v>41</v>
      </c>
      <c r="F322" s="10">
        <f t="shared" si="218"/>
        <v>35</v>
      </c>
      <c r="G322" s="2">
        <f t="shared" si="219"/>
        <v>0.85365853658536583</v>
      </c>
      <c r="H322" s="10">
        <f ca="1">COUNTIFS(发射纪录!C:C,"&lt;&gt;-",发射纪录!G:G,"&gt;="&amp;DATE(YEAR(A322),MONTH(A322),1),发射纪录!G:G,"&lt;="&amp;DATE(YEAR(A322),MONTH(A322),DAY(EOMONTH(A322,0))),发射纪录!N:N,"&lt;&gt;")</f>
        <v>0</v>
      </c>
      <c r="I322" s="10">
        <f>COUNTIFS(发射纪录!C:C,"&lt;&gt;-",发射纪录!G:G,"&gt;="&amp;DATE(YEAR(A322),MONTH(A322),1),发射纪录!G:G,"&lt;="&amp;DATE(YEAR(A322),MONTH(A322),DAY(EOMONTH(A322,0))),发射纪录!N:N,"=成功",发射纪录!N:N,"&lt;&gt;")</f>
        <v>0</v>
      </c>
      <c r="J322" s="1" t="str">
        <f t="shared" ca="1" si="220"/>
        <v>-</v>
      </c>
      <c r="K322" s="10">
        <f t="shared" ca="1" si="221"/>
        <v>8</v>
      </c>
      <c r="L322" s="10">
        <f t="shared" ca="1" si="222"/>
        <v>4</v>
      </c>
      <c r="M322" s="2">
        <f t="shared" ca="1" si="223"/>
        <v>0.5</v>
      </c>
      <c r="N322" s="10">
        <f t="shared" ca="1" si="224"/>
        <v>1</v>
      </c>
      <c r="O322" s="10">
        <f t="shared" si="225"/>
        <v>1</v>
      </c>
      <c r="P322" s="3">
        <f t="shared" ca="1" si="226"/>
        <v>1</v>
      </c>
      <c r="Q322" s="10">
        <f t="shared" ca="1" si="227"/>
        <v>49</v>
      </c>
      <c r="R322" s="10">
        <f t="shared" ca="1" si="175"/>
        <v>39</v>
      </c>
      <c r="S322" s="4">
        <f t="shared" ca="1" si="228"/>
        <v>0.79591836734693877</v>
      </c>
      <c r="T322" s="478"/>
    </row>
    <row r="323" spans="1:20" x14ac:dyDescent="0.45">
      <c r="A323" s="64">
        <v>35278</v>
      </c>
      <c r="B323" s="14">
        <f>COUNTIFS(发射纪录!B:B,"&lt;&gt;-",发射纪录!G:G,"&gt;="&amp;DATE(YEAR(A323),MONTH(A323),1),发射纪录!G:G,"&lt;="&amp;DATE(YEAR(A323),MONTH(A323),DAY(EOMONTH(A323,0))),发射纪录!N:N,"&lt;&gt;")</f>
        <v>1</v>
      </c>
      <c r="C323" s="10">
        <f>COUNTIFS(发射纪录!B:B,"&lt;&gt;-",发射纪录!G:G,"&gt;="&amp;DATE(YEAR(A323),MONTH(A323),1),发射纪录!G:G,"&lt;="&amp;DATE(YEAR(A323),MONTH(A323),DAY(EOMONTH(A323,0))),发射纪录!N:N,"=成功",发射纪录!N:N,"&lt;&gt;")</f>
        <v>0</v>
      </c>
      <c r="D323" s="1">
        <f t="shared" si="216"/>
        <v>0</v>
      </c>
      <c r="E323" s="10">
        <f t="shared" si="217"/>
        <v>42</v>
      </c>
      <c r="F323" s="10">
        <f t="shared" si="218"/>
        <v>35</v>
      </c>
      <c r="G323" s="2">
        <f t="shared" si="219"/>
        <v>0.83333333333333337</v>
      </c>
      <c r="H323" s="10">
        <f>COUNTIFS(发射纪录!C:C,"&lt;&gt;-",发射纪录!G:G,"&gt;="&amp;DATE(YEAR(A323),MONTH(A323),1),发射纪录!G:G,"&lt;="&amp;DATE(YEAR(A323),MONTH(A323),DAY(EOMONTH(A323,0))),发射纪录!N:N,"&lt;&gt;")</f>
        <v>0</v>
      </c>
      <c r="I323" s="10">
        <f>COUNTIFS(发射纪录!C:C,"&lt;&gt;-",发射纪录!G:G,"&gt;="&amp;DATE(YEAR(A323),MONTH(A323),1),发射纪录!G:G,"&lt;="&amp;DATE(YEAR(A323),MONTH(A323),DAY(EOMONTH(A323,0))),发射纪录!N:N,"=成功",发射纪录!N:N,"&lt;&gt;")</f>
        <v>0</v>
      </c>
      <c r="J323" s="1" t="str">
        <f t="shared" si="220"/>
        <v>-</v>
      </c>
      <c r="K323" s="10">
        <f t="shared" ca="1" si="221"/>
        <v>8</v>
      </c>
      <c r="L323" s="10">
        <f t="shared" ca="1" si="222"/>
        <v>4</v>
      </c>
      <c r="M323" s="2">
        <f t="shared" ca="1" si="223"/>
        <v>0.5</v>
      </c>
      <c r="N323" s="10">
        <f t="shared" si="224"/>
        <v>1</v>
      </c>
      <c r="O323" s="10">
        <f t="shared" si="225"/>
        <v>0</v>
      </c>
      <c r="P323" s="3">
        <f t="shared" si="226"/>
        <v>0</v>
      </c>
      <c r="Q323" s="10">
        <f t="shared" ca="1" si="227"/>
        <v>50</v>
      </c>
      <c r="R323" s="10">
        <f t="shared" ca="1" si="175"/>
        <v>39</v>
      </c>
      <c r="S323" s="4">
        <f t="shared" ca="1" si="228"/>
        <v>0.78</v>
      </c>
      <c r="T323" s="478"/>
    </row>
    <row r="324" spans="1:20" x14ac:dyDescent="0.45">
      <c r="A324" s="64">
        <v>35309</v>
      </c>
      <c r="B324" s="14">
        <f>COUNTIFS(发射纪录!B:B,"&lt;&gt;-",发射纪录!G:G,"&gt;="&amp;DATE(YEAR(A324),MONTH(A324),1),发射纪录!G:G,"&lt;="&amp;DATE(YEAR(A324),MONTH(A324),DAY(EOMONTH(A324,0))),发射纪录!N:N,"&lt;&gt;")</f>
        <v>0</v>
      </c>
      <c r="C324" s="10">
        <f>COUNTIFS(发射纪录!B:B,"&lt;&gt;-",发射纪录!G:G,"&gt;="&amp;DATE(YEAR(A324),MONTH(A324),1),发射纪录!G:G,"&lt;="&amp;DATE(YEAR(A324),MONTH(A324),DAY(EOMONTH(A324,0))),发射纪录!N:N,"=成功",发射纪录!N:N,"&lt;&gt;")</f>
        <v>0</v>
      </c>
      <c r="D324" s="1" t="str">
        <f t="shared" si="216"/>
        <v>-</v>
      </c>
      <c r="E324" s="10">
        <f t="shared" si="217"/>
        <v>42</v>
      </c>
      <c r="F324" s="10">
        <f t="shared" si="218"/>
        <v>35</v>
      </c>
      <c r="G324" s="2">
        <f t="shared" si="219"/>
        <v>0.83333333333333337</v>
      </c>
      <c r="H324" s="10">
        <f ca="1">COUNTIFS(发射纪录!C:C,"&lt;&gt;-",发射纪录!G:G,"&gt;="&amp;DATE(YEAR(A324),MONTH(A324),1),发射纪录!G:G,"&lt;="&amp;DATE(YEAR(A324),MONTH(A324),DAY(EOMONTH(A324,0))),发射纪录!N:N,"&lt;&gt;")</f>
        <v>0</v>
      </c>
      <c r="I324" s="10">
        <f>COUNTIFS(发射纪录!C:C,"&lt;&gt;-",发射纪录!G:G,"&gt;="&amp;DATE(YEAR(A324),MONTH(A324),1),发射纪录!G:G,"&lt;="&amp;DATE(YEAR(A324),MONTH(A324),DAY(EOMONTH(A324,0))),发射纪录!N:N,"=成功",发射纪录!N:N,"&lt;&gt;")</f>
        <v>0</v>
      </c>
      <c r="J324" s="1" t="str">
        <f t="shared" ca="1" si="220"/>
        <v>-</v>
      </c>
      <c r="K324" s="10">
        <f t="shared" ca="1" si="221"/>
        <v>8</v>
      </c>
      <c r="L324" s="10">
        <f t="shared" ca="1" si="222"/>
        <v>4</v>
      </c>
      <c r="M324" s="2">
        <f t="shared" ca="1" si="223"/>
        <v>0.5</v>
      </c>
      <c r="N324" s="10">
        <f t="shared" ca="1" si="224"/>
        <v>0</v>
      </c>
      <c r="O324" s="10">
        <f t="shared" si="225"/>
        <v>0</v>
      </c>
      <c r="P324" s="3" t="str">
        <f t="shared" ca="1" si="226"/>
        <v>-</v>
      </c>
      <c r="Q324" s="10">
        <f t="shared" ca="1" si="227"/>
        <v>50</v>
      </c>
      <c r="R324" s="10">
        <f t="shared" ref="R324:R326" ca="1" si="229">F324+L324</f>
        <v>39</v>
      </c>
      <c r="S324" s="4">
        <f t="shared" ca="1" si="228"/>
        <v>0.78</v>
      </c>
      <c r="T324" s="478"/>
    </row>
    <row r="325" spans="1:20" x14ac:dyDescent="0.45">
      <c r="A325" s="64">
        <v>35339</v>
      </c>
      <c r="B325" s="14">
        <f>COUNTIFS(发射纪录!B:B,"&lt;&gt;-",发射纪录!G:G,"&gt;="&amp;DATE(YEAR(A325),MONTH(A325),1),发射纪录!G:G,"&lt;="&amp;DATE(YEAR(A325),MONTH(A325),DAY(EOMONTH(A325,0))),发射纪录!N:N,"&lt;&gt;")</f>
        <v>1</v>
      </c>
      <c r="C325" s="10">
        <f>COUNTIFS(发射纪录!B:B,"&lt;&gt;-",发射纪录!G:G,"&gt;="&amp;DATE(YEAR(A325),MONTH(A325),1),发射纪录!G:G,"&lt;="&amp;DATE(YEAR(A325),MONTH(A325),DAY(EOMONTH(A325,0))),发射纪录!N:N,"=成功",发射纪录!N:N,"&lt;&gt;")</f>
        <v>1</v>
      </c>
      <c r="D325" s="1">
        <f t="shared" si="216"/>
        <v>1</v>
      </c>
      <c r="E325" s="10">
        <f t="shared" si="217"/>
        <v>43</v>
      </c>
      <c r="F325" s="10">
        <f t="shared" si="218"/>
        <v>36</v>
      </c>
      <c r="G325" s="2">
        <f t="shared" si="219"/>
        <v>0.83720930232558144</v>
      </c>
      <c r="H325" s="10">
        <f>COUNTIFS(发射纪录!C:C,"&lt;&gt;-",发射纪录!G:G,"&gt;="&amp;DATE(YEAR(A325),MONTH(A325),1),发射纪录!G:G,"&lt;="&amp;DATE(YEAR(A325),MONTH(A325),DAY(EOMONTH(A325,0))),发射纪录!N:N,"&lt;&gt;")</f>
        <v>0</v>
      </c>
      <c r="I325" s="10">
        <f ca="1">COUNTIFS(发射纪录!C:C,"&lt;&gt;-",发射纪录!G:G,"&gt;="&amp;DATE(YEAR(A325),MONTH(A325),1),发射纪录!G:G,"&lt;="&amp;DATE(YEAR(A325),MONTH(A325),DAY(EOMONTH(A325,0))),发射纪录!N:N,"=成功",发射纪录!N:N,"&lt;&gt;")</f>
        <v>0</v>
      </c>
      <c r="J325" s="1" t="str">
        <f t="shared" si="220"/>
        <v>-</v>
      </c>
      <c r="K325" s="10">
        <f t="shared" ca="1" si="221"/>
        <v>8</v>
      </c>
      <c r="L325" s="10">
        <f t="shared" ca="1" si="222"/>
        <v>4</v>
      </c>
      <c r="M325" s="2">
        <f t="shared" ca="1" si="223"/>
        <v>0.5</v>
      </c>
      <c r="N325" s="10">
        <f t="shared" si="224"/>
        <v>1</v>
      </c>
      <c r="O325" s="10">
        <f t="shared" ca="1" si="225"/>
        <v>1</v>
      </c>
      <c r="P325" s="3">
        <f t="shared" ca="1" si="226"/>
        <v>1</v>
      </c>
      <c r="Q325" s="10">
        <f t="shared" ca="1" si="227"/>
        <v>51</v>
      </c>
      <c r="R325" s="10">
        <f t="shared" ca="1" si="229"/>
        <v>40</v>
      </c>
      <c r="S325" s="4">
        <f t="shared" ca="1" si="228"/>
        <v>0.78431372549019607</v>
      </c>
      <c r="T325" s="478"/>
    </row>
    <row r="326" spans="1:20" x14ac:dyDescent="0.45">
      <c r="A326" s="64">
        <v>35370</v>
      </c>
      <c r="B326" s="14">
        <f>COUNTIFS(发射纪录!B:B,"&lt;&gt;-",发射纪录!G:G,"&gt;="&amp;DATE(YEAR(A326),MONTH(A326),1),发射纪录!G:G,"&lt;="&amp;DATE(YEAR(A326),MONTH(A326),DAY(EOMONTH(A326,0))),发射纪录!N:N,"&lt;&gt;")</f>
        <v>0</v>
      </c>
      <c r="C326" s="10">
        <f>COUNTIFS(发射纪录!B:B,"&lt;&gt;-",发射纪录!G:G,"&gt;="&amp;DATE(YEAR(A326),MONTH(A326),1),发射纪录!G:G,"&lt;="&amp;DATE(YEAR(A326),MONTH(A326),DAY(EOMONTH(A326,0))),发射纪录!N:N,"=成功",发射纪录!N:N,"&lt;&gt;")</f>
        <v>0</v>
      </c>
      <c r="D326" s="1" t="str">
        <f t="shared" si="216"/>
        <v>-</v>
      </c>
      <c r="E326" s="10">
        <f t="shared" si="217"/>
        <v>43</v>
      </c>
      <c r="F326" s="10">
        <f t="shared" si="218"/>
        <v>36</v>
      </c>
      <c r="G326" s="2">
        <f t="shared" si="219"/>
        <v>0.83720930232558144</v>
      </c>
      <c r="H326" s="10">
        <f>COUNTIFS(发射纪录!C:C,"&lt;&gt;-",发射纪录!G:G,"&gt;="&amp;DATE(YEAR(A326),MONTH(A326),1),发射纪录!G:G,"&lt;="&amp;DATE(YEAR(A326),MONTH(A326),DAY(EOMONTH(A326,0))),发射纪录!N:N,"&lt;&gt;")</f>
        <v>0</v>
      </c>
      <c r="I326" s="10">
        <f ca="1">COUNTIFS(发射纪录!C:C,"&lt;&gt;-",发射纪录!G:G,"&gt;="&amp;DATE(YEAR(A326),MONTH(A326),1),发射纪录!G:G,"&lt;="&amp;DATE(YEAR(A326),MONTH(A326),DAY(EOMONTH(A326,0))),发射纪录!N:N,"=成功",发射纪录!N:N,"&lt;&gt;")</f>
        <v>0</v>
      </c>
      <c r="J326" s="1" t="str">
        <f t="shared" si="220"/>
        <v>-</v>
      </c>
      <c r="K326" s="10">
        <f t="shared" ca="1" si="221"/>
        <v>8</v>
      </c>
      <c r="L326" s="10">
        <f t="shared" ca="1" si="222"/>
        <v>4</v>
      </c>
      <c r="M326" s="2">
        <f t="shared" ca="1" si="223"/>
        <v>0.5</v>
      </c>
      <c r="N326" s="10">
        <f t="shared" si="224"/>
        <v>0</v>
      </c>
      <c r="O326" s="10">
        <f t="shared" ca="1" si="225"/>
        <v>0</v>
      </c>
      <c r="P326" s="3" t="str">
        <f t="shared" si="226"/>
        <v>-</v>
      </c>
      <c r="Q326" s="10">
        <f t="shared" ca="1" si="227"/>
        <v>51</v>
      </c>
      <c r="R326" s="10">
        <f t="shared" ca="1" si="229"/>
        <v>40</v>
      </c>
      <c r="S326" s="4">
        <f t="shared" ca="1" si="228"/>
        <v>0.78431372549019607</v>
      </c>
      <c r="T326" s="478"/>
    </row>
    <row r="327" spans="1:20" ht="19.5" customHeight="1" thickBot="1" x14ac:dyDescent="0.5">
      <c r="A327" s="65">
        <v>35400</v>
      </c>
      <c r="B327" s="17">
        <f>COUNTIFS(发射纪录!B:B,"&lt;&gt;-",发射纪录!G:G,"&gt;="&amp;DATE(YEAR(A327),MONTH(A327),1),发射纪录!G:G,"&lt;="&amp;DATE(YEAR(A327),MONTH(A327),DAY(EOMONTH(A327,0))),发射纪录!N:N,"&lt;&gt;")</f>
        <v>0</v>
      </c>
      <c r="C327" s="18">
        <f>COUNTIFS(发射纪录!B:B,"&lt;&gt;-",发射纪录!G:G,"&gt;="&amp;DATE(YEAR(A327),MONTH(A327),1),发射纪录!G:G,"&lt;="&amp;DATE(YEAR(A327),MONTH(A327),DAY(EOMONTH(A327,0))),发射纪录!N:N,"=成功",发射纪录!N:N,"&lt;&gt;")</f>
        <v>0</v>
      </c>
      <c r="D327" s="12" t="str">
        <f>IF(B327=0,"-",C327/B327)</f>
        <v>-</v>
      </c>
      <c r="E327" s="18">
        <f>E326+B327</f>
        <v>43</v>
      </c>
      <c r="F327" s="18">
        <f>F326+C327</f>
        <v>36</v>
      </c>
      <c r="G327" s="13">
        <f>IF(E327=0,"-",F327/E327)</f>
        <v>0.83720930232558144</v>
      </c>
      <c r="H327" s="18">
        <f>COUNTIFS(发射纪录!C:C,"&lt;&gt;-",发射纪录!G:G,"&gt;="&amp;DATE(YEAR(A327),MONTH(A327),1),发射纪录!G:G,"&lt;="&amp;DATE(YEAR(A327),MONTH(A327),DAY(EOMONTH(A327,0))),发射纪录!N:N,"&lt;&gt;")</f>
        <v>0</v>
      </c>
      <c r="I327" s="18">
        <f>COUNTIFS(发射纪录!C:C,"&lt;&gt;-",发射纪录!G:G,"&gt;="&amp;DATE(YEAR(A327),MONTH(A327),1),发射纪录!G:G,"&lt;="&amp;DATE(YEAR(A327),MONTH(A327),DAY(EOMONTH(A327,0))),发射纪录!N:N,"=成功",发射纪录!N:N,"&lt;&gt;")</f>
        <v>0</v>
      </c>
      <c r="J327" s="12" t="str">
        <f>IF(H327=0,"-",I327/H327)</f>
        <v>-</v>
      </c>
      <c r="K327" s="18">
        <f ca="1">K326+H327</f>
        <v>8</v>
      </c>
      <c r="L327" s="18">
        <f ca="1">L326+I327</f>
        <v>4</v>
      </c>
      <c r="M327" s="13">
        <f ca="1">IF(K327=0,"-",L327/K327)</f>
        <v>0.5</v>
      </c>
      <c r="N327" s="18">
        <f>B327+H327</f>
        <v>0</v>
      </c>
      <c r="O327" s="18">
        <f>C327+I327</f>
        <v>0</v>
      </c>
      <c r="P327" s="12" t="str">
        <f>IF(N327=0,"-",O327/N327)</f>
        <v>-</v>
      </c>
      <c r="Q327" s="18">
        <f ca="1">E327+K327</f>
        <v>51</v>
      </c>
      <c r="R327" s="18">
        <f ca="1">F327+L327</f>
        <v>40</v>
      </c>
      <c r="S327" s="13">
        <f ca="1">IF(Q327=0,"-",R327/Q327)</f>
        <v>0.78431372549019607</v>
      </c>
      <c r="T327" s="478"/>
    </row>
    <row r="328" spans="1:20" ht="19.5" customHeight="1" thickTop="1" x14ac:dyDescent="0.45">
      <c r="A328" s="63">
        <v>35431</v>
      </c>
      <c r="B328" s="14">
        <f>COUNTIFS(发射纪录!B:B,"&lt;&gt;-",发射纪录!G:G,"&gt;="&amp;DATE(YEAR(A328),MONTH(A328),1),发射纪录!G:G,"&lt;="&amp;DATE(YEAR(A328),MONTH(A328),DAY(EOMONTH(A328,0))),发射纪录!N:N,"&lt;&gt;")</f>
        <v>0</v>
      </c>
      <c r="C328" s="10">
        <f>COUNTIFS(发射纪录!B:B,"&lt;&gt;-",发射纪录!G:G,"&gt;="&amp;DATE(YEAR(A328),MONTH(A328),1),发射纪录!G:G,"&lt;="&amp;DATE(YEAR(A328),MONTH(A328),DAY(EOMONTH(A328,0))),发射纪录!N:N,"=成功",发射纪录!N:N,"&lt;&gt;")</f>
        <v>0</v>
      </c>
      <c r="D328" s="3" t="str">
        <f t="shared" ref="D328:D338" si="230">IF(B328=0,"-",C328/B328)</f>
        <v>-</v>
      </c>
      <c r="E328" s="10">
        <f t="shared" ref="E328:E338" si="231">E327+B328</f>
        <v>43</v>
      </c>
      <c r="F328" s="10">
        <f t="shared" ref="F328:F338" si="232">F327+C328</f>
        <v>36</v>
      </c>
      <c r="G328" s="4">
        <f t="shared" ref="G328:G338" si="233">IF(E328=0,"-",F328/E328)</f>
        <v>0.83720930232558144</v>
      </c>
      <c r="H328" s="10">
        <f>COUNTIFS(发射纪录!C:C,"&lt;&gt;-",发射纪录!G:G,"&gt;="&amp;DATE(YEAR(A328),MONTH(A328),1),发射纪录!G:G,"&lt;="&amp;DATE(YEAR(A328),MONTH(A328),DAY(EOMONTH(A328,0))),发射纪录!N:N,"&lt;&gt;")</f>
        <v>0</v>
      </c>
      <c r="I328" s="10">
        <f>COUNTIFS(发射纪录!C:C,"&lt;&gt;-",发射纪录!G:G,"&gt;="&amp;DATE(YEAR(A328),MONTH(A328),1),发射纪录!G:G,"&lt;="&amp;DATE(YEAR(A328),MONTH(A328),DAY(EOMONTH(A328,0))),发射纪录!N:N,"=成功",发射纪录!N:N,"&lt;&gt;")</f>
        <v>0</v>
      </c>
      <c r="J328" s="3" t="str">
        <f t="shared" ref="J328:J338" si="234">IF(H328=0,"-",I328/H328)</f>
        <v>-</v>
      </c>
      <c r="K328" s="10">
        <f t="shared" ref="K328:K338" ca="1" si="235">K327+H328</f>
        <v>8</v>
      </c>
      <c r="L328" s="10">
        <f t="shared" ref="L328:L338" ca="1" si="236">L327+I328</f>
        <v>4</v>
      </c>
      <c r="M328" s="4">
        <f t="shared" ref="M328:M338" ca="1" si="237">IF(K328=0,"-",L328/K328)</f>
        <v>0.5</v>
      </c>
      <c r="N328" s="10">
        <f t="shared" ref="N328:N338" si="238">B328+H328</f>
        <v>0</v>
      </c>
      <c r="O328" s="10">
        <f t="shared" ref="O328:O338" si="239">C328+I328</f>
        <v>0</v>
      </c>
      <c r="P328" s="3" t="str">
        <f t="shared" ref="P328:P338" si="240">IF(N328=0,"-",O328/N328)</f>
        <v>-</v>
      </c>
      <c r="Q328" s="10">
        <f t="shared" ref="Q328:Q338" ca="1" si="241">E328+K328</f>
        <v>51</v>
      </c>
      <c r="R328" s="10">
        <f t="shared" ref="R328:R386" ca="1" si="242">F328+L328</f>
        <v>40</v>
      </c>
      <c r="S328" s="4">
        <f t="shared" ref="S328:S338" ca="1" si="243">IF(Q328=0,"-",R328/Q328)</f>
        <v>0.78431372549019607</v>
      </c>
      <c r="T328" s="478"/>
    </row>
    <row r="329" spans="1:20" x14ac:dyDescent="0.45">
      <c r="A329" s="64">
        <v>35462</v>
      </c>
      <c r="B329" s="14">
        <f>COUNTIFS(发射纪录!B:B,"&lt;&gt;-",发射纪录!G:G,"&gt;="&amp;DATE(YEAR(A329),MONTH(A329),1),发射纪录!G:G,"&lt;="&amp;DATE(YEAR(A329),MONTH(A329),DAY(EOMONTH(A329,0))),发射纪录!N:N,"&lt;&gt;")</f>
        <v>0</v>
      </c>
      <c r="C329" s="10">
        <f>COUNTIFS(发射纪录!B:B,"&lt;&gt;-",发射纪录!G:G,"&gt;="&amp;DATE(YEAR(A329),MONTH(A329),1),发射纪录!G:G,"&lt;="&amp;DATE(YEAR(A329),MONTH(A329),DAY(EOMONTH(A329,0))),发射纪录!N:N,"=成功",发射纪录!N:N,"&lt;&gt;")</f>
        <v>0</v>
      </c>
      <c r="D329" s="1" t="str">
        <f t="shared" si="230"/>
        <v>-</v>
      </c>
      <c r="E329" s="10">
        <f t="shared" si="231"/>
        <v>43</v>
      </c>
      <c r="F329" s="10">
        <f t="shared" si="232"/>
        <v>36</v>
      </c>
      <c r="G329" s="2">
        <f t="shared" si="233"/>
        <v>0.83720930232558144</v>
      </c>
      <c r="H329" s="10">
        <f>COUNTIFS(发射纪录!C:C,"&lt;&gt;-",发射纪录!G:G,"&gt;="&amp;DATE(YEAR(A329),MONTH(A329),1),发射纪录!G:G,"&lt;="&amp;DATE(YEAR(A329),MONTH(A329),DAY(EOMONTH(A329,0))),发射纪录!N:N,"&lt;&gt;")</f>
        <v>0</v>
      </c>
      <c r="I329" s="10">
        <f>COUNTIFS(发射纪录!C:C,"&lt;&gt;-",发射纪录!G:G,"&gt;="&amp;DATE(YEAR(A329),MONTH(A329),1),发射纪录!G:G,"&lt;="&amp;DATE(YEAR(A329),MONTH(A329),DAY(EOMONTH(A329,0))),发射纪录!N:N,"=成功",发射纪录!N:N,"&lt;&gt;")</f>
        <v>0</v>
      </c>
      <c r="J329" s="1" t="str">
        <f t="shared" si="234"/>
        <v>-</v>
      </c>
      <c r="K329" s="10">
        <f t="shared" ca="1" si="235"/>
        <v>8</v>
      </c>
      <c r="L329" s="10">
        <f t="shared" ca="1" si="236"/>
        <v>4</v>
      </c>
      <c r="M329" s="2">
        <f t="shared" ca="1" si="237"/>
        <v>0.5</v>
      </c>
      <c r="N329" s="10">
        <f t="shared" si="238"/>
        <v>0</v>
      </c>
      <c r="O329" s="10">
        <f t="shared" si="239"/>
        <v>0</v>
      </c>
      <c r="P329" s="3" t="str">
        <f t="shared" si="240"/>
        <v>-</v>
      </c>
      <c r="Q329" s="10">
        <f t="shared" ca="1" si="241"/>
        <v>51</v>
      </c>
      <c r="R329" s="10">
        <f t="shared" ca="1" si="242"/>
        <v>40</v>
      </c>
      <c r="S329" s="4">
        <f t="shared" ca="1" si="243"/>
        <v>0.78431372549019607</v>
      </c>
      <c r="T329" s="478"/>
    </row>
    <row r="330" spans="1:20" x14ac:dyDescent="0.45">
      <c r="A330" s="64">
        <v>35490</v>
      </c>
      <c r="B330" s="14">
        <f>COUNTIFS(发射纪录!B:B,"&lt;&gt;-",发射纪录!G:G,"&gt;="&amp;DATE(YEAR(A330),MONTH(A330),1),发射纪录!G:G,"&lt;="&amp;DATE(YEAR(A330),MONTH(A330),DAY(EOMONTH(A330,0))),发射纪录!N:N,"&lt;&gt;")</f>
        <v>0</v>
      </c>
      <c r="C330" s="10">
        <f>COUNTIFS(发射纪录!B:B,"&lt;&gt;-",发射纪录!G:G,"&gt;="&amp;DATE(YEAR(A330),MONTH(A330),1),发射纪录!G:G,"&lt;="&amp;DATE(YEAR(A330),MONTH(A330),DAY(EOMONTH(A330,0))),发射纪录!N:N,"=成功",发射纪录!N:N,"&lt;&gt;")</f>
        <v>0</v>
      </c>
      <c r="D330" s="1" t="str">
        <f t="shared" si="230"/>
        <v>-</v>
      </c>
      <c r="E330" s="10">
        <f t="shared" si="231"/>
        <v>43</v>
      </c>
      <c r="F330" s="10">
        <f t="shared" si="232"/>
        <v>36</v>
      </c>
      <c r="G330" s="2">
        <f t="shared" si="233"/>
        <v>0.83720930232558144</v>
      </c>
      <c r="H330" s="10">
        <f>COUNTIFS(发射纪录!C:C,"&lt;&gt;-",发射纪录!G:G,"&gt;="&amp;DATE(YEAR(A330),MONTH(A330),1),发射纪录!G:G,"&lt;="&amp;DATE(YEAR(A330),MONTH(A330),DAY(EOMONTH(A330,0))),发射纪录!N:N,"&lt;&gt;")</f>
        <v>0</v>
      </c>
      <c r="I330" s="10">
        <f>COUNTIFS(发射纪录!C:C,"&lt;&gt;-",发射纪录!G:G,"&gt;="&amp;DATE(YEAR(A330),MONTH(A330),1),发射纪录!G:G,"&lt;="&amp;DATE(YEAR(A330),MONTH(A330),DAY(EOMONTH(A330,0))),发射纪录!N:N,"=成功",发射纪录!N:N,"&lt;&gt;")</f>
        <v>0</v>
      </c>
      <c r="J330" s="1" t="str">
        <f t="shared" si="234"/>
        <v>-</v>
      </c>
      <c r="K330" s="10">
        <f t="shared" ca="1" si="235"/>
        <v>8</v>
      </c>
      <c r="L330" s="10">
        <f t="shared" ca="1" si="236"/>
        <v>4</v>
      </c>
      <c r="M330" s="2">
        <f t="shared" ca="1" si="237"/>
        <v>0.5</v>
      </c>
      <c r="N330" s="10">
        <f t="shared" si="238"/>
        <v>0</v>
      </c>
      <c r="O330" s="10">
        <f t="shared" si="239"/>
        <v>0</v>
      </c>
      <c r="P330" s="3" t="str">
        <f t="shared" si="240"/>
        <v>-</v>
      </c>
      <c r="Q330" s="10">
        <f t="shared" ca="1" si="241"/>
        <v>51</v>
      </c>
      <c r="R330" s="10">
        <f t="shared" ca="1" si="242"/>
        <v>40</v>
      </c>
      <c r="S330" s="4">
        <f t="shared" ca="1" si="243"/>
        <v>0.78431372549019607</v>
      </c>
      <c r="T330" s="478"/>
    </row>
    <row r="331" spans="1:20" x14ac:dyDescent="0.45">
      <c r="A331" s="64">
        <v>35521</v>
      </c>
      <c r="B331" s="14">
        <f>COUNTIFS(发射纪录!B:B,"&lt;&gt;-",发射纪录!G:G,"&gt;="&amp;DATE(YEAR(A331),MONTH(A331),1),发射纪录!G:G,"&lt;="&amp;DATE(YEAR(A331),MONTH(A331),DAY(EOMONTH(A331,0))),发射纪录!N:N,"&lt;&gt;")</f>
        <v>0</v>
      </c>
      <c r="C331" s="10">
        <f>COUNTIFS(发射纪录!B:B,"&lt;&gt;-",发射纪录!G:G,"&gt;="&amp;DATE(YEAR(A331),MONTH(A331),1),发射纪录!G:G,"&lt;="&amp;DATE(YEAR(A331),MONTH(A331),DAY(EOMONTH(A331,0))),发射纪录!N:N,"=成功",发射纪录!N:N,"&lt;&gt;")</f>
        <v>0</v>
      </c>
      <c r="D331" s="1" t="str">
        <f t="shared" si="230"/>
        <v>-</v>
      </c>
      <c r="E331" s="10">
        <f t="shared" si="231"/>
        <v>43</v>
      </c>
      <c r="F331" s="10">
        <f t="shared" si="232"/>
        <v>36</v>
      </c>
      <c r="G331" s="2">
        <f t="shared" si="233"/>
        <v>0.83720930232558144</v>
      </c>
      <c r="H331" s="10">
        <f>COUNTIFS(发射纪录!C:C,"&lt;&gt;-",发射纪录!G:G,"&gt;="&amp;DATE(YEAR(A331),MONTH(A331),1),发射纪录!G:G,"&lt;="&amp;DATE(YEAR(A331),MONTH(A331),DAY(EOMONTH(A331,0))),发射纪录!N:N,"&lt;&gt;")</f>
        <v>0</v>
      </c>
      <c r="I331" s="10">
        <f ca="1">COUNTIFS(发射纪录!C:C,"&lt;&gt;-",发射纪录!G:G,"&gt;="&amp;DATE(YEAR(A331),MONTH(A331),1),发射纪录!G:G,"&lt;="&amp;DATE(YEAR(A331),MONTH(A331),DAY(EOMONTH(A331,0))),发射纪录!N:N,"=成功",发射纪录!N:N,"&lt;&gt;")</f>
        <v>0</v>
      </c>
      <c r="J331" s="1" t="str">
        <f t="shared" si="234"/>
        <v>-</v>
      </c>
      <c r="K331" s="10">
        <f t="shared" ca="1" si="235"/>
        <v>8</v>
      </c>
      <c r="L331" s="10">
        <f t="shared" ca="1" si="236"/>
        <v>4</v>
      </c>
      <c r="M331" s="2">
        <f t="shared" ca="1" si="237"/>
        <v>0.5</v>
      </c>
      <c r="N331" s="10">
        <f t="shared" si="238"/>
        <v>0</v>
      </c>
      <c r="O331" s="10">
        <f t="shared" ca="1" si="239"/>
        <v>0</v>
      </c>
      <c r="P331" s="3" t="str">
        <f t="shared" si="240"/>
        <v>-</v>
      </c>
      <c r="Q331" s="10">
        <f t="shared" ca="1" si="241"/>
        <v>51</v>
      </c>
      <c r="R331" s="10">
        <f t="shared" ca="1" si="242"/>
        <v>40</v>
      </c>
      <c r="S331" s="4">
        <f t="shared" ca="1" si="243"/>
        <v>0.78431372549019607</v>
      </c>
      <c r="T331" s="478"/>
    </row>
    <row r="332" spans="1:20" x14ac:dyDescent="0.45">
      <c r="A332" s="64">
        <v>35551</v>
      </c>
      <c r="B332" s="14">
        <f>COUNTIFS(发射纪录!B:B,"&lt;&gt;-",发射纪录!G:G,"&gt;="&amp;DATE(YEAR(A332),MONTH(A332),1),发射纪录!G:G,"&lt;="&amp;DATE(YEAR(A332),MONTH(A332),DAY(EOMONTH(A332,0))),发射纪录!N:N,"&lt;&gt;")</f>
        <v>1</v>
      </c>
      <c r="C332" s="10">
        <f>COUNTIFS(发射纪录!B:B,"&lt;&gt;-",发射纪录!G:G,"&gt;="&amp;DATE(YEAR(A332),MONTH(A332),1),发射纪录!G:G,"&lt;="&amp;DATE(YEAR(A332),MONTH(A332),DAY(EOMONTH(A332,0))),发射纪录!N:N,"=成功",发射纪录!N:N,"&lt;&gt;")</f>
        <v>1</v>
      </c>
      <c r="D332" s="1">
        <f t="shared" si="230"/>
        <v>1</v>
      </c>
      <c r="E332" s="10">
        <f t="shared" si="231"/>
        <v>44</v>
      </c>
      <c r="F332" s="10">
        <f t="shared" si="232"/>
        <v>37</v>
      </c>
      <c r="G332" s="2">
        <f t="shared" si="233"/>
        <v>0.84090909090909094</v>
      </c>
      <c r="H332" s="10">
        <f>COUNTIFS(发射纪录!C:C,"&lt;&gt;-",发射纪录!G:G,"&gt;="&amp;DATE(YEAR(A332),MONTH(A332),1),发射纪录!G:G,"&lt;="&amp;DATE(YEAR(A332),MONTH(A332),DAY(EOMONTH(A332,0))),发射纪录!N:N,"&lt;&gt;")</f>
        <v>0</v>
      </c>
      <c r="I332" s="10">
        <f>COUNTIFS(发射纪录!C:C,"&lt;&gt;-",发射纪录!G:G,"&gt;="&amp;DATE(YEAR(A332),MONTH(A332),1),发射纪录!G:G,"&lt;="&amp;DATE(YEAR(A332),MONTH(A332),DAY(EOMONTH(A332,0))),发射纪录!N:N,"=成功",发射纪录!N:N,"&lt;&gt;")</f>
        <v>0</v>
      </c>
      <c r="J332" s="1" t="str">
        <f t="shared" si="234"/>
        <v>-</v>
      </c>
      <c r="K332" s="10">
        <f t="shared" ca="1" si="235"/>
        <v>8</v>
      </c>
      <c r="L332" s="10">
        <f t="shared" ca="1" si="236"/>
        <v>4</v>
      </c>
      <c r="M332" s="2">
        <f t="shared" ca="1" si="237"/>
        <v>0.5</v>
      </c>
      <c r="N332" s="10">
        <f t="shared" si="238"/>
        <v>1</v>
      </c>
      <c r="O332" s="10">
        <f t="shared" si="239"/>
        <v>1</v>
      </c>
      <c r="P332" s="3">
        <f t="shared" si="240"/>
        <v>1</v>
      </c>
      <c r="Q332" s="10">
        <f t="shared" ca="1" si="241"/>
        <v>52</v>
      </c>
      <c r="R332" s="10">
        <f t="shared" ca="1" si="242"/>
        <v>41</v>
      </c>
      <c r="S332" s="4">
        <f t="shared" ca="1" si="243"/>
        <v>0.78846153846153844</v>
      </c>
      <c r="T332" s="478"/>
    </row>
    <row r="333" spans="1:20" x14ac:dyDescent="0.45">
      <c r="A333" s="64">
        <v>35582</v>
      </c>
      <c r="B333" s="14">
        <f>COUNTIFS(发射纪录!B:B,"&lt;&gt;-",发射纪录!G:G,"&gt;="&amp;DATE(YEAR(A333),MONTH(A333),1),发射纪录!G:G,"&lt;="&amp;DATE(YEAR(A333),MONTH(A333),DAY(EOMONTH(A333,0))),发射纪录!N:N,"&lt;&gt;")</f>
        <v>1</v>
      </c>
      <c r="C333" s="10">
        <f>COUNTIFS(发射纪录!B:B,"&lt;&gt;-",发射纪录!G:G,"&gt;="&amp;DATE(YEAR(A333),MONTH(A333),1),发射纪录!G:G,"&lt;="&amp;DATE(YEAR(A333),MONTH(A333),DAY(EOMONTH(A333,0))),发射纪录!N:N,"=成功",发射纪录!N:N,"&lt;&gt;")</f>
        <v>1</v>
      </c>
      <c r="D333" s="1">
        <f t="shared" si="230"/>
        <v>1</v>
      </c>
      <c r="E333" s="10">
        <f t="shared" si="231"/>
        <v>45</v>
      </c>
      <c r="F333" s="10">
        <f t="shared" si="232"/>
        <v>38</v>
      </c>
      <c r="G333" s="2">
        <f t="shared" si="233"/>
        <v>0.84444444444444444</v>
      </c>
      <c r="H333" s="10">
        <f>COUNTIFS(发射纪录!C:C,"&lt;&gt;-",发射纪录!G:G,"&gt;="&amp;DATE(YEAR(A333),MONTH(A333),1),发射纪录!G:G,"&lt;="&amp;DATE(YEAR(A333),MONTH(A333),DAY(EOMONTH(A333,0))),发射纪录!N:N,"&lt;&gt;")</f>
        <v>0</v>
      </c>
      <c r="I333" s="10">
        <f>COUNTIFS(发射纪录!C:C,"&lt;&gt;-",发射纪录!G:G,"&gt;="&amp;DATE(YEAR(A333),MONTH(A333),1),发射纪录!G:G,"&lt;="&amp;DATE(YEAR(A333),MONTH(A333),DAY(EOMONTH(A333,0))),发射纪录!N:N,"=成功",发射纪录!N:N,"&lt;&gt;")</f>
        <v>0</v>
      </c>
      <c r="J333" s="1" t="str">
        <f t="shared" si="234"/>
        <v>-</v>
      </c>
      <c r="K333" s="10">
        <f t="shared" ca="1" si="235"/>
        <v>8</v>
      </c>
      <c r="L333" s="10">
        <f t="shared" ca="1" si="236"/>
        <v>4</v>
      </c>
      <c r="M333" s="2">
        <f t="shared" ca="1" si="237"/>
        <v>0.5</v>
      </c>
      <c r="N333" s="10">
        <f t="shared" si="238"/>
        <v>1</v>
      </c>
      <c r="O333" s="10">
        <f t="shared" si="239"/>
        <v>1</v>
      </c>
      <c r="P333" s="3">
        <f t="shared" si="240"/>
        <v>1</v>
      </c>
      <c r="Q333" s="10">
        <f t="shared" ca="1" si="241"/>
        <v>53</v>
      </c>
      <c r="R333" s="10">
        <f t="shared" ca="1" si="242"/>
        <v>42</v>
      </c>
      <c r="S333" s="4">
        <f t="shared" ca="1" si="243"/>
        <v>0.79245283018867929</v>
      </c>
      <c r="T333" s="478"/>
    </row>
    <row r="334" spans="1:20" x14ac:dyDescent="0.45">
      <c r="A334" s="64">
        <v>35612</v>
      </c>
      <c r="B334" s="14">
        <f>COUNTIFS(发射纪录!B:B,"&lt;&gt;-",发射纪录!G:G,"&gt;="&amp;DATE(YEAR(A334),MONTH(A334),1),发射纪录!G:G,"&lt;="&amp;DATE(YEAR(A334),MONTH(A334),DAY(EOMONTH(A334,0))),发射纪录!N:N,"&lt;&gt;")</f>
        <v>0</v>
      </c>
      <c r="C334" s="10">
        <f>COUNTIFS(发射纪录!B:B,"&lt;&gt;-",发射纪录!G:G,"&gt;="&amp;DATE(YEAR(A334),MONTH(A334),1),发射纪录!G:G,"&lt;="&amp;DATE(YEAR(A334),MONTH(A334),DAY(EOMONTH(A334,0))),发射纪录!N:N,"=成功",发射纪录!N:N,"&lt;&gt;")</f>
        <v>0</v>
      </c>
      <c r="D334" s="1" t="str">
        <f t="shared" si="230"/>
        <v>-</v>
      </c>
      <c r="E334" s="10">
        <f t="shared" si="231"/>
        <v>45</v>
      </c>
      <c r="F334" s="10">
        <f t="shared" si="232"/>
        <v>38</v>
      </c>
      <c r="G334" s="2">
        <f t="shared" si="233"/>
        <v>0.84444444444444444</v>
      </c>
      <c r="H334" s="10">
        <f>COUNTIFS(发射纪录!C:C,"&lt;&gt;-",发射纪录!G:G,"&gt;="&amp;DATE(YEAR(A334),MONTH(A334),1),发射纪录!G:G,"&lt;="&amp;DATE(YEAR(A334),MONTH(A334),DAY(EOMONTH(A334,0))),发射纪录!N:N,"&lt;&gt;")</f>
        <v>0</v>
      </c>
      <c r="I334" s="10">
        <f>COUNTIFS(发射纪录!C:C,"&lt;&gt;-",发射纪录!G:G,"&gt;="&amp;DATE(YEAR(A334),MONTH(A334),1),发射纪录!G:G,"&lt;="&amp;DATE(YEAR(A334),MONTH(A334),DAY(EOMONTH(A334,0))),发射纪录!N:N,"=成功",发射纪录!N:N,"&lt;&gt;")</f>
        <v>0</v>
      </c>
      <c r="J334" s="1" t="str">
        <f t="shared" si="234"/>
        <v>-</v>
      </c>
      <c r="K334" s="10">
        <f t="shared" ca="1" si="235"/>
        <v>8</v>
      </c>
      <c r="L334" s="10">
        <f t="shared" ca="1" si="236"/>
        <v>4</v>
      </c>
      <c r="M334" s="2">
        <f t="shared" ca="1" si="237"/>
        <v>0.5</v>
      </c>
      <c r="N334" s="10">
        <f t="shared" si="238"/>
        <v>0</v>
      </c>
      <c r="O334" s="10">
        <f t="shared" si="239"/>
        <v>0</v>
      </c>
      <c r="P334" s="3" t="str">
        <f t="shared" si="240"/>
        <v>-</v>
      </c>
      <c r="Q334" s="10">
        <f t="shared" ca="1" si="241"/>
        <v>53</v>
      </c>
      <c r="R334" s="10">
        <f t="shared" ca="1" si="242"/>
        <v>42</v>
      </c>
      <c r="S334" s="4">
        <f t="shared" ca="1" si="243"/>
        <v>0.79245283018867929</v>
      </c>
      <c r="T334" s="478"/>
    </row>
    <row r="335" spans="1:20" x14ac:dyDescent="0.45">
      <c r="A335" s="64">
        <v>35643</v>
      </c>
      <c r="B335" s="14">
        <f>COUNTIFS(发射纪录!B:B,"&lt;&gt;-",发射纪录!G:G,"&gt;="&amp;DATE(YEAR(A335),MONTH(A335),1),发射纪录!G:G,"&lt;="&amp;DATE(YEAR(A335),MONTH(A335),DAY(EOMONTH(A335,0))),发射纪录!N:N,"&lt;&gt;")</f>
        <v>1</v>
      </c>
      <c r="C335" s="10">
        <f>COUNTIFS(发射纪录!B:B,"&lt;&gt;-",发射纪录!G:G,"&gt;="&amp;DATE(YEAR(A335),MONTH(A335),1),发射纪录!G:G,"&lt;="&amp;DATE(YEAR(A335),MONTH(A335),DAY(EOMONTH(A335,0))),发射纪录!N:N,"=成功",发射纪录!N:N,"&lt;&gt;")</f>
        <v>1</v>
      </c>
      <c r="D335" s="1">
        <f t="shared" si="230"/>
        <v>1</v>
      </c>
      <c r="E335" s="10">
        <f t="shared" si="231"/>
        <v>46</v>
      </c>
      <c r="F335" s="10">
        <f t="shared" si="232"/>
        <v>39</v>
      </c>
      <c r="G335" s="2">
        <f t="shared" si="233"/>
        <v>0.84782608695652173</v>
      </c>
      <c r="H335" s="10">
        <f ca="1">COUNTIFS(发射纪录!C:C,"&lt;&gt;-",发射纪录!G:G,"&gt;="&amp;DATE(YEAR(A335),MONTH(A335),1),发射纪录!G:G,"&lt;="&amp;DATE(YEAR(A335),MONTH(A335),DAY(EOMONTH(A335,0))),发射纪录!N:N,"&lt;&gt;")</f>
        <v>0</v>
      </c>
      <c r="I335" s="10">
        <f ca="1">COUNTIFS(发射纪录!C:C,"&lt;&gt;-",发射纪录!G:G,"&gt;="&amp;DATE(YEAR(A335),MONTH(A335),1),发射纪录!G:G,"&lt;="&amp;DATE(YEAR(A335),MONTH(A335),DAY(EOMONTH(A335,0))),发射纪录!N:N,"=成功",发射纪录!N:N,"&lt;&gt;")</f>
        <v>0</v>
      </c>
      <c r="J335" s="1" t="str">
        <f t="shared" ca="1" si="234"/>
        <v>-</v>
      </c>
      <c r="K335" s="10">
        <f t="shared" ca="1" si="235"/>
        <v>8</v>
      </c>
      <c r="L335" s="10">
        <f t="shared" ca="1" si="236"/>
        <v>4</v>
      </c>
      <c r="M335" s="2">
        <f t="shared" ca="1" si="237"/>
        <v>0.5</v>
      </c>
      <c r="N335" s="10">
        <f t="shared" ca="1" si="238"/>
        <v>1</v>
      </c>
      <c r="O335" s="10">
        <f t="shared" ca="1" si="239"/>
        <v>1</v>
      </c>
      <c r="P335" s="3">
        <f t="shared" ca="1" si="240"/>
        <v>1</v>
      </c>
      <c r="Q335" s="10">
        <f t="shared" ca="1" si="241"/>
        <v>54</v>
      </c>
      <c r="R335" s="10">
        <f t="shared" ca="1" si="242"/>
        <v>43</v>
      </c>
      <c r="S335" s="4">
        <f t="shared" ca="1" si="243"/>
        <v>0.79629629629629628</v>
      </c>
      <c r="T335" s="478"/>
    </row>
    <row r="336" spans="1:20" x14ac:dyDescent="0.45">
      <c r="A336" s="64">
        <v>35674</v>
      </c>
      <c r="B336" s="14">
        <f>COUNTIFS(发射纪录!B:B,"&lt;&gt;-",发射纪录!G:G,"&gt;="&amp;DATE(YEAR(A336),MONTH(A336),1),发射纪录!G:G,"&lt;="&amp;DATE(YEAR(A336),MONTH(A336),DAY(EOMONTH(A336,0))),发射纪录!N:N,"&lt;&gt;")</f>
        <v>1</v>
      </c>
      <c r="C336" s="10">
        <f>COUNTIFS(发射纪录!B:B,"&lt;&gt;-",发射纪录!G:G,"&gt;="&amp;DATE(YEAR(A336),MONTH(A336),1),发射纪录!G:G,"&lt;="&amp;DATE(YEAR(A336),MONTH(A336),DAY(EOMONTH(A336,0))),发射纪录!N:N,"=成功",发射纪录!N:N,"&lt;&gt;")</f>
        <v>1</v>
      </c>
      <c r="D336" s="1">
        <f t="shared" si="230"/>
        <v>1</v>
      </c>
      <c r="E336" s="10">
        <f t="shared" si="231"/>
        <v>47</v>
      </c>
      <c r="F336" s="10">
        <f t="shared" si="232"/>
        <v>40</v>
      </c>
      <c r="G336" s="2">
        <f t="shared" si="233"/>
        <v>0.85106382978723405</v>
      </c>
      <c r="H336" s="10">
        <f ca="1">COUNTIFS(发射纪录!C:C,"&lt;&gt;-",发射纪录!G:G,"&gt;="&amp;DATE(YEAR(A336),MONTH(A336),1),发射纪录!G:G,"&lt;="&amp;DATE(YEAR(A336),MONTH(A336),DAY(EOMONTH(A336,0))),发射纪录!N:N,"&lt;&gt;")</f>
        <v>0</v>
      </c>
      <c r="I336" s="10">
        <f ca="1">COUNTIFS(发射纪录!C:C,"&lt;&gt;-",发射纪录!G:G,"&gt;="&amp;DATE(YEAR(A336),MONTH(A336),1),发射纪录!G:G,"&lt;="&amp;DATE(YEAR(A336),MONTH(A336),DAY(EOMONTH(A336,0))),发射纪录!N:N,"=成功",发射纪录!N:N,"&lt;&gt;")</f>
        <v>0</v>
      </c>
      <c r="J336" s="1" t="str">
        <f t="shared" ca="1" si="234"/>
        <v>-</v>
      </c>
      <c r="K336" s="10">
        <f t="shared" ca="1" si="235"/>
        <v>8</v>
      </c>
      <c r="L336" s="10">
        <f t="shared" ca="1" si="236"/>
        <v>4</v>
      </c>
      <c r="M336" s="2">
        <f t="shared" ca="1" si="237"/>
        <v>0.5</v>
      </c>
      <c r="N336" s="10">
        <f t="shared" ca="1" si="238"/>
        <v>1</v>
      </c>
      <c r="O336" s="10">
        <f t="shared" ca="1" si="239"/>
        <v>1</v>
      </c>
      <c r="P336" s="3">
        <f t="shared" ca="1" si="240"/>
        <v>1</v>
      </c>
      <c r="Q336" s="10">
        <f t="shared" ca="1" si="241"/>
        <v>55</v>
      </c>
      <c r="R336" s="10">
        <f t="shared" ca="1" si="242"/>
        <v>44</v>
      </c>
      <c r="S336" s="4">
        <f t="shared" ca="1" si="243"/>
        <v>0.8</v>
      </c>
      <c r="T336" s="478"/>
    </row>
    <row r="337" spans="1:20" x14ac:dyDescent="0.45">
      <c r="A337" s="64">
        <v>35704</v>
      </c>
      <c r="B337" s="14">
        <f>COUNTIFS(发射纪录!B:B,"&lt;&gt;-",发射纪录!G:G,"&gt;="&amp;DATE(YEAR(A337),MONTH(A337),1),发射纪录!G:G,"&lt;="&amp;DATE(YEAR(A337),MONTH(A337),DAY(EOMONTH(A337,0))),发射纪录!N:N,"&lt;&gt;")</f>
        <v>1</v>
      </c>
      <c r="C337" s="10">
        <f>COUNTIFS(发射纪录!B:B,"&lt;&gt;-",发射纪录!G:G,"&gt;="&amp;DATE(YEAR(A337),MONTH(A337),1),发射纪录!G:G,"&lt;="&amp;DATE(YEAR(A337),MONTH(A337),DAY(EOMONTH(A337,0))),发射纪录!N:N,"=成功",发射纪录!N:N,"&lt;&gt;")</f>
        <v>1</v>
      </c>
      <c r="D337" s="1">
        <f t="shared" si="230"/>
        <v>1</v>
      </c>
      <c r="E337" s="10">
        <f t="shared" si="231"/>
        <v>48</v>
      </c>
      <c r="F337" s="10">
        <f t="shared" si="232"/>
        <v>41</v>
      </c>
      <c r="G337" s="2">
        <f t="shared" si="233"/>
        <v>0.85416666666666663</v>
      </c>
      <c r="H337" s="10">
        <f>COUNTIFS(发射纪录!C:C,"&lt;&gt;-",发射纪录!G:G,"&gt;="&amp;DATE(YEAR(A337),MONTH(A337),1),发射纪录!G:G,"&lt;="&amp;DATE(YEAR(A337),MONTH(A337),DAY(EOMONTH(A337,0))),发射纪录!N:N,"&lt;&gt;")</f>
        <v>0</v>
      </c>
      <c r="I337" s="10">
        <f ca="1">COUNTIFS(发射纪录!C:C,"&lt;&gt;-",发射纪录!G:G,"&gt;="&amp;DATE(YEAR(A337),MONTH(A337),1),发射纪录!G:G,"&lt;="&amp;DATE(YEAR(A337),MONTH(A337),DAY(EOMONTH(A337,0))),发射纪录!N:N,"=成功",发射纪录!N:N,"&lt;&gt;")</f>
        <v>0</v>
      </c>
      <c r="J337" s="1" t="str">
        <f t="shared" si="234"/>
        <v>-</v>
      </c>
      <c r="K337" s="10">
        <f t="shared" ca="1" si="235"/>
        <v>8</v>
      </c>
      <c r="L337" s="10">
        <f t="shared" ca="1" si="236"/>
        <v>4</v>
      </c>
      <c r="M337" s="2">
        <f t="shared" ca="1" si="237"/>
        <v>0.5</v>
      </c>
      <c r="N337" s="10">
        <f t="shared" si="238"/>
        <v>1</v>
      </c>
      <c r="O337" s="10">
        <f t="shared" ca="1" si="239"/>
        <v>1</v>
      </c>
      <c r="P337" s="3">
        <f t="shared" ca="1" si="240"/>
        <v>1</v>
      </c>
      <c r="Q337" s="10">
        <f t="shared" ca="1" si="241"/>
        <v>56</v>
      </c>
      <c r="R337" s="10">
        <f t="shared" ca="1" si="242"/>
        <v>45</v>
      </c>
      <c r="S337" s="4">
        <f t="shared" ca="1" si="243"/>
        <v>0.8035714285714286</v>
      </c>
      <c r="T337" s="478"/>
    </row>
    <row r="338" spans="1:20" x14ac:dyDescent="0.45">
      <c r="A338" s="64">
        <v>35735</v>
      </c>
      <c r="B338" s="14">
        <f>COUNTIFS(发射纪录!B:B,"&lt;&gt;-",发射纪录!G:G,"&gt;="&amp;DATE(YEAR(A338),MONTH(A338),1),发射纪录!G:G,"&lt;="&amp;DATE(YEAR(A338),MONTH(A338),DAY(EOMONTH(A338,0))),发射纪录!N:N,"&lt;&gt;")</f>
        <v>0</v>
      </c>
      <c r="C338" s="10">
        <f>COUNTIFS(发射纪录!B:B,"&lt;&gt;-",发射纪录!G:G,"&gt;="&amp;DATE(YEAR(A338),MONTH(A338),1),发射纪录!G:G,"&lt;="&amp;DATE(YEAR(A338),MONTH(A338),DAY(EOMONTH(A338,0))),发射纪录!N:N,"=成功",发射纪录!N:N,"&lt;&gt;")</f>
        <v>0</v>
      </c>
      <c r="D338" s="1" t="str">
        <f t="shared" si="230"/>
        <v>-</v>
      </c>
      <c r="E338" s="10">
        <f t="shared" si="231"/>
        <v>48</v>
      </c>
      <c r="F338" s="10">
        <f t="shared" si="232"/>
        <v>41</v>
      </c>
      <c r="G338" s="2">
        <f t="shared" si="233"/>
        <v>0.85416666666666663</v>
      </c>
      <c r="H338" s="10">
        <f>COUNTIFS(发射纪录!C:C,"&lt;&gt;-",发射纪录!G:G,"&gt;="&amp;DATE(YEAR(A338),MONTH(A338),1),发射纪录!G:G,"&lt;="&amp;DATE(YEAR(A338),MONTH(A338),DAY(EOMONTH(A338,0))),发射纪录!N:N,"&lt;&gt;")</f>
        <v>0</v>
      </c>
      <c r="I338" s="10">
        <f ca="1">COUNTIFS(发射纪录!C:C,"&lt;&gt;-",发射纪录!G:G,"&gt;="&amp;DATE(YEAR(A338),MONTH(A338),1),发射纪录!G:G,"&lt;="&amp;DATE(YEAR(A338),MONTH(A338),DAY(EOMONTH(A338,0))),发射纪录!N:N,"=成功",发射纪录!N:N,"&lt;&gt;")</f>
        <v>0</v>
      </c>
      <c r="J338" s="1" t="str">
        <f t="shared" si="234"/>
        <v>-</v>
      </c>
      <c r="K338" s="10">
        <f t="shared" ca="1" si="235"/>
        <v>8</v>
      </c>
      <c r="L338" s="10">
        <f t="shared" ca="1" si="236"/>
        <v>4</v>
      </c>
      <c r="M338" s="2">
        <f t="shared" ca="1" si="237"/>
        <v>0.5</v>
      </c>
      <c r="N338" s="10">
        <f t="shared" si="238"/>
        <v>0</v>
      </c>
      <c r="O338" s="10">
        <f t="shared" ca="1" si="239"/>
        <v>0</v>
      </c>
      <c r="P338" s="3" t="str">
        <f t="shared" si="240"/>
        <v>-</v>
      </c>
      <c r="Q338" s="10">
        <f t="shared" ca="1" si="241"/>
        <v>56</v>
      </c>
      <c r="R338" s="10">
        <f t="shared" ca="1" si="242"/>
        <v>45</v>
      </c>
      <c r="S338" s="4">
        <f t="shared" ca="1" si="243"/>
        <v>0.8035714285714286</v>
      </c>
      <c r="T338" s="478"/>
    </row>
    <row r="339" spans="1:20" ht="19.5" customHeight="1" thickBot="1" x14ac:dyDescent="0.5">
      <c r="A339" s="65">
        <v>35765</v>
      </c>
      <c r="B339" s="17">
        <f>COUNTIFS(发射纪录!B:B,"&lt;&gt;-",发射纪录!G:G,"&gt;="&amp;DATE(YEAR(A339),MONTH(A339),1),发射纪录!G:G,"&lt;="&amp;DATE(YEAR(A339),MONTH(A339),DAY(EOMONTH(A339,0))),发射纪录!N:N,"&lt;&gt;")</f>
        <v>1</v>
      </c>
      <c r="C339" s="18">
        <f>COUNTIFS(发射纪录!B:B,"&lt;&gt;-",发射纪录!G:G,"&gt;="&amp;DATE(YEAR(A339),MONTH(A339),1),发射纪录!G:G,"&lt;="&amp;DATE(YEAR(A339),MONTH(A339),DAY(EOMONTH(A339,0))),发射纪录!N:N,"=成功",发射纪录!N:N,"&lt;&gt;")</f>
        <v>1</v>
      </c>
      <c r="D339" s="12">
        <f>IF(B339=0,"-",C339/B339)</f>
        <v>1</v>
      </c>
      <c r="E339" s="18">
        <f>E338+B339</f>
        <v>49</v>
      </c>
      <c r="F339" s="18">
        <f>F338+C339</f>
        <v>42</v>
      </c>
      <c r="G339" s="13">
        <f>IF(E339=0,"-",F339/E339)</f>
        <v>0.8571428571428571</v>
      </c>
      <c r="H339" s="18">
        <f>COUNTIFS(发射纪录!C:C,"&lt;&gt;-",发射纪录!G:G,"&gt;="&amp;DATE(YEAR(A339),MONTH(A339),1),发射纪录!G:G,"&lt;="&amp;DATE(YEAR(A339),MONTH(A339),DAY(EOMONTH(A339,0))),发射纪录!N:N,"&lt;&gt;")</f>
        <v>0</v>
      </c>
      <c r="I339" s="18">
        <f>COUNTIFS(发射纪录!C:C,"&lt;&gt;-",发射纪录!G:G,"&gt;="&amp;DATE(YEAR(A339),MONTH(A339),1),发射纪录!G:G,"&lt;="&amp;DATE(YEAR(A339),MONTH(A339),DAY(EOMONTH(A339,0))),发射纪录!N:N,"=成功",发射纪录!N:N,"&lt;&gt;")</f>
        <v>0</v>
      </c>
      <c r="J339" s="12" t="str">
        <f>IF(H339=0,"-",I339/H339)</f>
        <v>-</v>
      </c>
      <c r="K339" s="18">
        <f ca="1">K338+H339</f>
        <v>8</v>
      </c>
      <c r="L339" s="18">
        <f ca="1">L338+I339</f>
        <v>4</v>
      </c>
      <c r="M339" s="13">
        <f ca="1">IF(K339=0,"-",L339/K339)</f>
        <v>0.5</v>
      </c>
      <c r="N339" s="18">
        <f>B339+H339</f>
        <v>1</v>
      </c>
      <c r="O339" s="18">
        <f>C339+I339</f>
        <v>1</v>
      </c>
      <c r="P339" s="12">
        <f>IF(N339=0,"-",O339/N339)</f>
        <v>1</v>
      </c>
      <c r="Q339" s="18">
        <f ca="1">E339+K339</f>
        <v>57</v>
      </c>
      <c r="R339" s="18">
        <f ca="1">F339+L339</f>
        <v>46</v>
      </c>
      <c r="S339" s="13">
        <f ca="1">IF(Q339=0,"-",R339/Q339)</f>
        <v>0.80701754385964908</v>
      </c>
      <c r="T339" s="478"/>
    </row>
    <row r="340" spans="1:20" ht="19.5" customHeight="1" thickTop="1" x14ac:dyDescent="0.45">
      <c r="A340" s="63">
        <v>35796</v>
      </c>
      <c r="B340" s="14">
        <f>COUNTIFS(发射纪录!B:B,"&lt;&gt;-",发射纪录!G:G,"&gt;="&amp;DATE(YEAR(A340),MONTH(A340),1),发射纪录!G:G,"&lt;="&amp;DATE(YEAR(A340),MONTH(A340),DAY(EOMONTH(A340,0))),发射纪录!N:N,"&lt;&gt;")</f>
        <v>0</v>
      </c>
      <c r="C340" s="10">
        <f>COUNTIFS(发射纪录!B:B,"&lt;&gt;-",发射纪录!G:G,"&gt;="&amp;DATE(YEAR(A340),MONTH(A340),1),发射纪录!G:G,"&lt;="&amp;DATE(YEAR(A340),MONTH(A340),DAY(EOMONTH(A340,0))),发射纪录!N:N,"=成功",发射纪录!N:N,"&lt;&gt;")</f>
        <v>0</v>
      </c>
      <c r="D340" s="3" t="str">
        <f t="shared" ref="D340:D350" si="244">IF(B340=0,"-",C340/B340)</f>
        <v>-</v>
      </c>
      <c r="E340" s="10">
        <f t="shared" ref="E340:E350" si="245">E339+B340</f>
        <v>49</v>
      </c>
      <c r="F340" s="10">
        <f t="shared" ref="F340:F350" si="246">F339+C340</f>
        <v>42</v>
      </c>
      <c r="G340" s="4">
        <f t="shared" ref="G340:G350" si="247">IF(E340=0,"-",F340/E340)</f>
        <v>0.8571428571428571</v>
      </c>
      <c r="H340" s="10">
        <f>COUNTIFS(发射纪录!C:C,"&lt;&gt;-",发射纪录!G:G,"&gt;="&amp;DATE(YEAR(A340),MONTH(A340),1),发射纪录!G:G,"&lt;="&amp;DATE(YEAR(A340),MONTH(A340),DAY(EOMONTH(A340,0))),发射纪录!N:N,"&lt;&gt;")</f>
        <v>0</v>
      </c>
      <c r="I340" s="10">
        <f>COUNTIFS(发射纪录!C:C,"&lt;&gt;-",发射纪录!G:G,"&gt;="&amp;DATE(YEAR(A340),MONTH(A340),1),发射纪录!G:G,"&lt;="&amp;DATE(YEAR(A340),MONTH(A340),DAY(EOMONTH(A340,0))),发射纪录!N:N,"=成功",发射纪录!N:N,"&lt;&gt;")</f>
        <v>0</v>
      </c>
      <c r="J340" s="3" t="str">
        <f t="shared" ref="J340:J350" si="248">IF(H340=0,"-",I340/H340)</f>
        <v>-</v>
      </c>
      <c r="K340" s="10">
        <f t="shared" ref="K340:K350" ca="1" si="249">K339+H340</f>
        <v>8</v>
      </c>
      <c r="L340" s="10">
        <f t="shared" ref="L340:L350" ca="1" si="250">L339+I340</f>
        <v>4</v>
      </c>
      <c r="M340" s="4">
        <f t="shared" ref="M340:M350" ca="1" si="251">IF(K340=0,"-",L340/K340)</f>
        <v>0.5</v>
      </c>
      <c r="N340" s="10">
        <f t="shared" ref="N340:N350" si="252">B340+H340</f>
        <v>0</v>
      </c>
      <c r="O340" s="10">
        <f t="shared" ref="O340:O350" si="253">C340+I340</f>
        <v>0</v>
      </c>
      <c r="P340" s="3" t="str">
        <f t="shared" ref="P340:P350" si="254">IF(N340=0,"-",O340/N340)</f>
        <v>-</v>
      </c>
      <c r="Q340" s="10">
        <f t="shared" ref="Q340:Q350" ca="1" si="255">E340+K340</f>
        <v>57</v>
      </c>
      <c r="R340" s="10">
        <f t="shared" ca="1" si="242"/>
        <v>46</v>
      </c>
      <c r="S340" s="4">
        <f t="shared" ref="S340:S350" ca="1" si="256">IF(Q340=0,"-",R340/Q340)</f>
        <v>0.80701754385964908</v>
      </c>
      <c r="T340" s="478"/>
    </row>
    <row r="341" spans="1:20" x14ac:dyDescent="0.45">
      <c r="A341" s="64">
        <v>35827</v>
      </c>
      <c r="B341" s="14">
        <f>COUNTIFS(发射纪录!B:B,"&lt;&gt;-",发射纪录!G:G,"&gt;="&amp;DATE(YEAR(A341),MONTH(A341),1),发射纪录!G:G,"&lt;="&amp;DATE(YEAR(A341),MONTH(A341),DAY(EOMONTH(A341,0))),发射纪录!N:N,"&lt;&gt;")</f>
        <v>0</v>
      </c>
      <c r="C341" s="10">
        <f>COUNTIFS(发射纪录!B:B,"&lt;&gt;-",发射纪录!G:G,"&gt;="&amp;DATE(YEAR(A341),MONTH(A341),1),发射纪录!G:G,"&lt;="&amp;DATE(YEAR(A341),MONTH(A341),DAY(EOMONTH(A341,0))),发射纪录!N:N,"=成功",发射纪录!N:N,"&lt;&gt;")</f>
        <v>0</v>
      </c>
      <c r="D341" s="1" t="str">
        <f t="shared" si="244"/>
        <v>-</v>
      </c>
      <c r="E341" s="10">
        <f t="shared" si="245"/>
        <v>49</v>
      </c>
      <c r="F341" s="10">
        <f t="shared" si="246"/>
        <v>42</v>
      </c>
      <c r="G341" s="2">
        <f t="shared" si="247"/>
        <v>0.8571428571428571</v>
      </c>
      <c r="H341" s="10">
        <f>COUNTIFS(发射纪录!C:C,"&lt;&gt;-",发射纪录!G:G,"&gt;="&amp;DATE(YEAR(A341),MONTH(A341),1),发射纪录!G:G,"&lt;="&amp;DATE(YEAR(A341),MONTH(A341),DAY(EOMONTH(A341,0))),发射纪录!N:N,"&lt;&gt;")</f>
        <v>0</v>
      </c>
      <c r="I341" s="10">
        <f>COUNTIFS(发射纪录!C:C,"&lt;&gt;-",发射纪录!G:G,"&gt;="&amp;DATE(YEAR(A341),MONTH(A341),1),发射纪录!G:G,"&lt;="&amp;DATE(YEAR(A341),MONTH(A341),DAY(EOMONTH(A341,0))),发射纪录!N:N,"=成功",发射纪录!N:N,"&lt;&gt;")</f>
        <v>0</v>
      </c>
      <c r="J341" s="1" t="str">
        <f t="shared" si="248"/>
        <v>-</v>
      </c>
      <c r="K341" s="10">
        <f t="shared" ca="1" si="249"/>
        <v>8</v>
      </c>
      <c r="L341" s="10">
        <f t="shared" ca="1" si="250"/>
        <v>4</v>
      </c>
      <c r="M341" s="2">
        <f t="shared" ca="1" si="251"/>
        <v>0.5</v>
      </c>
      <c r="N341" s="10">
        <f t="shared" si="252"/>
        <v>0</v>
      </c>
      <c r="O341" s="10">
        <f t="shared" si="253"/>
        <v>0</v>
      </c>
      <c r="P341" s="3" t="str">
        <f t="shared" si="254"/>
        <v>-</v>
      </c>
      <c r="Q341" s="10">
        <f t="shared" ca="1" si="255"/>
        <v>57</v>
      </c>
      <c r="R341" s="10">
        <f t="shared" ca="1" si="242"/>
        <v>46</v>
      </c>
      <c r="S341" s="4">
        <f t="shared" ca="1" si="256"/>
        <v>0.80701754385964908</v>
      </c>
      <c r="T341" s="478"/>
    </row>
    <row r="342" spans="1:20" x14ac:dyDescent="0.45">
      <c r="A342" s="64">
        <v>35855</v>
      </c>
      <c r="B342" s="14">
        <f>COUNTIFS(发射纪录!B:B,"&lt;&gt;-",发射纪录!G:G,"&gt;="&amp;DATE(YEAR(A342),MONTH(A342),1),发射纪录!G:G,"&lt;="&amp;DATE(YEAR(A342),MONTH(A342),DAY(EOMONTH(A342,0))),发射纪录!N:N,"&lt;&gt;")</f>
        <v>1</v>
      </c>
      <c r="C342" s="10">
        <f>COUNTIFS(发射纪录!B:B,"&lt;&gt;-",发射纪录!G:G,"&gt;="&amp;DATE(YEAR(A342),MONTH(A342),1),发射纪录!G:G,"&lt;="&amp;DATE(YEAR(A342),MONTH(A342),DAY(EOMONTH(A342,0))),发射纪录!N:N,"=成功",发射纪录!N:N,"&lt;&gt;")</f>
        <v>1</v>
      </c>
      <c r="D342" s="1">
        <f t="shared" si="244"/>
        <v>1</v>
      </c>
      <c r="E342" s="10">
        <f t="shared" si="245"/>
        <v>50</v>
      </c>
      <c r="F342" s="10">
        <f t="shared" si="246"/>
        <v>43</v>
      </c>
      <c r="G342" s="2">
        <f t="shared" si="247"/>
        <v>0.86</v>
      </c>
      <c r="H342" s="10">
        <f>COUNTIFS(发射纪录!C:C,"&lt;&gt;-",发射纪录!G:G,"&gt;="&amp;DATE(YEAR(A342),MONTH(A342),1),发射纪录!G:G,"&lt;="&amp;DATE(YEAR(A342),MONTH(A342),DAY(EOMONTH(A342,0))),发射纪录!N:N,"&lt;&gt;")</f>
        <v>0</v>
      </c>
      <c r="I342" s="10">
        <f>COUNTIFS(发射纪录!C:C,"&lt;&gt;-",发射纪录!G:G,"&gt;="&amp;DATE(YEAR(A342),MONTH(A342),1),发射纪录!G:G,"&lt;="&amp;DATE(YEAR(A342),MONTH(A342),DAY(EOMONTH(A342,0))),发射纪录!N:N,"=成功",发射纪录!N:N,"&lt;&gt;")</f>
        <v>0</v>
      </c>
      <c r="J342" s="1" t="str">
        <f t="shared" si="248"/>
        <v>-</v>
      </c>
      <c r="K342" s="10">
        <f t="shared" ca="1" si="249"/>
        <v>8</v>
      </c>
      <c r="L342" s="10">
        <f t="shared" ca="1" si="250"/>
        <v>4</v>
      </c>
      <c r="M342" s="2">
        <f t="shared" ca="1" si="251"/>
        <v>0.5</v>
      </c>
      <c r="N342" s="10">
        <f t="shared" si="252"/>
        <v>1</v>
      </c>
      <c r="O342" s="10">
        <f t="shared" si="253"/>
        <v>1</v>
      </c>
      <c r="P342" s="3">
        <f t="shared" si="254"/>
        <v>1</v>
      </c>
      <c r="Q342" s="10">
        <f t="shared" ca="1" si="255"/>
        <v>58</v>
      </c>
      <c r="R342" s="10">
        <f t="shared" ca="1" si="242"/>
        <v>47</v>
      </c>
      <c r="S342" s="4">
        <f t="shared" ca="1" si="256"/>
        <v>0.81034482758620685</v>
      </c>
      <c r="T342" s="478"/>
    </row>
    <row r="343" spans="1:20" x14ac:dyDescent="0.45">
      <c r="A343" s="64">
        <v>35886</v>
      </c>
      <c r="B343" s="14">
        <f>COUNTIFS(发射纪录!B:B,"&lt;&gt;-",发射纪录!G:G,"&gt;="&amp;DATE(YEAR(A343),MONTH(A343),1),发射纪录!G:G,"&lt;="&amp;DATE(YEAR(A343),MONTH(A343),DAY(EOMONTH(A343,0))),发射纪录!N:N,"&lt;&gt;")</f>
        <v>0</v>
      </c>
      <c r="C343" s="10">
        <f>COUNTIFS(发射纪录!B:B,"&lt;&gt;-",发射纪录!G:G,"&gt;="&amp;DATE(YEAR(A343),MONTH(A343),1),发射纪录!G:G,"&lt;="&amp;DATE(YEAR(A343),MONTH(A343),DAY(EOMONTH(A343,0))),发射纪录!N:N,"=成功",发射纪录!N:N,"&lt;&gt;")</f>
        <v>0</v>
      </c>
      <c r="D343" s="1" t="str">
        <f t="shared" si="244"/>
        <v>-</v>
      </c>
      <c r="E343" s="10">
        <f t="shared" si="245"/>
        <v>50</v>
      </c>
      <c r="F343" s="10">
        <f t="shared" si="246"/>
        <v>43</v>
      </c>
      <c r="G343" s="2">
        <f t="shared" si="247"/>
        <v>0.86</v>
      </c>
      <c r="H343" s="10">
        <f>COUNTIFS(发射纪录!C:C,"&lt;&gt;-",发射纪录!G:G,"&gt;="&amp;DATE(YEAR(A343),MONTH(A343),1),发射纪录!G:G,"&lt;="&amp;DATE(YEAR(A343),MONTH(A343),DAY(EOMONTH(A343,0))),发射纪录!N:N,"&lt;&gt;")</f>
        <v>0</v>
      </c>
      <c r="I343" s="10">
        <f>COUNTIFS(发射纪录!C:C,"&lt;&gt;-",发射纪录!G:G,"&gt;="&amp;DATE(YEAR(A343),MONTH(A343),1),发射纪录!G:G,"&lt;="&amp;DATE(YEAR(A343),MONTH(A343),DAY(EOMONTH(A343,0))),发射纪录!N:N,"=成功",发射纪录!N:N,"&lt;&gt;")</f>
        <v>0</v>
      </c>
      <c r="J343" s="1" t="str">
        <f t="shared" si="248"/>
        <v>-</v>
      </c>
      <c r="K343" s="10">
        <f t="shared" ca="1" si="249"/>
        <v>8</v>
      </c>
      <c r="L343" s="10">
        <f t="shared" ca="1" si="250"/>
        <v>4</v>
      </c>
      <c r="M343" s="2">
        <f t="shared" ca="1" si="251"/>
        <v>0.5</v>
      </c>
      <c r="N343" s="10">
        <f t="shared" si="252"/>
        <v>0</v>
      </c>
      <c r="O343" s="10">
        <f t="shared" si="253"/>
        <v>0</v>
      </c>
      <c r="P343" s="3" t="str">
        <f t="shared" si="254"/>
        <v>-</v>
      </c>
      <c r="Q343" s="10">
        <f t="shared" ca="1" si="255"/>
        <v>58</v>
      </c>
      <c r="R343" s="10">
        <f t="shared" ca="1" si="242"/>
        <v>47</v>
      </c>
      <c r="S343" s="4">
        <f t="shared" ca="1" si="256"/>
        <v>0.81034482758620685</v>
      </c>
      <c r="T343" s="478"/>
    </row>
    <row r="344" spans="1:20" x14ac:dyDescent="0.45">
      <c r="A344" s="64">
        <v>35916</v>
      </c>
      <c r="B344" s="14">
        <f>COUNTIFS(发射纪录!B:B,"&lt;&gt;-",发射纪录!G:G,"&gt;="&amp;DATE(YEAR(A344),MONTH(A344),1),发射纪录!G:G,"&lt;="&amp;DATE(YEAR(A344),MONTH(A344),DAY(EOMONTH(A344,0))),发射纪录!N:N,"&lt;&gt;")</f>
        <v>2</v>
      </c>
      <c r="C344" s="10">
        <f>COUNTIFS(发射纪录!B:B,"&lt;&gt;-",发射纪录!G:G,"&gt;="&amp;DATE(YEAR(A344),MONTH(A344),1),发射纪录!G:G,"&lt;="&amp;DATE(YEAR(A344),MONTH(A344),DAY(EOMONTH(A344,0))),发射纪录!N:N,"=成功",发射纪录!N:N,"&lt;&gt;")</f>
        <v>2</v>
      </c>
      <c r="D344" s="1">
        <f t="shared" si="244"/>
        <v>1</v>
      </c>
      <c r="E344" s="10">
        <f t="shared" si="245"/>
        <v>52</v>
      </c>
      <c r="F344" s="10">
        <f t="shared" si="246"/>
        <v>45</v>
      </c>
      <c r="G344" s="2">
        <f t="shared" si="247"/>
        <v>0.86538461538461542</v>
      </c>
      <c r="H344" s="10">
        <f>COUNTIFS(发射纪录!C:C,"&lt;&gt;-",发射纪录!G:G,"&gt;="&amp;DATE(YEAR(A344),MONTH(A344),1),发射纪录!G:G,"&lt;="&amp;DATE(YEAR(A344),MONTH(A344),DAY(EOMONTH(A344,0))),发射纪录!N:N,"&lt;&gt;")</f>
        <v>0</v>
      </c>
      <c r="I344" s="10">
        <f>COUNTIFS(发射纪录!C:C,"&lt;&gt;-",发射纪录!G:G,"&gt;="&amp;DATE(YEAR(A344),MONTH(A344),1),发射纪录!G:G,"&lt;="&amp;DATE(YEAR(A344),MONTH(A344),DAY(EOMONTH(A344,0))),发射纪录!N:N,"=成功",发射纪录!N:N,"&lt;&gt;")</f>
        <v>0</v>
      </c>
      <c r="J344" s="1" t="str">
        <f t="shared" si="248"/>
        <v>-</v>
      </c>
      <c r="K344" s="10">
        <f t="shared" ca="1" si="249"/>
        <v>8</v>
      </c>
      <c r="L344" s="10">
        <f t="shared" ca="1" si="250"/>
        <v>4</v>
      </c>
      <c r="M344" s="2">
        <f t="shared" ca="1" si="251"/>
        <v>0.5</v>
      </c>
      <c r="N344" s="10">
        <f t="shared" si="252"/>
        <v>2</v>
      </c>
      <c r="O344" s="10">
        <f t="shared" si="253"/>
        <v>2</v>
      </c>
      <c r="P344" s="3">
        <f t="shared" si="254"/>
        <v>1</v>
      </c>
      <c r="Q344" s="10">
        <f t="shared" ca="1" si="255"/>
        <v>60</v>
      </c>
      <c r="R344" s="10">
        <f t="shared" ca="1" si="242"/>
        <v>49</v>
      </c>
      <c r="S344" s="4">
        <f t="shared" ca="1" si="256"/>
        <v>0.81666666666666665</v>
      </c>
      <c r="T344" s="478"/>
    </row>
    <row r="345" spans="1:20" x14ac:dyDescent="0.45">
      <c r="A345" s="64">
        <v>35947</v>
      </c>
      <c r="B345" s="14">
        <f>COUNTIFS(发射纪录!B:B,"&lt;&gt;-",发射纪录!G:G,"&gt;="&amp;DATE(YEAR(A345),MONTH(A345),1),发射纪录!G:G,"&lt;="&amp;DATE(YEAR(A345),MONTH(A345),DAY(EOMONTH(A345,0))),发射纪录!N:N,"&lt;&gt;")</f>
        <v>0</v>
      </c>
      <c r="C345" s="10">
        <f>COUNTIFS(发射纪录!B:B,"&lt;&gt;-",发射纪录!G:G,"&gt;="&amp;DATE(YEAR(A345),MONTH(A345),1),发射纪录!G:G,"&lt;="&amp;DATE(YEAR(A345),MONTH(A345),DAY(EOMONTH(A345,0))),发射纪录!N:N,"=成功",发射纪录!N:N,"&lt;&gt;")</f>
        <v>0</v>
      </c>
      <c r="D345" s="1" t="str">
        <f t="shared" si="244"/>
        <v>-</v>
      </c>
      <c r="E345" s="10">
        <f t="shared" si="245"/>
        <v>52</v>
      </c>
      <c r="F345" s="10">
        <f t="shared" si="246"/>
        <v>45</v>
      </c>
      <c r="G345" s="2">
        <f t="shared" si="247"/>
        <v>0.86538461538461542</v>
      </c>
      <c r="H345" s="10">
        <f>COUNTIFS(发射纪录!C:C,"&lt;&gt;-",发射纪录!G:G,"&gt;="&amp;DATE(YEAR(A345),MONTH(A345),1),发射纪录!G:G,"&lt;="&amp;DATE(YEAR(A345),MONTH(A345),DAY(EOMONTH(A345,0))),发射纪录!N:N,"&lt;&gt;")</f>
        <v>0</v>
      </c>
      <c r="I345" s="10">
        <f>COUNTIFS(发射纪录!C:C,"&lt;&gt;-",发射纪录!G:G,"&gt;="&amp;DATE(YEAR(A345),MONTH(A345),1),发射纪录!G:G,"&lt;="&amp;DATE(YEAR(A345),MONTH(A345),DAY(EOMONTH(A345,0))),发射纪录!N:N,"=成功",发射纪录!N:N,"&lt;&gt;")</f>
        <v>0</v>
      </c>
      <c r="J345" s="1" t="str">
        <f t="shared" si="248"/>
        <v>-</v>
      </c>
      <c r="K345" s="10">
        <f t="shared" ca="1" si="249"/>
        <v>8</v>
      </c>
      <c r="L345" s="10">
        <f t="shared" ca="1" si="250"/>
        <v>4</v>
      </c>
      <c r="M345" s="2">
        <f t="shared" ca="1" si="251"/>
        <v>0.5</v>
      </c>
      <c r="N345" s="10">
        <f t="shared" si="252"/>
        <v>0</v>
      </c>
      <c r="O345" s="10">
        <f t="shared" si="253"/>
        <v>0</v>
      </c>
      <c r="P345" s="3" t="str">
        <f t="shared" si="254"/>
        <v>-</v>
      </c>
      <c r="Q345" s="10">
        <f t="shared" ca="1" si="255"/>
        <v>60</v>
      </c>
      <c r="R345" s="10">
        <f t="shared" ca="1" si="242"/>
        <v>49</v>
      </c>
      <c r="S345" s="4">
        <f t="shared" ca="1" si="256"/>
        <v>0.81666666666666665</v>
      </c>
      <c r="T345" s="478"/>
    </row>
    <row r="346" spans="1:20" x14ac:dyDescent="0.45">
      <c r="A346" s="64">
        <v>35977</v>
      </c>
      <c r="B346" s="14">
        <f>COUNTIFS(发射纪录!B:B,"&lt;&gt;-",发射纪录!G:G,"&gt;="&amp;DATE(YEAR(A346),MONTH(A346),1),发射纪录!G:G,"&lt;="&amp;DATE(YEAR(A346),MONTH(A346),DAY(EOMONTH(A346,0))),发射纪录!N:N,"&lt;&gt;")</f>
        <v>1</v>
      </c>
      <c r="C346" s="10">
        <f>COUNTIFS(发射纪录!B:B,"&lt;&gt;-",发射纪录!G:G,"&gt;="&amp;DATE(YEAR(A346),MONTH(A346),1),发射纪录!G:G,"&lt;="&amp;DATE(YEAR(A346),MONTH(A346),DAY(EOMONTH(A346,0))),发射纪录!N:N,"=成功",发射纪录!N:N,"&lt;&gt;")</f>
        <v>1</v>
      </c>
      <c r="D346" s="1">
        <f t="shared" si="244"/>
        <v>1</v>
      </c>
      <c r="E346" s="10">
        <f t="shared" si="245"/>
        <v>53</v>
      </c>
      <c r="F346" s="10">
        <f t="shared" si="246"/>
        <v>46</v>
      </c>
      <c r="G346" s="2">
        <f t="shared" si="247"/>
        <v>0.86792452830188682</v>
      </c>
      <c r="H346" s="10">
        <f>COUNTIFS(发射纪录!C:C,"&lt;&gt;-",发射纪录!G:G,"&gt;="&amp;DATE(YEAR(A346),MONTH(A346),1),发射纪录!G:G,"&lt;="&amp;DATE(YEAR(A346),MONTH(A346),DAY(EOMONTH(A346,0))),发射纪录!N:N,"&lt;&gt;")</f>
        <v>0</v>
      </c>
      <c r="I346" s="10">
        <f ca="1">COUNTIFS(发射纪录!C:C,"&lt;&gt;-",发射纪录!G:G,"&gt;="&amp;DATE(YEAR(A346),MONTH(A346),1),发射纪录!G:G,"&lt;="&amp;DATE(YEAR(A346),MONTH(A346),DAY(EOMONTH(A346,0))),发射纪录!N:N,"=成功",发射纪录!N:N,"&lt;&gt;")</f>
        <v>0</v>
      </c>
      <c r="J346" s="1" t="str">
        <f t="shared" si="248"/>
        <v>-</v>
      </c>
      <c r="K346" s="10">
        <f t="shared" ca="1" si="249"/>
        <v>8</v>
      </c>
      <c r="L346" s="10">
        <f t="shared" ca="1" si="250"/>
        <v>4</v>
      </c>
      <c r="M346" s="2">
        <f t="shared" ca="1" si="251"/>
        <v>0.5</v>
      </c>
      <c r="N346" s="10">
        <f t="shared" si="252"/>
        <v>1</v>
      </c>
      <c r="O346" s="10">
        <f t="shared" ca="1" si="253"/>
        <v>1</v>
      </c>
      <c r="P346" s="3">
        <f t="shared" ca="1" si="254"/>
        <v>1</v>
      </c>
      <c r="Q346" s="10">
        <f t="shared" ca="1" si="255"/>
        <v>61</v>
      </c>
      <c r="R346" s="10">
        <f t="shared" ca="1" si="242"/>
        <v>50</v>
      </c>
      <c r="S346" s="4">
        <f t="shared" ca="1" si="256"/>
        <v>0.81967213114754101</v>
      </c>
      <c r="T346" s="478"/>
    </row>
    <row r="347" spans="1:20" x14ac:dyDescent="0.45">
      <c r="A347" s="64">
        <v>36008</v>
      </c>
      <c r="B347" s="14">
        <f>COUNTIFS(发射纪录!B:B,"&lt;&gt;-",发射纪录!G:G,"&gt;="&amp;DATE(YEAR(A347),MONTH(A347),1),发射纪录!G:G,"&lt;="&amp;DATE(YEAR(A347),MONTH(A347),DAY(EOMONTH(A347,0))),发射纪录!N:N,"&lt;&gt;")</f>
        <v>1</v>
      </c>
      <c r="C347" s="10">
        <f>COUNTIFS(发射纪录!B:B,"&lt;&gt;-",发射纪录!G:G,"&gt;="&amp;DATE(YEAR(A347),MONTH(A347),1),发射纪录!G:G,"&lt;="&amp;DATE(YEAR(A347),MONTH(A347),DAY(EOMONTH(A347,0))),发射纪录!N:N,"=成功",发射纪录!N:N,"&lt;&gt;")</f>
        <v>1</v>
      </c>
      <c r="D347" s="1">
        <f t="shared" si="244"/>
        <v>1</v>
      </c>
      <c r="E347" s="10">
        <f t="shared" si="245"/>
        <v>54</v>
      </c>
      <c r="F347" s="10">
        <f t="shared" si="246"/>
        <v>47</v>
      </c>
      <c r="G347" s="2">
        <f t="shared" si="247"/>
        <v>0.87037037037037035</v>
      </c>
      <c r="H347" s="10">
        <f>COUNTIFS(发射纪录!C:C,"&lt;&gt;-",发射纪录!G:G,"&gt;="&amp;DATE(YEAR(A347),MONTH(A347),1),发射纪录!G:G,"&lt;="&amp;DATE(YEAR(A347),MONTH(A347),DAY(EOMONTH(A347,0))),发射纪录!N:N,"&lt;&gt;")</f>
        <v>0</v>
      </c>
      <c r="I347" s="10">
        <f>COUNTIFS(发射纪录!C:C,"&lt;&gt;-",发射纪录!G:G,"&gt;="&amp;DATE(YEAR(A347),MONTH(A347),1),发射纪录!G:G,"&lt;="&amp;DATE(YEAR(A347),MONTH(A347),DAY(EOMONTH(A347,0))),发射纪录!N:N,"=成功",发射纪录!N:N,"&lt;&gt;")</f>
        <v>0</v>
      </c>
      <c r="J347" s="1" t="str">
        <f t="shared" si="248"/>
        <v>-</v>
      </c>
      <c r="K347" s="10">
        <f t="shared" ca="1" si="249"/>
        <v>8</v>
      </c>
      <c r="L347" s="10">
        <f t="shared" ca="1" si="250"/>
        <v>4</v>
      </c>
      <c r="M347" s="2">
        <f t="shared" ca="1" si="251"/>
        <v>0.5</v>
      </c>
      <c r="N347" s="10">
        <f t="shared" si="252"/>
        <v>1</v>
      </c>
      <c r="O347" s="10">
        <f t="shared" si="253"/>
        <v>1</v>
      </c>
      <c r="P347" s="3">
        <f t="shared" si="254"/>
        <v>1</v>
      </c>
      <c r="Q347" s="10">
        <f t="shared" ca="1" si="255"/>
        <v>62</v>
      </c>
      <c r="R347" s="10">
        <f t="shared" ca="1" si="242"/>
        <v>51</v>
      </c>
      <c r="S347" s="4">
        <f t="shared" ca="1" si="256"/>
        <v>0.82258064516129037</v>
      </c>
      <c r="T347" s="478"/>
    </row>
    <row r="348" spans="1:20" x14ac:dyDescent="0.45">
      <c r="A348" s="64">
        <v>36039</v>
      </c>
      <c r="B348" s="14">
        <f>COUNTIFS(发射纪录!B:B,"&lt;&gt;-",发射纪录!G:G,"&gt;="&amp;DATE(YEAR(A348),MONTH(A348),1),发射纪录!G:G,"&lt;="&amp;DATE(YEAR(A348),MONTH(A348),DAY(EOMONTH(A348,0))),发射纪录!N:N,"&lt;&gt;")</f>
        <v>0</v>
      </c>
      <c r="C348" s="10">
        <f>COUNTIFS(发射纪录!B:B,"&lt;&gt;-",发射纪录!G:G,"&gt;="&amp;DATE(YEAR(A348),MONTH(A348),1),发射纪录!G:G,"&lt;="&amp;DATE(YEAR(A348),MONTH(A348),DAY(EOMONTH(A348,0))),发射纪录!N:N,"=成功",发射纪录!N:N,"&lt;&gt;")</f>
        <v>0</v>
      </c>
      <c r="D348" s="1" t="str">
        <f t="shared" si="244"/>
        <v>-</v>
      </c>
      <c r="E348" s="10">
        <f t="shared" si="245"/>
        <v>54</v>
      </c>
      <c r="F348" s="10">
        <f t="shared" si="246"/>
        <v>47</v>
      </c>
      <c r="G348" s="2">
        <f t="shared" si="247"/>
        <v>0.87037037037037035</v>
      </c>
      <c r="H348" s="10">
        <f ca="1">COUNTIFS(发射纪录!C:C,"&lt;&gt;-",发射纪录!G:G,"&gt;="&amp;DATE(YEAR(A348),MONTH(A348),1),发射纪录!G:G,"&lt;="&amp;DATE(YEAR(A348),MONTH(A348),DAY(EOMONTH(A348,0))),发射纪录!N:N,"&lt;&gt;")</f>
        <v>0</v>
      </c>
      <c r="I348" s="10">
        <f ca="1">COUNTIFS(发射纪录!C:C,"&lt;&gt;-",发射纪录!G:G,"&gt;="&amp;DATE(YEAR(A348),MONTH(A348),1),发射纪录!G:G,"&lt;="&amp;DATE(YEAR(A348),MONTH(A348),DAY(EOMONTH(A348,0))),发射纪录!N:N,"=成功",发射纪录!N:N,"&lt;&gt;")</f>
        <v>0</v>
      </c>
      <c r="J348" s="1" t="str">
        <f t="shared" ca="1" si="248"/>
        <v>-</v>
      </c>
      <c r="K348" s="10">
        <f t="shared" ca="1" si="249"/>
        <v>8</v>
      </c>
      <c r="L348" s="10">
        <f t="shared" ca="1" si="250"/>
        <v>4</v>
      </c>
      <c r="M348" s="2">
        <f t="shared" ca="1" si="251"/>
        <v>0.5</v>
      </c>
      <c r="N348" s="10">
        <f t="shared" ca="1" si="252"/>
        <v>0</v>
      </c>
      <c r="O348" s="10">
        <f t="shared" ca="1" si="253"/>
        <v>0</v>
      </c>
      <c r="P348" s="3" t="str">
        <f t="shared" ca="1" si="254"/>
        <v>-</v>
      </c>
      <c r="Q348" s="10">
        <f t="shared" ca="1" si="255"/>
        <v>62</v>
      </c>
      <c r="R348" s="10">
        <f t="shared" ca="1" si="242"/>
        <v>51</v>
      </c>
      <c r="S348" s="4">
        <f t="shared" ca="1" si="256"/>
        <v>0.82258064516129037</v>
      </c>
      <c r="T348" s="478"/>
    </row>
    <row r="349" spans="1:20" x14ac:dyDescent="0.45">
      <c r="A349" s="64">
        <v>36069</v>
      </c>
      <c r="B349" s="14">
        <f>COUNTIFS(发射纪录!B:B,"&lt;&gt;-",发射纪录!G:G,"&gt;="&amp;DATE(YEAR(A349),MONTH(A349),1),发射纪录!G:G,"&lt;="&amp;DATE(YEAR(A349),MONTH(A349),DAY(EOMONTH(A349,0))),发射纪录!N:N,"&lt;&gt;")</f>
        <v>0</v>
      </c>
      <c r="C349" s="10">
        <f>COUNTIFS(发射纪录!B:B,"&lt;&gt;-",发射纪录!G:G,"&gt;="&amp;DATE(YEAR(A349),MONTH(A349),1),发射纪录!G:G,"&lt;="&amp;DATE(YEAR(A349),MONTH(A349),DAY(EOMONTH(A349,0))),发射纪录!N:N,"=成功",发射纪录!N:N,"&lt;&gt;")</f>
        <v>0</v>
      </c>
      <c r="D349" s="1" t="str">
        <f t="shared" si="244"/>
        <v>-</v>
      </c>
      <c r="E349" s="10">
        <f t="shared" si="245"/>
        <v>54</v>
      </c>
      <c r="F349" s="10">
        <f t="shared" si="246"/>
        <v>47</v>
      </c>
      <c r="G349" s="2">
        <f t="shared" si="247"/>
        <v>0.87037037037037035</v>
      </c>
      <c r="H349" s="10">
        <f>COUNTIFS(发射纪录!C:C,"&lt;&gt;-",发射纪录!G:G,"&gt;="&amp;DATE(YEAR(A349),MONTH(A349),1),发射纪录!G:G,"&lt;="&amp;DATE(YEAR(A349),MONTH(A349),DAY(EOMONTH(A349,0))),发射纪录!N:N,"&lt;&gt;")</f>
        <v>0</v>
      </c>
      <c r="I349" s="10">
        <f>COUNTIFS(发射纪录!C:C,"&lt;&gt;-",发射纪录!G:G,"&gt;="&amp;DATE(YEAR(A349),MONTH(A349),1),发射纪录!G:G,"&lt;="&amp;DATE(YEAR(A349),MONTH(A349),DAY(EOMONTH(A349,0))),发射纪录!N:N,"=成功",发射纪录!N:N,"&lt;&gt;")</f>
        <v>0</v>
      </c>
      <c r="J349" s="1" t="str">
        <f t="shared" si="248"/>
        <v>-</v>
      </c>
      <c r="K349" s="10">
        <f t="shared" ca="1" si="249"/>
        <v>8</v>
      </c>
      <c r="L349" s="10">
        <f t="shared" ca="1" si="250"/>
        <v>4</v>
      </c>
      <c r="M349" s="2">
        <f t="shared" ca="1" si="251"/>
        <v>0.5</v>
      </c>
      <c r="N349" s="10">
        <f t="shared" si="252"/>
        <v>0</v>
      </c>
      <c r="O349" s="10">
        <f t="shared" si="253"/>
        <v>0</v>
      </c>
      <c r="P349" s="3" t="str">
        <f t="shared" si="254"/>
        <v>-</v>
      </c>
      <c r="Q349" s="10">
        <f t="shared" ca="1" si="255"/>
        <v>62</v>
      </c>
      <c r="R349" s="10">
        <f t="shared" ca="1" si="242"/>
        <v>51</v>
      </c>
      <c r="S349" s="4">
        <f t="shared" ca="1" si="256"/>
        <v>0.82258064516129037</v>
      </c>
      <c r="T349" s="478"/>
    </row>
    <row r="350" spans="1:20" x14ac:dyDescent="0.45">
      <c r="A350" s="64">
        <v>36100</v>
      </c>
      <c r="B350" s="14">
        <f>COUNTIFS(发射纪录!B:B,"&lt;&gt;-",发射纪录!G:G,"&gt;="&amp;DATE(YEAR(A350),MONTH(A350),1),发射纪录!G:G,"&lt;="&amp;DATE(YEAR(A350),MONTH(A350),DAY(EOMONTH(A350,0))),发射纪录!N:N,"&lt;&gt;")</f>
        <v>0</v>
      </c>
      <c r="C350" s="10">
        <f>COUNTIFS(发射纪录!B:B,"&lt;&gt;-",发射纪录!G:G,"&gt;="&amp;DATE(YEAR(A350),MONTH(A350),1),发射纪录!G:G,"&lt;="&amp;DATE(YEAR(A350),MONTH(A350),DAY(EOMONTH(A350,0))),发射纪录!N:N,"=成功",发射纪录!N:N,"&lt;&gt;")</f>
        <v>0</v>
      </c>
      <c r="D350" s="1" t="str">
        <f t="shared" si="244"/>
        <v>-</v>
      </c>
      <c r="E350" s="10">
        <f t="shared" si="245"/>
        <v>54</v>
      </c>
      <c r="F350" s="10">
        <f t="shared" si="246"/>
        <v>47</v>
      </c>
      <c r="G350" s="2">
        <f t="shared" si="247"/>
        <v>0.87037037037037035</v>
      </c>
      <c r="H350" s="10">
        <f ca="1">COUNTIFS(发射纪录!C:C,"&lt;&gt;-",发射纪录!G:G,"&gt;="&amp;DATE(YEAR(A350),MONTH(A350),1),发射纪录!G:G,"&lt;="&amp;DATE(YEAR(A350),MONTH(A350),DAY(EOMONTH(A350,0))),发射纪录!N:N,"&lt;&gt;")</f>
        <v>0</v>
      </c>
      <c r="I350" s="10">
        <f ca="1">COUNTIFS(发射纪录!C:C,"&lt;&gt;-",发射纪录!G:G,"&gt;="&amp;DATE(YEAR(A350),MONTH(A350),1),发射纪录!G:G,"&lt;="&amp;DATE(YEAR(A350),MONTH(A350),DAY(EOMONTH(A350,0))),发射纪录!N:N,"=成功",发射纪录!N:N,"&lt;&gt;")</f>
        <v>0</v>
      </c>
      <c r="J350" s="1" t="str">
        <f t="shared" ca="1" si="248"/>
        <v>-</v>
      </c>
      <c r="K350" s="10">
        <f t="shared" ca="1" si="249"/>
        <v>8</v>
      </c>
      <c r="L350" s="10">
        <f t="shared" ca="1" si="250"/>
        <v>4</v>
      </c>
      <c r="M350" s="2">
        <f t="shared" ca="1" si="251"/>
        <v>0.5</v>
      </c>
      <c r="N350" s="10">
        <f t="shared" ca="1" si="252"/>
        <v>0</v>
      </c>
      <c r="O350" s="10">
        <f t="shared" ca="1" si="253"/>
        <v>0</v>
      </c>
      <c r="P350" s="3" t="str">
        <f t="shared" ca="1" si="254"/>
        <v>-</v>
      </c>
      <c r="Q350" s="10">
        <f t="shared" ca="1" si="255"/>
        <v>62</v>
      </c>
      <c r="R350" s="10">
        <f t="shared" ca="1" si="242"/>
        <v>51</v>
      </c>
      <c r="S350" s="4">
        <f t="shared" ca="1" si="256"/>
        <v>0.82258064516129037</v>
      </c>
      <c r="T350" s="478"/>
    </row>
    <row r="351" spans="1:20" ht="19.5" customHeight="1" thickBot="1" x14ac:dyDescent="0.5">
      <c r="A351" s="65">
        <v>36130</v>
      </c>
      <c r="B351" s="17">
        <f>COUNTIFS(发射纪录!B:B,"&lt;&gt;-",发射纪录!G:G,"&gt;="&amp;DATE(YEAR(A351),MONTH(A351),1),发射纪录!G:G,"&lt;="&amp;DATE(YEAR(A351),MONTH(A351),DAY(EOMONTH(A351,0))),发射纪录!N:N,"&lt;&gt;")</f>
        <v>1</v>
      </c>
      <c r="C351" s="18">
        <f>COUNTIFS(发射纪录!B:B,"&lt;&gt;-",发射纪录!G:G,"&gt;="&amp;DATE(YEAR(A351),MONTH(A351),1),发射纪录!G:G,"&lt;="&amp;DATE(YEAR(A351),MONTH(A351),DAY(EOMONTH(A351,0))),发射纪录!N:N,"=成功",发射纪录!N:N,"&lt;&gt;")</f>
        <v>1</v>
      </c>
      <c r="D351" s="12">
        <f>IF(B351=0,"-",C351/B351)</f>
        <v>1</v>
      </c>
      <c r="E351" s="18">
        <f>E350+B351</f>
        <v>55</v>
      </c>
      <c r="F351" s="18">
        <f>F350+C351</f>
        <v>48</v>
      </c>
      <c r="G351" s="13">
        <f>IF(E351=0,"-",F351/E351)</f>
        <v>0.87272727272727268</v>
      </c>
      <c r="H351" s="18">
        <f ca="1">COUNTIFS(发射纪录!C:C,"&lt;&gt;-",发射纪录!G:G,"&gt;="&amp;DATE(YEAR(A351),MONTH(A351),1),发射纪录!G:G,"&lt;="&amp;DATE(YEAR(A351),MONTH(A351),DAY(EOMONTH(A351,0))),发射纪录!N:N,"&lt;&gt;")</f>
        <v>0</v>
      </c>
      <c r="I351" s="18">
        <f>COUNTIFS(发射纪录!C:C,"&lt;&gt;-",发射纪录!G:G,"&gt;="&amp;DATE(YEAR(A351),MONTH(A351),1),发射纪录!G:G,"&lt;="&amp;DATE(YEAR(A351),MONTH(A351),DAY(EOMONTH(A351,0))),发射纪录!N:N,"=成功",发射纪录!N:N,"&lt;&gt;")</f>
        <v>0</v>
      </c>
      <c r="J351" s="12" t="str">
        <f ca="1">IF(H351=0,"-",I351/H351)</f>
        <v>-</v>
      </c>
      <c r="K351" s="18">
        <f ca="1">K350+H351</f>
        <v>8</v>
      </c>
      <c r="L351" s="18">
        <f ca="1">L350+I351</f>
        <v>4</v>
      </c>
      <c r="M351" s="13">
        <f ca="1">IF(K351=0,"-",L351/K351)</f>
        <v>0.5</v>
      </c>
      <c r="N351" s="18">
        <f ca="1">B351+H351</f>
        <v>1</v>
      </c>
      <c r="O351" s="18">
        <f>C351+I351</f>
        <v>1</v>
      </c>
      <c r="P351" s="12">
        <f ca="1">IF(N351=0,"-",O351/N351)</f>
        <v>1</v>
      </c>
      <c r="Q351" s="18">
        <f ca="1">E351+K351</f>
        <v>63</v>
      </c>
      <c r="R351" s="18">
        <f ca="1">F351+L351</f>
        <v>52</v>
      </c>
      <c r="S351" s="13">
        <f ca="1">IF(Q351=0,"-",R351/Q351)</f>
        <v>0.82539682539682535</v>
      </c>
      <c r="T351" s="478"/>
    </row>
    <row r="352" spans="1:20" ht="19.5" customHeight="1" thickTop="1" x14ac:dyDescent="0.45">
      <c r="A352" s="63">
        <v>36161</v>
      </c>
      <c r="B352" s="14">
        <f>COUNTIFS(发射纪录!B:B,"&lt;&gt;-",发射纪录!G:G,"&gt;="&amp;DATE(YEAR(A352),MONTH(A352),1),发射纪录!G:G,"&lt;="&amp;DATE(YEAR(A352),MONTH(A352),DAY(EOMONTH(A352,0))),发射纪录!N:N,"&lt;&gt;")</f>
        <v>0</v>
      </c>
      <c r="C352" s="10">
        <f>COUNTIFS(发射纪录!B:B,"&lt;&gt;-",发射纪录!G:G,"&gt;="&amp;DATE(YEAR(A352),MONTH(A352),1),发射纪录!G:G,"&lt;="&amp;DATE(YEAR(A352),MONTH(A352),DAY(EOMONTH(A352,0))),发射纪录!N:N,"=成功",发射纪录!N:N,"&lt;&gt;")</f>
        <v>0</v>
      </c>
      <c r="D352" s="3" t="str">
        <f t="shared" ref="D352:D362" si="257">IF(B352=0,"-",C352/B352)</f>
        <v>-</v>
      </c>
      <c r="E352" s="10">
        <f t="shared" ref="E352:E362" si="258">E351+B352</f>
        <v>55</v>
      </c>
      <c r="F352" s="10">
        <f t="shared" ref="F352:F362" si="259">F351+C352</f>
        <v>48</v>
      </c>
      <c r="G352" s="4">
        <f t="shared" ref="G352:G362" si="260">IF(E352=0,"-",F352/E352)</f>
        <v>0.87272727272727268</v>
      </c>
      <c r="H352" s="10">
        <f>COUNTIFS(发射纪录!C:C,"&lt;&gt;-",发射纪录!G:G,"&gt;="&amp;DATE(YEAR(A352),MONTH(A352),1),发射纪录!G:G,"&lt;="&amp;DATE(YEAR(A352),MONTH(A352),DAY(EOMONTH(A352,0))),发射纪录!N:N,"&lt;&gt;")</f>
        <v>0</v>
      </c>
      <c r="I352" s="10">
        <f>COUNTIFS(发射纪录!C:C,"&lt;&gt;-",发射纪录!G:G,"&gt;="&amp;DATE(YEAR(A352),MONTH(A352),1),发射纪录!G:G,"&lt;="&amp;DATE(YEAR(A352),MONTH(A352),DAY(EOMONTH(A352,0))),发射纪录!N:N,"=成功",发射纪录!N:N,"&lt;&gt;")</f>
        <v>0</v>
      </c>
      <c r="J352" s="3" t="str">
        <f t="shared" ref="J352:J362" si="261">IF(H352=0,"-",I352/H352)</f>
        <v>-</v>
      </c>
      <c r="K352" s="10">
        <f t="shared" ref="K352:K362" ca="1" si="262">K351+H352</f>
        <v>8</v>
      </c>
      <c r="L352" s="10">
        <f t="shared" ref="L352:L362" ca="1" si="263">L351+I352</f>
        <v>4</v>
      </c>
      <c r="M352" s="4">
        <f t="shared" ref="M352:M362" ca="1" si="264">IF(K352=0,"-",L352/K352)</f>
        <v>0.5</v>
      </c>
      <c r="N352" s="10">
        <f t="shared" ref="N352:N362" si="265">B352+H352</f>
        <v>0</v>
      </c>
      <c r="O352" s="10">
        <f t="shared" ref="O352:O362" si="266">C352+I352</f>
        <v>0</v>
      </c>
      <c r="P352" s="3" t="str">
        <f t="shared" ref="P352:P362" si="267">IF(N352=0,"-",O352/N352)</f>
        <v>-</v>
      </c>
      <c r="Q352" s="10">
        <f t="shared" ref="Q352:Q362" ca="1" si="268">E352+K352</f>
        <v>63</v>
      </c>
      <c r="R352" s="10">
        <f t="shared" ca="1" si="242"/>
        <v>52</v>
      </c>
      <c r="S352" s="4">
        <f t="shared" ref="S352:S362" ca="1" si="269">IF(Q352=0,"-",R352/Q352)</f>
        <v>0.82539682539682535</v>
      </c>
      <c r="T352" s="478"/>
    </row>
    <row r="353" spans="1:20" x14ac:dyDescent="0.45">
      <c r="A353" s="64">
        <v>36192</v>
      </c>
      <c r="B353" s="14">
        <f>COUNTIFS(发射纪录!B:B,"&lt;&gt;-",发射纪录!G:G,"&gt;="&amp;DATE(YEAR(A353),MONTH(A353),1),发射纪录!G:G,"&lt;="&amp;DATE(YEAR(A353),MONTH(A353),DAY(EOMONTH(A353,0))),发射纪录!N:N,"&lt;&gt;")</f>
        <v>0</v>
      </c>
      <c r="C353" s="10">
        <f>COUNTIFS(发射纪录!B:B,"&lt;&gt;-",发射纪录!G:G,"&gt;="&amp;DATE(YEAR(A353),MONTH(A353),1),发射纪录!G:G,"&lt;="&amp;DATE(YEAR(A353),MONTH(A353),DAY(EOMONTH(A353,0))),发射纪录!N:N,"=成功",发射纪录!N:N,"&lt;&gt;")</f>
        <v>0</v>
      </c>
      <c r="D353" s="1" t="str">
        <f t="shared" si="257"/>
        <v>-</v>
      </c>
      <c r="E353" s="10">
        <f t="shared" si="258"/>
        <v>55</v>
      </c>
      <c r="F353" s="10">
        <f t="shared" si="259"/>
        <v>48</v>
      </c>
      <c r="G353" s="2">
        <f t="shared" si="260"/>
        <v>0.87272727272727268</v>
      </c>
      <c r="H353" s="10">
        <f>COUNTIFS(发射纪录!C:C,"&lt;&gt;-",发射纪录!G:G,"&gt;="&amp;DATE(YEAR(A353),MONTH(A353),1),发射纪录!G:G,"&lt;="&amp;DATE(YEAR(A353),MONTH(A353),DAY(EOMONTH(A353,0))),发射纪录!N:N,"&lt;&gt;")</f>
        <v>0</v>
      </c>
      <c r="I353" s="10">
        <f ca="1">COUNTIFS(发射纪录!C:C,"&lt;&gt;-",发射纪录!G:G,"&gt;="&amp;DATE(YEAR(A353),MONTH(A353),1),发射纪录!G:G,"&lt;="&amp;DATE(YEAR(A353),MONTH(A353),DAY(EOMONTH(A353,0))),发射纪录!N:N,"=成功",发射纪录!N:N,"&lt;&gt;")</f>
        <v>0</v>
      </c>
      <c r="J353" s="1" t="str">
        <f t="shared" si="261"/>
        <v>-</v>
      </c>
      <c r="K353" s="10">
        <f t="shared" ca="1" si="262"/>
        <v>8</v>
      </c>
      <c r="L353" s="10">
        <f t="shared" ca="1" si="263"/>
        <v>4</v>
      </c>
      <c r="M353" s="2">
        <f t="shared" ca="1" si="264"/>
        <v>0.5</v>
      </c>
      <c r="N353" s="10">
        <f t="shared" si="265"/>
        <v>0</v>
      </c>
      <c r="O353" s="10">
        <f t="shared" ca="1" si="266"/>
        <v>0</v>
      </c>
      <c r="P353" s="3" t="str">
        <f t="shared" si="267"/>
        <v>-</v>
      </c>
      <c r="Q353" s="10">
        <f t="shared" ca="1" si="268"/>
        <v>63</v>
      </c>
      <c r="R353" s="10">
        <f t="shared" ca="1" si="242"/>
        <v>52</v>
      </c>
      <c r="S353" s="4">
        <f t="shared" ca="1" si="269"/>
        <v>0.82539682539682535</v>
      </c>
      <c r="T353" s="478"/>
    </row>
    <row r="354" spans="1:20" x14ac:dyDescent="0.45">
      <c r="A354" s="64">
        <v>36220</v>
      </c>
      <c r="B354" s="14">
        <f>COUNTIFS(发射纪录!B:B,"&lt;&gt;-",发射纪录!G:G,"&gt;="&amp;DATE(YEAR(A354),MONTH(A354),1),发射纪录!G:G,"&lt;="&amp;DATE(YEAR(A354),MONTH(A354),DAY(EOMONTH(A354,0))),发射纪录!N:N,"&lt;&gt;")</f>
        <v>0</v>
      </c>
      <c r="C354" s="10">
        <f>COUNTIFS(发射纪录!B:B,"&lt;&gt;-",发射纪录!G:G,"&gt;="&amp;DATE(YEAR(A354),MONTH(A354),1),发射纪录!G:G,"&lt;="&amp;DATE(YEAR(A354),MONTH(A354),DAY(EOMONTH(A354,0))),发射纪录!N:N,"=成功",发射纪录!N:N,"&lt;&gt;")</f>
        <v>0</v>
      </c>
      <c r="D354" s="1" t="str">
        <f t="shared" si="257"/>
        <v>-</v>
      </c>
      <c r="E354" s="10">
        <f t="shared" si="258"/>
        <v>55</v>
      </c>
      <c r="F354" s="10">
        <f t="shared" si="259"/>
        <v>48</v>
      </c>
      <c r="G354" s="2">
        <f t="shared" si="260"/>
        <v>0.87272727272727268</v>
      </c>
      <c r="H354" s="10">
        <f>COUNTIFS(发射纪录!C:C,"&lt;&gt;-",发射纪录!G:G,"&gt;="&amp;DATE(YEAR(A354),MONTH(A354),1),发射纪录!G:G,"&lt;="&amp;DATE(YEAR(A354),MONTH(A354),DAY(EOMONTH(A354,0))),发射纪录!N:N,"&lt;&gt;")</f>
        <v>0</v>
      </c>
      <c r="I354" s="10">
        <f>COUNTIFS(发射纪录!C:C,"&lt;&gt;-",发射纪录!G:G,"&gt;="&amp;DATE(YEAR(A354),MONTH(A354),1),发射纪录!G:G,"&lt;="&amp;DATE(YEAR(A354),MONTH(A354),DAY(EOMONTH(A354,0))),发射纪录!N:N,"=成功",发射纪录!N:N,"&lt;&gt;")</f>
        <v>0</v>
      </c>
      <c r="J354" s="1" t="str">
        <f t="shared" si="261"/>
        <v>-</v>
      </c>
      <c r="K354" s="10">
        <f t="shared" ca="1" si="262"/>
        <v>8</v>
      </c>
      <c r="L354" s="10">
        <f t="shared" ca="1" si="263"/>
        <v>4</v>
      </c>
      <c r="M354" s="2">
        <f t="shared" ca="1" si="264"/>
        <v>0.5</v>
      </c>
      <c r="N354" s="10">
        <f t="shared" si="265"/>
        <v>0</v>
      </c>
      <c r="O354" s="10">
        <f t="shared" si="266"/>
        <v>0</v>
      </c>
      <c r="P354" s="3" t="str">
        <f t="shared" si="267"/>
        <v>-</v>
      </c>
      <c r="Q354" s="10">
        <f t="shared" ca="1" si="268"/>
        <v>63</v>
      </c>
      <c r="R354" s="10">
        <f t="shared" ca="1" si="242"/>
        <v>52</v>
      </c>
      <c r="S354" s="4">
        <f t="shared" ca="1" si="269"/>
        <v>0.82539682539682535</v>
      </c>
      <c r="T354" s="478"/>
    </row>
    <row r="355" spans="1:20" x14ac:dyDescent="0.45">
      <c r="A355" s="64">
        <v>36251</v>
      </c>
      <c r="B355" s="14">
        <f>COUNTIFS(发射纪录!B:B,"&lt;&gt;-",发射纪录!G:G,"&gt;="&amp;DATE(YEAR(A355),MONTH(A355),1),发射纪录!G:G,"&lt;="&amp;DATE(YEAR(A355),MONTH(A355),DAY(EOMONTH(A355,0))),发射纪录!N:N,"&lt;&gt;")</f>
        <v>0</v>
      </c>
      <c r="C355" s="10">
        <f>COUNTIFS(发射纪录!B:B,"&lt;&gt;-",发射纪录!G:G,"&gt;="&amp;DATE(YEAR(A355),MONTH(A355),1),发射纪录!G:G,"&lt;="&amp;DATE(YEAR(A355),MONTH(A355),DAY(EOMONTH(A355,0))),发射纪录!N:N,"=成功",发射纪录!N:N,"&lt;&gt;")</f>
        <v>0</v>
      </c>
      <c r="D355" s="1" t="str">
        <f t="shared" si="257"/>
        <v>-</v>
      </c>
      <c r="E355" s="10">
        <f t="shared" si="258"/>
        <v>55</v>
      </c>
      <c r="F355" s="10">
        <f t="shared" si="259"/>
        <v>48</v>
      </c>
      <c r="G355" s="2">
        <f t="shared" si="260"/>
        <v>0.87272727272727268</v>
      </c>
      <c r="H355" s="10">
        <f>COUNTIFS(发射纪录!C:C,"&lt;&gt;-",发射纪录!G:G,"&gt;="&amp;DATE(YEAR(A355),MONTH(A355),1),发射纪录!G:G,"&lt;="&amp;DATE(YEAR(A355),MONTH(A355),DAY(EOMONTH(A355,0))),发射纪录!N:N,"&lt;&gt;")</f>
        <v>0</v>
      </c>
      <c r="I355" s="10">
        <f ca="1">COUNTIFS(发射纪录!C:C,"&lt;&gt;-",发射纪录!G:G,"&gt;="&amp;DATE(YEAR(A355),MONTH(A355),1),发射纪录!G:G,"&lt;="&amp;DATE(YEAR(A355),MONTH(A355),DAY(EOMONTH(A355,0))),发射纪录!N:N,"=成功",发射纪录!N:N,"&lt;&gt;")</f>
        <v>0</v>
      </c>
      <c r="J355" s="1" t="str">
        <f t="shared" si="261"/>
        <v>-</v>
      </c>
      <c r="K355" s="10">
        <f t="shared" ca="1" si="262"/>
        <v>8</v>
      </c>
      <c r="L355" s="10">
        <f t="shared" ca="1" si="263"/>
        <v>4</v>
      </c>
      <c r="M355" s="2">
        <f t="shared" ca="1" si="264"/>
        <v>0.5</v>
      </c>
      <c r="N355" s="10">
        <f t="shared" si="265"/>
        <v>0</v>
      </c>
      <c r="O355" s="10">
        <f t="shared" ca="1" si="266"/>
        <v>0</v>
      </c>
      <c r="P355" s="3" t="str">
        <f t="shared" si="267"/>
        <v>-</v>
      </c>
      <c r="Q355" s="10">
        <f t="shared" ca="1" si="268"/>
        <v>63</v>
      </c>
      <c r="R355" s="10">
        <f t="shared" ca="1" si="242"/>
        <v>52</v>
      </c>
      <c r="S355" s="4">
        <f t="shared" ca="1" si="269"/>
        <v>0.82539682539682535</v>
      </c>
      <c r="T355" s="478"/>
    </row>
    <row r="356" spans="1:20" x14ac:dyDescent="0.45">
      <c r="A356" s="64">
        <v>36281</v>
      </c>
      <c r="B356" s="14">
        <f>COUNTIFS(发射纪录!B:B,"&lt;&gt;-",发射纪录!G:G,"&gt;="&amp;DATE(YEAR(A356),MONTH(A356),1),发射纪录!G:G,"&lt;="&amp;DATE(YEAR(A356),MONTH(A356),DAY(EOMONTH(A356,0))),发射纪录!N:N,"&lt;&gt;")</f>
        <v>1</v>
      </c>
      <c r="C356" s="10">
        <f>COUNTIFS(发射纪录!B:B,"&lt;&gt;-",发射纪录!G:G,"&gt;="&amp;DATE(YEAR(A356),MONTH(A356),1),发射纪录!G:G,"&lt;="&amp;DATE(YEAR(A356),MONTH(A356),DAY(EOMONTH(A356,0))),发射纪录!N:N,"=成功",发射纪录!N:N,"&lt;&gt;")</f>
        <v>1</v>
      </c>
      <c r="D356" s="1">
        <f t="shared" si="257"/>
        <v>1</v>
      </c>
      <c r="E356" s="10">
        <f t="shared" si="258"/>
        <v>56</v>
      </c>
      <c r="F356" s="10">
        <f t="shared" si="259"/>
        <v>49</v>
      </c>
      <c r="G356" s="2">
        <f t="shared" si="260"/>
        <v>0.875</v>
      </c>
      <c r="H356" s="10">
        <f>COUNTIFS(发射纪录!C:C,"&lt;&gt;-",发射纪录!G:G,"&gt;="&amp;DATE(YEAR(A356),MONTH(A356),1),发射纪录!G:G,"&lt;="&amp;DATE(YEAR(A356),MONTH(A356),DAY(EOMONTH(A356,0))),发射纪录!N:N,"&lt;&gt;")</f>
        <v>0</v>
      </c>
      <c r="I356" s="10">
        <f>COUNTIFS(发射纪录!C:C,"&lt;&gt;-",发射纪录!G:G,"&gt;="&amp;DATE(YEAR(A356),MONTH(A356),1),发射纪录!G:G,"&lt;="&amp;DATE(YEAR(A356),MONTH(A356),DAY(EOMONTH(A356,0))),发射纪录!N:N,"=成功",发射纪录!N:N,"&lt;&gt;")</f>
        <v>0</v>
      </c>
      <c r="J356" s="1" t="str">
        <f t="shared" si="261"/>
        <v>-</v>
      </c>
      <c r="K356" s="10">
        <f t="shared" ca="1" si="262"/>
        <v>8</v>
      </c>
      <c r="L356" s="10">
        <f t="shared" ca="1" si="263"/>
        <v>4</v>
      </c>
      <c r="M356" s="2">
        <f t="shared" ca="1" si="264"/>
        <v>0.5</v>
      </c>
      <c r="N356" s="10">
        <f t="shared" si="265"/>
        <v>1</v>
      </c>
      <c r="O356" s="10">
        <f t="shared" si="266"/>
        <v>1</v>
      </c>
      <c r="P356" s="3">
        <f t="shared" si="267"/>
        <v>1</v>
      </c>
      <c r="Q356" s="10">
        <f t="shared" ca="1" si="268"/>
        <v>64</v>
      </c>
      <c r="R356" s="10">
        <f t="shared" ca="1" si="242"/>
        <v>53</v>
      </c>
      <c r="S356" s="4">
        <f t="shared" ca="1" si="269"/>
        <v>0.828125</v>
      </c>
      <c r="T356" s="478"/>
    </row>
    <row r="357" spans="1:20" x14ac:dyDescent="0.45">
      <c r="A357" s="64">
        <v>36312</v>
      </c>
      <c r="B357" s="14">
        <f>COUNTIFS(发射纪录!B:B,"&lt;&gt;-",发射纪录!G:G,"&gt;="&amp;DATE(YEAR(A357),MONTH(A357),1),发射纪录!G:G,"&lt;="&amp;DATE(YEAR(A357),MONTH(A357),DAY(EOMONTH(A357,0))),发射纪录!N:N,"&lt;&gt;")</f>
        <v>1</v>
      </c>
      <c r="C357" s="10">
        <f>COUNTIFS(发射纪录!B:B,"&lt;&gt;-",发射纪录!G:G,"&gt;="&amp;DATE(YEAR(A357),MONTH(A357),1),发射纪录!G:G,"&lt;="&amp;DATE(YEAR(A357),MONTH(A357),DAY(EOMONTH(A357,0))),发射纪录!N:N,"=成功",发射纪录!N:N,"&lt;&gt;")</f>
        <v>1</v>
      </c>
      <c r="D357" s="1">
        <f t="shared" si="257"/>
        <v>1</v>
      </c>
      <c r="E357" s="10">
        <f t="shared" si="258"/>
        <v>57</v>
      </c>
      <c r="F357" s="10">
        <f t="shared" si="259"/>
        <v>50</v>
      </c>
      <c r="G357" s="2">
        <f t="shared" si="260"/>
        <v>0.8771929824561403</v>
      </c>
      <c r="H357" s="10">
        <f>COUNTIFS(发射纪录!C:C,"&lt;&gt;-",发射纪录!G:G,"&gt;="&amp;DATE(YEAR(A357),MONTH(A357),1),发射纪录!G:G,"&lt;="&amp;DATE(YEAR(A357),MONTH(A357),DAY(EOMONTH(A357,0))),发射纪录!N:N,"&lt;&gt;")</f>
        <v>0</v>
      </c>
      <c r="I357" s="10">
        <f>COUNTIFS(发射纪录!C:C,"&lt;&gt;-",发射纪录!G:G,"&gt;="&amp;DATE(YEAR(A357),MONTH(A357),1),发射纪录!G:G,"&lt;="&amp;DATE(YEAR(A357),MONTH(A357),DAY(EOMONTH(A357,0))),发射纪录!N:N,"=成功",发射纪录!N:N,"&lt;&gt;")</f>
        <v>0</v>
      </c>
      <c r="J357" s="1" t="str">
        <f t="shared" si="261"/>
        <v>-</v>
      </c>
      <c r="K357" s="10">
        <f t="shared" ca="1" si="262"/>
        <v>8</v>
      </c>
      <c r="L357" s="10">
        <f t="shared" ca="1" si="263"/>
        <v>4</v>
      </c>
      <c r="M357" s="2">
        <f t="shared" ca="1" si="264"/>
        <v>0.5</v>
      </c>
      <c r="N357" s="10">
        <f t="shared" si="265"/>
        <v>1</v>
      </c>
      <c r="O357" s="10">
        <f t="shared" si="266"/>
        <v>1</v>
      </c>
      <c r="P357" s="3">
        <f t="shared" si="267"/>
        <v>1</v>
      </c>
      <c r="Q357" s="10">
        <f t="shared" ca="1" si="268"/>
        <v>65</v>
      </c>
      <c r="R357" s="10">
        <f t="shared" ca="1" si="242"/>
        <v>54</v>
      </c>
      <c r="S357" s="4">
        <f t="shared" ca="1" si="269"/>
        <v>0.83076923076923082</v>
      </c>
      <c r="T357" s="478"/>
    </row>
    <row r="358" spans="1:20" x14ac:dyDescent="0.45">
      <c r="A358" s="64">
        <v>36342</v>
      </c>
      <c r="B358" s="14">
        <f>COUNTIFS(发射纪录!B:B,"&lt;&gt;-",发射纪录!G:G,"&gt;="&amp;DATE(YEAR(A358),MONTH(A358),1),发射纪录!G:G,"&lt;="&amp;DATE(YEAR(A358),MONTH(A358),DAY(EOMONTH(A358,0))),发射纪录!N:N,"&lt;&gt;")</f>
        <v>0</v>
      </c>
      <c r="C358" s="10">
        <f>COUNTIFS(发射纪录!B:B,"&lt;&gt;-",发射纪录!G:G,"&gt;="&amp;DATE(YEAR(A358),MONTH(A358),1),发射纪录!G:G,"&lt;="&amp;DATE(YEAR(A358),MONTH(A358),DAY(EOMONTH(A358,0))),发射纪录!N:N,"=成功",发射纪录!N:N,"&lt;&gt;")</f>
        <v>0</v>
      </c>
      <c r="D358" s="1" t="str">
        <f t="shared" si="257"/>
        <v>-</v>
      </c>
      <c r="E358" s="10">
        <f t="shared" si="258"/>
        <v>57</v>
      </c>
      <c r="F358" s="10">
        <f t="shared" si="259"/>
        <v>50</v>
      </c>
      <c r="G358" s="2">
        <f t="shared" si="260"/>
        <v>0.8771929824561403</v>
      </c>
      <c r="H358" s="10">
        <f ca="1">COUNTIFS(发射纪录!C:C,"&lt;&gt;-",发射纪录!G:G,"&gt;="&amp;DATE(YEAR(A358),MONTH(A358),1),发射纪录!G:G,"&lt;="&amp;DATE(YEAR(A358),MONTH(A358),DAY(EOMONTH(A358,0))),发射纪录!N:N,"&lt;&gt;")</f>
        <v>0</v>
      </c>
      <c r="I358" s="10">
        <f>COUNTIFS(发射纪录!C:C,"&lt;&gt;-",发射纪录!G:G,"&gt;="&amp;DATE(YEAR(A358),MONTH(A358),1),发射纪录!G:G,"&lt;="&amp;DATE(YEAR(A358),MONTH(A358),DAY(EOMONTH(A358,0))),发射纪录!N:N,"=成功",发射纪录!N:N,"&lt;&gt;")</f>
        <v>0</v>
      </c>
      <c r="J358" s="1" t="str">
        <f t="shared" ca="1" si="261"/>
        <v>-</v>
      </c>
      <c r="K358" s="10">
        <f t="shared" ca="1" si="262"/>
        <v>8</v>
      </c>
      <c r="L358" s="10">
        <f t="shared" ca="1" si="263"/>
        <v>4</v>
      </c>
      <c r="M358" s="2">
        <f t="shared" ca="1" si="264"/>
        <v>0.5</v>
      </c>
      <c r="N358" s="10">
        <f t="shared" ca="1" si="265"/>
        <v>0</v>
      </c>
      <c r="O358" s="10">
        <f t="shared" si="266"/>
        <v>0</v>
      </c>
      <c r="P358" s="3" t="str">
        <f t="shared" ca="1" si="267"/>
        <v>-</v>
      </c>
      <c r="Q358" s="10">
        <f t="shared" ca="1" si="268"/>
        <v>65</v>
      </c>
      <c r="R358" s="10">
        <f t="shared" ca="1" si="242"/>
        <v>54</v>
      </c>
      <c r="S358" s="4">
        <f t="shared" ca="1" si="269"/>
        <v>0.83076923076923082</v>
      </c>
      <c r="T358" s="478"/>
    </row>
    <row r="359" spans="1:20" x14ac:dyDescent="0.45">
      <c r="A359" s="64">
        <v>36373</v>
      </c>
      <c r="B359" s="14">
        <f>COUNTIFS(发射纪录!B:B,"&lt;&gt;-",发射纪录!G:G,"&gt;="&amp;DATE(YEAR(A359),MONTH(A359),1),发射纪录!G:G,"&lt;="&amp;DATE(YEAR(A359),MONTH(A359),DAY(EOMONTH(A359,0))),发射纪录!N:N,"&lt;&gt;")</f>
        <v>0</v>
      </c>
      <c r="C359" s="10">
        <f>COUNTIFS(发射纪录!B:B,"&lt;&gt;-",发射纪录!G:G,"&gt;="&amp;DATE(YEAR(A359),MONTH(A359),1),发射纪录!G:G,"&lt;="&amp;DATE(YEAR(A359),MONTH(A359),DAY(EOMONTH(A359,0))),发射纪录!N:N,"=成功",发射纪录!N:N,"&lt;&gt;")</f>
        <v>0</v>
      </c>
      <c r="D359" s="1" t="str">
        <f t="shared" si="257"/>
        <v>-</v>
      </c>
      <c r="E359" s="10">
        <f t="shared" si="258"/>
        <v>57</v>
      </c>
      <c r="F359" s="10">
        <f t="shared" si="259"/>
        <v>50</v>
      </c>
      <c r="G359" s="2">
        <f t="shared" si="260"/>
        <v>0.8771929824561403</v>
      </c>
      <c r="H359" s="10">
        <f>COUNTIFS(发射纪录!C:C,"&lt;&gt;-",发射纪录!G:G,"&gt;="&amp;DATE(YEAR(A359),MONTH(A359),1),发射纪录!G:G,"&lt;="&amp;DATE(YEAR(A359),MONTH(A359),DAY(EOMONTH(A359,0))),发射纪录!N:N,"&lt;&gt;")</f>
        <v>0</v>
      </c>
      <c r="I359" s="10">
        <f>COUNTIFS(发射纪录!C:C,"&lt;&gt;-",发射纪录!G:G,"&gt;="&amp;DATE(YEAR(A359),MONTH(A359),1),发射纪录!G:G,"&lt;="&amp;DATE(YEAR(A359),MONTH(A359),DAY(EOMONTH(A359,0))),发射纪录!N:N,"=成功",发射纪录!N:N,"&lt;&gt;")</f>
        <v>0</v>
      </c>
      <c r="J359" s="1" t="str">
        <f t="shared" si="261"/>
        <v>-</v>
      </c>
      <c r="K359" s="10">
        <f t="shared" ca="1" si="262"/>
        <v>8</v>
      </c>
      <c r="L359" s="10">
        <f t="shared" ca="1" si="263"/>
        <v>4</v>
      </c>
      <c r="M359" s="2">
        <f t="shared" ca="1" si="264"/>
        <v>0.5</v>
      </c>
      <c r="N359" s="10">
        <f t="shared" si="265"/>
        <v>0</v>
      </c>
      <c r="O359" s="10">
        <f t="shared" si="266"/>
        <v>0</v>
      </c>
      <c r="P359" s="3" t="str">
        <f t="shared" si="267"/>
        <v>-</v>
      </c>
      <c r="Q359" s="10">
        <f t="shared" ca="1" si="268"/>
        <v>65</v>
      </c>
      <c r="R359" s="10">
        <f t="shared" ca="1" si="242"/>
        <v>54</v>
      </c>
      <c r="S359" s="4">
        <f t="shared" ca="1" si="269"/>
        <v>0.83076923076923082</v>
      </c>
      <c r="T359" s="478"/>
    </row>
    <row r="360" spans="1:20" x14ac:dyDescent="0.45">
      <c r="A360" s="64">
        <v>36404</v>
      </c>
      <c r="B360" s="14">
        <f>COUNTIFS(发射纪录!B:B,"&lt;&gt;-",发射纪录!G:G,"&gt;="&amp;DATE(YEAR(A360),MONTH(A360),1),发射纪录!G:G,"&lt;="&amp;DATE(YEAR(A360),MONTH(A360),DAY(EOMONTH(A360,0))),发射纪录!N:N,"&lt;&gt;")</f>
        <v>0</v>
      </c>
      <c r="C360" s="10">
        <f>COUNTIFS(发射纪录!B:B,"&lt;&gt;-",发射纪录!G:G,"&gt;="&amp;DATE(YEAR(A360),MONTH(A360),1),发射纪录!G:G,"&lt;="&amp;DATE(YEAR(A360),MONTH(A360),DAY(EOMONTH(A360,0))),发射纪录!N:N,"=成功",发射纪录!N:N,"&lt;&gt;")</f>
        <v>0</v>
      </c>
      <c r="D360" s="1" t="str">
        <f t="shared" si="257"/>
        <v>-</v>
      </c>
      <c r="E360" s="10">
        <f t="shared" si="258"/>
        <v>57</v>
      </c>
      <c r="F360" s="10">
        <f t="shared" si="259"/>
        <v>50</v>
      </c>
      <c r="G360" s="2">
        <f t="shared" si="260"/>
        <v>0.8771929824561403</v>
      </c>
      <c r="H360" s="10">
        <f ca="1">COUNTIFS(发射纪录!C:C,"&lt;&gt;-",发射纪录!G:G,"&gt;="&amp;DATE(YEAR(A360),MONTH(A360),1),发射纪录!G:G,"&lt;="&amp;DATE(YEAR(A360),MONTH(A360),DAY(EOMONTH(A360,0))),发射纪录!N:N,"&lt;&gt;")</f>
        <v>0</v>
      </c>
      <c r="I360" s="10">
        <f>COUNTIFS(发射纪录!C:C,"&lt;&gt;-",发射纪录!G:G,"&gt;="&amp;DATE(YEAR(A360),MONTH(A360),1),发射纪录!G:G,"&lt;="&amp;DATE(YEAR(A360),MONTH(A360),DAY(EOMONTH(A360,0))),发射纪录!N:N,"=成功",发射纪录!N:N,"&lt;&gt;")</f>
        <v>0</v>
      </c>
      <c r="J360" s="1" t="str">
        <f t="shared" ca="1" si="261"/>
        <v>-</v>
      </c>
      <c r="K360" s="10">
        <f t="shared" ca="1" si="262"/>
        <v>8</v>
      </c>
      <c r="L360" s="10">
        <f t="shared" ca="1" si="263"/>
        <v>4</v>
      </c>
      <c r="M360" s="2">
        <f t="shared" ca="1" si="264"/>
        <v>0.5</v>
      </c>
      <c r="N360" s="10">
        <f t="shared" ca="1" si="265"/>
        <v>0</v>
      </c>
      <c r="O360" s="10">
        <f t="shared" si="266"/>
        <v>0</v>
      </c>
      <c r="P360" s="3" t="str">
        <f t="shared" ca="1" si="267"/>
        <v>-</v>
      </c>
      <c r="Q360" s="10">
        <f t="shared" ca="1" si="268"/>
        <v>65</v>
      </c>
      <c r="R360" s="10">
        <f t="shared" ca="1" si="242"/>
        <v>54</v>
      </c>
      <c r="S360" s="4">
        <f t="shared" ca="1" si="269"/>
        <v>0.83076923076923082</v>
      </c>
      <c r="T360" s="478"/>
    </row>
    <row r="361" spans="1:20" x14ac:dyDescent="0.45">
      <c r="A361" s="64">
        <v>36434</v>
      </c>
      <c r="B361" s="14">
        <f>COUNTIFS(发射纪录!B:B,"&lt;&gt;-",发射纪录!G:G,"&gt;="&amp;DATE(YEAR(A361),MONTH(A361),1),发射纪录!G:G,"&lt;="&amp;DATE(YEAR(A361),MONTH(A361),DAY(EOMONTH(A361,0))),发射纪录!N:N,"&lt;&gt;")</f>
        <v>1</v>
      </c>
      <c r="C361" s="10">
        <f>COUNTIFS(发射纪录!B:B,"&lt;&gt;-",发射纪录!G:G,"&gt;="&amp;DATE(YEAR(A361),MONTH(A361),1),发射纪录!G:G,"&lt;="&amp;DATE(YEAR(A361),MONTH(A361),DAY(EOMONTH(A361,0))),发射纪录!N:N,"=成功",发射纪录!N:N,"&lt;&gt;")</f>
        <v>1</v>
      </c>
      <c r="D361" s="1">
        <f t="shared" si="257"/>
        <v>1</v>
      </c>
      <c r="E361" s="10">
        <f t="shared" si="258"/>
        <v>58</v>
      </c>
      <c r="F361" s="10">
        <f t="shared" si="259"/>
        <v>51</v>
      </c>
      <c r="G361" s="2">
        <f t="shared" si="260"/>
        <v>0.87931034482758619</v>
      </c>
      <c r="H361" s="10">
        <f>COUNTIFS(发射纪录!C:C,"&lt;&gt;-",发射纪录!G:G,"&gt;="&amp;DATE(YEAR(A361),MONTH(A361),1),发射纪录!G:G,"&lt;="&amp;DATE(YEAR(A361),MONTH(A361),DAY(EOMONTH(A361,0))),发射纪录!N:N,"&lt;&gt;")</f>
        <v>0</v>
      </c>
      <c r="I361" s="10">
        <f ca="1">COUNTIFS(发射纪录!C:C,"&lt;&gt;-",发射纪录!G:G,"&gt;="&amp;DATE(YEAR(A361),MONTH(A361),1),发射纪录!G:G,"&lt;="&amp;DATE(YEAR(A361),MONTH(A361),DAY(EOMONTH(A361,0))),发射纪录!N:N,"=成功",发射纪录!N:N,"&lt;&gt;")</f>
        <v>0</v>
      </c>
      <c r="J361" s="1" t="str">
        <f t="shared" si="261"/>
        <v>-</v>
      </c>
      <c r="K361" s="10">
        <f t="shared" ca="1" si="262"/>
        <v>8</v>
      </c>
      <c r="L361" s="10">
        <f t="shared" ca="1" si="263"/>
        <v>4</v>
      </c>
      <c r="M361" s="2">
        <f t="shared" ca="1" si="264"/>
        <v>0.5</v>
      </c>
      <c r="N361" s="10">
        <f t="shared" si="265"/>
        <v>1</v>
      </c>
      <c r="O361" s="10">
        <f t="shared" ca="1" si="266"/>
        <v>1</v>
      </c>
      <c r="P361" s="3">
        <f t="shared" ca="1" si="267"/>
        <v>1</v>
      </c>
      <c r="Q361" s="10">
        <f t="shared" ca="1" si="268"/>
        <v>66</v>
      </c>
      <c r="R361" s="10">
        <f t="shared" ca="1" si="242"/>
        <v>55</v>
      </c>
      <c r="S361" s="4">
        <f t="shared" ca="1" si="269"/>
        <v>0.83333333333333337</v>
      </c>
      <c r="T361" s="478"/>
    </row>
    <row r="362" spans="1:20" x14ac:dyDescent="0.45">
      <c r="A362" s="64">
        <v>36465</v>
      </c>
      <c r="B362" s="14">
        <f>COUNTIFS(发射纪录!B:B,"&lt;&gt;-",发射纪录!G:G,"&gt;="&amp;DATE(YEAR(A362),MONTH(A362),1),发射纪录!G:G,"&lt;="&amp;DATE(YEAR(A362),MONTH(A362),DAY(EOMONTH(A362,0))),发射纪录!N:N,"&lt;&gt;")</f>
        <v>1</v>
      </c>
      <c r="C362" s="10">
        <f>COUNTIFS(发射纪录!B:B,"&lt;&gt;-",发射纪录!G:G,"&gt;="&amp;DATE(YEAR(A362),MONTH(A362),1),发射纪录!G:G,"&lt;="&amp;DATE(YEAR(A362),MONTH(A362),DAY(EOMONTH(A362,0))),发射纪录!N:N,"=成功",发射纪录!N:N,"&lt;&gt;")</f>
        <v>1</v>
      </c>
      <c r="D362" s="1">
        <f t="shared" si="257"/>
        <v>1</v>
      </c>
      <c r="E362" s="10">
        <f t="shared" si="258"/>
        <v>59</v>
      </c>
      <c r="F362" s="10">
        <f t="shared" si="259"/>
        <v>52</v>
      </c>
      <c r="G362" s="2">
        <f t="shared" si="260"/>
        <v>0.88135593220338981</v>
      </c>
      <c r="H362" s="10">
        <f>COUNTIFS(发射纪录!C:C,"&lt;&gt;-",发射纪录!G:G,"&gt;="&amp;DATE(YEAR(A362),MONTH(A362),1),发射纪录!G:G,"&lt;="&amp;DATE(YEAR(A362),MONTH(A362),DAY(EOMONTH(A362,0))),发射纪录!N:N,"&lt;&gt;")</f>
        <v>0</v>
      </c>
      <c r="I362" s="10">
        <f ca="1">COUNTIFS(发射纪录!C:C,"&lt;&gt;-",发射纪录!G:G,"&gt;="&amp;DATE(YEAR(A362),MONTH(A362),1),发射纪录!G:G,"&lt;="&amp;DATE(YEAR(A362),MONTH(A362),DAY(EOMONTH(A362,0))),发射纪录!N:N,"=成功",发射纪录!N:N,"&lt;&gt;")</f>
        <v>0</v>
      </c>
      <c r="J362" s="1" t="str">
        <f t="shared" si="261"/>
        <v>-</v>
      </c>
      <c r="K362" s="10">
        <f t="shared" ca="1" si="262"/>
        <v>8</v>
      </c>
      <c r="L362" s="10">
        <f t="shared" ca="1" si="263"/>
        <v>4</v>
      </c>
      <c r="M362" s="2">
        <f t="shared" ca="1" si="264"/>
        <v>0.5</v>
      </c>
      <c r="N362" s="10">
        <f t="shared" si="265"/>
        <v>1</v>
      </c>
      <c r="O362" s="10">
        <f t="shared" ca="1" si="266"/>
        <v>1</v>
      </c>
      <c r="P362" s="3">
        <f t="shared" ca="1" si="267"/>
        <v>1</v>
      </c>
      <c r="Q362" s="10">
        <f t="shared" ca="1" si="268"/>
        <v>67</v>
      </c>
      <c r="R362" s="10">
        <f t="shared" ca="1" si="242"/>
        <v>56</v>
      </c>
      <c r="S362" s="4">
        <f t="shared" ca="1" si="269"/>
        <v>0.83582089552238803</v>
      </c>
      <c r="T362" s="478"/>
    </row>
    <row r="363" spans="1:20" ht="19.5" customHeight="1" thickBot="1" x14ac:dyDescent="0.5">
      <c r="A363" s="65">
        <v>36495</v>
      </c>
      <c r="B363" s="17">
        <f>COUNTIFS(发射纪录!B:B,"&lt;&gt;-",发射纪录!G:G,"&gt;="&amp;DATE(YEAR(A363),MONTH(A363),1),发射纪录!G:G,"&lt;="&amp;DATE(YEAR(A363),MONTH(A363),DAY(EOMONTH(A363,0))),发射纪录!N:N,"&lt;&gt;")</f>
        <v>0</v>
      </c>
      <c r="C363" s="18">
        <f>COUNTIFS(发射纪录!B:B,"&lt;&gt;-",发射纪录!G:G,"&gt;="&amp;DATE(YEAR(A363),MONTH(A363),1),发射纪录!G:G,"&lt;="&amp;DATE(YEAR(A363),MONTH(A363),DAY(EOMONTH(A363,0))),发射纪录!N:N,"=成功",发射纪录!N:N,"&lt;&gt;")</f>
        <v>0</v>
      </c>
      <c r="D363" s="12" t="str">
        <f>IF(B363=0,"-",C363/B363)</f>
        <v>-</v>
      </c>
      <c r="E363" s="18">
        <f>E362+B363</f>
        <v>59</v>
      </c>
      <c r="F363" s="18">
        <f>F362+C363</f>
        <v>52</v>
      </c>
      <c r="G363" s="13">
        <f>IF(E363=0,"-",F363/E363)</f>
        <v>0.88135593220338981</v>
      </c>
      <c r="H363" s="18">
        <f>COUNTIFS(发射纪录!C:C,"&lt;&gt;-",发射纪录!G:G,"&gt;="&amp;DATE(YEAR(A363),MONTH(A363),1),发射纪录!G:G,"&lt;="&amp;DATE(YEAR(A363),MONTH(A363),DAY(EOMONTH(A363,0))),发射纪录!N:N,"&lt;&gt;")</f>
        <v>0</v>
      </c>
      <c r="I363" s="18">
        <f ca="1">COUNTIFS(发射纪录!C:C,"&lt;&gt;-",发射纪录!G:G,"&gt;="&amp;DATE(YEAR(A363),MONTH(A363),1),发射纪录!G:G,"&lt;="&amp;DATE(YEAR(A363),MONTH(A363),DAY(EOMONTH(A363,0))),发射纪录!N:N,"=成功",发射纪录!N:N,"&lt;&gt;")</f>
        <v>0</v>
      </c>
      <c r="J363" s="12" t="str">
        <f>IF(H363=0,"-",I363/H363)</f>
        <v>-</v>
      </c>
      <c r="K363" s="18">
        <f ca="1">K362+H363</f>
        <v>8</v>
      </c>
      <c r="L363" s="18">
        <f ca="1">L362+I363</f>
        <v>4</v>
      </c>
      <c r="M363" s="13">
        <f ca="1">IF(K363=0,"-",L363/K363)</f>
        <v>0.5</v>
      </c>
      <c r="N363" s="18">
        <f>B363+H363</f>
        <v>0</v>
      </c>
      <c r="O363" s="18">
        <f ca="1">C363+I363</f>
        <v>0</v>
      </c>
      <c r="P363" s="12" t="str">
        <f>IF(N363=0,"-",O363/N363)</f>
        <v>-</v>
      </c>
      <c r="Q363" s="18">
        <f ca="1">E363+K363</f>
        <v>67</v>
      </c>
      <c r="R363" s="18">
        <f ca="1">F363+L363</f>
        <v>56</v>
      </c>
      <c r="S363" s="13">
        <f ca="1">IF(Q363=0,"-",R363/Q363)</f>
        <v>0.83582089552238803</v>
      </c>
      <c r="T363" s="478"/>
    </row>
    <row r="364" spans="1:20" ht="19.5" customHeight="1" thickTop="1" x14ac:dyDescent="0.45">
      <c r="A364" s="63">
        <v>36526</v>
      </c>
      <c r="B364" s="14">
        <f>COUNTIFS(发射纪录!B:B,"&lt;&gt;-",发射纪录!G:G,"&gt;="&amp;DATE(YEAR(A364),MONTH(A364),1),发射纪录!G:G,"&lt;="&amp;DATE(YEAR(A364),MONTH(A364),DAY(EOMONTH(A364,0))),发射纪录!N:N,"&lt;&gt;")</f>
        <v>1</v>
      </c>
      <c r="C364" s="10">
        <f>COUNTIFS(发射纪录!B:B,"&lt;&gt;-",发射纪录!G:G,"&gt;="&amp;DATE(YEAR(A364),MONTH(A364),1),发射纪录!G:G,"&lt;="&amp;DATE(YEAR(A364),MONTH(A364),DAY(EOMONTH(A364,0))),发射纪录!N:N,"=成功",发射纪录!N:N,"&lt;&gt;")</f>
        <v>1</v>
      </c>
      <c r="D364" s="3">
        <f t="shared" ref="D364:D374" si="270">IF(B364=0,"-",C364/B364)</f>
        <v>1</v>
      </c>
      <c r="E364" s="10">
        <f t="shared" ref="E364:E374" si="271">E363+B364</f>
        <v>60</v>
      </c>
      <c r="F364" s="10">
        <f t="shared" ref="F364:F374" si="272">F363+C364</f>
        <v>53</v>
      </c>
      <c r="G364" s="4">
        <f t="shared" ref="G364:G374" si="273">IF(E364=0,"-",F364/E364)</f>
        <v>0.8833333333333333</v>
      </c>
      <c r="H364" s="10">
        <f>COUNTIFS(发射纪录!C:C,"&lt;&gt;-",发射纪录!G:G,"&gt;="&amp;DATE(YEAR(A364),MONTH(A364),1),发射纪录!G:G,"&lt;="&amp;DATE(YEAR(A364),MONTH(A364),DAY(EOMONTH(A364,0))),发射纪录!N:N,"&lt;&gt;")</f>
        <v>0</v>
      </c>
      <c r="I364" s="10">
        <f>COUNTIFS(发射纪录!C:C,"&lt;&gt;-",发射纪录!G:G,"&gt;="&amp;DATE(YEAR(A364),MONTH(A364),1),发射纪录!G:G,"&lt;="&amp;DATE(YEAR(A364),MONTH(A364),DAY(EOMONTH(A364,0))),发射纪录!N:N,"=成功",发射纪录!N:N,"&lt;&gt;")</f>
        <v>0</v>
      </c>
      <c r="J364" s="3" t="str">
        <f t="shared" ref="J364:J374" si="274">IF(H364=0,"-",I364/H364)</f>
        <v>-</v>
      </c>
      <c r="K364" s="10">
        <f t="shared" ref="K364:K374" ca="1" si="275">K363+H364</f>
        <v>8</v>
      </c>
      <c r="L364" s="10">
        <f t="shared" ref="L364:L374" ca="1" si="276">L363+I364</f>
        <v>4</v>
      </c>
      <c r="M364" s="4">
        <f t="shared" ref="M364:M374" ca="1" si="277">IF(K364=0,"-",L364/K364)</f>
        <v>0.5</v>
      </c>
      <c r="N364" s="10">
        <f t="shared" ref="N364:N374" si="278">B364+H364</f>
        <v>1</v>
      </c>
      <c r="O364" s="10">
        <f t="shared" ref="O364:O374" si="279">C364+I364</f>
        <v>1</v>
      </c>
      <c r="P364" s="3">
        <f t="shared" ref="P364:P374" si="280">IF(N364=0,"-",O364/N364)</f>
        <v>1</v>
      </c>
      <c r="Q364" s="10">
        <f t="shared" ref="Q364:Q374" ca="1" si="281">E364+K364</f>
        <v>68</v>
      </c>
      <c r="R364" s="10">
        <f t="shared" ca="1" si="242"/>
        <v>57</v>
      </c>
      <c r="S364" s="4">
        <f t="shared" ref="S364:S374" ca="1" si="282">IF(Q364=0,"-",R364/Q364)</f>
        <v>0.83823529411764708</v>
      </c>
      <c r="T364" s="478"/>
    </row>
    <row r="365" spans="1:20" x14ac:dyDescent="0.45">
      <c r="A365" s="64">
        <v>36557</v>
      </c>
      <c r="B365" s="14">
        <f>COUNTIFS(发射纪录!B:B,"&lt;&gt;-",发射纪录!G:G,"&gt;="&amp;DATE(YEAR(A365),MONTH(A365),1),发射纪录!G:G,"&lt;="&amp;DATE(YEAR(A365),MONTH(A365),DAY(EOMONTH(A365,0))),发射纪录!N:N,"&lt;&gt;")</f>
        <v>0</v>
      </c>
      <c r="C365" s="10">
        <f>COUNTIFS(发射纪录!B:B,"&lt;&gt;-",发射纪录!G:G,"&gt;="&amp;DATE(YEAR(A365),MONTH(A365),1),发射纪录!G:G,"&lt;="&amp;DATE(YEAR(A365),MONTH(A365),DAY(EOMONTH(A365,0))),发射纪录!N:N,"=成功",发射纪录!N:N,"&lt;&gt;")</f>
        <v>0</v>
      </c>
      <c r="D365" s="1" t="str">
        <f t="shared" si="270"/>
        <v>-</v>
      </c>
      <c r="E365" s="10">
        <f t="shared" si="271"/>
        <v>60</v>
      </c>
      <c r="F365" s="10">
        <f t="shared" si="272"/>
        <v>53</v>
      </c>
      <c r="G365" s="2">
        <f t="shared" si="273"/>
        <v>0.8833333333333333</v>
      </c>
      <c r="H365" s="10">
        <f>COUNTIFS(发射纪录!C:C,"&lt;&gt;-",发射纪录!G:G,"&gt;="&amp;DATE(YEAR(A365),MONTH(A365),1),发射纪录!G:G,"&lt;="&amp;DATE(YEAR(A365),MONTH(A365),DAY(EOMONTH(A365,0))),发射纪录!N:N,"&lt;&gt;")</f>
        <v>0</v>
      </c>
      <c r="I365" s="10">
        <f>COUNTIFS(发射纪录!C:C,"&lt;&gt;-",发射纪录!G:G,"&gt;="&amp;DATE(YEAR(A365),MONTH(A365),1),发射纪录!G:G,"&lt;="&amp;DATE(YEAR(A365),MONTH(A365),DAY(EOMONTH(A365,0))),发射纪录!N:N,"=成功",发射纪录!N:N,"&lt;&gt;")</f>
        <v>0</v>
      </c>
      <c r="J365" s="1" t="str">
        <f t="shared" si="274"/>
        <v>-</v>
      </c>
      <c r="K365" s="10">
        <f t="shared" ca="1" si="275"/>
        <v>8</v>
      </c>
      <c r="L365" s="10">
        <f t="shared" ca="1" si="276"/>
        <v>4</v>
      </c>
      <c r="M365" s="2">
        <f t="shared" ca="1" si="277"/>
        <v>0.5</v>
      </c>
      <c r="N365" s="10">
        <f t="shared" si="278"/>
        <v>0</v>
      </c>
      <c r="O365" s="10">
        <f t="shared" si="279"/>
        <v>0</v>
      </c>
      <c r="P365" s="3" t="str">
        <f t="shared" si="280"/>
        <v>-</v>
      </c>
      <c r="Q365" s="10">
        <f t="shared" ca="1" si="281"/>
        <v>68</v>
      </c>
      <c r="R365" s="10">
        <f t="shared" ca="1" si="242"/>
        <v>57</v>
      </c>
      <c r="S365" s="4">
        <f t="shared" ca="1" si="282"/>
        <v>0.83823529411764708</v>
      </c>
      <c r="T365" s="478"/>
    </row>
    <row r="366" spans="1:20" x14ac:dyDescent="0.45">
      <c r="A366" s="64">
        <v>36586</v>
      </c>
      <c r="B366" s="14">
        <f>COUNTIFS(发射纪录!B:B,"&lt;&gt;-",发射纪录!G:G,"&gt;="&amp;DATE(YEAR(A366),MONTH(A366),1),发射纪录!G:G,"&lt;="&amp;DATE(YEAR(A366),MONTH(A366),DAY(EOMONTH(A366,0))),发射纪录!N:N,"&lt;&gt;")</f>
        <v>0</v>
      </c>
      <c r="C366" s="10">
        <f>COUNTIFS(发射纪录!B:B,"&lt;&gt;-",发射纪录!G:G,"&gt;="&amp;DATE(YEAR(A366),MONTH(A366),1),发射纪录!G:G,"&lt;="&amp;DATE(YEAR(A366),MONTH(A366),DAY(EOMONTH(A366,0))),发射纪录!N:N,"=成功",发射纪录!N:N,"&lt;&gt;")</f>
        <v>0</v>
      </c>
      <c r="D366" s="1" t="str">
        <f t="shared" si="270"/>
        <v>-</v>
      </c>
      <c r="E366" s="10">
        <f t="shared" si="271"/>
        <v>60</v>
      </c>
      <c r="F366" s="10">
        <f t="shared" si="272"/>
        <v>53</v>
      </c>
      <c r="G366" s="2">
        <f t="shared" si="273"/>
        <v>0.8833333333333333</v>
      </c>
      <c r="H366" s="10">
        <f>COUNTIFS(发射纪录!C:C,"&lt;&gt;-",发射纪录!G:G,"&gt;="&amp;DATE(YEAR(A366),MONTH(A366),1),发射纪录!G:G,"&lt;="&amp;DATE(YEAR(A366),MONTH(A366),DAY(EOMONTH(A366,0))),发射纪录!N:N,"&lt;&gt;")</f>
        <v>0</v>
      </c>
      <c r="I366" s="10">
        <f>COUNTIFS(发射纪录!C:C,"&lt;&gt;-",发射纪录!G:G,"&gt;="&amp;DATE(YEAR(A366),MONTH(A366),1),发射纪录!G:G,"&lt;="&amp;DATE(YEAR(A366),MONTH(A366),DAY(EOMONTH(A366,0))),发射纪录!N:N,"=成功",发射纪录!N:N,"&lt;&gt;")</f>
        <v>0</v>
      </c>
      <c r="J366" s="1" t="str">
        <f t="shared" si="274"/>
        <v>-</v>
      </c>
      <c r="K366" s="10">
        <f t="shared" ca="1" si="275"/>
        <v>8</v>
      </c>
      <c r="L366" s="10">
        <f t="shared" ca="1" si="276"/>
        <v>4</v>
      </c>
      <c r="M366" s="2">
        <f t="shared" ca="1" si="277"/>
        <v>0.5</v>
      </c>
      <c r="N366" s="10">
        <f t="shared" si="278"/>
        <v>0</v>
      </c>
      <c r="O366" s="10">
        <f t="shared" si="279"/>
        <v>0</v>
      </c>
      <c r="P366" s="3" t="str">
        <f t="shared" si="280"/>
        <v>-</v>
      </c>
      <c r="Q366" s="10">
        <f t="shared" ca="1" si="281"/>
        <v>68</v>
      </c>
      <c r="R366" s="10">
        <f t="shared" ca="1" si="242"/>
        <v>57</v>
      </c>
      <c r="S366" s="4">
        <f t="shared" ca="1" si="282"/>
        <v>0.83823529411764708</v>
      </c>
      <c r="T366" s="478"/>
    </row>
    <row r="367" spans="1:20" x14ac:dyDescent="0.45">
      <c r="A367" s="64">
        <v>36617</v>
      </c>
      <c r="B367" s="14">
        <f>COUNTIFS(发射纪录!B:B,"&lt;&gt;-",发射纪录!G:G,"&gt;="&amp;DATE(YEAR(A367),MONTH(A367),1),发射纪录!G:G,"&lt;="&amp;DATE(YEAR(A367),MONTH(A367),DAY(EOMONTH(A367,0))),发射纪录!N:N,"&lt;&gt;")</f>
        <v>0</v>
      </c>
      <c r="C367" s="10">
        <f>COUNTIFS(发射纪录!B:B,"&lt;&gt;-",发射纪录!G:G,"&gt;="&amp;DATE(YEAR(A367),MONTH(A367),1),发射纪录!G:G,"&lt;="&amp;DATE(YEAR(A367),MONTH(A367),DAY(EOMONTH(A367,0))),发射纪录!N:N,"=成功",发射纪录!N:N,"&lt;&gt;")</f>
        <v>0</v>
      </c>
      <c r="D367" s="1" t="str">
        <f t="shared" si="270"/>
        <v>-</v>
      </c>
      <c r="E367" s="10">
        <f t="shared" si="271"/>
        <v>60</v>
      </c>
      <c r="F367" s="10">
        <f t="shared" si="272"/>
        <v>53</v>
      </c>
      <c r="G367" s="2">
        <f t="shared" si="273"/>
        <v>0.8833333333333333</v>
      </c>
      <c r="H367" s="10">
        <f>COUNTIFS(发射纪录!C:C,"&lt;&gt;-",发射纪录!G:G,"&gt;="&amp;DATE(YEAR(A367),MONTH(A367),1),发射纪录!G:G,"&lt;="&amp;DATE(YEAR(A367),MONTH(A367),DAY(EOMONTH(A367,0))),发射纪录!N:N,"&lt;&gt;")</f>
        <v>0</v>
      </c>
      <c r="I367" s="10">
        <f>COUNTIFS(发射纪录!C:C,"&lt;&gt;-",发射纪录!G:G,"&gt;="&amp;DATE(YEAR(A367),MONTH(A367),1),发射纪录!G:G,"&lt;="&amp;DATE(YEAR(A367),MONTH(A367),DAY(EOMONTH(A367,0))),发射纪录!N:N,"=成功",发射纪录!N:N,"&lt;&gt;")</f>
        <v>0</v>
      </c>
      <c r="J367" s="1" t="str">
        <f t="shared" si="274"/>
        <v>-</v>
      </c>
      <c r="K367" s="10">
        <f t="shared" ca="1" si="275"/>
        <v>8</v>
      </c>
      <c r="L367" s="10">
        <f t="shared" ca="1" si="276"/>
        <v>4</v>
      </c>
      <c r="M367" s="2">
        <f t="shared" ca="1" si="277"/>
        <v>0.5</v>
      </c>
      <c r="N367" s="10">
        <f t="shared" si="278"/>
        <v>0</v>
      </c>
      <c r="O367" s="10">
        <f t="shared" si="279"/>
        <v>0</v>
      </c>
      <c r="P367" s="3" t="str">
        <f t="shared" si="280"/>
        <v>-</v>
      </c>
      <c r="Q367" s="10">
        <f t="shared" ca="1" si="281"/>
        <v>68</v>
      </c>
      <c r="R367" s="10">
        <f t="shared" ca="1" si="242"/>
        <v>57</v>
      </c>
      <c r="S367" s="4">
        <f t="shared" ca="1" si="282"/>
        <v>0.83823529411764708</v>
      </c>
      <c r="T367" s="478"/>
    </row>
    <row r="368" spans="1:20" x14ac:dyDescent="0.45">
      <c r="A368" s="64">
        <v>36647</v>
      </c>
      <c r="B368" s="14">
        <f>COUNTIFS(发射纪录!B:B,"&lt;&gt;-",发射纪录!G:G,"&gt;="&amp;DATE(YEAR(A368),MONTH(A368),1),发射纪录!G:G,"&lt;="&amp;DATE(YEAR(A368),MONTH(A368),DAY(EOMONTH(A368,0))),发射纪录!N:N,"&lt;&gt;")</f>
        <v>0</v>
      </c>
      <c r="C368" s="10">
        <f>COUNTIFS(发射纪录!B:B,"&lt;&gt;-",发射纪录!G:G,"&gt;="&amp;DATE(YEAR(A368),MONTH(A368),1),发射纪录!G:G,"&lt;="&amp;DATE(YEAR(A368),MONTH(A368),DAY(EOMONTH(A368,0))),发射纪录!N:N,"=成功",发射纪录!N:N,"&lt;&gt;")</f>
        <v>0</v>
      </c>
      <c r="D368" s="1" t="str">
        <f t="shared" si="270"/>
        <v>-</v>
      </c>
      <c r="E368" s="10">
        <f t="shared" si="271"/>
        <v>60</v>
      </c>
      <c r="F368" s="10">
        <f t="shared" si="272"/>
        <v>53</v>
      </c>
      <c r="G368" s="2">
        <f t="shared" si="273"/>
        <v>0.8833333333333333</v>
      </c>
      <c r="H368" s="10">
        <f ca="1">COUNTIFS(发射纪录!C:C,"&lt;&gt;-",发射纪录!G:G,"&gt;="&amp;DATE(YEAR(A368),MONTH(A368),1),发射纪录!G:G,"&lt;="&amp;DATE(YEAR(A368),MONTH(A368),DAY(EOMONTH(A368,0))),发射纪录!N:N,"&lt;&gt;")</f>
        <v>0</v>
      </c>
      <c r="I368" s="10">
        <f ca="1">COUNTIFS(发射纪录!C:C,"&lt;&gt;-",发射纪录!G:G,"&gt;="&amp;DATE(YEAR(A368),MONTH(A368),1),发射纪录!G:G,"&lt;="&amp;DATE(YEAR(A368),MONTH(A368),DAY(EOMONTH(A368,0))),发射纪录!N:N,"=成功",发射纪录!N:N,"&lt;&gt;")</f>
        <v>0</v>
      </c>
      <c r="J368" s="1" t="str">
        <f t="shared" ca="1" si="274"/>
        <v>-</v>
      </c>
      <c r="K368" s="10">
        <f t="shared" ca="1" si="275"/>
        <v>8</v>
      </c>
      <c r="L368" s="10">
        <f t="shared" ca="1" si="276"/>
        <v>4</v>
      </c>
      <c r="M368" s="2">
        <f t="shared" ca="1" si="277"/>
        <v>0.5</v>
      </c>
      <c r="N368" s="10">
        <f t="shared" ca="1" si="278"/>
        <v>0</v>
      </c>
      <c r="O368" s="10">
        <f t="shared" ca="1" si="279"/>
        <v>0</v>
      </c>
      <c r="P368" s="3" t="str">
        <f t="shared" ca="1" si="280"/>
        <v>-</v>
      </c>
      <c r="Q368" s="10">
        <f t="shared" ca="1" si="281"/>
        <v>68</v>
      </c>
      <c r="R368" s="10">
        <f t="shared" ca="1" si="242"/>
        <v>57</v>
      </c>
      <c r="S368" s="4">
        <f t="shared" ca="1" si="282"/>
        <v>0.83823529411764708</v>
      </c>
      <c r="T368" s="478"/>
    </row>
    <row r="369" spans="1:20" x14ac:dyDescent="0.45">
      <c r="A369" s="64">
        <v>36678</v>
      </c>
      <c r="B369" s="14">
        <f>COUNTIFS(发射纪录!B:B,"&lt;&gt;-",发射纪录!G:G,"&gt;="&amp;DATE(YEAR(A369),MONTH(A369),1),发射纪录!G:G,"&lt;="&amp;DATE(YEAR(A369),MONTH(A369),DAY(EOMONTH(A369,0))),发射纪录!N:N,"&lt;&gt;")</f>
        <v>1</v>
      </c>
      <c r="C369" s="10">
        <f>COUNTIFS(发射纪录!B:B,"&lt;&gt;-",发射纪录!G:G,"&gt;="&amp;DATE(YEAR(A369),MONTH(A369),1),发射纪录!G:G,"&lt;="&amp;DATE(YEAR(A369),MONTH(A369),DAY(EOMONTH(A369,0))),发射纪录!N:N,"=成功",发射纪录!N:N,"&lt;&gt;")</f>
        <v>1</v>
      </c>
      <c r="D369" s="1">
        <f t="shared" si="270"/>
        <v>1</v>
      </c>
      <c r="E369" s="10">
        <f t="shared" si="271"/>
        <v>61</v>
      </c>
      <c r="F369" s="10">
        <f t="shared" si="272"/>
        <v>54</v>
      </c>
      <c r="G369" s="2">
        <f t="shared" si="273"/>
        <v>0.88524590163934425</v>
      </c>
      <c r="H369" s="10">
        <f>COUNTIFS(发射纪录!C:C,"&lt;&gt;-",发射纪录!G:G,"&gt;="&amp;DATE(YEAR(A369),MONTH(A369),1),发射纪录!G:G,"&lt;="&amp;DATE(YEAR(A369),MONTH(A369),DAY(EOMONTH(A369,0))),发射纪录!N:N,"&lt;&gt;")</f>
        <v>0</v>
      </c>
      <c r="I369" s="10">
        <f ca="1">COUNTIFS(发射纪录!C:C,"&lt;&gt;-",发射纪录!G:G,"&gt;="&amp;DATE(YEAR(A369),MONTH(A369),1),发射纪录!G:G,"&lt;="&amp;DATE(YEAR(A369),MONTH(A369),DAY(EOMONTH(A369,0))),发射纪录!N:N,"=成功",发射纪录!N:N,"&lt;&gt;")</f>
        <v>0</v>
      </c>
      <c r="J369" s="1" t="str">
        <f t="shared" si="274"/>
        <v>-</v>
      </c>
      <c r="K369" s="10">
        <f t="shared" ca="1" si="275"/>
        <v>8</v>
      </c>
      <c r="L369" s="10">
        <f t="shared" ca="1" si="276"/>
        <v>4</v>
      </c>
      <c r="M369" s="2">
        <f t="shared" ca="1" si="277"/>
        <v>0.5</v>
      </c>
      <c r="N369" s="10">
        <f t="shared" si="278"/>
        <v>1</v>
      </c>
      <c r="O369" s="10">
        <f t="shared" ca="1" si="279"/>
        <v>1</v>
      </c>
      <c r="P369" s="3">
        <f t="shared" ca="1" si="280"/>
        <v>1</v>
      </c>
      <c r="Q369" s="10">
        <f t="shared" ca="1" si="281"/>
        <v>69</v>
      </c>
      <c r="R369" s="10">
        <f t="shared" ca="1" si="242"/>
        <v>58</v>
      </c>
      <c r="S369" s="4">
        <f t="shared" ca="1" si="282"/>
        <v>0.84057971014492749</v>
      </c>
      <c r="T369" s="478"/>
    </row>
    <row r="370" spans="1:20" x14ac:dyDescent="0.45">
      <c r="A370" s="64">
        <v>36708</v>
      </c>
      <c r="B370" s="14">
        <f>COUNTIFS(发射纪录!B:B,"&lt;&gt;-",发射纪录!G:G,"&gt;="&amp;DATE(YEAR(A370),MONTH(A370),1),发射纪录!G:G,"&lt;="&amp;DATE(YEAR(A370),MONTH(A370),DAY(EOMONTH(A370,0))),发射纪录!N:N,"&lt;&gt;")</f>
        <v>0</v>
      </c>
      <c r="C370" s="10">
        <f>COUNTIFS(发射纪录!B:B,"&lt;&gt;-",发射纪录!G:G,"&gt;="&amp;DATE(YEAR(A370),MONTH(A370),1),发射纪录!G:G,"&lt;="&amp;DATE(YEAR(A370),MONTH(A370),DAY(EOMONTH(A370,0))),发射纪录!N:N,"=成功",发射纪录!N:N,"&lt;&gt;")</f>
        <v>0</v>
      </c>
      <c r="D370" s="1" t="str">
        <f t="shared" si="270"/>
        <v>-</v>
      </c>
      <c r="E370" s="10">
        <f t="shared" si="271"/>
        <v>61</v>
      </c>
      <c r="F370" s="10">
        <f t="shared" si="272"/>
        <v>54</v>
      </c>
      <c r="G370" s="2">
        <f t="shared" si="273"/>
        <v>0.88524590163934425</v>
      </c>
      <c r="H370" s="10">
        <f ca="1">COUNTIFS(发射纪录!C:C,"&lt;&gt;-",发射纪录!G:G,"&gt;="&amp;DATE(YEAR(A370),MONTH(A370),1),发射纪录!G:G,"&lt;="&amp;DATE(YEAR(A370),MONTH(A370),DAY(EOMONTH(A370,0))),发射纪录!N:N,"&lt;&gt;")</f>
        <v>0</v>
      </c>
      <c r="I370" s="10">
        <f>COUNTIFS(发射纪录!C:C,"&lt;&gt;-",发射纪录!G:G,"&gt;="&amp;DATE(YEAR(A370),MONTH(A370),1),发射纪录!G:G,"&lt;="&amp;DATE(YEAR(A370),MONTH(A370),DAY(EOMONTH(A370,0))),发射纪录!N:N,"=成功",发射纪录!N:N,"&lt;&gt;")</f>
        <v>0</v>
      </c>
      <c r="J370" s="1" t="str">
        <f t="shared" ca="1" si="274"/>
        <v>-</v>
      </c>
      <c r="K370" s="10">
        <f t="shared" ca="1" si="275"/>
        <v>8</v>
      </c>
      <c r="L370" s="10">
        <f t="shared" ca="1" si="276"/>
        <v>4</v>
      </c>
      <c r="M370" s="2">
        <f t="shared" ca="1" si="277"/>
        <v>0.5</v>
      </c>
      <c r="N370" s="10">
        <f t="shared" ca="1" si="278"/>
        <v>0</v>
      </c>
      <c r="O370" s="10">
        <f t="shared" si="279"/>
        <v>0</v>
      </c>
      <c r="P370" s="3" t="str">
        <f t="shared" ca="1" si="280"/>
        <v>-</v>
      </c>
      <c r="Q370" s="10">
        <f t="shared" ca="1" si="281"/>
        <v>69</v>
      </c>
      <c r="R370" s="10">
        <f t="shared" ca="1" si="242"/>
        <v>58</v>
      </c>
      <c r="S370" s="4">
        <f t="shared" ca="1" si="282"/>
        <v>0.84057971014492749</v>
      </c>
      <c r="T370" s="478"/>
    </row>
    <row r="371" spans="1:20" x14ac:dyDescent="0.45">
      <c r="A371" s="64">
        <v>36739</v>
      </c>
      <c r="B371" s="14">
        <f>COUNTIFS(发射纪录!B:B,"&lt;&gt;-",发射纪录!G:G,"&gt;="&amp;DATE(YEAR(A371),MONTH(A371),1),发射纪录!G:G,"&lt;="&amp;DATE(YEAR(A371),MONTH(A371),DAY(EOMONTH(A371,0))),发射纪录!N:N,"&lt;&gt;")</f>
        <v>0</v>
      </c>
      <c r="C371" s="10">
        <f>COUNTIFS(发射纪录!B:B,"&lt;&gt;-",发射纪录!G:G,"&gt;="&amp;DATE(YEAR(A371),MONTH(A371),1),发射纪录!G:G,"&lt;="&amp;DATE(YEAR(A371),MONTH(A371),DAY(EOMONTH(A371,0))),发射纪录!N:N,"=成功",发射纪录!N:N,"&lt;&gt;")</f>
        <v>0</v>
      </c>
      <c r="D371" s="1" t="str">
        <f t="shared" si="270"/>
        <v>-</v>
      </c>
      <c r="E371" s="10">
        <f t="shared" si="271"/>
        <v>61</v>
      </c>
      <c r="F371" s="10">
        <f t="shared" si="272"/>
        <v>54</v>
      </c>
      <c r="G371" s="2">
        <f t="shared" si="273"/>
        <v>0.88524590163934425</v>
      </c>
      <c r="H371" s="10">
        <f>COUNTIFS(发射纪录!C:C,"&lt;&gt;-",发射纪录!G:G,"&gt;="&amp;DATE(YEAR(A371),MONTH(A371),1),发射纪录!G:G,"&lt;="&amp;DATE(YEAR(A371),MONTH(A371),DAY(EOMONTH(A371,0))),发射纪录!N:N,"&lt;&gt;")</f>
        <v>0</v>
      </c>
      <c r="I371" s="10">
        <f>COUNTIFS(发射纪录!C:C,"&lt;&gt;-",发射纪录!G:G,"&gt;="&amp;DATE(YEAR(A371),MONTH(A371),1),发射纪录!G:G,"&lt;="&amp;DATE(YEAR(A371),MONTH(A371),DAY(EOMONTH(A371,0))),发射纪录!N:N,"=成功",发射纪录!N:N,"&lt;&gt;")</f>
        <v>0</v>
      </c>
      <c r="J371" s="1" t="str">
        <f t="shared" si="274"/>
        <v>-</v>
      </c>
      <c r="K371" s="10">
        <f t="shared" ca="1" si="275"/>
        <v>8</v>
      </c>
      <c r="L371" s="10">
        <f t="shared" ca="1" si="276"/>
        <v>4</v>
      </c>
      <c r="M371" s="2">
        <f t="shared" ca="1" si="277"/>
        <v>0.5</v>
      </c>
      <c r="N371" s="10">
        <f t="shared" si="278"/>
        <v>0</v>
      </c>
      <c r="O371" s="10">
        <f t="shared" si="279"/>
        <v>0</v>
      </c>
      <c r="P371" s="3" t="str">
        <f t="shared" si="280"/>
        <v>-</v>
      </c>
      <c r="Q371" s="10">
        <f t="shared" ca="1" si="281"/>
        <v>69</v>
      </c>
      <c r="R371" s="10">
        <f t="shared" ca="1" si="242"/>
        <v>58</v>
      </c>
      <c r="S371" s="4">
        <f t="shared" ca="1" si="282"/>
        <v>0.84057971014492749</v>
      </c>
      <c r="T371" s="478"/>
    </row>
    <row r="372" spans="1:20" x14ac:dyDescent="0.45">
      <c r="A372" s="64">
        <v>36770</v>
      </c>
      <c r="B372" s="14">
        <f>COUNTIFS(发射纪录!B:B,"&lt;&gt;-",发射纪录!G:G,"&gt;="&amp;DATE(YEAR(A372),MONTH(A372),1),发射纪录!G:G,"&lt;="&amp;DATE(YEAR(A372),MONTH(A372),DAY(EOMONTH(A372,0))),发射纪录!N:N,"&lt;&gt;")</f>
        <v>1</v>
      </c>
      <c r="C372" s="10">
        <f>COUNTIFS(发射纪录!B:B,"&lt;&gt;-",发射纪录!G:G,"&gt;="&amp;DATE(YEAR(A372),MONTH(A372),1),发射纪录!G:G,"&lt;="&amp;DATE(YEAR(A372),MONTH(A372),DAY(EOMONTH(A372,0))),发射纪录!N:N,"=成功",发射纪录!N:N,"&lt;&gt;")</f>
        <v>1</v>
      </c>
      <c r="D372" s="1">
        <f t="shared" si="270"/>
        <v>1</v>
      </c>
      <c r="E372" s="10">
        <f t="shared" si="271"/>
        <v>62</v>
      </c>
      <c r="F372" s="10">
        <f t="shared" si="272"/>
        <v>55</v>
      </c>
      <c r="G372" s="2">
        <f t="shared" si="273"/>
        <v>0.88709677419354838</v>
      </c>
      <c r="H372" s="10">
        <f>COUNTIFS(发射纪录!C:C,"&lt;&gt;-",发射纪录!G:G,"&gt;="&amp;DATE(YEAR(A372),MONTH(A372),1),发射纪录!G:G,"&lt;="&amp;DATE(YEAR(A372),MONTH(A372),DAY(EOMONTH(A372,0))),发射纪录!N:N,"&lt;&gt;")</f>
        <v>0</v>
      </c>
      <c r="I372" s="10">
        <f>COUNTIFS(发射纪录!C:C,"&lt;&gt;-",发射纪录!G:G,"&gt;="&amp;DATE(YEAR(A372),MONTH(A372),1),发射纪录!G:G,"&lt;="&amp;DATE(YEAR(A372),MONTH(A372),DAY(EOMONTH(A372,0))),发射纪录!N:N,"=成功",发射纪录!N:N,"&lt;&gt;")</f>
        <v>0</v>
      </c>
      <c r="J372" s="1" t="str">
        <f t="shared" si="274"/>
        <v>-</v>
      </c>
      <c r="K372" s="10">
        <f t="shared" ca="1" si="275"/>
        <v>8</v>
      </c>
      <c r="L372" s="10">
        <f t="shared" ca="1" si="276"/>
        <v>4</v>
      </c>
      <c r="M372" s="2">
        <f t="shared" ca="1" si="277"/>
        <v>0.5</v>
      </c>
      <c r="N372" s="10">
        <f t="shared" si="278"/>
        <v>1</v>
      </c>
      <c r="O372" s="10">
        <f t="shared" si="279"/>
        <v>1</v>
      </c>
      <c r="P372" s="3">
        <f t="shared" si="280"/>
        <v>1</v>
      </c>
      <c r="Q372" s="10">
        <f t="shared" ca="1" si="281"/>
        <v>70</v>
      </c>
      <c r="R372" s="10">
        <f t="shared" ca="1" si="242"/>
        <v>59</v>
      </c>
      <c r="S372" s="4">
        <f t="shared" ca="1" si="282"/>
        <v>0.84285714285714286</v>
      </c>
      <c r="T372" s="478"/>
    </row>
    <row r="373" spans="1:20" x14ac:dyDescent="0.45">
      <c r="A373" s="64">
        <v>36800</v>
      </c>
      <c r="B373" s="14">
        <f>COUNTIFS(发射纪录!B:B,"&lt;&gt;-",发射纪录!G:G,"&gt;="&amp;DATE(YEAR(A373),MONTH(A373),1),发射纪录!G:G,"&lt;="&amp;DATE(YEAR(A373),MONTH(A373),DAY(EOMONTH(A373,0))),发射纪录!N:N,"&lt;&gt;")</f>
        <v>1</v>
      </c>
      <c r="C373" s="10">
        <f>COUNTIFS(发射纪录!B:B,"&lt;&gt;-",发射纪录!G:G,"&gt;="&amp;DATE(YEAR(A373),MONTH(A373),1),发射纪录!G:G,"&lt;="&amp;DATE(YEAR(A373),MONTH(A373),DAY(EOMONTH(A373,0))),发射纪录!N:N,"=成功",发射纪录!N:N,"&lt;&gt;")</f>
        <v>1</v>
      </c>
      <c r="D373" s="1">
        <f t="shared" si="270"/>
        <v>1</v>
      </c>
      <c r="E373" s="10">
        <f t="shared" si="271"/>
        <v>63</v>
      </c>
      <c r="F373" s="10">
        <f t="shared" si="272"/>
        <v>56</v>
      </c>
      <c r="G373" s="2">
        <f t="shared" si="273"/>
        <v>0.88888888888888884</v>
      </c>
      <c r="H373" s="10">
        <f>COUNTIFS(发射纪录!C:C,"&lt;&gt;-",发射纪录!G:G,"&gt;="&amp;DATE(YEAR(A373),MONTH(A373),1),发射纪录!G:G,"&lt;="&amp;DATE(YEAR(A373),MONTH(A373),DAY(EOMONTH(A373,0))),发射纪录!N:N,"&lt;&gt;")</f>
        <v>0</v>
      </c>
      <c r="I373" s="10">
        <f>COUNTIFS(发射纪录!C:C,"&lt;&gt;-",发射纪录!G:G,"&gt;="&amp;DATE(YEAR(A373),MONTH(A373),1),发射纪录!G:G,"&lt;="&amp;DATE(YEAR(A373),MONTH(A373),DAY(EOMONTH(A373,0))),发射纪录!N:N,"=成功",发射纪录!N:N,"&lt;&gt;")</f>
        <v>0</v>
      </c>
      <c r="J373" s="1" t="str">
        <f t="shared" si="274"/>
        <v>-</v>
      </c>
      <c r="K373" s="10">
        <f t="shared" ca="1" si="275"/>
        <v>8</v>
      </c>
      <c r="L373" s="10">
        <f t="shared" ca="1" si="276"/>
        <v>4</v>
      </c>
      <c r="M373" s="2">
        <f t="shared" ca="1" si="277"/>
        <v>0.5</v>
      </c>
      <c r="N373" s="10">
        <f t="shared" si="278"/>
        <v>1</v>
      </c>
      <c r="O373" s="10">
        <f t="shared" si="279"/>
        <v>1</v>
      </c>
      <c r="P373" s="3">
        <f t="shared" si="280"/>
        <v>1</v>
      </c>
      <c r="Q373" s="10">
        <f t="shared" ca="1" si="281"/>
        <v>71</v>
      </c>
      <c r="R373" s="10">
        <f t="shared" ca="1" si="242"/>
        <v>60</v>
      </c>
      <c r="S373" s="4">
        <f t="shared" ca="1" si="282"/>
        <v>0.84507042253521125</v>
      </c>
      <c r="T373" s="478"/>
    </row>
    <row r="374" spans="1:20" x14ac:dyDescent="0.45">
      <c r="A374" s="64">
        <v>36831</v>
      </c>
      <c r="B374" s="14">
        <f>COUNTIFS(发射纪录!B:B,"&lt;&gt;-",发射纪录!G:G,"&gt;="&amp;DATE(YEAR(A374),MONTH(A374),1),发射纪录!G:G,"&lt;="&amp;DATE(YEAR(A374),MONTH(A374),DAY(EOMONTH(A374,0))),发射纪录!N:N,"&lt;&gt;")</f>
        <v>0</v>
      </c>
      <c r="C374" s="10">
        <f>COUNTIFS(发射纪录!B:B,"&lt;&gt;-",发射纪录!G:G,"&gt;="&amp;DATE(YEAR(A374),MONTH(A374),1),发射纪录!G:G,"&lt;="&amp;DATE(YEAR(A374),MONTH(A374),DAY(EOMONTH(A374,0))),发射纪录!N:N,"=成功",发射纪录!N:N,"&lt;&gt;")</f>
        <v>0</v>
      </c>
      <c r="D374" s="1" t="str">
        <f t="shared" si="270"/>
        <v>-</v>
      </c>
      <c r="E374" s="10">
        <f t="shared" si="271"/>
        <v>63</v>
      </c>
      <c r="F374" s="10">
        <f t="shared" si="272"/>
        <v>56</v>
      </c>
      <c r="G374" s="2">
        <f t="shared" si="273"/>
        <v>0.88888888888888884</v>
      </c>
      <c r="H374" s="10">
        <f>COUNTIFS(发射纪录!C:C,"&lt;&gt;-",发射纪录!G:G,"&gt;="&amp;DATE(YEAR(A374),MONTH(A374),1),发射纪录!G:G,"&lt;="&amp;DATE(YEAR(A374),MONTH(A374),DAY(EOMONTH(A374,0))),发射纪录!N:N,"&lt;&gt;")</f>
        <v>0</v>
      </c>
      <c r="I374" s="10">
        <f ca="1">COUNTIFS(发射纪录!C:C,"&lt;&gt;-",发射纪录!G:G,"&gt;="&amp;DATE(YEAR(A374),MONTH(A374),1),发射纪录!G:G,"&lt;="&amp;DATE(YEAR(A374),MONTH(A374),DAY(EOMONTH(A374,0))),发射纪录!N:N,"=成功",发射纪录!N:N,"&lt;&gt;")</f>
        <v>0</v>
      </c>
      <c r="J374" s="1" t="str">
        <f t="shared" si="274"/>
        <v>-</v>
      </c>
      <c r="K374" s="10">
        <f t="shared" ca="1" si="275"/>
        <v>8</v>
      </c>
      <c r="L374" s="10">
        <f t="shared" ca="1" si="276"/>
        <v>4</v>
      </c>
      <c r="M374" s="2">
        <f t="shared" ca="1" si="277"/>
        <v>0.5</v>
      </c>
      <c r="N374" s="10">
        <f t="shared" si="278"/>
        <v>0</v>
      </c>
      <c r="O374" s="10">
        <f t="shared" ca="1" si="279"/>
        <v>0</v>
      </c>
      <c r="P374" s="3" t="str">
        <f t="shared" si="280"/>
        <v>-</v>
      </c>
      <c r="Q374" s="10">
        <f t="shared" ca="1" si="281"/>
        <v>71</v>
      </c>
      <c r="R374" s="10">
        <f t="shared" ca="1" si="242"/>
        <v>60</v>
      </c>
      <c r="S374" s="4">
        <f t="shared" ca="1" si="282"/>
        <v>0.84507042253521125</v>
      </c>
      <c r="T374" s="478"/>
    </row>
    <row r="375" spans="1:20" ht="19.5" customHeight="1" thickBot="1" x14ac:dyDescent="0.5">
      <c r="A375" s="65">
        <v>36861</v>
      </c>
      <c r="B375" s="17">
        <f>COUNTIFS(发射纪录!B:B,"&lt;&gt;-",发射纪录!G:G,"&gt;="&amp;DATE(YEAR(A375),MONTH(A375),1),发射纪录!G:G,"&lt;="&amp;DATE(YEAR(A375),MONTH(A375),DAY(EOMONTH(A375,0))),发射纪录!N:N,"&lt;&gt;")</f>
        <v>1</v>
      </c>
      <c r="C375" s="18">
        <f>COUNTIFS(发射纪录!B:B,"&lt;&gt;-",发射纪录!G:G,"&gt;="&amp;DATE(YEAR(A375),MONTH(A375),1),发射纪录!G:G,"&lt;="&amp;DATE(YEAR(A375),MONTH(A375),DAY(EOMONTH(A375,0))),发射纪录!N:N,"=成功",发射纪录!N:N,"&lt;&gt;")</f>
        <v>1</v>
      </c>
      <c r="D375" s="12">
        <f>IF(B375=0,"-",C375/B375)</f>
        <v>1</v>
      </c>
      <c r="E375" s="18">
        <f>E374+B375</f>
        <v>64</v>
      </c>
      <c r="F375" s="18">
        <f>F374+C375</f>
        <v>57</v>
      </c>
      <c r="G375" s="13">
        <f>IF(E375=0,"-",F375/E375)</f>
        <v>0.890625</v>
      </c>
      <c r="H375" s="18">
        <f ca="1">COUNTIFS(发射纪录!C:C,"&lt;&gt;-",发射纪录!G:G,"&gt;="&amp;DATE(YEAR(A375),MONTH(A375),1),发射纪录!G:G,"&lt;="&amp;DATE(YEAR(A375),MONTH(A375),DAY(EOMONTH(A375,0))),发射纪录!N:N,"&lt;&gt;")</f>
        <v>0</v>
      </c>
      <c r="I375" s="18">
        <f>COUNTIFS(发射纪录!C:C,"&lt;&gt;-",发射纪录!G:G,"&gt;="&amp;DATE(YEAR(A375),MONTH(A375),1),发射纪录!G:G,"&lt;="&amp;DATE(YEAR(A375),MONTH(A375),DAY(EOMONTH(A375,0))),发射纪录!N:N,"=成功",发射纪录!N:N,"&lt;&gt;")</f>
        <v>0</v>
      </c>
      <c r="J375" s="12" t="str">
        <f ca="1">IF(H375=0,"-",I375/H375)</f>
        <v>-</v>
      </c>
      <c r="K375" s="18">
        <f ca="1">K374+H375</f>
        <v>8</v>
      </c>
      <c r="L375" s="18">
        <f ca="1">L374+I375</f>
        <v>4</v>
      </c>
      <c r="M375" s="13">
        <f ca="1">IF(K375=0,"-",L375/K375)</f>
        <v>0.5</v>
      </c>
      <c r="N375" s="18">
        <f ca="1">B375+H375</f>
        <v>1</v>
      </c>
      <c r="O375" s="18">
        <f>C375+I375</f>
        <v>1</v>
      </c>
      <c r="P375" s="12">
        <f ca="1">IF(N375=0,"-",O375/N375)</f>
        <v>1</v>
      </c>
      <c r="Q375" s="18">
        <f ca="1">E375+K375</f>
        <v>72</v>
      </c>
      <c r="R375" s="18">
        <f ca="1">F375+L375</f>
        <v>61</v>
      </c>
      <c r="S375" s="13">
        <f ca="1">IF(Q375=0,"-",R375/Q375)</f>
        <v>0.84722222222222221</v>
      </c>
      <c r="T375" s="478"/>
    </row>
    <row r="376" spans="1:20" ht="19.5" customHeight="1" thickTop="1" x14ac:dyDescent="0.45">
      <c r="A376" s="63">
        <v>36892</v>
      </c>
      <c r="B376" s="14">
        <f>COUNTIFS(发射纪录!B:B,"&lt;&gt;-",发射纪录!G:G,"&gt;="&amp;DATE(YEAR(A376),MONTH(A376),1),发射纪录!G:G,"&lt;="&amp;DATE(YEAR(A376),MONTH(A376),DAY(EOMONTH(A376,0))),发射纪录!N:N,"&lt;&gt;")</f>
        <v>1</v>
      </c>
      <c r="C376" s="10">
        <f>COUNTIFS(发射纪录!B:B,"&lt;&gt;-",发射纪录!G:G,"&gt;="&amp;DATE(YEAR(A376),MONTH(A376),1),发射纪录!G:G,"&lt;="&amp;DATE(YEAR(A376),MONTH(A376),DAY(EOMONTH(A376,0))),发射纪录!N:N,"=成功",发射纪录!N:N,"&lt;&gt;")</f>
        <v>1</v>
      </c>
      <c r="D376" s="3">
        <f t="shared" ref="D376:D386" si="283">IF(B376=0,"-",C376/B376)</f>
        <v>1</v>
      </c>
      <c r="E376" s="10">
        <f t="shared" ref="E376:E386" si="284">E375+B376</f>
        <v>65</v>
      </c>
      <c r="F376" s="10">
        <f t="shared" ref="F376:F386" si="285">F375+C376</f>
        <v>58</v>
      </c>
      <c r="G376" s="4">
        <f t="shared" ref="G376:G386" si="286">IF(E376=0,"-",F376/E376)</f>
        <v>0.89230769230769236</v>
      </c>
      <c r="H376" s="10">
        <f>COUNTIFS(发射纪录!C:C,"&lt;&gt;-",发射纪录!G:G,"&gt;="&amp;DATE(YEAR(A376),MONTH(A376),1),发射纪录!G:G,"&lt;="&amp;DATE(YEAR(A376),MONTH(A376),DAY(EOMONTH(A376,0))),发射纪录!N:N,"&lt;&gt;")</f>
        <v>0</v>
      </c>
      <c r="I376" s="10">
        <f>COUNTIFS(发射纪录!C:C,"&lt;&gt;-",发射纪录!G:G,"&gt;="&amp;DATE(YEAR(A376),MONTH(A376),1),发射纪录!G:G,"&lt;="&amp;DATE(YEAR(A376),MONTH(A376),DAY(EOMONTH(A376,0))),发射纪录!N:N,"=成功",发射纪录!N:N,"&lt;&gt;")</f>
        <v>0</v>
      </c>
      <c r="J376" s="3" t="str">
        <f t="shared" ref="J376:J386" si="287">IF(H376=0,"-",I376/H376)</f>
        <v>-</v>
      </c>
      <c r="K376" s="10">
        <f t="shared" ref="K376:K386" ca="1" si="288">K375+H376</f>
        <v>8</v>
      </c>
      <c r="L376" s="10">
        <f t="shared" ref="L376:L386" ca="1" si="289">L375+I376</f>
        <v>4</v>
      </c>
      <c r="M376" s="4">
        <f t="shared" ref="M376:M386" ca="1" si="290">IF(K376=0,"-",L376/K376)</f>
        <v>0.5</v>
      </c>
      <c r="N376" s="10">
        <f t="shared" ref="N376:N386" si="291">B376+H376</f>
        <v>1</v>
      </c>
      <c r="O376" s="10">
        <f t="shared" ref="O376:O386" si="292">C376+I376</f>
        <v>1</v>
      </c>
      <c r="P376" s="3">
        <f t="shared" ref="P376:P386" si="293">IF(N376=0,"-",O376/N376)</f>
        <v>1</v>
      </c>
      <c r="Q376" s="10">
        <f t="shared" ref="Q376:Q386" ca="1" si="294">E376+K376</f>
        <v>73</v>
      </c>
      <c r="R376" s="10">
        <f t="shared" ca="1" si="242"/>
        <v>62</v>
      </c>
      <c r="S376" s="4">
        <f t="shared" ref="S376:S386" ca="1" si="295">IF(Q376=0,"-",R376/Q376)</f>
        <v>0.84931506849315064</v>
      </c>
      <c r="T376" s="478"/>
    </row>
    <row r="377" spans="1:20" x14ac:dyDescent="0.45">
      <c r="A377" s="64">
        <v>36923</v>
      </c>
      <c r="B377" s="14">
        <f>COUNTIFS(发射纪录!B:B,"&lt;&gt;-",发射纪录!G:G,"&gt;="&amp;DATE(YEAR(A377),MONTH(A377),1),发射纪录!G:G,"&lt;="&amp;DATE(YEAR(A377),MONTH(A377),DAY(EOMONTH(A377,0))),发射纪录!N:N,"&lt;&gt;")</f>
        <v>0</v>
      </c>
      <c r="C377" s="10">
        <f>COUNTIFS(发射纪录!B:B,"&lt;&gt;-",发射纪录!G:G,"&gt;="&amp;DATE(YEAR(A377),MONTH(A377),1),发射纪录!G:G,"&lt;="&amp;DATE(YEAR(A377),MONTH(A377),DAY(EOMONTH(A377,0))),发射纪录!N:N,"=成功",发射纪录!N:N,"&lt;&gt;")</f>
        <v>0</v>
      </c>
      <c r="D377" s="1" t="str">
        <f t="shared" si="283"/>
        <v>-</v>
      </c>
      <c r="E377" s="10">
        <f t="shared" si="284"/>
        <v>65</v>
      </c>
      <c r="F377" s="10">
        <f t="shared" si="285"/>
        <v>58</v>
      </c>
      <c r="G377" s="2">
        <f t="shared" si="286"/>
        <v>0.89230769230769236</v>
      </c>
      <c r="H377" s="10">
        <f>COUNTIFS(发射纪录!C:C,"&lt;&gt;-",发射纪录!G:G,"&gt;="&amp;DATE(YEAR(A377),MONTH(A377),1),发射纪录!G:G,"&lt;="&amp;DATE(YEAR(A377),MONTH(A377),DAY(EOMONTH(A377,0))),发射纪录!N:N,"&lt;&gt;")</f>
        <v>0</v>
      </c>
      <c r="I377" s="10">
        <f>COUNTIFS(发射纪录!C:C,"&lt;&gt;-",发射纪录!G:G,"&gt;="&amp;DATE(YEAR(A377),MONTH(A377),1),发射纪录!G:G,"&lt;="&amp;DATE(YEAR(A377),MONTH(A377),DAY(EOMONTH(A377,0))),发射纪录!N:N,"=成功",发射纪录!N:N,"&lt;&gt;")</f>
        <v>0</v>
      </c>
      <c r="J377" s="1" t="str">
        <f t="shared" si="287"/>
        <v>-</v>
      </c>
      <c r="K377" s="10">
        <f t="shared" ca="1" si="288"/>
        <v>8</v>
      </c>
      <c r="L377" s="10">
        <f t="shared" ca="1" si="289"/>
        <v>4</v>
      </c>
      <c r="M377" s="2">
        <f t="shared" ca="1" si="290"/>
        <v>0.5</v>
      </c>
      <c r="N377" s="10">
        <f t="shared" si="291"/>
        <v>0</v>
      </c>
      <c r="O377" s="10">
        <f t="shared" si="292"/>
        <v>0</v>
      </c>
      <c r="P377" s="3" t="str">
        <f t="shared" si="293"/>
        <v>-</v>
      </c>
      <c r="Q377" s="10">
        <f t="shared" ca="1" si="294"/>
        <v>73</v>
      </c>
      <c r="R377" s="10">
        <f t="shared" ca="1" si="242"/>
        <v>62</v>
      </c>
      <c r="S377" s="4">
        <f t="shared" ca="1" si="295"/>
        <v>0.84931506849315064</v>
      </c>
      <c r="T377" s="478"/>
    </row>
    <row r="378" spans="1:20" x14ac:dyDescent="0.45">
      <c r="A378" s="64">
        <v>36951</v>
      </c>
      <c r="B378" s="14">
        <f>COUNTIFS(发射纪录!B:B,"&lt;&gt;-",发射纪录!G:G,"&gt;="&amp;DATE(YEAR(A378),MONTH(A378),1),发射纪录!G:G,"&lt;="&amp;DATE(YEAR(A378),MONTH(A378),DAY(EOMONTH(A378,0))),发射纪录!N:N,"&lt;&gt;")</f>
        <v>0</v>
      </c>
      <c r="C378" s="10">
        <f>COUNTIFS(发射纪录!B:B,"&lt;&gt;-",发射纪录!G:G,"&gt;="&amp;DATE(YEAR(A378),MONTH(A378),1),发射纪录!G:G,"&lt;="&amp;DATE(YEAR(A378),MONTH(A378),DAY(EOMONTH(A378,0))),发射纪录!N:N,"=成功",发射纪录!N:N,"&lt;&gt;")</f>
        <v>0</v>
      </c>
      <c r="D378" s="1" t="str">
        <f t="shared" si="283"/>
        <v>-</v>
      </c>
      <c r="E378" s="10">
        <f t="shared" si="284"/>
        <v>65</v>
      </c>
      <c r="F378" s="10">
        <f t="shared" si="285"/>
        <v>58</v>
      </c>
      <c r="G378" s="2">
        <f t="shared" si="286"/>
        <v>0.89230769230769236</v>
      </c>
      <c r="H378" s="10">
        <f>COUNTIFS(发射纪录!C:C,"&lt;&gt;-",发射纪录!G:G,"&gt;="&amp;DATE(YEAR(A378),MONTH(A378),1),发射纪录!G:G,"&lt;="&amp;DATE(YEAR(A378),MONTH(A378),DAY(EOMONTH(A378,0))),发射纪录!N:N,"&lt;&gt;")</f>
        <v>0</v>
      </c>
      <c r="I378" s="10">
        <f>COUNTIFS(发射纪录!C:C,"&lt;&gt;-",发射纪录!G:G,"&gt;="&amp;DATE(YEAR(A378),MONTH(A378),1),发射纪录!G:G,"&lt;="&amp;DATE(YEAR(A378),MONTH(A378),DAY(EOMONTH(A378,0))),发射纪录!N:N,"=成功",发射纪录!N:N,"&lt;&gt;")</f>
        <v>0</v>
      </c>
      <c r="J378" s="1" t="str">
        <f t="shared" si="287"/>
        <v>-</v>
      </c>
      <c r="K378" s="10">
        <f t="shared" ca="1" si="288"/>
        <v>8</v>
      </c>
      <c r="L378" s="10">
        <f t="shared" ca="1" si="289"/>
        <v>4</v>
      </c>
      <c r="M378" s="2">
        <f t="shared" ca="1" si="290"/>
        <v>0.5</v>
      </c>
      <c r="N378" s="10">
        <f t="shared" si="291"/>
        <v>0</v>
      </c>
      <c r="O378" s="10">
        <f t="shared" si="292"/>
        <v>0</v>
      </c>
      <c r="P378" s="3" t="str">
        <f t="shared" si="293"/>
        <v>-</v>
      </c>
      <c r="Q378" s="10">
        <f t="shared" ca="1" si="294"/>
        <v>73</v>
      </c>
      <c r="R378" s="10">
        <f t="shared" ca="1" si="242"/>
        <v>62</v>
      </c>
      <c r="S378" s="4">
        <f t="shared" ca="1" si="295"/>
        <v>0.84931506849315064</v>
      </c>
      <c r="T378" s="478"/>
    </row>
    <row r="379" spans="1:20" x14ac:dyDescent="0.45">
      <c r="A379" s="64">
        <v>36982</v>
      </c>
      <c r="B379" s="14">
        <f>COUNTIFS(发射纪录!B:B,"&lt;&gt;-",发射纪录!G:G,"&gt;="&amp;DATE(YEAR(A379),MONTH(A379),1),发射纪录!G:G,"&lt;="&amp;DATE(YEAR(A379),MONTH(A379),DAY(EOMONTH(A379,0))),发射纪录!N:N,"&lt;&gt;")</f>
        <v>0</v>
      </c>
      <c r="C379" s="10">
        <f>COUNTIFS(发射纪录!B:B,"&lt;&gt;-",发射纪录!G:G,"&gt;="&amp;DATE(YEAR(A379),MONTH(A379),1),发射纪录!G:G,"&lt;="&amp;DATE(YEAR(A379),MONTH(A379),DAY(EOMONTH(A379,0))),发射纪录!N:N,"=成功",发射纪录!N:N,"&lt;&gt;")</f>
        <v>0</v>
      </c>
      <c r="D379" s="1" t="str">
        <f t="shared" si="283"/>
        <v>-</v>
      </c>
      <c r="E379" s="10">
        <f t="shared" si="284"/>
        <v>65</v>
      </c>
      <c r="F379" s="10">
        <f t="shared" si="285"/>
        <v>58</v>
      </c>
      <c r="G379" s="2">
        <f t="shared" si="286"/>
        <v>0.89230769230769236</v>
      </c>
      <c r="H379" s="10">
        <f>COUNTIFS(发射纪录!C:C,"&lt;&gt;-",发射纪录!G:G,"&gt;="&amp;DATE(YEAR(A379),MONTH(A379),1),发射纪录!G:G,"&lt;="&amp;DATE(YEAR(A379),MONTH(A379),DAY(EOMONTH(A379,0))),发射纪录!N:N,"&lt;&gt;")</f>
        <v>0</v>
      </c>
      <c r="I379" s="10">
        <f>COUNTIFS(发射纪录!C:C,"&lt;&gt;-",发射纪录!G:G,"&gt;="&amp;DATE(YEAR(A379),MONTH(A379),1),发射纪录!G:G,"&lt;="&amp;DATE(YEAR(A379),MONTH(A379),DAY(EOMONTH(A379,0))),发射纪录!N:N,"=成功",发射纪录!N:N,"&lt;&gt;")</f>
        <v>0</v>
      </c>
      <c r="J379" s="1" t="str">
        <f t="shared" si="287"/>
        <v>-</v>
      </c>
      <c r="K379" s="10">
        <f t="shared" ca="1" si="288"/>
        <v>8</v>
      </c>
      <c r="L379" s="10">
        <f t="shared" ca="1" si="289"/>
        <v>4</v>
      </c>
      <c r="M379" s="2">
        <f t="shared" ca="1" si="290"/>
        <v>0.5</v>
      </c>
      <c r="N379" s="10">
        <f t="shared" si="291"/>
        <v>0</v>
      </c>
      <c r="O379" s="10">
        <f t="shared" si="292"/>
        <v>0</v>
      </c>
      <c r="P379" s="3" t="str">
        <f t="shared" si="293"/>
        <v>-</v>
      </c>
      <c r="Q379" s="10">
        <f t="shared" ca="1" si="294"/>
        <v>73</v>
      </c>
      <c r="R379" s="10">
        <f t="shared" ca="1" si="242"/>
        <v>62</v>
      </c>
      <c r="S379" s="4">
        <f t="shared" ca="1" si="295"/>
        <v>0.84931506849315064</v>
      </c>
      <c r="T379" s="478"/>
    </row>
    <row r="380" spans="1:20" x14ac:dyDescent="0.45">
      <c r="A380" s="64">
        <v>37012</v>
      </c>
      <c r="B380" s="14">
        <f>COUNTIFS(发射纪录!B:B,"&lt;&gt;-",发射纪录!G:G,"&gt;="&amp;DATE(YEAR(A380),MONTH(A380),1),发射纪录!G:G,"&lt;="&amp;DATE(YEAR(A380),MONTH(A380),DAY(EOMONTH(A380,0))),发射纪录!N:N,"&lt;&gt;")</f>
        <v>0</v>
      </c>
      <c r="C380" s="10">
        <f>COUNTIFS(发射纪录!B:B,"&lt;&gt;-",发射纪录!G:G,"&gt;="&amp;DATE(YEAR(A380),MONTH(A380),1),发射纪录!G:G,"&lt;="&amp;DATE(YEAR(A380),MONTH(A380),DAY(EOMONTH(A380,0))),发射纪录!N:N,"=成功",发射纪录!N:N,"&lt;&gt;")</f>
        <v>0</v>
      </c>
      <c r="D380" s="1" t="str">
        <f t="shared" si="283"/>
        <v>-</v>
      </c>
      <c r="E380" s="10">
        <f t="shared" si="284"/>
        <v>65</v>
      </c>
      <c r="F380" s="10">
        <f t="shared" si="285"/>
        <v>58</v>
      </c>
      <c r="G380" s="2">
        <f t="shared" si="286"/>
        <v>0.89230769230769236</v>
      </c>
      <c r="H380" s="10">
        <f>COUNTIFS(发射纪录!C:C,"&lt;&gt;-",发射纪录!G:G,"&gt;="&amp;DATE(YEAR(A380),MONTH(A380),1),发射纪录!G:G,"&lt;="&amp;DATE(YEAR(A380),MONTH(A380),DAY(EOMONTH(A380,0))),发射纪录!N:N,"&lt;&gt;")</f>
        <v>0</v>
      </c>
      <c r="I380" s="10">
        <f>COUNTIFS(发射纪录!C:C,"&lt;&gt;-",发射纪录!G:G,"&gt;="&amp;DATE(YEAR(A380),MONTH(A380),1),发射纪录!G:G,"&lt;="&amp;DATE(YEAR(A380),MONTH(A380),DAY(EOMONTH(A380,0))),发射纪录!N:N,"=成功",发射纪录!N:N,"&lt;&gt;")</f>
        <v>0</v>
      </c>
      <c r="J380" s="1" t="str">
        <f t="shared" si="287"/>
        <v>-</v>
      </c>
      <c r="K380" s="10">
        <f t="shared" ca="1" si="288"/>
        <v>8</v>
      </c>
      <c r="L380" s="10">
        <f t="shared" ca="1" si="289"/>
        <v>4</v>
      </c>
      <c r="M380" s="2">
        <f t="shared" ca="1" si="290"/>
        <v>0.5</v>
      </c>
      <c r="N380" s="10">
        <f t="shared" si="291"/>
        <v>0</v>
      </c>
      <c r="O380" s="10">
        <f t="shared" si="292"/>
        <v>0</v>
      </c>
      <c r="P380" s="3" t="str">
        <f t="shared" si="293"/>
        <v>-</v>
      </c>
      <c r="Q380" s="10">
        <f t="shared" ca="1" si="294"/>
        <v>73</v>
      </c>
      <c r="R380" s="10">
        <f t="shared" ca="1" si="242"/>
        <v>62</v>
      </c>
      <c r="S380" s="4">
        <f t="shared" ca="1" si="295"/>
        <v>0.84931506849315064</v>
      </c>
      <c r="T380" s="478"/>
    </row>
    <row r="381" spans="1:20" x14ac:dyDescent="0.45">
      <c r="A381" s="64">
        <v>37043</v>
      </c>
      <c r="B381" s="14">
        <f>COUNTIFS(发射纪录!B:B,"&lt;&gt;-",发射纪录!G:G,"&gt;="&amp;DATE(YEAR(A381),MONTH(A381),1),发射纪录!G:G,"&lt;="&amp;DATE(YEAR(A381),MONTH(A381),DAY(EOMONTH(A381,0))),发射纪录!N:N,"&lt;&gt;")</f>
        <v>0</v>
      </c>
      <c r="C381" s="10">
        <f>COUNTIFS(发射纪录!B:B,"&lt;&gt;-",发射纪录!G:G,"&gt;="&amp;DATE(YEAR(A381),MONTH(A381),1),发射纪录!G:G,"&lt;="&amp;DATE(YEAR(A381),MONTH(A381),DAY(EOMONTH(A381,0))),发射纪录!N:N,"=成功",发射纪录!N:N,"&lt;&gt;")</f>
        <v>0</v>
      </c>
      <c r="D381" s="1" t="str">
        <f t="shared" si="283"/>
        <v>-</v>
      </c>
      <c r="E381" s="10">
        <f t="shared" si="284"/>
        <v>65</v>
      </c>
      <c r="F381" s="10">
        <f t="shared" si="285"/>
        <v>58</v>
      </c>
      <c r="G381" s="2">
        <f t="shared" si="286"/>
        <v>0.89230769230769236</v>
      </c>
      <c r="H381" s="10">
        <f ca="1">COUNTIFS(发射纪录!C:C,"&lt;&gt;-",发射纪录!G:G,"&gt;="&amp;DATE(YEAR(A381),MONTH(A381),1),发射纪录!G:G,"&lt;="&amp;DATE(YEAR(A381),MONTH(A381),DAY(EOMONTH(A381,0))),发射纪录!N:N,"&lt;&gt;")</f>
        <v>0</v>
      </c>
      <c r="I381" s="10">
        <f>COUNTIFS(发射纪录!C:C,"&lt;&gt;-",发射纪录!G:G,"&gt;="&amp;DATE(YEAR(A381),MONTH(A381),1),发射纪录!G:G,"&lt;="&amp;DATE(YEAR(A381),MONTH(A381),DAY(EOMONTH(A381,0))),发射纪录!N:N,"=成功",发射纪录!N:N,"&lt;&gt;")</f>
        <v>0</v>
      </c>
      <c r="J381" s="1" t="str">
        <f t="shared" ca="1" si="287"/>
        <v>-</v>
      </c>
      <c r="K381" s="10">
        <f t="shared" ca="1" si="288"/>
        <v>8</v>
      </c>
      <c r="L381" s="10">
        <f t="shared" ca="1" si="289"/>
        <v>4</v>
      </c>
      <c r="M381" s="2">
        <f t="shared" ca="1" si="290"/>
        <v>0.5</v>
      </c>
      <c r="N381" s="10">
        <f t="shared" ca="1" si="291"/>
        <v>0</v>
      </c>
      <c r="O381" s="10">
        <f t="shared" si="292"/>
        <v>0</v>
      </c>
      <c r="P381" s="3" t="str">
        <f t="shared" ca="1" si="293"/>
        <v>-</v>
      </c>
      <c r="Q381" s="10">
        <f t="shared" ca="1" si="294"/>
        <v>73</v>
      </c>
      <c r="R381" s="10">
        <f t="shared" ca="1" si="242"/>
        <v>62</v>
      </c>
      <c r="S381" s="4">
        <f t="shared" ca="1" si="295"/>
        <v>0.84931506849315064</v>
      </c>
      <c r="T381" s="478"/>
    </row>
    <row r="382" spans="1:20" x14ac:dyDescent="0.45">
      <c r="A382" s="64">
        <v>37073</v>
      </c>
      <c r="B382" s="14">
        <f>COUNTIFS(发射纪录!B:B,"&lt;&gt;-",发射纪录!G:G,"&gt;="&amp;DATE(YEAR(A382),MONTH(A382),1),发射纪录!G:G,"&lt;="&amp;DATE(YEAR(A382),MONTH(A382),DAY(EOMONTH(A382,0))),发射纪录!N:N,"&lt;&gt;")</f>
        <v>0</v>
      </c>
      <c r="C382" s="10">
        <f>COUNTIFS(发射纪录!B:B,"&lt;&gt;-",发射纪录!G:G,"&gt;="&amp;DATE(YEAR(A382),MONTH(A382),1),发射纪录!G:G,"&lt;="&amp;DATE(YEAR(A382),MONTH(A382),DAY(EOMONTH(A382,0))),发射纪录!N:N,"=成功",发射纪录!N:N,"&lt;&gt;")</f>
        <v>0</v>
      </c>
      <c r="D382" s="1" t="str">
        <f t="shared" si="283"/>
        <v>-</v>
      </c>
      <c r="E382" s="10">
        <f t="shared" si="284"/>
        <v>65</v>
      </c>
      <c r="F382" s="10">
        <f t="shared" si="285"/>
        <v>58</v>
      </c>
      <c r="G382" s="2">
        <f t="shared" si="286"/>
        <v>0.89230769230769236</v>
      </c>
      <c r="H382" s="10">
        <f>COUNTIFS(发射纪录!C:C,"&lt;&gt;-",发射纪录!G:G,"&gt;="&amp;DATE(YEAR(A382),MONTH(A382),1),发射纪录!G:G,"&lt;="&amp;DATE(YEAR(A382),MONTH(A382),DAY(EOMONTH(A382,0))),发射纪录!N:N,"&lt;&gt;")</f>
        <v>0</v>
      </c>
      <c r="I382" s="10">
        <f>COUNTIFS(发射纪录!C:C,"&lt;&gt;-",发射纪录!G:G,"&gt;="&amp;DATE(YEAR(A382),MONTH(A382),1),发射纪录!G:G,"&lt;="&amp;DATE(YEAR(A382),MONTH(A382),DAY(EOMONTH(A382,0))),发射纪录!N:N,"=成功",发射纪录!N:N,"&lt;&gt;")</f>
        <v>0</v>
      </c>
      <c r="J382" s="1" t="str">
        <f t="shared" si="287"/>
        <v>-</v>
      </c>
      <c r="K382" s="10">
        <f t="shared" ca="1" si="288"/>
        <v>8</v>
      </c>
      <c r="L382" s="10">
        <f t="shared" ca="1" si="289"/>
        <v>4</v>
      </c>
      <c r="M382" s="2">
        <f t="shared" ca="1" si="290"/>
        <v>0.5</v>
      </c>
      <c r="N382" s="10">
        <f t="shared" si="291"/>
        <v>0</v>
      </c>
      <c r="O382" s="10">
        <f t="shared" si="292"/>
        <v>0</v>
      </c>
      <c r="P382" s="3" t="str">
        <f t="shared" si="293"/>
        <v>-</v>
      </c>
      <c r="Q382" s="10">
        <f t="shared" ca="1" si="294"/>
        <v>73</v>
      </c>
      <c r="R382" s="10">
        <f t="shared" ca="1" si="242"/>
        <v>62</v>
      </c>
      <c r="S382" s="4">
        <f t="shared" ca="1" si="295"/>
        <v>0.84931506849315064</v>
      </c>
      <c r="T382" s="478"/>
    </row>
    <row r="383" spans="1:20" x14ac:dyDescent="0.45">
      <c r="A383" s="64">
        <v>37104</v>
      </c>
      <c r="B383" s="14">
        <f>COUNTIFS(发射纪录!B:B,"&lt;&gt;-",发射纪录!G:G,"&gt;="&amp;DATE(YEAR(A383),MONTH(A383),1),发射纪录!G:G,"&lt;="&amp;DATE(YEAR(A383),MONTH(A383),DAY(EOMONTH(A383,0))),发射纪录!N:N,"&lt;&gt;")</f>
        <v>0</v>
      </c>
      <c r="C383" s="10">
        <f>COUNTIFS(发射纪录!B:B,"&lt;&gt;-",发射纪录!G:G,"&gt;="&amp;DATE(YEAR(A383),MONTH(A383),1),发射纪录!G:G,"&lt;="&amp;DATE(YEAR(A383),MONTH(A383),DAY(EOMONTH(A383,0))),发射纪录!N:N,"=成功",发射纪录!N:N,"&lt;&gt;")</f>
        <v>0</v>
      </c>
      <c r="D383" s="1" t="str">
        <f t="shared" si="283"/>
        <v>-</v>
      </c>
      <c r="E383" s="10">
        <f t="shared" si="284"/>
        <v>65</v>
      </c>
      <c r="F383" s="10">
        <f t="shared" si="285"/>
        <v>58</v>
      </c>
      <c r="G383" s="2">
        <f t="shared" si="286"/>
        <v>0.89230769230769236</v>
      </c>
      <c r="H383" s="10">
        <f>COUNTIFS(发射纪录!C:C,"&lt;&gt;-",发射纪录!G:G,"&gt;="&amp;DATE(YEAR(A383),MONTH(A383),1),发射纪录!G:G,"&lt;="&amp;DATE(YEAR(A383),MONTH(A383),DAY(EOMONTH(A383,0))),发射纪录!N:N,"&lt;&gt;")</f>
        <v>0</v>
      </c>
      <c r="I383" s="10">
        <f ca="1">COUNTIFS(发射纪录!C:C,"&lt;&gt;-",发射纪录!G:G,"&gt;="&amp;DATE(YEAR(A383),MONTH(A383),1),发射纪录!G:G,"&lt;="&amp;DATE(YEAR(A383),MONTH(A383),DAY(EOMONTH(A383,0))),发射纪录!N:N,"=成功",发射纪录!N:N,"&lt;&gt;")</f>
        <v>0</v>
      </c>
      <c r="J383" s="1" t="str">
        <f t="shared" si="287"/>
        <v>-</v>
      </c>
      <c r="K383" s="10">
        <f t="shared" ca="1" si="288"/>
        <v>8</v>
      </c>
      <c r="L383" s="10">
        <f t="shared" ca="1" si="289"/>
        <v>4</v>
      </c>
      <c r="M383" s="2">
        <f t="shared" ca="1" si="290"/>
        <v>0.5</v>
      </c>
      <c r="N383" s="10">
        <f t="shared" si="291"/>
        <v>0</v>
      </c>
      <c r="O383" s="10">
        <f t="shared" ca="1" si="292"/>
        <v>0</v>
      </c>
      <c r="P383" s="3" t="str">
        <f t="shared" si="293"/>
        <v>-</v>
      </c>
      <c r="Q383" s="10">
        <f t="shared" ca="1" si="294"/>
        <v>73</v>
      </c>
      <c r="R383" s="10">
        <f t="shared" ca="1" si="242"/>
        <v>62</v>
      </c>
      <c r="S383" s="4">
        <f t="shared" ca="1" si="295"/>
        <v>0.84931506849315064</v>
      </c>
      <c r="T383" s="478"/>
    </row>
    <row r="384" spans="1:20" x14ac:dyDescent="0.45">
      <c r="A384" s="64">
        <v>37135</v>
      </c>
      <c r="B384" s="14">
        <f>COUNTIFS(发射纪录!B:B,"&lt;&gt;-",发射纪录!G:G,"&gt;="&amp;DATE(YEAR(A384),MONTH(A384),1),发射纪录!G:G,"&lt;="&amp;DATE(YEAR(A384),MONTH(A384),DAY(EOMONTH(A384,0))),发射纪录!N:N,"&lt;&gt;")</f>
        <v>0</v>
      </c>
      <c r="C384" s="10">
        <f>COUNTIFS(发射纪录!B:B,"&lt;&gt;-",发射纪录!G:G,"&gt;="&amp;DATE(YEAR(A384),MONTH(A384),1),发射纪录!G:G,"&lt;="&amp;DATE(YEAR(A384),MONTH(A384),DAY(EOMONTH(A384,0))),发射纪录!N:N,"=成功",发射纪录!N:N,"&lt;&gt;")</f>
        <v>0</v>
      </c>
      <c r="D384" s="1" t="str">
        <f t="shared" si="283"/>
        <v>-</v>
      </c>
      <c r="E384" s="10">
        <f t="shared" si="284"/>
        <v>65</v>
      </c>
      <c r="F384" s="10">
        <f t="shared" si="285"/>
        <v>58</v>
      </c>
      <c r="G384" s="2">
        <f t="shared" si="286"/>
        <v>0.89230769230769236</v>
      </c>
      <c r="H384" s="10">
        <f ca="1">COUNTIFS(发射纪录!C:C,"&lt;&gt;-",发射纪录!G:G,"&gt;="&amp;DATE(YEAR(A384),MONTH(A384),1),发射纪录!G:G,"&lt;="&amp;DATE(YEAR(A384),MONTH(A384),DAY(EOMONTH(A384,0))),发射纪录!N:N,"&lt;&gt;")</f>
        <v>0</v>
      </c>
      <c r="I384" s="10">
        <f>COUNTIFS(发射纪录!C:C,"&lt;&gt;-",发射纪录!G:G,"&gt;="&amp;DATE(YEAR(A384),MONTH(A384),1),发射纪录!G:G,"&lt;="&amp;DATE(YEAR(A384),MONTH(A384),DAY(EOMONTH(A384,0))),发射纪录!N:N,"=成功",发射纪录!N:N,"&lt;&gt;")</f>
        <v>0</v>
      </c>
      <c r="J384" s="1" t="str">
        <f t="shared" ca="1" si="287"/>
        <v>-</v>
      </c>
      <c r="K384" s="10">
        <f t="shared" ca="1" si="288"/>
        <v>8</v>
      </c>
      <c r="L384" s="10">
        <f t="shared" ca="1" si="289"/>
        <v>4</v>
      </c>
      <c r="M384" s="2">
        <f t="shared" ca="1" si="290"/>
        <v>0.5</v>
      </c>
      <c r="N384" s="10">
        <f t="shared" ca="1" si="291"/>
        <v>0</v>
      </c>
      <c r="O384" s="10">
        <f t="shared" si="292"/>
        <v>0</v>
      </c>
      <c r="P384" s="3" t="str">
        <f t="shared" ca="1" si="293"/>
        <v>-</v>
      </c>
      <c r="Q384" s="10">
        <f t="shared" ca="1" si="294"/>
        <v>73</v>
      </c>
      <c r="R384" s="10">
        <f t="shared" ca="1" si="242"/>
        <v>62</v>
      </c>
      <c r="S384" s="4">
        <f t="shared" ca="1" si="295"/>
        <v>0.84931506849315064</v>
      </c>
      <c r="T384" s="478"/>
    </row>
    <row r="385" spans="1:20" x14ac:dyDescent="0.45">
      <c r="A385" s="64">
        <v>37165</v>
      </c>
      <c r="B385" s="14">
        <f>COUNTIFS(发射纪录!B:B,"&lt;&gt;-",发射纪录!G:G,"&gt;="&amp;DATE(YEAR(A385),MONTH(A385),1),发射纪录!G:G,"&lt;="&amp;DATE(YEAR(A385),MONTH(A385),DAY(EOMONTH(A385,0))),发射纪录!N:N,"&lt;&gt;")</f>
        <v>0</v>
      </c>
      <c r="C385" s="10">
        <f>COUNTIFS(发射纪录!B:B,"&lt;&gt;-",发射纪录!G:G,"&gt;="&amp;DATE(YEAR(A385),MONTH(A385),1),发射纪录!G:G,"&lt;="&amp;DATE(YEAR(A385),MONTH(A385),DAY(EOMONTH(A385,0))),发射纪录!N:N,"=成功",发射纪录!N:N,"&lt;&gt;")</f>
        <v>0</v>
      </c>
      <c r="D385" s="1" t="str">
        <f t="shared" si="283"/>
        <v>-</v>
      </c>
      <c r="E385" s="10">
        <f t="shared" si="284"/>
        <v>65</v>
      </c>
      <c r="F385" s="10">
        <f t="shared" si="285"/>
        <v>58</v>
      </c>
      <c r="G385" s="2">
        <f t="shared" si="286"/>
        <v>0.89230769230769236</v>
      </c>
      <c r="H385" s="10">
        <f ca="1">COUNTIFS(发射纪录!C:C,"&lt;&gt;-",发射纪录!G:G,"&gt;="&amp;DATE(YEAR(A385),MONTH(A385),1),发射纪录!G:G,"&lt;="&amp;DATE(YEAR(A385),MONTH(A385),DAY(EOMONTH(A385,0))),发射纪录!N:N,"&lt;&gt;")</f>
        <v>0</v>
      </c>
      <c r="I385" s="10">
        <f ca="1">COUNTIFS(发射纪录!C:C,"&lt;&gt;-",发射纪录!G:G,"&gt;="&amp;DATE(YEAR(A385),MONTH(A385),1),发射纪录!G:G,"&lt;="&amp;DATE(YEAR(A385),MONTH(A385),DAY(EOMONTH(A385,0))),发射纪录!N:N,"=成功",发射纪录!N:N,"&lt;&gt;")</f>
        <v>0</v>
      </c>
      <c r="J385" s="1" t="str">
        <f t="shared" ca="1" si="287"/>
        <v>-</v>
      </c>
      <c r="K385" s="10">
        <f t="shared" ca="1" si="288"/>
        <v>8</v>
      </c>
      <c r="L385" s="10">
        <f t="shared" ca="1" si="289"/>
        <v>4</v>
      </c>
      <c r="M385" s="2">
        <f t="shared" ca="1" si="290"/>
        <v>0.5</v>
      </c>
      <c r="N385" s="10">
        <f t="shared" ca="1" si="291"/>
        <v>0</v>
      </c>
      <c r="O385" s="10">
        <f t="shared" ca="1" si="292"/>
        <v>0</v>
      </c>
      <c r="P385" s="3" t="str">
        <f t="shared" ca="1" si="293"/>
        <v>-</v>
      </c>
      <c r="Q385" s="10">
        <f t="shared" ca="1" si="294"/>
        <v>73</v>
      </c>
      <c r="R385" s="10">
        <f t="shared" ca="1" si="242"/>
        <v>62</v>
      </c>
      <c r="S385" s="4">
        <f t="shared" ca="1" si="295"/>
        <v>0.84931506849315064</v>
      </c>
      <c r="T385" s="478"/>
    </row>
    <row r="386" spans="1:20" x14ac:dyDescent="0.45">
      <c r="A386" s="64">
        <v>37196</v>
      </c>
      <c r="B386" s="14">
        <f>COUNTIFS(发射纪录!B:B,"&lt;&gt;-",发射纪录!G:G,"&gt;="&amp;DATE(YEAR(A386),MONTH(A386),1),发射纪录!G:G,"&lt;="&amp;DATE(YEAR(A386),MONTH(A386),DAY(EOMONTH(A386,0))),发射纪录!N:N,"&lt;&gt;")</f>
        <v>0</v>
      </c>
      <c r="C386" s="10">
        <f>COUNTIFS(发射纪录!B:B,"&lt;&gt;-",发射纪录!G:G,"&gt;="&amp;DATE(YEAR(A386),MONTH(A386),1),发射纪录!G:G,"&lt;="&amp;DATE(YEAR(A386),MONTH(A386),DAY(EOMONTH(A386,0))),发射纪录!N:N,"=成功",发射纪录!N:N,"&lt;&gt;")</f>
        <v>0</v>
      </c>
      <c r="D386" s="1" t="str">
        <f t="shared" si="283"/>
        <v>-</v>
      </c>
      <c r="E386" s="10">
        <f t="shared" si="284"/>
        <v>65</v>
      </c>
      <c r="F386" s="10">
        <f t="shared" si="285"/>
        <v>58</v>
      </c>
      <c r="G386" s="2">
        <f t="shared" si="286"/>
        <v>0.89230769230769236</v>
      </c>
      <c r="H386" s="10">
        <f ca="1">COUNTIFS(发射纪录!C:C,"&lt;&gt;-",发射纪录!G:G,"&gt;="&amp;DATE(YEAR(A386),MONTH(A386),1),发射纪录!G:G,"&lt;="&amp;DATE(YEAR(A386),MONTH(A386),DAY(EOMONTH(A386,0))),发射纪录!N:N,"&lt;&gt;")</f>
        <v>0</v>
      </c>
      <c r="I386" s="10">
        <f ca="1">COUNTIFS(发射纪录!C:C,"&lt;&gt;-",发射纪录!G:G,"&gt;="&amp;DATE(YEAR(A386),MONTH(A386),1),发射纪录!G:G,"&lt;="&amp;DATE(YEAR(A386),MONTH(A386),DAY(EOMONTH(A386,0))),发射纪录!N:N,"=成功",发射纪录!N:N,"&lt;&gt;")</f>
        <v>0</v>
      </c>
      <c r="J386" s="1" t="str">
        <f t="shared" ca="1" si="287"/>
        <v>-</v>
      </c>
      <c r="K386" s="10">
        <f t="shared" ca="1" si="288"/>
        <v>8</v>
      </c>
      <c r="L386" s="10">
        <f t="shared" ca="1" si="289"/>
        <v>4</v>
      </c>
      <c r="M386" s="2">
        <f t="shared" ca="1" si="290"/>
        <v>0.5</v>
      </c>
      <c r="N386" s="10">
        <f t="shared" ca="1" si="291"/>
        <v>0</v>
      </c>
      <c r="O386" s="10">
        <f t="shared" ca="1" si="292"/>
        <v>0</v>
      </c>
      <c r="P386" s="3" t="str">
        <f t="shared" ca="1" si="293"/>
        <v>-</v>
      </c>
      <c r="Q386" s="10">
        <f t="shared" ca="1" si="294"/>
        <v>73</v>
      </c>
      <c r="R386" s="10">
        <f t="shared" ca="1" si="242"/>
        <v>62</v>
      </c>
      <c r="S386" s="4">
        <f t="shared" ca="1" si="295"/>
        <v>0.84931506849315064</v>
      </c>
      <c r="T386" s="478"/>
    </row>
    <row r="387" spans="1:20" ht="19.5" customHeight="1" thickBot="1" x14ac:dyDescent="0.5">
      <c r="A387" s="65">
        <v>37226</v>
      </c>
      <c r="B387" s="17">
        <f>COUNTIFS(发射纪录!B:B,"&lt;&gt;-",发射纪录!G:G,"&gt;="&amp;DATE(YEAR(A387),MONTH(A387),1),发射纪录!G:G,"&lt;="&amp;DATE(YEAR(A387),MONTH(A387),DAY(EOMONTH(A387,0))),发射纪录!N:N,"&lt;&gt;")</f>
        <v>0</v>
      </c>
      <c r="C387" s="18">
        <f>COUNTIFS(发射纪录!B:B,"&lt;&gt;-",发射纪录!G:G,"&gt;="&amp;DATE(YEAR(A387),MONTH(A387),1),发射纪录!G:G,"&lt;="&amp;DATE(YEAR(A387),MONTH(A387),DAY(EOMONTH(A387,0))),发射纪录!N:N,"=成功",发射纪录!N:N,"&lt;&gt;")</f>
        <v>0</v>
      </c>
      <c r="D387" s="12" t="str">
        <f>IF(B387=0,"-",C387/B387)</f>
        <v>-</v>
      </c>
      <c r="E387" s="18">
        <f>E386+B387</f>
        <v>65</v>
      </c>
      <c r="F387" s="18">
        <f>F386+C387</f>
        <v>58</v>
      </c>
      <c r="G387" s="13">
        <f>IF(E387=0,"-",F387/E387)</f>
        <v>0.89230769230769236</v>
      </c>
      <c r="H387" s="18">
        <f ca="1">COUNTIFS(发射纪录!C:C,"&lt;&gt;-",发射纪录!G:G,"&gt;="&amp;DATE(YEAR(A387),MONTH(A387),1),发射纪录!G:G,"&lt;="&amp;DATE(YEAR(A387),MONTH(A387),DAY(EOMONTH(A387,0))),发射纪录!N:N,"&lt;&gt;")</f>
        <v>0</v>
      </c>
      <c r="I387" s="18">
        <f ca="1">COUNTIFS(发射纪录!C:C,"&lt;&gt;-",发射纪录!G:G,"&gt;="&amp;DATE(YEAR(A387),MONTH(A387),1),发射纪录!G:G,"&lt;="&amp;DATE(YEAR(A387),MONTH(A387),DAY(EOMONTH(A387,0))),发射纪录!N:N,"=成功",发射纪录!N:N,"&lt;&gt;")</f>
        <v>0</v>
      </c>
      <c r="J387" s="12" t="str">
        <f ca="1">IF(H387=0,"-",I387/H387)</f>
        <v>-</v>
      </c>
      <c r="K387" s="18">
        <f ca="1">K386+H387</f>
        <v>8</v>
      </c>
      <c r="L387" s="18">
        <f ca="1">L386+I387</f>
        <v>4</v>
      </c>
      <c r="M387" s="13">
        <f ca="1">IF(K387=0,"-",L387/K387)</f>
        <v>0.5</v>
      </c>
      <c r="N387" s="18">
        <f ca="1">B387+H387</f>
        <v>0</v>
      </c>
      <c r="O387" s="18">
        <f ca="1">C387+I387</f>
        <v>0</v>
      </c>
      <c r="P387" s="12" t="str">
        <f ca="1">IF(N387=0,"-",O387/N387)</f>
        <v>-</v>
      </c>
      <c r="Q387" s="18">
        <f ca="1">E387+K387</f>
        <v>73</v>
      </c>
      <c r="R387" s="18">
        <f ca="1">F387+L387</f>
        <v>62</v>
      </c>
      <c r="S387" s="13">
        <f ca="1">IF(Q387=0,"-",R387/Q387)</f>
        <v>0.84931506849315064</v>
      </c>
      <c r="T387" s="478"/>
    </row>
    <row r="388" spans="1:20" ht="19.5" customHeight="1" thickTop="1" x14ac:dyDescent="0.45">
      <c r="A388" s="63">
        <v>37257</v>
      </c>
      <c r="B388" s="14">
        <f>COUNTIFS(发射纪录!B:B,"&lt;&gt;-",发射纪录!G:G,"&gt;="&amp;DATE(YEAR(A388),MONTH(A388),1),发射纪录!G:G,"&lt;="&amp;DATE(YEAR(A388),MONTH(A388),DAY(EOMONTH(A388,0))),发射纪录!N:N,"&lt;&gt;")</f>
        <v>0</v>
      </c>
      <c r="C388" s="10">
        <f>COUNTIFS(发射纪录!B:B,"&lt;&gt;-",发射纪录!G:G,"&gt;="&amp;DATE(YEAR(A388),MONTH(A388),1),发射纪录!G:G,"&lt;="&amp;DATE(YEAR(A388),MONTH(A388),DAY(EOMONTH(A388,0))),发射纪录!N:N,"=成功",发射纪录!N:N,"&lt;&gt;")</f>
        <v>0</v>
      </c>
      <c r="D388" s="3" t="str">
        <f t="shared" ref="D388:D398" si="296">IF(B388=0,"-",C388/B388)</f>
        <v>-</v>
      </c>
      <c r="E388" s="10">
        <f t="shared" ref="E388:E398" si="297">E387+B388</f>
        <v>65</v>
      </c>
      <c r="F388" s="10">
        <f t="shared" ref="F388:F398" si="298">F387+C388</f>
        <v>58</v>
      </c>
      <c r="G388" s="4">
        <f t="shared" ref="G388:G398" si="299">IF(E388=0,"-",F388/E388)</f>
        <v>0.89230769230769236</v>
      </c>
      <c r="H388" s="10">
        <f>COUNTIFS(发射纪录!C:C,"&lt;&gt;-",发射纪录!G:G,"&gt;="&amp;DATE(YEAR(A388),MONTH(A388),1),发射纪录!G:G,"&lt;="&amp;DATE(YEAR(A388),MONTH(A388),DAY(EOMONTH(A388,0))),发射纪录!N:N,"&lt;&gt;")</f>
        <v>0</v>
      </c>
      <c r="I388" s="10">
        <f>COUNTIFS(发射纪录!C:C,"&lt;&gt;-",发射纪录!G:G,"&gt;="&amp;DATE(YEAR(A388),MONTH(A388),1),发射纪录!G:G,"&lt;="&amp;DATE(YEAR(A388),MONTH(A388),DAY(EOMONTH(A388,0))),发射纪录!N:N,"=成功",发射纪录!N:N,"&lt;&gt;")</f>
        <v>0</v>
      </c>
      <c r="J388" s="3" t="str">
        <f t="shared" ref="J388:J398" si="300">IF(H388=0,"-",I388/H388)</f>
        <v>-</v>
      </c>
      <c r="K388" s="10">
        <f t="shared" ref="K388:K398" ca="1" si="301">K387+H388</f>
        <v>8</v>
      </c>
      <c r="L388" s="10">
        <f t="shared" ref="L388:L398" ca="1" si="302">L387+I388</f>
        <v>4</v>
      </c>
      <c r="M388" s="4">
        <f t="shared" ref="M388:M398" ca="1" si="303">IF(K388=0,"-",L388/K388)</f>
        <v>0.5</v>
      </c>
      <c r="N388" s="10">
        <f t="shared" ref="N388:N398" si="304">B388+H388</f>
        <v>0</v>
      </c>
      <c r="O388" s="10">
        <f t="shared" ref="O388:O398" si="305">C388+I388</f>
        <v>0</v>
      </c>
      <c r="P388" s="3" t="str">
        <f t="shared" ref="P388:P398" si="306">IF(N388=0,"-",O388/N388)</f>
        <v>-</v>
      </c>
      <c r="Q388" s="10">
        <f t="shared" ref="Q388:Q398" ca="1" si="307">E388+K388</f>
        <v>73</v>
      </c>
      <c r="R388" s="10">
        <f t="shared" ref="R388:R398" ca="1" si="308">F388+L388</f>
        <v>62</v>
      </c>
      <c r="S388" s="4">
        <f t="shared" ref="S388:S398" ca="1" si="309">IF(Q388=0,"-",R388/Q388)</f>
        <v>0.84931506849315064</v>
      </c>
      <c r="T388" s="478"/>
    </row>
    <row r="389" spans="1:20" x14ac:dyDescent="0.45">
      <c r="A389" s="64">
        <v>37288</v>
      </c>
      <c r="B389" s="14">
        <f>COUNTIFS(发射纪录!B:B,"&lt;&gt;-",发射纪录!G:G,"&gt;="&amp;DATE(YEAR(A389),MONTH(A389),1),发射纪录!G:G,"&lt;="&amp;DATE(YEAR(A389),MONTH(A389),DAY(EOMONTH(A389,0))),发射纪录!N:N,"&lt;&gt;")</f>
        <v>0</v>
      </c>
      <c r="C389" s="10">
        <f>COUNTIFS(发射纪录!B:B,"&lt;&gt;-",发射纪录!G:G,"&gt;="&amp;DATE(YEAR(A389),MONTH(A389),1),发射纪录!G:G,"&lt;="&amp;DATE(YEAR(A389),MONTH(A389),DAY(EOMONTH(A389,0))),发射纪录!N:N,"=成功",发射纪录!N:N,"&lt;&gt;")</f>
        <v>0</v>
      </c>
      <c r="D389" s="1" t="str">
        <f t="shared" si="296"/>
        <v>-</v>
      </c>
      <c r="E389" s="10">
        <f t="shared" si="297"/>
        <v>65</v>
      </c>
      <c r="F389" s="10">
        <f t="shared" si="298"/>
        <v>58</v>
      </c>
      <c r="G389" s="2">
        <f t="shared" si="299"/>
        <v>0.89230769230769236</v>
      </c>
      <c r="H389" s="10">
        <f>COUNTIFS(发射纪录!C:C,"&lt;&gt;-",发射纪录!G:G,"&gt;="&amp;DATE(YEAR(A389),MONTH(A389),1),发射纪录!G:G,"&lt;="&amp;DATE(YEAR(A389),MONTH(A389),DAY(EOMONTH(A389,0))),发射纪录!N:N,"&lt;&gt;")</f>
        <v>0</v>
      </c>
      <c r="I389" s="10">
        <f>COUNTIFS(发射纪录!C:C,"&lt;&gt;-",发射纪录!G:G,"&gt;="&amp;DATE(YEAR(A389),MONTH(A389),1),发射纪录!G:G,"&lt;="&amp;DATE(YEAR(A389),MONTH(A389),DAY(EOMONTH(A389,0))),发射纪录!N:N,"=成功",发射纪录!N:N,"&lt;&gt;")</f>
        <v>0</v>
      </c>
      <c r="J389" s="1" t="str">
        <f t="shared" si="300"/>
        <v>-</v>
      </c>
      <c r="K389" s="10">
        <f t="shared" ca="1" si="301"/>
        <v>8</v>
      </c>
      <c r="L389" s="10">
        <f t="shared" ca="1" si="302"/>
        <v>4</v>
      </c>
      <c r="M389" s="2">
        <f t="shared" ca="1" si="303"/>
        <v>0.5</v>
      </c>
      <c r="N389" s="10">
        <f t="shared" si="304"/>
        <v>0</v>
      </c>
      <c r="O389" s="10">
        <f t="shared" si="305"/>
        <v>0</v>
      </c>
      <c r="P389" s="3" t="str">
        <f t="shared" si="306"/>
        <v>-</v>
      </c>
      <c r="Q389" s="10">
        <f t="shared" ca="1" si="307"/>
        <v>73</v>
      </c>
      <c r="R389" s="10">
        <f t="shared" ca="1" si="308"/>
        <v>62</v>
      </c>
      <c r="S389" s="4">
        <f t="shared" ca="1" si="309"/>
        <v>0.84931506849315064</v>
      </c>
      <c r="T389" s="478"/>
    </row>
    <row r="390" spans="1:20" x14ac:dyDescent="0.45">
      <c r="A390" s="64">
        <v>37316</v>
      </c>
      <c r="B390" s="14">
        <f>COUNTIFS(发射纪录!B:B,"&lt;&gt;-",发射纪录!G:G,"&gt;="&amp;DATE(YEAR(A390),MONTH(A390),1),发射纪录!G:G,"&lt;="&amp;DATE(YEAR(A390),MONTH(A390),DAY(EOMONTH(A390,0))),发射纪录!N:N,"&lt;&gt;")</f>
        <v>1</v>
      </c>
      <c r="C390" s="10">
        <f>COUNTIFS(发射纪录!B:B,"&lt;&gt;-",发射纪录!G:G,"&gt;="&amp;DATE(YEAR(A390),MONTH(A390),1),发射纪录!G:G,"&lt;="&amp;DATE(YEAR(A390),MONTH(A390),DAY(EOMONTH(A390,0))),发射纪录!N:N,"=成功",发射纪录!N:N,"&lt;&gt;")</f>
        <v>1</v>
      </c>
      <c r="D390" s="1">
        <f t="shared" si="296"/>
        <v>1</v>
      </c>
      <c r="E390" s="10">
        <f t="shared" si="297"/>
        <v>66</v>
      </c>
      <c r="F390" s="10">
        <f t="shared" si="298"/>
        <v>59</v>
      </c>
      <c r="G390" s="2">
        <f t="shared" si="299"/>
        <v>0.89393939393939392</v>
      </c>
      <c r="H390" s="10">
        <f>COUNTIFS(发射纪录!C:C,"&lt;&gt;-",发射纪录!G:G,"&gt;="&amp;DATE(YEAR(A390),MONTH(A390),1),发射纪录!G:G,"&lt;="&amp;DATE(YEAR(A390),MONTH(A390),DAY(EOMONTH(A390,0))),发射纪录!N:N,"&lt;&gt;")</f>
        <v>0</v>
      </c>
      <c r="I390" s="10">
        <f ca="1">COUNTIFS(发射纪录!C:C,"&lt;&gt;-",发射纪录!G:G,"&gt;="&amp;DATE(YEAR(A390),MONTH(A390),1),发射纪录!G:G,"&lt;="&amp;DATE(YEAR(A390),MONTH(A390),DAY(EOMONTH(A390,0))),发射纪录!N:N,"=成功",发射纪录!N:N,"&lt;&gt;")</f>
        <v>0</v>
      </c>
      <c r="J390" s="1" t="str">
        <f t="shared" si="300"/>
        <v>-</v>
      </c>
      <c r="K390" s="10">
        <f t="shared" ca="1" si="301"/>
        <v>8</v>
      </c>
      <c r="L390" s="10">
        <f t="shared" ca="1" si="302"/>
        <v>4</v>
      </c>
      <c r="M390" s="2">
        <f t="shared" ca="1" si="303"/>
        <v>0.5</v>
      </c>
      <c r="N390" s="10">
        <f t="shared" si="304"/>
        <v>1</v>
      </c>
      <c r="O390" s="10">
        <f t="shared" ca="1" si="305"/>
        <v>1</v>
      </c>
      <c r="P390" s="3">
        <f t="shared" ca="1" si="306"/>
        <v>1</v>
      </c>
      <c r="Q390" s="10">
        <f t="shared" ca="1" si="307"/>
        <v>74</v>
      </c>
      <c r="R390" s="10">
        <f t="shared" ca="1" si="308"/>
        <v>63</v>
      </c>
      <c r="S390" s="4">
        <f t="shared" ca="1" si="309"/>
        <v>0.85135135135135132</v>
      </c>
      <c r="T390" s="478"/>
    </row>
    <row r="391" spans="1:20" x14ac:dyDescent="0.45">
      <c r="A391" s="64">
        <v>37347</v>
      </c>
      <c r="B391" s="14">
        <f>COUNTIFS(发射纪录!B:B,"&lt;&gt;-",发射纪录!G:G,"&gt;="&amp;DATE(YEAR(A391),MONTH(A391),1),发射纪录!G:G,"&lt;="&amp;DATE(YEAR(A391),MONTH(A391),DAY(EOMONTH(A391,0))),发射纪录!N:N,"&lt;&gt;")</f>
        <v>0</v>
      </c>
      <c r="C391" s="10">
        <f>COUNTIFS(发射纪录!B:B,"&lt;&gt;-",发射纪录!G:G,"&gt;="&amp;DATE(YEAR(A391),MONTH(A391),1),发射纪录!G:G,"&lt;="&amp;DATE(YEAR(A391),MONTH(A391),DAY(EOMONTH(A391,0))),发射纪录!N:N,"=成功",发射纪录!N:N,"&lt;&gt;")</f>
        <v>0</v>
      </c>
      <c r="D391" s="1" t="str">
        <f t="shared" si="296"/>
        <v>-</v>
      </c>
      <c r="E391" s="10">
        <f t="shared" si="297"/>
        <v>66</v>
      </c>
      <c r="F391" s="10">
        <f t="shared" si="298"/>
        <v>59</v>
      </c>
      <c r="G391" s="2">
        <f t="shared" si="299"/>
        <v>0.89393939393939392</v>
      </c>
      <c r="H391" s="10">
        <f ca="1">COUNTIFS(发射纪录!C:C,"&lt;&gt;-",发射纪录!G:G,"&gt;="&amp;DATE(YEAR(A391),MONTH(A391),1),发射纪录!G:G,"&lt;="&amp;DATE(YEAR(A391),MONTH(A391),DAY(EOMONTH(A391,0))),发射纪录!N:N,"&lt;&gt;")</f>
        <v>0</v>
      </c>
      <c r="I391" s="10">
        <f>COUNTIFS(发射纪录!C:C,"&lt;&gt;-",发射纪录!G:G,"&gt;="&amp;DATE(YEAR(A391),MONTH(A391),1),发射纪录!G:G,"&lt;="&amp;DATE(YEAR(A391),MONTH(A391),DAY(EOMONTH(A391,0))),发射纪录!N:N,"=成功",发射纪录!N:N,"&lt;&gt;")</f>
        <v>0</v>
      </c>
      <c r="J391" s="1" t="str">
        <f t="shared" ca="1" si="300"/>
        <v>-</v>
      </c>
      <c r="K391" s="10">
        <f t="shared" ca="1" si="301"/>
        <v>8</v>
      </c>
      <c r="L391" s="10">
        <f t="shared" ca="1" si="302"/>
        <v>4</v>
      </c>
      <c r="M391" s="2">
        <f t="shared" ca="1" si="303"/>
        <v>0.5</v>
      </c>
      <c r="N391" s="10">
        <f t="shared" ca="1" si="304"/>
        <v>0</v>
      </c>
      <c r="O391" s="10">
        <f t="shared" si="305"/>
        <v>0</v>
      </c>
      <c r="P391" s="3" t="str">
        <f t="shared" ca="1" si="306"/>
        <v>-</v>
      </c>
      <c r="Q391" s="10">
        <f t="shared" ca="1" si="307"/>
        <v>74</v>
      </c>
      <c r="R391" s="10">
        <f t="shared" ca="1" si="308"/>
        <v>63</v>
      </c>
      <c r="S391" s="4">
        <f t="shared" ca="1" si="309"/>
        <v>0.85135135135135132</v>
      </c>
      <c r="T391" s="478"/>
    </row>
    <row r="392" spans="1:20" x14ac:dyDescent="0.45">
      <c r="A392" s="64">
        <v>37377</v>
      </c>
      <c r="B392" s="14">
        <f>COUNTIFS(发射纪录!B:B,"&lt;&gt;-",发射纪录!G:G,"&gt;="&amp;DATE(YEAR(A392),MONTH(A392),1),发射纪录!G:G,"&lt;="&amp;DATE(YEAR(A392),MONTH(A392),DAY(EOMONTH(A392,0))),发射纪录!N:N,"&lt;&gt;")</f>
        <v>1</v>
      </c>
      <c r="C392" s="10">
        <f>COUNTIFS(发射纪录!B:B,"&lt;&gt;-",发射纪录!G:G,"&gt;="&amp;DATE(YEAR(A392),MONTH(A392),1),发射纪录!G:G,"&lt;="&amp;DATE(YEAR(A392),MONTH(A392),DAY(EOMONTH(A392,0))),发射纪录!N:N,"=成功",发射纪录!N:N,"&lt;&gt;")</f>
        <v>1</v>
      </c>
      <c r="D392" s="1">
        <f t="shared" si="296"/>
        <v>1</v>
      </c>
      <c r="E392" s="10">
        <f t="shared" si="297"/>
        <v>67</v>
      </c>
      <c r="F392" s="10">
        <f t="shared" si="298"/>
        <v>60</v>
      </c>
      <c r="G392" s="2">
        <f t="shared" si="299"/>
        <v>0.89552238805970152</v>
      </c>
      <c r="H392" s="10">
        <f>COUNTIFS(发射纪录!C:C,"&lt;&gt;-",发射纪录!G:G,"&gt;="&amp;DATE(YEAR(A392),MONTH(A392),1),发射纪录!G:G,"&lt;="&amp;DATE(YEAR(A392),MONTH(A392),DAY(EOMONTH(A392,0))),发射纪录!N:N,"&lt;&gt;")</f>
        <v>0</v>
      </c>
      <c r="I392" s="10">
        <f ca="1">COUNTIFS(发射纪录!C:C,"&lt;&gt;-",发射纪录!G:G,"&gt;="&amp;DATE(YEAR(A392),MONTH(A392),1),发射纪录!G:G,"&lt;="&amp;DATE(YEAR(A392),MONTH(A392),DAY(EOMONTH(A392,0))),发射纪录!N:N,"=成功",发射纪录!N:N,"&lt;&gt;")</f>
        <v>0</v>
      </c>
      <c r="J392" s="1" t="str">
        <f t="shared" si="300"/>
        <v>-</v>
      </c>
      <c r="K392" s="10">
        <f t="shared" ca="1" si="301"/>
        <v>8</v>
      </c>
      <c r="L392" s="10">
        <f t="shared" ca="1" si="302"/>
        <v>4</v>
      </c>
      <c r="M392" s="2">
        <f t="shared" ca="1" si="303"/>
        <v>0.5</v>
      </c>
      <c r="N392" s="10">
        <f t="shared" si="304"/>
        <v>1</v>
      </c>
      <c r="O392" s="10">
        <f t="shared" ca="1" si="305"/>
        <v>1</v>
      </c>
      <c r="P392" s="3">
        <f t="shared" ca="1" si="306"/>
        <v>1</v>
      </c>
      <c r="Q392" s="10">
        <f t="shared" ca="1" si="307"/>
        <v>75</v>
      </c>
      <c r="R392" s="10">
        <f t="shared" ca="1" si="308"/>
        <v>64</v>
      </c>
      <c r="S392" s="4">
        <f t="shared" ca="1" si="309"/>
        <v>0.85333333333333339</v>
      </c>
      <c r="T392" s="478"/>
    </row>
    <row r="393" spans="1:20" x14ac:dyDescent="0.45">
      <c r="A393" s="64">
        <v>37408</v>
      </c>
      <c r="B393" s="14">
        <f>COUNTIFS(发射纪录!B:B,"&lt;&gt;-",发射纪录!G:G,"&gt;="&amp;DATE(YEAR(A393),MONTH(A393),1),发射纪录!G:G,"&lt;="&amp;DATE(YEAR(A393),MONTH(A393),DAY(EOMONTH(A393,0))),发射纪录!N:N,"&lt;&gt;")</f>
        <v>0</v>
      </c>
      <c r="C393" s="10">
        <f>COUNTIFS(发射纪录!B:B,"&lt;&gt;-",发射纪录!G:G,"&gt;="&amp;DATE(YEAR(A393),MONTH(A393),1),发射纪录!G:G,"&lt;="&amp;DATE(YEAR(A393),MONTH(A393),DAY(EOMONTH(A393,0))),发射纪录!N:N,"=成功",发射纪录!N:N,"&lt;&gt;")</f>
        <v>0</v>
      </c>
      <c r="D393" s="1" t="str">
        <f t="shared" si="296"/>
        <v>-</v>
      </c>
      <c r="E393" s="10">
        <f t="shared" si="297"/>
        <v>67</v>
      </c>
      <c r="F393" s="10">
        <f t="shared" si="298"/>
        <v>60</v>
      </c>
      <c r="G393" s="2">
        <f t="shared" si="299"/>
        <v>0.89552238805970152</v>
      </c>
      <c r="H393" s="10">
        <f>COUNTIFS(发射纪录!C:C,"&lt;&gt;-",发射纪录!G:G,"&gt;="&amp;DATE(YEAR(A393),MONTH(A393),1),发射纪录!G:G,"&lt;="&amp;DATE(YEAR(A393),MONTH(A393),DAY(EOMONTH(A393,0))),发射纪录!N:N,"&lt;&gt;")</f>
        <v>0</v>
      </c>
      <c r="I393" s="10">
        <f>COUNTIFS(发射纪录!C:C,"&lt;&gt;-",发射纪录!G:G,"&gt;="&amp;DATE(YEAR(A393),MONTH(A393),1),发射纪录!G:G,"&lt;="&amp;DATE(YEAR(A393),MONTH(A393),DAY(EOMONTH(A393,0))),发射纪录!N:N,"=成功",发射纪录!N:N,"&lt;&gt;")</f>
        <v>0</v>
      </c>
      <c r="J393" s="1" t="str">
        <f t="shared" si="300"/>
        <v>-</v>
      </c>
      <c r="K393" s="10">
        <f t="shared" ca="1" si="301"/>
        <v>8</v>
      </c>
      <c r="L393" s="10">
        <f t="shared" ca="1" si="302"/>
        <v>4</v>
      </c>
      <c r="M393" s="2">
        <f t="shared" ca="1" si="303"/>
        <v>0.5</v>
      </c>
      <c r="N393" s="10">
        <f t="shared" si="304"/>
        <v>0</v>
      </c>
      <c r="O393" s="10">
        <f t="shared" si="305"/>
        <v>0</v>
      </c>
      <c r="P393" s="3" t="str">
        <f t="shared" si="306"/>
        <v>-</v>
      </c>
      <c r="Q393" s="10">
        <f t="shared" ca="1" si="307"/>
        <v>75</v>
      </c>
      <c r="R393" s="10">
        <f t="shared" ca="1" si="308"/>
        <v>64</v>
      </c>
      <c r="S393" s="4">
        <f t="shared" ca="1" si="309"/>
        <v>0.85333333333333339</v>
      </c>
      <c r="T393" s="478"/>
    </row>
    <row r="394" spans="1:20" x14ac:dyDescent="0.45">
      <c r="A394" s="64">
        <v>37438</v>
      </c>
      <c r="B394" s="14">
        <f>COUNTIFS(发射纪录!B:B,"&lt;&gt;-",发射纪录!G:G,"&gt;="&amp;DATE(YEAR(A394),MONTH(A394),1),发射纪录!G:G,"&lt;="&amp;DATE(YEAR(A394),MONTH(A394),DAY(EOMONTH(A394,0))),发射纪录!N:N,"&lt;&gt;")</f>
        <v>0</v>
      </c>
      <c r="C394" s="10">
        <f>COUNTIFS(发射纪录!B:B,"&lt;&gt;-",发射纪录!G:G,"&gt;="&amp;DATE(YEAR(A394),MONTH(A394),1),发射纪录!G:G,"&lt;="&amp;DATE(YEAR(A394),MONTH(A394),DAY(EOMONTH(A394,0))),发射纪录!N:N,"=成功",发射纪录!N:N,"&lt;&gt;")</f>
        <v>0</v>
      </c>
      <c r="D394" s="1" t="str">
        <f t="shared" si="296"/>
        <v>-</v>
      </c>
      <c r="E394" s="10">
        <f t="shared" si="297"/>
        <v>67</v>
      </c>
      <c r="F394" s="10">
        <f t="shared" si="298"/>
        <v>60</v>
      </c>
      <c r="G394" s="2">
        <f t="shared" si="299"/>
        <v>0.89552238805970152</v>
      </c>
      <c r="H394" s="10">
        <f>COUNTIFS(发射纪录!C:C,"&lt;&gt;-",发射纪录!G:G,"&gt;="&amp;DATE(YEAR(A394),MONTH(A394),1),发射纪录!G:G,"&lt;="&amp;DATE(YEAR(A394),MONTH(A394),DAY(EOMONTH(A394,0))),发射纪录!N:N,"&lt;&gt;")</f>
        <v>0</v>
      </c>
      <c r="I394" s="10">
        <f>COUNTIFS(发射纪录!C:C,"&lt;&gt;-",发射纪录!G:G,"&gt;="&amp;DATE(YEAR(A394),MONTH(A394),1),发射纪录!G:G,"&lt;="&amp;DATE(YEAR(A394),MONTH(A394),DAY(EOMONTH(A394,0))),发射纪录!N:N,"=成功",发射纪录!N:N,"&lt;&gt;")</f>
        <v>0</v>
      </c>
      <c r="J394" s="1" t="str">
        <f t="shared" si="300"/>
        <v>-</v>
      </c>
      <c r="K394" s="10">
        <f t="shared" ca="1" si="301"/>
        <v>8</v>
      </c>
      <c r="L394" s="10">
        <f t="shared" ca="1" si="302"/>
        <v>4</v>
      </c>
      <c r="M394" s="2">
        <f t="shared" ca="1" si="303"/>
        <v>0.5</v>
      </c>
      <c r="N394" s="10">
        <f t="shared" si="304"/>
        <v>0</v>
      </c>
      <c r="O394" s="10">
        <f t="shared" si="305"/>
        <v>0</v>
      </c>
      <c r="P394" s="3" t="str">
        <f t="shared" si="306"/>
        <v>-</v>
      </c>
      <c r="Q394" s="10">
        <f t="shared" ca="1" si="307"/>
        <v>75</v>
      </c>
      <c r="R394" s="10">
        <f t="shared" ca="1" si="308"/>
        <v>64</v>
      </c>
      <c r="S394" s="4">
        <f t="shared" ca="1" si="309"/>
        <v>0.85333333333333339</v>
      </c>
      <c r="T394" s="478"/>
    </row>
    <row r="395" spans="1:20" x14ac:dyDescent="0.45">
      <c r="A395" s="64">
        <v>37469</v>
      </c>
      <c r="B395" s="14">
        <f>COUNTIFS(发射纪录!B:B,"&lt;&gt;-",发射纪录!G:G,"&gt;="&amp;DATE(YEAR(A395),MONTH(A395),1),发射纪录!G:G,"&lt;="&amp;DATE(YEAR(A395),MONTH(A395),DAY(EOMONTH(A395,0))),发射纪录!N:N,"&lt;&gt;")</f>
        <v>0</v>
      </c>
      <c r="C395" s="10">
        <f>COUNTIFS(发射纪录!B:B,"&lt;&gt;-",发射纪录!G:G,"&gt;="&amp;DATE(YEAR(A395),MONTH(A395),1),发射纪录!G:G,"&lt;="&amp;DATE(YEAR(A395),MONTH(A395),DAY(EOMONTH(A395,0))),发射纪录!N:N,"=成功",发射纪录!N:N,"&lt;&gt;")</f>
        <v>0</v>
      </c>
      <c r="D395" s="1" t="str">
        <f t="shared" si="296"/>
        <v>-</v>
      </c>
      <c r="E395" s="10">
        <f t="shared" si="297"/>
        <v>67</v>
      </c>
      <c r="F395" s="10">
        <f t="shared" si="298"/>
        <v>60</v>
      </c>
      <c r="G395" s="2">
        <f t="shared" si="299"/>
        <v>0.89552238805970152</v>
      </c>
      <c r="H395" s="10">
        <f ca="1">COUNTIFS(发射纪录!C:C,"&lt;&gt;-",发射纪录!G:G,"&gt;="&amp;DATE(YEAR(A395),MONTH(A395),1),发射纪录!G:G,"&lt;="&amp;DATE(YEAR(A395),MONTH(A395),DAY(EOMONTH(A395,0))),发射纪录!N:N,"&lt;&gt;")</f>
        <v>0</v>
      </c>
      <c r="I395" s="10">
        <f ca="1">COUNTIFS(发射纪录!C:C,"&lt;&gt;-",发射纪录!G:G,"&gt;="&amp;DATE(YEAR(A395),MONTH(A395),1),发射纪录!G:G,"&lt;="&amp;DATE(YEAR(A395),MONTH(A395),DAY(EOMONTH(A395,0))),发射纪录!N:N,"=成功",发射纪录!N:N,"&lt;&gt;")</f>
        <v>0</v>
      </c>
      <c r="J395" s="1" t="str">
        <f t="shared" ca="1" si="300"/>
        <v>-</v>
      </c>
      <c r="K395" s="10">
        <f t="shared" ca="1" si="301"/>
        <v>8</v>
      </c>
      <c r="L395" s="10">
        <f t="shared" ca="1" si="302"/>
        <v>4</v>
      </c>
      <c r="M395" s="2">
        <f t="shared" ca="1" si="303"/>
        <v>0.5</v>
      </c>
      <c r="N395" s="10">
        <f t="shared" ca="1" si="304"/>
        <v>0</v>
      </c>
      <c r="O395" s="10">
        <f t="shared" ca="1" si="305"/>
        <v>0</v>
      </c>
      <c r="P395" s="3" t="str">
        <f t="shared" ca="1" si="306"/>
        <v>-</v>
      </c>
      <c r="Q395" s="10">
        <f t="shared" ca="1" si="307"/>
        <v>75</v>
      </c>
      <c r="R395" s="10">
        <f t="shared" ca="1" si="308"/>
        <v>64</v>
      </c>
      <c r="S395" s="4">
        <f t="shared" ca="1" si="309"/>
        <v>0.85333333333333339</v>
      </c>
      <c r="T395" s="478"/>
    </row>
    <row r="396" spans="1:20" x14ac:dyDescent="0.45">
      <c r="A396" s="64">
        <v>37500</v>
      </c>
      <c r="B396" s="14">
        <f>COUNTIFS(发射纪录!B:B,"&lt;&gt;-",发射纪录!G:G,"&gt;="&amp;DATE(YEAR(A396),MONTH(A396),1),发射纪录!G:G,"&lt;="&amp;DATE(YEAR(A396),MONTH(A396),DAY(EOMONTH(A396,0))),发射纪录!N:N,"&lt;&gt;")</f>
        <v>0</v>
      </c>
      <c r="C396" s="10">
        <f>COUNTIFS(发射纪录!B:B,"&lt;&gt;-",发射纪录!G:G,"&gt;="&amp;DATE(YEAR(A396),MONTH(A396),1),发射纪录!G:G,"&lt;="&amp;DATE(YEAR(A396),MONTH(A396),DAY(EOMONTH(A396,0))),发射纪录!N:N,"=成功",发射纪录!N:N,"&lt;&gt;")</f>
        <v>0</v>
      </c>
      <c r="D396" s="1" t="str">
        <f t="shared" si="296"/>
        <v>-</v>
      </c>
      <c r="E396" s="10">
        <f t="shared" si="297"/>
        <v>67</v>
      </c>
      <c r="F396" s="10">
        <f t="shared" si="298"/>
        <v>60</v>
      </c>
      <c r="G396" s="2">
        <f t="shared" si="299"/>
        <v>0.89552238805970152</v>
      </c>
      <c r="H396" s="10">
        <f>COUNTIFS(发射纪录!C:C,"&lt;&gt;-",发射纪录!G:G,"&gt;="&amp;DATE(YEAR(A396),MONTH(A396),1),发射纪录!G:G,"&lt;="&amp;DATE(YEAR(A396),MONTH(A396),DAY(EOMONTH(A396,0))),发射纪录!N:N,"&lt;&gt;")</f>
        <v>1</v>
      </c>
      <c r="I396" s="10">
        <f>COUNTIFS(发射纪录!C:C,"&lt;&gt;-",发射纪录!G:G,"&gt;="&amp;DATE(YEAR(A396),MONTH(A396),1),发射纪录!G:G,"&lt;="&amp;DATE(YEAR(A396),MONTH(A396),DAY(EOMONTH(A396,0))),发射纪录!N:N,"=成功",发射纪录!N:N,"&lt;&gt;")</f>
        <v>0</v>
      </c>
      <c r="J396" s="1">
        <f t="shared" si="300"/>
        <v>0</v>
      </c>
      <c r="K396" s="10">
        <f t="shared" ca="1" si="301"/>
        <v>9</v>
      </c>
      <c r="L396" s="10">
        <f t="shared" ca="1" si="302"/>
        <v>4</v>
      </c>
      <c r="M396" s="2">
        <f t="shared" ca="1" si="303"/>
        <v>0.44444444444444442</v>
      </c>
      <c r="N396" s="10">
        <f t="shared" si="304"/>
        <v>1</v>
      </c>
      <c r="O396" s="10">
        <f t="shared" si="305"/>
        <v>0</v>
      </c>
      <c r="P396" s="3">
        <f t="shared" si="306"/>
        <v>0</v>
      </c>
      <c r="Q396" s="10">
        <f t="shared" ca="1" si="307"/>
        <v>76</v>
      </c>
      <c r="R396" s="10">
        <f t="shared" ca="1" si="308"/>
        <v>64</v>
      </c>
      <c r="S396" s="4">
        <f t="shared" ca="1" si="309"/>
        <v>0.84210526315789469</v>
      </c>
      <c r="T396" s="478"/>
    </row>
    <row r="397" spans="1:20" x14ac:dyDescent="0.45">
      <c r="A397" s="64">
        <v>37530</v>
      </c>
      <c r="B397" s="14">
        <f>COUNTIFS(发射纪录!B:B,"&lt;&gt;-",发射纪录!G:G,"&gt;="&amp;DATE(YEAR(A397),MONTH(A397),1),发射纪录!G:G,"&lt;="&amp;DATE(YEAR(A397),MONTH(A397),DAY(EOMONTH(A397,0))),发射纪录!N:N,"&lt;&gt;")</f>
        <v>1</v>
      </c>
      <c r="C397" s="10">
        <f>COUNTIFS(发射纪录!B:B,"&lt;&gt;-",发射纪录!G:G,"&gt;="&amp;DATE(YEAR(A397),MONTH(A397),1),发射纪录!G:G,"&lt;="&amp;DATE(YEAR(A397),MONTH(A397),DAY(EOMONTH(A397,0))),发射纪录!N:N,"=成功",发射纪录!N:N,"&lt;&gt;")</f>
        <v>1</v>
      </c>
      <c r="D397" s="1">
        <f t="shared" si="296"/>
        <v>1</v>
      </c>
      <c r="E397" s="10">
        <f t="shared" si="297"/>
        <v>68</v>
      </c>
      <c r="F397" s="10">
        <f t="shared" si="298"/>
        <v>61</v>
      </c>
      <c r="G397" s="2">
        <f t="shared" si="299"/>
        <v>0.8970588235294118</v>
      </c>
      <c r="H397" s="10">
        <f>COUNTIFS(发射纪录!C:C,"&lt;&gt;-",发射纪录!G:G,"&gt;="&amp;DATE(YEAR(A397),MONTH(A397),1),发射纪录!G:G,"&lt;="&amp;DATE(YEAR(A397),MONTH(A397),DAY(EOMONTH(A397,0))),发射纪录!N:N,"&lt;&gt;")</f>
        <v>0</v>
      </c>
      <c r="I397" s="10">
        <f ca="1">COUNTIFS(发射纪录!C:C,"&lt;&gt;-",发射纪录!G:G,"&gt;="&amp;DATE(YEAR(A397),MONTH(A397),1),发射纪录!G:G,"&lt;="&amp;DATE(YEAR(A397),MONTH(A397),DAY(EOMONTH(A397,0))),发射纪录!N:N,"=成功",发射纪录!N:N,"&lt;&gt;")</f>
        <v>0</v>
      </c>
      <c r="J397" s="1" t="str">
        <f t="shared" si="300"/>
        <v>-</v>
      </c>
      <c r="K397" s="10">
        <f t="shared" ca="1" si="301"/>
        <v>9</v>
      </c>
      <c r="L397" s="10">
        <f t="shared" ca="1" si="302"/>
        <v>4</v>
      </c>
      <c r="M397" s="2">
        <f t="shared" ca="1" si="303"/>
        <v>0.44444444444444442</v>
      </c>
      <c r="N397" s="10">
        <f t="shared" si="304"/>
        <v>1</v>
      </c>
      <c r="O397" s="10">
        <f t="shared" ca="1" si="305"/>
        <v>1</v>
      </c>
      <c r="P397" s="3">
        <f t="shared" ca="1" si="306"/>
        <v>1</v>
      </c>
      <c r="Q397" s="10">
        <f t="shared" ca="1" si="307"/>
        <v>77</v>
      </c>
      <c r="R397" s="10">
        <f t="shared" ca="1" si="308"/>
        <v>65</v>
      </c>
      <c r="S397" s="4">
        <f t="shared" ca="1" si="309"/>
        <v>0.8441558441558441</v>
      </c>
      <c r="T397" s="478"/>
    </row>
    <row r="398" spans="1:20" x14ac:dyDescent="0.45">
      <c r="A398" s="64">
        <v>37561</v>
      </c>
      <c r="B398" s="14">
        <f>COUNTIFS(发射纪录!B:B,"&lt;&gt;-",发射纪录!G:G,"&gt;="&amp;DATE(YEAR(A398),MONTH(A398),1),发射纪录!G:G,"&lt;="&amp;DATE(YEAR(A398),MONTH(A398),DAY(EOMONTH(A398,0))),发射纪录!N:N,"&lt;&gt;")</f>
        <v>0</v>
      </c>
      <c r="C398" s="10">
        <f>COUNTIFS(发射纪录!B:B,"&lt;&gt;-",发射纪录!G:G,"&gt;="&amp;DATE(YEAR(A398),MONTH(A398),1),发射纪录!G:G,"&lt;="&amp;DATE(YEAR(A398),MONTH(A398),DAY(EOMONTH(A398,0))),发射纪录!N:N,"=成功",发射纪录!N:N,"&lt;&gt;")</f>
        <v>0</v>
      </c>
      <c r="D398" s="1" t="str">
        <f t="shared" si="296"/>
        <v>-</v>
      </c>
      <c r="E398" s="10">
        <f t="shared" si="297"/>
        <v>68</v>
      </c>
      <c r="F398" s="10">
        <f t="shared" si="298"/>
        <v>61</v>
      </c>
      <c r="G398" s="2">
        <f t="shared" si="299"/>
        <v>0.8970588235294118</v>
      </c>
      <c r="H398" s="10">
        <f>COUNTIFS(发射纪录!C:C,"&lt;&gt;-",发射纪录!G:G,"&gt;="&amp;DATE(YEAR(A398),MONTH(A398),1),发射纪录!G:G,"&lt;="&amp;DATE(YEAR(A398),MONTH(A398),DAY(EOMONTH(A398,0))),发射纪录!N:N,"&lt;&gt;")</f>
        <v>0</v>
      </c>
      <c r="I398" s="10">
        <f ca="1">COUNTIFS(发射纪录!C:C,"&lt;&gt;-",发射纪录!G:G,"&gt;="&amp;DATE(YEAR(A398),MONTH(A398),1),发射纪录!G:G,"&lt;="&amp;DATE(YEAR(A398),MONTH(A398),DAY(EOMONTH(A398,0))),发射纪录!N:N,"=成功",发射纪录!N:N,"&lt;&gt;")</f>
        <v>0</v>
      </c>
      <c r="J398" s="1" t="str">
        <f t="shared" si="300"/>
        <v>-</v>
      </c>
      <c r="K398" s="10">
        <f t="shared" ca="1" si="301"/>
        <v>9</v>
      </c>
      <c r="L398" s="10">
        <f t="shared" ca="1" si="302"/>
        <v>4</v>
      </c>
      <c r="M398" s="2">
        <f t="shared" ca="1" si="303"/>
        <v>0.44444444444444442</v>
      </c>
      <c r="N398" s="10">
        <f t="shared" si="304"/>
        <v>0</v>
      </c>
      <c r="O398" s="10">
        <f t="shared" ca="1" si="305"/>
        <v>0</v>
      </c>
      <c r="P398" s="3" t="str">
        <f t="shared" si="306"/>
        <v>-</v>
      </c>
      <c r="Q398" s="10">
        <f t="shared" ca="1" si="307"/>
        <v>77</v>
      </c>
      <c r="R398" s="10">
        <f t="shared" ca="1" si="308"/>
        <v>65</v>
      </c>
      <c r="S398" s="4">
        <f t="shared" ca="1" si="309"/>
        <v>0.8441558441558441</v>
      </c>
      <c r="T398" s="478"/>
    </row>
    <row r="399" spans="1:20" ht="19.5" customHeight="1" thickBot="1" x14ac:dyDescent="0.5">
      <c r="A399" s="65">
        <v>37591</v>
      </c>
      <c r="B399" s="17">
        <f>COUNTIFS(发射纪录!B:B,"&lt;&gt;-",发射纪录!G:G,"&gt;="&amp;DATE(YEAR(A399),MONTH(A399),1),发射纪录!G:G,"&lt;="&amp;DATE(YEAR(A399),MONTH(A399),DAY(EOMONTH(A399,0))),发射纪录!N:N,"&lt;&gt;")</f>
        <v>1</v>
      </c>
      <c r="C399" s="18">
        <f>COUNTIFS(发射纪录!B:B,"&lt;&gt;-",发射纪录!G:G,"&gt;="&amp;DATE(YEAR(A399),MONTH(A399),1),发射纪录!G:G,"&lt;="&amp;DATE(YEAR(A399),MONTH(A399),DAY(EOMONTH(A399,0))),发射纪录!N:N,"=成功",发射纪录!N:N,"&lt;&gt;")</f>
        <v>1</v>
      </c>
      <c r="D399" s="12">
        <f>IF(B399=0,"-",C399/B399)</f>
        <v>1</v>
      </c>
      <c r="E399" s="18">
        <f>E398+B399</f>
        <v>69</v>
      </c>
      <c r="F399" s="18">
        <f>F398+C399</f>
        <v>62</v>
      </c>
      <c r="G399" s="13">
        <f>IF(E399=0,"-",F399/E399)</f>
        <v>0.89855072463768115</v>
      </c>
      <c r="H399" s="18">
        <f>COUNTIFS(发射纪录!C:C,"&lt;&gt;-",发射纪录!G:G,"&gt;="&amp;DATE(YEAR(A399),MONTH(A399),1),发射纪录!G:G,"&lt;="&amp;DATE(YEAR(A399),MONTH(A399),DAY(EOMONTH(A399,0))),发射纪录!N:N,"&lt;&gt;")</f>
        <v>0</v>
      </c>
      <c r="I399" s="18">
        <f>COUNTIFS(发射纪录!C:C,"&lt;&gt;-",发射纪录!G:G,"&gt;="&amp;DATE(YEAR(A399),MONTH(A399),1),发射纪录!G:G,"&lt;="&amp;DATE(YEAR(A399),MONTH(A399),DAY(EOMONTH(A399,0))),发射纪录!N:N,"=成功",发射纪录!N:N,"&lt;&gt;")</f>
        <v>0</v>
      </c>
      <c r="J399" s="12" t="str">
        <f>IF(H399=0,"-",I399/H399)</f>
        <v>-</v>
      </c>
      <c r="K399" s="18">
        <f ca="1">K398+H399</f>
        <v>9</v>
      </c>
      <c r="L399" s="18">
        <f ca="1">L398+I399</f>
        <v>4</v>
      </c>
      <c r="M399" s="13">
        <f ca="1">IF(K399=0,"-",L399/K399)</f>
        <v>0.44444444444444442</v>
      </c>
      <c r="N399" s="18">
        <f>B399+H399</f>
        <v>1</v>
      </c>
      <c r="O399" s="18">
        <f>C399+I399</f>
        <v>1</v>
      </c>
      <c r="P399" s="12">
        <f>IF(N399=0,"-",O399/N399)</f>
        <v>1</v>
      </c>
      <c r="Q399" s="18">
        <f ca="1">E399+K399</f>
        <v>78</v>
      </c>
      <c r="R399" s="18">
        <f ca="1">F399+L399</f>
        <v>66</v>
      </c>
      <c r="S399" s="13">
        <f ca="1">IF(Q399=0,"-",R399/Q399)</f>
        <v>0.84615384615384615</v>
      </c>
      <c r="T399" s="478"/>
    </row>
    <row r="400" spans="1:20" ht="19.5" customHeight="1" thickTop="1" x14ac:dyDescent="0.45">
      <c r="A400" s="63">
        <v>37622</v>
      </c>
      <c r="B400" s="14">
        <f>COUNTIFS(发射纪录!B:B,"&lt;&gt;-",发射纪录!G:G,"&gt;="&amp;DATE(YEAR(A400),MONTH(A400),1),发射纪录!G:G,"&lt;="&amp;DATE(YEAR(A400),MONTH(A400),DAY(EOMONTH(A400,0))),发射纪录!N:N,"&lt;&gt;")</f>
        <v>0</v>
      </c>
      <c r="C400" s="10">
        <f>COUNTIFS(发射纪录!B:B,"&lt;&gt;-",发射纪录!G:G,"&gt;="&amp;DATE(YEAR(A400),MONTH(A400),1),发射纪录!G:G,"&lt;="&amp;DATE(YEAR(A400),MONTH(A400),DAY(EOMONTH(A400,0))),发射纪录!N:N,"=成功",发射纪录!N:N,"&lt;&gt;")</f>
        <v>0</v>
      </c>
      <c r="D400" s="3" t="str">
        <f t="shared" ref="D400:D410" si="310">IF(B400=0,"-",C400/B400)</f>
        <v>-</v>
      </c>
      <c r="E400" s="10">
        <f t="shared" ref="E400:E410" si="311">E399+B400</f>
        <v>69</v>
      </c>
      <c r="F400" s="10">
        <f t="shared" ref="F400:F410" si="312">F399+C400</f>
        <v>62</v>
      </c>
      <c r="G400" s="4">
        <f t="shared" ref="G400:G410" si="313">IF(E400=0,"-",F400/E400)</f>
        <v>0.89855072463768115</v>
      </c>
      <c r="H400" s="10">
        <f>COUNTIFS(发射纪录!C:C,"&lt;&gt;-",发射纪录!G:G,"&gt;="&amp;DATE(YEAR(A400),MONTH(A400),1),发射纪录!G:G,"&lt;="&amp;DATE(YEAR(A400),MONTH(A400),DAY(EOMONTH(A400,0))),发射纪录!N:N,"&lt;&gt;")</f>
        <v>0</v>
      </c>
      <c r="I400" s="10">
        <f>COUNTIFS(发射纪录!C:C,"&lt;&gt;-",发射纪录!G:G,"&gt;="&amp;DATE(YEAR(A400),MONTH(A400),1),发射纪录!G:G,"&lt;="&amp;DATE(YEAR(A400),MONTH(A400),DAY(EOMONTH(A400,0))),发射纪录!N:N,"=成功",发射纪录!N:N,"&lt;&gt;")</f>
        <v>0</v>
      </c>
      <c r="J400" s="3" t="str">
        <f t="shared" ref="J400:J410" si="314">IF(H400=0,"-",I400/H400)</f>
        <v>-</v>
      </c>
      <c r="K400" s="10">
        <f t="shared" ref="K400:K410" ca="1" si="315">K399+H400</f>
        <v>9</v>
      </c>
      <c r="L400" s="10">
        <f t="shared" ref="L400:L410" ca="1" si="316">L399+I400</f>
        <v>4</v>
      </c>
      <c r="M400" s="4">
        <f t="shared" ref="M400:M410" ca="1" si="317">IF(K400=0,"-",L400/K400)</f>
        <v>0.44444444444444442</v>
      </c>
      <c r="N400" s="10">
        <f t="shared" ref="N400:N410" si="318">B400+H400</f>
        <v>0</v>
      </c>
      <c r="O400" s="10">
        <f t="shared" ref="O400:O410" si="319">C400+I400</f>
        <v>0</v>
      </c>
      <c r="P400" s="3" t="str">
        <f t="shared" ref="P400:P410" si="320">IF(N400=0,"-",O400/N400)</f>
        <v>-</v>
      </c>
      <c r="Q400" s="10">
        <f t="shared" ref="Q400:Q410" ca="1" si="321">E400+K400</f>
        <v>78</v>
      </c>
      <c r="R400" s="10">
        <f t="shared" ref="R400:R451" ca="1" si="322">F400+L400</f>
        <v>66</v>
      </c>
      <c r="S400" s="4">
        <f t="shared" ref="S400:S410" ca="1" si="323">IF(Q400=0,"-",R400/Q400)</f>
        <v>0.84615384615384615</v>
      </c>
      <c r="T400" s="478"/>
    </row>
    <row r="401" spans="1:20" x14ac:dyDescent="0.45">
      <c r="A401" s="64">
        <v>37653</v>
      </c>
      <c r="B401" s="14">
        <f>COUNTIFS(发射纪录!B:B,"&lt;&gt;-",发射纪录!G:G,"&gt;="&amp;DATE(YEAR(A401),MONTH(A401),1),发射纪录!G:G,"&lt;="&amp;DATE(YEAR(A401),MONTH(A401),DAY(EOMONTH(A401,0))),发射纪录!N:N,"&lt;&gt;")</f>
        <v>0</v>
      </c>
      <c r="C401" s="10">
        <f>COUNTIFS(发射纪录!B:B,"&lt;&gt;-",发射纪录!G:G,"&gt;="&amp;DATE(YEAR(A401),MONTH(A401),1),发射纪录!G:G,"&lt;="&amp;DATE(YEAR(A401),MONTH(A401),DAY(EOMONTH(A401,0))),发射纪录!N:N,"=成功",发射纪录!N:N,"&lt;&gt;")</f>
        <v>0</v>
      </c>
      <c r="D401" s="1" t="str">
        <f t="shared" si="310"/>
        <v>-</v>
      </c>
      <c r="E401" s="10">
        <f t="shared" si="311"/>
        <v>69</v>
      </c>
      <c r="F401" s="10">
        <f t="shared" si="312"/>
        <v>62</v>
      </c>
      <c r="G401" s="2">
        <f t="shared" si="313"/>
        <v>0.89855072463768115</v>
      </c>
      <c r="H401" s="10">
        <f>COUNTIFS(发射纪录!C:C,"&lt;&gt;-",发射纪录!G:G,"&gt;="&amp;DATE(YEAR(A401),MONTH(A401),1),发射纪录!G:G,"&lt;="&amp;DATE(YEAR(A401),MONTH(A401),DAY(EOMONTH(A401,0))),发射纪录!N:N,"&lt;&gt;")</f>
        <v>0</v>
      </c>
      <c r="I401" s="10">
        <f>COUNTIFS(发射纪录!C:C,"&lt;&gt;-",发射纪录!G:G,"&gt;="&amp;DATE(YEAR(A401),MONTH(A401),1),发射纪录!G:G,"&lt;="&amp;DATE(YEAR(A401),MONTH(A401),DAY(EOMONTH(A401,0))),发射纪录!N:N,"=成功",发射纪录!N:N,"&lt;&gt;")</f>
        <v>0</v>
      </c>
      <c r="J401" s="1" t="str">
        <f t="shared" si="314"/>
        <v>-</v>
      </c>
      <c r="K401" s="10">
        <f t="shared" ca="1" si="315"/>
        <v>9</v>
      </c>
      <c r="L401" s="10">
        <f t="shared" ca="1" si="316"/>
        <v>4</v>
      </c>
      <c r="M401" s="2">
        <f t="shared" ca="1" si="317"/>
        <v>0.44444444444444442</v>
      </c>
      <c r="N401" s="10">
        <f t="shared" si="318"/>
        <v>0</v>
      </c>
      <c r="O401" s="10">
        <f t="shared" si="319"/>
        <v>0</v>
      </c>
      <c r="P401" s="3" t="str">
        <f t="shared" si="320"/>
        <v>-</v>
      </c>
      <c r="Q401" s="10">
        <f t="shared" ca="1" si="321"/>
        <v>78</v>
      </c>
      <c r="R401" s="10">
        <f t="shared" ca="1" si="322"/>
        <v>66</v>
      </c>
      <c r="S401" s="4">
        <f t="shared" ca="1" si="323"/>
        <v>0.84615384615384615</v>
      </c>
      <c r="T401" s="478"/>
    </row>
    <row r="402" spans="1:20" x14ac:dyDescent="0.45">
      <c r="A402" s="64">
        <v>37681</v>
      </c>
      <c r="B402" s="14">
        <f>COUNTIFS(发射纪录!B:B,"&lt;&gt;-",发射纪录!G:G,"&gt;="&amp;DATE(YEAR(A402),MONTH(A402),1),发射纪录!G:G,"&lt;="&amp;DATE(YEAR(A402),MONTH(A402),DAY(EOMONTH(A402,0))),发射纪录!N:N,"&lt;&gt;")</f>
        <v>0</v>
      </c>
      <c r="C402" s="10">
        <f>COUNTIFS(发射纪录!B:B,"&lt;&gt;-",发射纪录!G:G,"&gt;="&amp;DATE(YEAR(A402),MONTH(A402),1),发射纪录!G:G,"&lt;="&amp;DATE(YEAR(A402),MONTH(A402),DAY(EOMONTH(A402,0))),发射纪录!N:N,"=成功",发射纪录!N:N,"&lt;&gt;")</f>
        <v>0</v>
      </c>
      <c r="D402" s="1" t="str">
        <f t="shared" si="310"/>
        <v>-</v>
      </c>
      <c r="E402" s="10">
        <f t="shared" si="311"/>
        <v>69</v>
      </c>
      <c r="F402" s="10">
        <f t="shared" si="312"/>
        <v>62</v>
      </c>
      <c r="G402" s="2">
        <f t="shared" si="313"/>
        <v>0.89855072463768115</v>
      </c>
      <c r="H402" s="10">
        <f>COUNTIFS(发射纪录!C:C,"&lt;&gt;-",发射纪录!G:G,"&gt;="&amp;DATE(YEAR(A402),MONTH(A402),1),发射纪录!G:G,"&lt;="&amp;DATE(YEAR(A402),MONTH(A402),DAY(EOMONTH(A402,0))),发射纪录!N:N,"&lt;&gt;")</f>
        <v>0</v>
      </c>
      <c r="I402" s="10">
        <f>COUNTIFS(发射纪录!C:C,"&lt;&gt;-",发射纪录!G:G,"&gt;="&amp;DATE(YEAR(A402),MONTH(A402),1),发射纪录!G:G,"&lt;="&amp;DATE(YEAR(A402),MONTH(A402),DAY(EOMONTH(A402,0))),发射纪录!N:N,"=成功",发射纪录!N:N,"&lt;&gt;")</f>
        <v>0</v>
      </c>
      <c r="J402" s="1" t="str">
        <f t="shared" si="314"/>
        <v>-</v>
      </c>
      <c r="K402" s="10">
        <f t="shared" ca="1" si="315"/>
        <v>9</v>
      </c>
      <c r="L402" s="10">
        <f t="shared" ca="1" si="316"/>
        <v>4</v>
      </c>
      <c r="M402" s="2">
        <f t="shared" ca="1" si="317"/>
        <v>0.44444444444444442</v>
      </c>
      <c r="N402" s="10">
        <f t="shared" si="318"/>
        <v>0</v>
      </c>
      <c r="O402" s="10">
        <f t="shared" si="319"/>
        <v>0</v>
      </c>
      <c r="P402" s="3" t="str">
        <f t="shared" si="320"/>
        <v>-</v>
      </c>
      <c r="Q402" s="10">
        <f t="shared" ca="1" si="321"/>
        <v>78</v>
      </c>
      <c r="R402" s="10">
        <f t="shared" ca="1" si="322"/>
        <v>66</v>
      </c>
      <c r="S402" s="4">
        <f t="shared" ca="1" si="323"/>
        <v>0.84615384615384615</v>
      </c>
      <c r="T402" s="478"/>
    </row>
    <row r="403" spans="1:20" x14ac:dyDescent="0.45">
      <c r="A403" s="64">
        <v>37712</v>
      </c>
      <c r="B403" s="14">
        <f>COUNTIFS(发射纪录!B:B,"&lt;&gt;-",发射纪录!G:G,"&gt;="&amp;DATE(YEAR(A403),MONTH(A403),1),发射纪录!G:G,"&lt;="&amp;DATE(YEAR(A403),MONTH(A403),DAY(EOMONTH(A403,0))),发射纪录!N:N,"&lt;&gt;")</f>
        <v>0</v>
      </c>
      <c r="C403" s="10">
        <f>COUNTIFS(发射纪录!B:B,"&lt;&gt;-",发射纪录!G:G,"&gt;="&amp;DATE(YEAR(A403),MONTH(A403),1),发射纪录!G:G,"&lt;="&amp;DATE(YEAR(A403),MONTH(A403),DAY(EOMONTH(A403,0))),发射纪录!N:N,"=成功",发射纪录!N:N,"&lt;&gt;")</f>
        <v>0</v>
      </c>
      <c r="D403" s="1" t="str">
        <f t="shared" si="310"/>
        <v>-</v>
      </c>
      <c r="E403" s="10">
        <f t="shared" si="311"/>
        <v>69</v>
      </c>
      <c r="F403" s="10">
        <f t="shared" si="312"/>
        <v>62</v>
      </c>
      <c r="G403" s="2">
        <f t="shared" si="313"/>
        <v>0.89855072463768115</v>
      </c>
      <c r="H403" s="10">
        <f>COUNTIFS(发射纪录!C:C,"&lt;&gt;-",发射纪录!G:G,"&gt;="&amp;DATE(YEAR(A403),MONTH(A403),1),发射纪录!G:G,"&lt;="&amp;DATE(YEAR(A403),MONTH(A403),DAY(EOMONTH(A403,0))),发射纪录!N:N,"&lt;&gt;")</f>
        <v>0</v>
      </c>
      <c r="I403" s="10">
        <f>COUNTIFS(发射纪录!C:C,"&lt;&gt;-",发射纪录!G:G,"&gt;="&amp;DATE(YEAR(A403),MONTH(A403),1),发射纪录!G:G,"&lt;="&amp;DATE(YEAR(A403),MONTH(A403),DAY(EOMONTH(A403,0))),发射纪录!N:N,"=成功",发射纪录!N:N,"&lt;&gt;")</f>
        <v>0</v>
      </c>
      <c r="J403" s="1" t="str">
        <f t="shared" si="314"/>
        <v>-</v>
      </c>
      <c r="K403" s="10">
        <f t="shared" ca="1" si="315"/>
        <v>9</v>
      </c>
      <c r="L403" s="10">
        <f t="shared" ca="1" si="316"/>
        <v>4</v>
      </c>
      <c r="M403" s="2">
        <f t="shared" ca="1" si="317"/>
        <v>0.44444444444444442</v>
      </c>
      <c r="N403" s="10">
        <f t="shared" si="318"/>
        <v>0</v>
      </c>
      <c r="O403" s="10">
        <f t="shared" si="319"/>
        <v>0</v>
      </c>
      <c r="P403" s="3" t="str">
        <f t="shared" si="320"/>
        <v>-</v>
      </c>
      <c r="Q403" s="10">
        <f t="shared" ca="1" si="321"/>
        <v>78</v>
      </c>
      <c r="R403" s="10">
        <f t="shared" ca="1" si="322"/>
        <v>66</v>
      </c>
      <c r="S403" s="4">
        <f t="shared" ca="1" si="323"/>
        <v>0.84615384615384615</v>
      </c>
      <c r="T403" s="478"/>
    </row>
    <row r="404" spans="1:20" x14ac:dyDescent="0.45">
      <c r="A404" s="64">
        <v>37742</v>
      </c>
      <c r="B404" s="14">
        <f>COUNTIFS(发射纪录!B:B,"&lt;&gt;-",发射纪录!G:G,"&gt;="&amp;DATE(YEAR(A404),MONTH(A404),1),发射纪录!G:G,"&lt;="&amp;DATE(YEAR(A404),MONTH(A404),DAY(EOMONTH(A404,0))),发射纪录!N:N,"&lt;&gt;")</f>
        <v>1</v>
      </c>
      <c r="C404" s="10">
        <f>COUNTIFS(发射纪录!B:B,"&lt;&gt;-",发射纪录!G:G,"&gt;="&amp;DATE(YEAR(A404),MONTH(A404),1),发射纪录!G:G,"&lt;="&amp;DATE(YEAR(A404),MONTH(A404),DAY(EOMONTH(A404,0))),发射纪录!N:N,"=成功",发射纪录!N:N,"&lt;&gt;")</f>
        <v>1</v>
      </c>
      <c r="D404" s="1">
        <f t="shared" si="310"/>
        <v>1</v>
      </c>
      <c r="E404" s="10">
        <f t="shared" si="311"/>
        <v>70</v>
      </c>
      <c r="F404" s="10">
        <f t="shared" si="312"/>
        <v>63</v>
      </c>
      <c r="G404" s="2">
        <f t="shared" si="313"/>
        <v>0.9</v>
      </c>
      <c r="H404" s="10">
        <f ca="1">COUNTIFS(发射纪录!C:C,"&lt;&gt;-",发射纪录!G:G,"&gt;="&amp;DATE(YEAR(A404),MONTH(A404),1),发射纪录!G:G,"&lt;="&amp;DATE(YEAR(A404),MONTH(A404),DAY(EOMONTH(A404,0))),发射纪录!N:N,"&lt;&gt;")</f>
        <v>0</v>
      </c>
      <c r="I404" s="10">
        <f ca="1">COUNTIFS(发射纪录!C:C,"&lt;&gt;-",发射纪录!G:G,"&gt;="&amp;DATE(YEAR(A404),MONTH(A404),1),发射纪录!G:G,"&lt;="&amp;DATE(YEAR(A404),MONTH(A404),DAY(EOMONTH(A404,0))),发射纪录!N:N,"=成功",发射纪录!N:N,"&lt;&gt;")</f>
        <v>0</v>
      </c>
      <c r="J404" s="1" t="str">
        <f t="shared" ca="1" si="314"/>
        <v>-</v>
      </c>
      <c r="K404" s="10">
        <f t="shared" ca="1" si="315"/>
        <v>9</v>
      </c>
      <c r="L404" s="10">
        <f t="shared" ca="1" si="316"/>
        <v>4</v>
      </c>
      <c r="M404" s="2">
        <f t="shared" ca="1" si="317"/>
        <v>0.44444444444444442</v>
      </c>
      <c r="N404" s="10">
        <f t="shared" ca="1" si="318"/>
        <v>1</v>
      </c>
      <c r="O404" s="10">
        <f t="shared" ca="1" si="319"/>
        <v>1</v>
      </c>
      <c r="P404" s="3">
        <f t="shared" ca="1" si="320"/>
        <v>1</v>
      </c>
      <c r="Q404" s="10">
        <f t="shared" ca="1" si="321"/>
        <v>79</v>
      </c>
      <c r="R404" s="10">
        <f t="shared" ca="1" si="322"/>
        <v>67</v>
      </c>
      <c r="S404" s="4">
        <f t="shared" ca="1" si="323"/>
        <v>0.84810126582278478</v>
      </c>
      <c r="T404" s="478"/>
    </row>
    <row r="405" spans="1:20" x14ac:dyDescent="0.45">
      <c r="A405" s="64">
        <v>37773</v>
      </c>
      <c r="B405" s="14">
        <f>COUNTIFS(发射纪录!B:B,"&lt;&gt;-",发射纪录!G:G,"&gt;="&amp;DATE(YEAR(A405),MONTH(A405),1),发射纪录!G:G,"&lt;="&amp;DATE(YEAR(A405),MONTH(A405),DAY(EOMONTH(A405,0))),发射纪录!N:N,"&lt;&gt;")</f>
        <v>0</v>
      </c>
      <c r="C405" s="10">
        <f>COUNTIFS(发射纪录!B:B,"&lt;&gt;-",发射纪录!G:G,"&gt;="&amp;DATE(YEAR(A405),MONTH(A405),1),发射纪录!G:G,"&lt;="&amp;DATE(YEAR(A405),MONTH(A405),DAY(EOMONTH(A405,0))),发射纪录!N:N,"=成功",发射纪录!N:N,"&lt;&gt;")</f>
        <v>0</v>
      </c>
      <c r="D405" s="1" t="str">
        <f t="shared" si="310"/>
        <v>-</v>
      </c>
      <c r="E405" s="10">
        <f t="shared" si="311"/>
        <v>70</v>
      </c>
      <c r="F405" s="10">
        <f t="shared" si="312"/>
        <v>63</v>
      </c>
      <c r="G405" s="2">
        <f t="shared" si="313"/>
        <v>0.9</v>
      </c>
      <c r="H405" s="10">
        <f>COUNTIFS(发射纪录!C:C,"&lt;&gt;-",发射纪录!G:G,"&gt;="&amp;DATE(YEAR(A405),MONTH(A405),1),发射纪录!G:G,"&lt;="&amp;DATE(YEAR(A405),MONTH(A405),DAY(EOMONTH(A405,0))),发射纪录!N:N,"&lt;&gt;")</f>
        <v>0</v>
      </c>
      <c r="I405" s="10">
        <f ca="1">COUNTIFS(发射纪录!C:C,"&lt;&gt;-",发射纪录!G:G,"&gt;="&amp;DATE(YEAR(A405),MONTH(A405),1),发射纪录!G:G,"&lt;="&amp;DATE(YEAR(A405),MONTH(A405),DAY(EOMONTH(A405,0))),发射纪录!N:N,"=成功",发射纪录!N:N,"&lt;&gt;")</f>
        <v>0</v>
      </c>
      <c r="J405" s="1" t="str">
        <f t="shared" si="314"/>
        <v>-</v>
      </c>
      <c r="K405" s="10">
        <f t="shared" ca="1" si="315"/>
        <v>9</v>
      </c>
      <c r="L405" s="10">
        <f t="shared" ca="1" si="316"/>
        <v>4</v>
      </c>
      <c r="M405" s="2">
        <f t="shared" ca="1" si="317"/>
        <v>0.44444444444444442</v>
      </c>
      <c r="N405" s="10">
        <f t="shared" si="318"/>
        <v>0</v>
      </c>
      <c r="O405" s="10">
        <f t="shared" ca="1" si="319"/>
        <v>0</v>
      </c>
      <c r="P405" s="3" t="str">
        <f t="shared" si="320"/>
        <v>-</v>
      </c>
      <c r="Q405" s="10">
        <f t="shared" ca="1" si="321"/>
        <v>79</v>
      </c>
      <c r="R405" s="10">
        <f t="shared" ca="1" si="322"/>
        <v>67</v>
      </c>
      <c r="S405" s="4">
        <f t="shared" ca="1" si="323"/>
        <v>0.84810126582278478</v>
      </c>
      <c r="T405" s="478"/>
    </row>
    <row r="406" spans="1:20" x14ac:dyDescent="0.45">
      <c r="A406" s="64">
        <v>37803</v>
      </c>
      <c r="B406" s="14">
        <f>COUNTIFS(发射纪录!B:B,"&lt;&gt;-",发射纪录!G:G,"&gt;="&amp;DATE(YEAR(A406),MONTH(A406),1),发射纪录!G:G,"&lt;="&amp;DATE(YEAR(A406),MONTH(A406),DAY(EOMONTH(A406,0))),发射纪录!N:N,"&lt;&gt;")</f>
        <v>0</v>
      </c>
      <c r="C406" s="10">
        <f>COUNTIFS(发射纪录!B:B,"&lt;&gt;-",发射纪录!G:G,"&gt;="&amp;DATE(YEAR(A406),MONTH(A406),1),发射纪录!G:G,"&lt;="&amp;DATE(YEAR(A406),MONTH(A406),DAY(EOMONTH(A406,0))),发射纪录!N:N,"=成功",发射纪录!N:N,"&lt;&gt;")</f>
        <v>0</v>
      </c>
      <c r="D406" s="1" t="str">
        <f t="shared" si="310"/>
        <v>-</v>
      </c>
      <c r="E406" s="10">
        <f t="shared" si="311"/>
        <v>70</v>
      </c>
      <c r="F406" s="10">
        <f t="shared" si="312"/>
        <v>63</v>
      </c>
      <c r="G406" s="2">
        <f t="shared" si="313"/>
        <v>0.9</v>
      </c>
      <c r="H406" s="10">
        <f>COUNTIFS(发射纪录!C:C,"&lt;&gt;-",发射纪录!G:G,"&gt;="&amp;DATE(YEAR(A406),MONTH(A406),1),发射纪录!G:G,"&lt;="&amp;DATE(YEAR(A406),MONTH(A406),DAY(EOMONTH(A406,0))),发射纪录!N:N,"&lt;&gt;")</f>
        <v>0</v>
      </c>
      <c r="I406" s="10">
        <f>COUNTIFS(发射纪录!C:C,"&lt;&gt;-",发射纪录!G:G,"&gt;="&amp;DATE(YEAR(A406),MONTH(A406),1),发射纪录!G:G,"&lt;="&amp;DATE(YEAR(A406),MONTH(A406),DAY(EOMONTH(A406,0))),发射纪录!N:N,"=成功",发射纪录!N:N,"&lt;&gt;")</f>
        <v>0</v>
      </c>
      <c r="J406" s="1" t="str">
        <f t="shared" si="314"/>
        <v>-</v>
      </c>
      <c r="K406" s="10">
        <f t="shared" ca="1" si="315"/>
        <v>9</v>
      </c>
      <c r="L406" s="10">
        <f t="shared" ca="1" si="316"/>
        <v>4</v>
      </c>
      <c r="M406" s="2">
        <f t="shared" ca="1" si="317"/>
        <v>0.44444444444444442</v>
      </c>
      <c r="N406" s="10">
        <f t="shared" si="318"/>
        <v>0</v>
      </c>
      <c r="O406" s="10">
        <f t="shared" si="319"/>
        <v>0</v>
      </c>
      <c r="P406" s="3" t="str">
        <f t="shared" si="320"/>
        <v>-</v>
      </c>
      <c r="Q406" s="10">
        <f t="shared" ca="1" si="321"/>
        <v>79</v>
      </c>
      <c r="R406" s="10">
        <f t="shared" ca="1" si="322"/>
        <v>67</v>
      </c>
      <c r="S406" s="4">
        <f t="shared" ca="1" si="323"/>
        <v>0.84810126582278478</v>
      </c>
      <c r="T406" s="478"/>
    </row>
    <row r="407" spans="1:20" x14ac:dyDescent="0.45">
      <c r="A407" s="64">
        <v>37834</v>
      </c>
      <c r="B407" s="14">
        <f>COUNTIFS(发射纪录!B:B,"&lt;&gt;-",发射纪录!G:G,"&gt;="&amp;DATE(YEAR(A407),MONTH(A407),1),发射纪录!G:G,"&lt;="&amp;DATE(YEAR(A407),MONTH(A407),DAY(EOMONTH(A407,0))),发射纪录!N:N,"&lt;&gt;")</f>
        <v>0</v>
      </c>
      <c r="C407" s="10">
        <f>COUNTIFS(发射纪录!B:B,"&lt;&gt;-",发射纪录!G:G,"&gt;="&amp;DATE(YEAR(A407),MONTH(A407),1),发射纪录!G:G,"&lt;="&amp;DATE(YEAR(A407),MONTH(A407),DAY(EOMONTH(A407,0))),发射纪录!N:N,"=成功",发射纪录!N:N,"&lt;&gt;")</f>
        <v>0</v>
      </c>
      <c r="D407" s="1" t="str">
        <f t="shared" si="310"/>
        <v>-</v>
      </c>
      <c r="E407" s="10">
        <f t="shared" si="311"/>
        <v>70</v>
      </c>
      <c r="F407" s="10">
        <f t="shared" si="312"/>
        <v>63</v>
      </c>
      <c r="G407" s="2">
        <f t="shared" si="313"/>
        <v>0.9</v>
      </c>
      <c r="H407" s="10">
        <f>COUNTIFS(发射纪录!C:C,"&lt;&gt;-",发射纪录!G:G,"&gt;="&amp;DATE(YEAR(A407),MONTH(A407),1),发射纪录!G:G,"&lt;="&amp;DATE(YEAR(A407),MONTH(A407),DAY(EOMONTH(A407,0))),发射纪录!N:N,"&lt;&gt;")</f>
        <v>0</v>
      </c>
      <c r="I407" s="10">
        <f ca="1">COUNTIFS(发射纪录!C:C,"&lt;&gt;-",发射纪录!G:G,"&gt;="&amp;DATE(YEAR(A407),MONTH(A407),1),发射纪录!G:G,"&lt;="&amp;DATE(YEAR(A407),MONTH(A407),DAY(EOMONTH(A407,0))),发射纪录!N:N,"=成功",发射纪录!N:N,"&lt;&gt;")</f>
        <v>0</v>
      </c>
      <c r="J407" s="1" t="str">
        <f t="shared" si="314"/>
        <v>-</v>
      </c>
      <c r="K407" s="10">
        <f t="shared" ca="1" si="315"/>
        <v>9</v>
      </c>
      <c r="L407" s="10">
        <f t="shared" ca="1" si="316"/>
        <v>4</v>
      </c>
      <c r="M407" s="2">
        <f t="shared" ca="1" si="317"/>
        <v>0.44444444444444442</v>
      </c>
      <c r="N407" s="10">
        <f t="shared" si="318"/>
        <v>0</v>
      </c>
      <c r="O407" s="10">
        <f t="shared" ca="1" si="319"/>
        <v>0</v>
      </c>
      <c r="P407" s="3" t="str">
        <f t="shared" si="320"/>
        <v>-</v>
      </c>
      <c r="Q407" s="10">
        <f t="shared" ca="1" si="321"/>
        <v>79</v>
      </c>
      <c r="R407" s="10">
        <f t="shared" ca="1" si="322"/>
        <v>67</v>
      </c>
      <c r="S407" s="4">
        <f t="shared" ca="1" si="323"/>
        <v>0.84810126582278478</v>
      </c>
      <c r="T407" s="478"/>
    </row>
    <row r="408" spans="1:20" x14ac:dyDescent="0.45">
      <c r="A408" s="64">
        <v>37865</v>
      </c>
      <c r="B408" s="14">
        <f>COUNTIFS(发射纪录!B:B,"&lt;&gt;-",发射纪录!G:G,"&gt;="&amp;DATE(YEAR(A408),MONTH(A408),1),发射纪录!G:G,"&lt;="&amp;DATE(YEAR(A408),MONTH(A408),DAY(EOMONTH(A408,0))),发射纪录!N:N,"&lt;&gt;")</f>
        <v>0</v>
      </c>
      <c r="C408" s="10">
        <f>COUNTIFS(发射纪录!B:B,"&lt;&gt;-",发射纪录!G:G,"&gt;="&amp;DATE(YEAR(A408),MONTH(A408),1),发射纪录!G:G,"&lt;="&amp;DATE(YEAR(A408),MONTH(A408),DAY(EOMONTH(A408,0))),发射纪录!N:N,"=成功",发射纪录!N:N,"&lt;&gt;")</f>
        <v>0</v>
      </c>
      <c r="D408" s="1" t="str">
        <f t="shared" si="310"/>
        <v>-</v>
      </c>
      <c r="E408" s="10">
        <f t="shared" si="311"/>
        <v>70</v>
      </c>
      <c r="F408" s="10">
        <f t="shared" si="312"/>
        <v>63</v>
      </c>
      <c r="G408" s="2">
        <f t="shared" si="313"/>
        <v>0.9</v>
      </c>
      <c r="H408" s="10">
        <f ca="1">COUNTIFS(发射纪录!C:C,"&lt;&gt;-",发射纪录!G:G,"&gt;="&amp;DATE(YEAR(A408),MONTH(A408),1),发射纪录!G:G,"&lt;="&amp;DATE(YEAR(A408),MONTH(A408),DAY(EOMONTH(A408,0))),发射纪录!N:N,"&lt;&gt;")</f>
        <v>1</v>
      </c>
      <c r="I408" s="10">
        <f>COUNTIFS(发射纪录!C:C,"&lt;&gt;-",发射纪录!G:G,"&gt;="&amp;DATE(YEAR(A408),MONTH(A408),1),发射纪录!G:G,"&lt;="&amp;DATE(YEAR(A408),MONTH(A408),DAY(EOMONTH(A408,0))),发射纪录!N:N,"=成功",发射纪录!N:N,"&lt;&gt;")</f>
        <v>0</v>
      </c>
      <c r="J408" s="1">
        <f t="shared" ca="1" si="314"/>
        <v>0</v>
      </c>
      <c r="K408" s="10">
        <f t="shared" ca="1" si="315"/>
        <v>10</v>
      </c>
      <c r="L408" s="10">
        <f t="shared" ca="1" si="316"/>
        <v>4</v>
      </c>
      <c r="M408" s="2">
        <f t="shared" ca="1" si="317"/>
        <v>0.4</v>
      </c>
      <c r="N408" s="10">
        <f t="shared" ca="1" si="318"/>
        <v>1</v>
      </c>
      <c r="O408" s="10">
        <f t="shared" si="319"/>
        <v>0</v>
      </c>
      <c r="P408" s="3">
        <f t="shared" ca="1" si="320"/>
        <v>0</v>
      </c>
      <c r="Q408" s="10">
        <f t="shared" ca="1" si="321"/>
        <v>80</v>
      </c>
      <c r="R408" s="10">
        <f t="shared" ca="1" si="322"/>
        <v>67</v>
      </c>
      <c r="S408" s="4">
        <f t="shared" ca="1" si="323"/>
        <v>0.83750000000000002</v>
      </c>
      <c r="T408" s="478"/>
    </row>
    <row r="409" spans="1:20" x14ac:dyDescent="0.45">
      <c r="A409" s="64">
        <v>37895</v>
      </c>
      <c r="B409" s="14">
        <f>COUNTIFS(发射纪录!B:B,"&lt;&gt;-",发射纪录!G:G,"&gt;="&amp;DATE(YEAR(A409),MONTH(A409),1),发射纪录!G:G,"&lt;="&amp;DATE(YEAR(A409),MONTH(A409),DAY(EOMONTH(A409,0))),发射纪录!N:N,"&lt;&gt;")</f>
        <v>2</v>
      </c>
      <c r="C409" s="10">
        <f>COUNTIFS(发射纪录!B:B,"&lt;&gt;-",发射纪录!G:G,"&gt;="&amp;DATE(YEAR(A409),MONTH(A409),1),发射纪录!G:G,"&lt;="&amp;DATE(YEAR(A409),MONTH(A409),DAY(EOMONTH(A409,0))),发射纪录!N:N,"=成功",发射纪录!N:N,"&lt;&gt;")</f>
        <v>2</v>
      </c>
      <c r="D409" s="1">
        <f t="shared" si="310"/>
        <v>1</v>
      </c>
      <c r="E409" s="10">
        <f t="shared" si="311"/>
        <v>72</v>
      </c>
      <c r="F409" s="10">
        <f t="shared" si="312"/>
        <v>65</v>
      </c>
      <c r="G409" s="2">
        <f t="shared" si="313"/>
        <v>0.90277777777777779</v>
      </c>
      <c r="H409" s="10">
        <f>COUNTIFS(发射纪录!C:C,"&lt;&gt;-",发射纪录!G:G,"&gt;="&amp;DATE(YEAR(A409),MONTH(A409),1),发射纪录!G:G,"&lt;="&amp;DATE(YEAR(A409),MONTH(A409),DAY(EOMONTH(A409,0))),发射纪录!N:N,"&lt;&gt;")</f>
        <v>0</v>
      </c>
      <c r="I409" s="10">
        <f ca="1">COUNTIFS(发射纪录!C:C,"&lt;&gt;-",发射纪录!G:G,"&gt;="&amp;DATE(YEAR(A409),MONTH(A409),1),发射纪录!G:G,"&lt;="&amp;DATE(YEAR(A409),MONTH(A409),DAY(EOMONTH(A409,0))),发射纪录!N:N,"=成功",发射纪录!N:N,"&lt;&gt;")</f>
        <v>0</v>
      </c>
      <c r="J409" s="1" t="str">
        <f t="shared" si="314"/>
        <v>-</v>
      </c>
      <c r="K409" s="10">
        <f t="shared" ca="1" si="315"/>
        <v>10</v>
      </c>
      <c r="L409" s="10">
        <f t="shared" ca="1" si="316"/>
        <v>4</v>
      </c>
      <c r="M409" s="2">
        <f t="shared" ca="1" si="317"/>
        <v>0.4</v>
      </c>
      <c r="N409" s="10">
        <f t="shared" si="318"/>
        <v>2</v>
      </c>
      <c r="O409" s="10">
        <f t="shared" ca="1" si="319"/>
        <v>2</v>
      </c>
      <c r="P409" s="3">
        <f t="shared" ca="1" si="320"/>
        <v>1</v>
      </c>
      <c r="Q409" s="10">
        <f t="shared" ca="1" si="321"/>
        <v>82</v>
      </c>
      <c r="R409" s="10">
        <f t="shared" ca="1" si="322"/>
        <v>69</v>
      </c>
      <c r="S409" s="4">
        <f t="shared" ca="1" si="323"/>
        <v>0.84146341463414631</v>
      </c>
      <c r="T409" s="478"/>
    </row>
    <row r="410" spans="1:20" x14ac:dyDescent="0.45">
      <c r="A410" s="64">
        <v>37926</v>
      </c>
      <c r="B410" s="14">
        <f>COUNTIFS(发射纪录!B:B,"&lt;&gt;-",发射纪录!G:G,"&gt;="&amp;DATE(YEAR(A410),MONTH(A410),1),发射纪录!G:G,"&lt;="&amp;DATE(YEAR(A410),MONTH(A410),DAY(EOMONTH(A410,0))),发射纪录!N:N,"&lt;&gt;")</f>
        <v>2</v>
      </c>
      <c r="C410" s="10">
        <f>COUNTIFS(发射纪录!B:B,"&lt;&gt;-",发射纪录!G:G,"&gt;="&amp;DATE(YEAR(A410),MONTH(A410),1),发射纪录!G:G,"&lt;="&amp;DATE(YEAR(A410),MONTH(A410),DAY(EOMONTH(A410,0))),发射纪录!N:N,"=成功",发射纪录!N:N,"&lt;&gt;")</f>
        <v>2</v>
      </c>
      <c r="D410" s="1">
        <f t="shared" si="310"/>
        <v>1</v>
      </c>
      <c r="E410" s="10">
        <f t="shared" si="311"/>
        <v>74</v>
      </c>
      <c r="F410" s="10">
        <f t="shared" si="312"/>
        <v>67</v>
      </c>
      <c r="G410" s="2">
        <f t="shared" si="313"/>
        <v>0.90540540540540537</v>
      </c>
      <c r="H410" s="10">
        <f ca="1">COUNTIFS(发射纪录!C:C,"&lt;&gt;-",发射纪录!G:G,"&gt;="&amp;DATE(YEAR(A410),MONTH(A410),1),发射纪录!G:G,"&lt;="&amp;DATE(YEAR(A410),MONTH(A410),DAY(EOMONTH(A410,0))),发射纪录!N:N,"&lt;&gt;")</f>
        <v>0</v>
      </c>
      <c r="I410" s="10">
        <f ca="1">COUNTIFS(发射纪录!C:C,"&lt;&gt;-",发射纪录!G:G,"&gt;="&amp;DATE(YEAR(A410),MONTH(A410),1),发射纪录!G:G,"&lt;="&amp;DATE(YEAR(A410),MONTH(A410),DAY(EOMONTH(A410,0))),发射纪录!N:N,"=成功",发射纪录!N:N,"&lt;&gt;")</f>
        <v>0</v>
      </c>
      <c r="J410" s="1" t="str">
        <f t="shared" ca="1" si="314"/>
        <v>-</v>
      </c>
      <c r="K410" s="10">
        <f t="shared" ca="1" si="315"/>
        <v>10</v>
      </c>
      <c r="L410" s="10">
        <f t="shared" ca="1" si="316"/>
        <v>4</v>
      </c>
      <c r="M410" s="2">
        <f t="shared" ca="1" si="317"/>
        <v>0.4</v>
      </c>
      <c r="N410" s="10">
        <f t="shared" ca="1" si="318"/>
        <v>2</v>
      </c>
      <c r="O410" s="10">
        <f t="shared" ca="1" si="319"/>
        <v>2</v>
      </c>
      <c r="P410" s="3">
        <f t="shared" ca="1" si="320"/>
        <v>1</v>
      </c>
      <c r="Q410" s="10">
        <f t="shared" ca="1" si="321"/>
        <v>84</v>
      </c>
      <c r="R410" s="10">
        <f t="shared" ca="1" si="322"/>
        <v>71</v>
      </c>
      <c r="S410" s="4">
        <f t="shared" ca="1" si="323"/>
        <v>0.84523809523809523</v>
      </c>
      <c r="T410" s="478"/>
    </row>
    <row r="411" spans="1:20" ht="19.5" customHeight="1" thickBot="1" x14ac:dyDescent="0.5">
      <c r="A411" s="65">
        <v>37956</v>
      </c>
      <c r="B411" s="17">
        <f>COUNTIFS(发射纪录!B:B,"&lt;&gt;-",发射纪录!G:G,"&gt;="&amp;DATE(YEAR(A411),MONTH(A411),1),发射纪录!G:G,"&lt;="&amp;DATE(YEAR(A411),MONTH(A411),DAY(EOMONTH(A411,0))),发射纪录!N:N,"&lt;&gt;")</f>
        <v>1</v>
      </c>
      <c r="C411" s="18">
        <f>COUNTIFS(发射纪录!B:B,"&lt;&gt;-",发射纪录!G:G,"&gt;="&amp;DATE(YEAR(A411),MONTH(A411),1),发射纪录!G:G,"&lt;="&amp;DATE(YEAR(A411),MONTH(A411),DAY(EOMONTH(A411,0))),发射纪录!N:N,"=成功",发射纪录!N:N,"&lt;&gt;")</f>
        <v>1</v>
      </c>
      <c r="D411" s="12">
        <f>IF(B411=0,"-",C411/B411)</f>
        <v>1</v>
      </c>
      <c r="E411" s="18">
        <f>E410+B411</f>
        <v>75</v>
      </c>
      <c r="F411" s="18">
        <f>F410+C411</f>
        <v>68</v>
      </c>
      <c r="G411" s="13">
        <f>IF(E411=0,"-",F411/E411)</f>
        <v>0.90666666666666662</v>
      </c>
      <c r="H411" s="18">
        <f>COUNTIFS(发射纪录!C:C,"&lt;&gt;-",发射纪录!G:G,"&gt;="&amp;DATE(YEAR(A411),MONTH(A411),1),发射纪录!G:G,"&lt;="&amp;DATE(YEAR(A411),MONTH(A411),DAY(EOMONTH(A411,0))),发射纪录!N:N,"&lt;&gt;")</f>
        <v>0</v>
      </c>
      <c r="I411" s="18">
        <f>COUNTIFS(发射纪录!C:C,"&lt;&gt;-",发射纪录!G:G,"&gt;="&amp;DATE(YEAR(A411),MONTH(A411),1),发射纪录!G:G,"&lt;="&amp;DATE(YEAR(A411),MONTH(A411),DAY(EOMONTH(A411,0))),发射纪录!N:N,"=成功",发射纪录!N:N,"&lt;&gt;")</f>
        <v>0</v>
      </c>
      <c r="J411" s="12" t="str">
        <f>IF(H411=0,"-",I411/H411)</f>
        <v>-</v>
      </c>
      <c r="K411" s="18">
        <f ca="1">K410+H411</f>
        <v>10</v>
      </c>
      <c r="L411" s="18">
        <f ca="1">L410+I411</f>
        <v>4</v>
      </c>
      <c r="M411" s="13">
        <f ca="1">IF(K411=0,"-",L411/K411)</f>
        <v>0.4</v>
      </c>
      <c r="N411" s="18">
        <f>B411+H411</f>
        <v>1</v>
      </c>
      <c r="O411" s="18">
        <f>C411+I411</f>
        <v>1</v>
      </c>
      <c r="P411" s="12">
        <f>IF(N411=0,"-",O411/N411)</f>
        <v>1</v>
      </c>
      <c r="Q411" s="18">
        <f ca="1">E411+K411</f>
        <v>85</v>
      </c>
      <c r="R411" s="18">
        <f ca="1">F411+L411</f>
        <v>72</v>
      </c>
      <c r="S411" s="13">
        <f ca="1">IF(Q411=0,"-",R411/Q411)</f>
        <v>0.84705882352941175</v>
      </c>
      <c r="T411" s="478"/>
    </row>
    <row r="412" spans="1:20" ht="19.5" customHeight="1" thickTop="1" x14ac:dyDescent="0.45">
      <c r="A412" s="63">
        <v>37987</v>
      </c>
      <c r="B412" s="14">
        <f>COUNTIFS(发射纪录!B:B,"&lt;&gt;-",发射纪录!G:G,"&gt;="&amp;DATE(YEAR(A412),MONTH(A412),1),发射纪录!G:G,"&lt;="&amp;DATE(YEAR(A412),MONTH(A412),DAY(EOMONTH(A412,0))),发射纪录!N:N,"&lt;&gt;")</f>
        <v>0</v>
      </c>
      <c r="C412" s="10">
        <f>COUNTIFS(发射纪录!B:B,"&lt;&gt;-",发射纪录!G:G,"&gt;="&amp;DATE(YEAR(A412),MONTH(A412),1),发射纪录!G:G,"&lt;="&amp;DATE(YEAR(A412),MONTH(A412),DAY(EOMONTH(A412,0))),发射纪录!N:N,"=成功",发射纪录!N:N,"&lt;&gt;")</f>
        <v>0</v>
      </c>
      <c r="D412" s="3" t="str">
        <f t="shared" ref="D412:D422" si="324">IF(B412=0,"-",C412/B412)</f>
        <v>-</v>
      </c>
      <c r="E412" s="10">
        <f t="shared" ref="E412:E422" si="325">E411+B412</f>
        <v>75</v>
      </c>
      <c r="F412" s="10">
        <f t="shared" ref="F412:F422" si="326">F411+C412</f>
        <v>68</v>
      </c>
      <c r="G412" s="4">
        <f t="shared" ref="G412:G422" si="327">IF(E412=0,"-",F412/E412)</f>
        <v>0.90666666666666662</v>
      </c>
      <c r="H412" s="10">
        <f>COUNTIFS(发射纪录!C:C,"&lt;&gt;-",发射纪录!G:G,"&gt;="&amp;DATE(YEAR(A412),MONTH(A412),1),发射纪录!G:G,"&lt;="&amp;DATE(YEAR(A412),MONTH(A412),DAY(EOMONTH(A412,0))),发射纪录!N:N,"&lt;&gt;")</f>
        <v>0</v>
      </c>
      <c r="I412" s="10">
        <f>COUNTIFS(发射纪录!C:C,"&lt;&gt;-",发射纪录!G:G,"&gt;="&amp;DATE(YEAR(A412),MONTH(A412),1),发射纪录!G:G,"&lt;="&amp;DATE(YEAR(A412),MONTH(A412),DAY(EOMONTH(A412,0))),发射纪录!N:N,"=成功",发射纪录!N:N,"&lt;&gt;")</f>
        <v>0</v>
      </c>
      <c r="J412" s="3" t="str">
        <f t="shared" ref="J412:J422" si="328">IF(H412=0,"-",I412/H412)</f>
        <v>-</v>
      </c>
      <c r="K412" s="10">
        <f t="shared" ref="K412:K422" ca="1" si="329">K411+H412</f>
        <v>10</v>
      </c>
      <c r="L412" s="10">
        <f t="shared" ref="L412:L422" ca="1" si="330">L411+I412</f>
        <v>4</v>
      </c>
      <c r="M412" s="4">
        <f t="shared" ref="M412:M422" ca="1" si="331">IF(K412=0,"-",L412/K412)</f>
        <v>0.4</v>
      </c>
      <c r="N412" s="10">
        <f t="shared" ref="N412:N422" si="332">B412+H412</f>
        <v>0</v>
      </c>
      <c r="O412" s="10">
        <f t="shared" ref="O412:O422" si="333">C412+I412</f>
        <v>0</v>
      </c>
      <c r="P412" s="3" t="str">
        <f t="shared" ref="P412:P422" si="334">IF(N412=0,"-",O412/N412)</f>
        <v>-</v>
      </c>
      <c r="Q412" s="10">
        <f t="shared" ref="Q412:Q422" ca="1" si="335">E412+K412</f>
        <v>85</v>
      </c>
      <c r="R412" s="10">
        <f t="shared" ca="1" si="322"/>
        <v>72</v>
      </c>
      <c r="S412" s="4">
        <f t="shared" ref="S412:S422" ca="1" si="336">IF(Q412=0,"-",R412/Q412)</f>
        <v>0.84705882352941175</v>
      </c>
      <c r="T412" s="478"/>
    </row>
    <row r="413" spans="1:20" x14ac:dyDescent="0.45">
      <c r="A413" s="64">
        <v>38018</v>
      </c>
      <c r="B413" s="14">
        <f>COUNTIFS(发射纪录!B:B,"&lt;&gt;-",发射纪录!G:G,"&gt;="&amp;DATE(YEAR(A413),MONTH(A413),1),发射纪录!G:G,"&lt;="&amp;DATE(YEAR(A413),MONTH(A413),DAY(EOMONTH(A413,0))),发射纪录!N:N,"&lt;&gt;")</f>
        <v>0</v>
      </c>
      <c r="C413" s="10">
        <f>COUNTIFS(发射纪录!B:B,"&lt;&gt;-",发射纪录!G:G,"&gt;="&amp;DATE(YEAR(A413),MONTH(A413),1),发射纪录!G:G,"&lt;="&amp;DATE(YEAR(A413),MONTH(A413),DAY(EOMONTH(A413,0))),发射纪录!N:N,"=成功",发射纪录!N:N,"&lt;&gt;")</f>
        <v>0</v>
      </c>
      <c r="D413" s="1" t="str">
        <f t="shared" si="324"/>
        <v>-</v>
      </c>
      <c r="E413" s="10">
        <f t="shared" si="325"/>
        <v>75</v>
      </c>
      <c r="F413" s="10">
        <f t="shared" si="326"/>
        <v>68</v>
      </c>
      <c r="G413" s="2">
        <f t="shared" si="327"/>
        <v>0.90666666666666662</v>
      </c>
      <c r="H413" s="10">
        <f>COUNTIFS(发射纪录!C:C,"&lt;&gt;-",发射纪录!G:G,"&gt;="&amp;DATE(YEAR(A413),MONTH(A413),1),发射纪录!G:G,"&lt;="&amp;DATE(YEAR(A413),MONTH(A413),DAY(EOMONTH(A413,0))),发射纪录!N:N,"&lt;&gt;")</f>
        <v>0</v>
      </c>
      <c r="I413" s="10">
        <f>COUNTIFS(发射纪录!C:C,"&lt;&gt;-",发射纪录!G:G,"&gt;="&amp;DATE(YEAR(A413),MONTH(A413),1),发射纪录!G:G,"&lt;="&amp;DATE(YEAR(A413),MONTH(A413),DAY(EOMONTH(A413,0))),发射纪录!N:N,"=成功",发射纪录!N:N,"&lt;&gt;")</f>
        <v>0</v>
      </c>
      <c r="J413" s="1" t="str">
        <f t="shared" si="328"/>
        <v>-</v>
      </c>
      <c r="K413" s="10">
        <f t="shared" ca="1" si="329"/>
        <v>10</v>
      </c>
      <c r="L413" s="10">
        <f t="shared" ca="1" si="330"/>
        <v>4</v>
      </c>
      <c r="M413" s="2">
        <f t="shared" ca="1" si="331"/>
        <v>0.4</v>
      </c>
      <c r="N413" s="10">
        <f t="shared" si="332"/>
        <v>0</v>
      </c>
      <c r="O413" s="10">
        <f t="shared" si="333"/>
        <v>0</v>
      </c>
      <c r="P413" s="3" t="str">
        <f t="shared" si="334"/>
        <v>-</v>
      </c>
      <c r="Q413" s="10">
        <f t="shared" ca="1" si="335"/>
        <v>85</v>
      </c>
      <c r="R413" s="10">
        <f t="shared" ca="1" si="322"/>
        <v>72</v>
      </c>
      <c r="S413" s="4">
        <f t="shared" ca="1" si="336"/>
        <v>0.84705882352941175</v>
      </c>
      <c r="T413" s="478"/>
    </row>
    <row r="414" spans="1:20" x14ac:dyDescent="0.45">
      <c r="A414" s="64">
        <v>38047</v>
      </c>
      <c r="B414" s="14">
        <f>COUNTIFS(发射纪录!B:B,"&lt;&gt;-",发射纪录!G:G,"&gt;="&amp;DATE(YEAR(A414),MONTH(A414),1),发射纪录!G:G,"&lt;="&amp;DATE(YEAR(A414),MONTH(A414),DAY(EOMONTH(A414,0))),发射纪录!N:N,"&lt;&gt;")</f>
        <v>0</v>
      </c>
      <c r="C414" s="10">
        <f>COUNTIFS(发射纪录!B:B,"&lt;&gt;-",发射纪录!G:G,"&gt;="&amp;DATE(YEAR(A414),MONTH(A414),1),发射纪录!G:G,"&lt;="&amp;DATE(YEAR(A414),MONTH(A414),DAY(EOMONTH(A414,0))),发射纪录!N:N,"=成功",发射纪录!N:N,"&lt;&gt;")</f>
        <v>0</v>
      </c>
      <c r="D414" s="1" t="str">
        <f t="shared" si="324"/>
        <v>-</v>
      </c>
      <c r="E414" s="10">
        <f t="shared" si="325"/>
        <v>75</v>
      </c>
      <c r="F414" s="10">
        <f t="shared" si="326"/>
        <v>68</v>
      </c>
      <c r="G414" s="2">
        <f t="shared" si="327"/>
        <v>0.90666666666666662</v>
      </c>
      <c r="H414" s="10">
        <f>COUNTIFS(发射纪录!C:C,"&lt;&gt;-",发射纪录!G:G,"&gt;="&amp;DATE(YEAR(A414),MONTH(A414),1),发射纪录!G:G,"&lt;="&amp;DATE(YEAR(A414),MONTH(A414),DAY(EOMONTH(A414,0))),发射纪录!N:N,"&lt;&gt;")</f>
        <v>0</v>
      </c>
      <c r="I414" s="10">
        <f>COUNTIFS(发射纪录!C:C,"&lt;&gt;-",发射纪录!G:G,"&gt;="&amp;DATE(YEAR(A414),MONTH(A414),1),发射纪录!G:G,"&lt;="&amp;DATE(YEAR(A414),MONTH(A414),DAY(EOMONTH(A414,0))),发射纪录!N:N,"=成功",发射纪录!N:N,"&lt;&gt;")</f>
        <v>0</v>
      </c>
      <c r="J414" s="1" t="str">
        <f t="shared" si="328"/>
        <v>-</v>
      </c>
      <c r="K414" s="10">
        <f t="shared" ca="1" si="329"/>
        <v>10</v>
      </c>
      <c r="L414" s="10">
        <f t="shared" ca="1" si="330"/>
        <v>4</v>
      </c>
      <c r="M414" s="2">
        <f t="shared" ca="1" si="331"/>
        <v>0.4</v>
      </c>
      <c r="N414" s="10">
        <f t="shared" si="332"/>
        <v>0</v>
      </c>
      <c r="O414" s="10">
        <f t="shared" si="333"/>
        <v>0</v>
      </c>
      <c r="P414" s="3" t="str">
        <f t="shared" si="334"/>
        <v>-</v>
      </c>
      <c r="Q414" s="10">
        <f t="shared" ca="1" si="335"/>
        <v>85</v>
      </c>
      <c r="R414" s="10">
        <f t="shared" ca="1" si="322"/>
        <v>72</v>
      </c>
      <c r="S414" s="4">
        <f t="shared" ca="1" si="336"/>
        <v>0.84705882352941175</v>
      </c>
      <c r="T414" s="478"/>
    </row>
    <row r="415" spans="1:20" x14ac:dyDescent="0.45">
      <c r="A415" s="64">
        <v>38078</v>
      </c>
      <c r="B415" s="14">
        <f>COUNTIFS(发射纪录!B:B,"&lt;&gt;-",发射纪录!G:G,"&gt;="&amp;DATE(YEAR(A415),MONTH(A415),1),发射纪录!G:G,"&lt;="&amp;DATE(YEAR(A415),MONTH(A415),DAY(EOMONTH(A415,0))),发射纪录!N:N,"&lt;&gt;")</f>
        <v>1</v>
      </c>
      <c r="C415" s="10">
        <f>COUNTIFS(发射纪录!B:B,"&lt;&gt;-",发射纪录!G:G,"&gt;="&amp;DATE(YEAR(A415),MONTH(A415),1),发射纪录!G:G,"&lt;="&amp;DATE(YEAR(A415),MONTH(A415),DAY(EOMONTH(A415,0))),发射纪录!N:N,"=成功",发射纪录!N:N,"&lt;&gt;")</f>
        <v>1</v>
      </c>
      <c r="D415" s="1">
        <f t="shared" si="324"/>
        <v>1</v>
      </c>
      <c r="E415" s="10">
        <f t="shared" si="325"/>
        <v>76</v>
      </c>
      <c r="F415" s="10">
        <f t="shared" si="326"/>
        <v>69</v>
      </c>
      <c r="G415" s="2">
        <f t="shared" si="327"/>
        <v>0.90789473684210531</v>
      </c>
      <c r="H415" s="10">
        <f>COUNTIFS(发射纪录!C:C,"&lt;&gt;-",发射纪录!G:G,"&gt;="&amp;DATE(YEAR(A415),MONTH(A415),1),发射纪录!G:G,"&lt;="&amp;DATE(YEAR(A415),MONTH(A415),DAY(EOMONTH(A415,0))),发射纪录!N:N,"&lt;&gt;")</f>
        <v>0</v>
      </c>
      <c r="I415" s="10">
        <f>COUNTIFS(发射纪录!C:C,"&lt;&gt;-",发射纪录!G:G,"&gt;="&amp;DATE(YEAR(A415),MONTH(A415),1),发射纪录!G:G,"&lt;="&amp;DATE(YEAR(A415),MONTH(A415),DAY(EOMONTH(A415,0))),发射纪录!N:N,"=成功",发射纪录!N:N,"&lt;&gt;")</f>
        <v>0</v>
      </c>
      <c r="J415" s="1" t="str">
        <f t="shared" si="328"/>
        <v>-</v>
      </c>
      <c r="K415" s="10">
        <f t="shared" ca="1" si="329"/>
        <v>10</v>
      </c>
      <c r="L415" s="10">
        <f t="shared" ca="1" si="330"/>
        <v>4</v>
      </c>
      <c r="M415" s="2">
        <f t="shared" ca="1" si="331"/>
        <v>0.4</v>
      </c>
      <c r="N415" s="10">
        <f t="shared" si="332"/>
        <v>1</v>
      </c>
      <c r="O415" s="10">
        <f t="shared" si="333"/>
        <v>1</v>
      </c>
      <c r="P415" s="3">
        <f t="shared" si="334"/>
        <v>1</v>
      </c>
      <c r="Q415" s="10">
        <f t="shared" ca="1" si="335"/>
        <v>86</v>
      </c>
      <c r="R415" s="10">
        <f t="shared" ca="1" si="322"/>
        <v>73</v>
      </c>
      <c r="S415" s="4">
        <f t="shared" ca="1" si="336"/>
        <v>0.84883720930232553</v>
      </c>
      <c r="T415" s="478"/>
    </row>
    <row r="416" spans="1:20" x14ac:dyDescent="0.45">
      <c r="A416" s="64">
        <v>38108</v>
      </c>
      <c r="B416" s="14">
        <f>COUNTIFS(发射纪录!B:B,"&lt;&gt;-",发射纪录!G:G,"&gt;="&amp;DATE(YEAR(A416),MONTH(A416),1),发射纪录!G:G,"&lt;="&amp;DATE(YEAR(A416),MONTH(A416),DAY(EOMONTH(A416,0))),发射纪录!N:N,"&lt;&gt;")</f>
        <v>0</v>
      </c>
      <c r="C416" s="10">
        <f>COUNTIFS(发射纪录!B:B,"&lt;&gt;-",发射纪录!G:G,"&gt;="&amp;DATE(YEAR(A416),MONTH(A416),1),发射纪录!G:G,"&lt;="&amp;DATE(YEAR(A416),MONTH(A416),DAY(EOMONTH(A416,0))),发射纪录!N:N,"=成功",发射纪录!N:N,"&lt;&gt;")</f>
        <v>0</v>
      </c>
      <c r="D416" s="1" t="str">
        <f t="shared" si="324"/>
        <v>-</v>
      </c>
      <c r="E416" s="10">
        <f t="shared" si="325"/>
        <v>76</v>
      </c>
      <c r="F416" s="10">
        <f t="shared" si="326"/>
        <v>69</v>
      </c>
      <c r="G416" s="2">
        <f t="shared" si="327"/>
        <v>0.90789473684210531</v>
      </c>
      <c r="H416" s="10">
        <f ca="1">COUNTIFS(发射纪录!C:C,"&lt;&gt;-",发射纪录!G:G,"&gt;="&amp;DATE(YEAR(A416),MONTH(A416),1),发射纪录!G:G,"&lt;="&amp;DATE(YEAR(A416),MONTH(A416),DAY(EOMONTH(A416,0))),发射纪录!N:N,"&lt;&gt;")</f>
        <v>0</v>
      </c>
      <c r="I416" s="10">
        <f ca="1">COUNTIFS(发射纪录!C:C,"&lt;&gt;-",发射纪录!G:G,"&gt;="&amp;DATE(YEAR(A416),MONTH(A416),1),发射纪录!G:G,"&lt;="&amp;DATE(YEAR(A416),MONTH(A416),DAY(EOMONTH(A416,0))),发射纪录!N:N,"=成功",发射纪录!N:N,"&lt;&gt;")</f>
        <v>0</v>
      </c>
      <c r="J416" s="1" t="str">
        <f t="shared" ca="1" si="328"/>
        <v>-</v>
      </c>
      <c r="K416" s="10">
        <f t="shared" ca="1" si="329"/>
        <v>10</v>
      </c>
      <c r="L416" s="10">
        <f t="shared" ca="1" si="330"/>
        <v>4</v>
      </c>
      <c r="M416" s="2">
        <f t="shared" ca="1" si="331"/>
        <v>0.4</v>
      </c>
      <c r="N416" s="10">
        <f t="shared" ca="1" si="332"/>
        <v>0</v>
      </c>
      <c r="O416" s="10">
        <f t="shared" ca="1" si="333"/>
        <v>0</v>
      </c>
      <c r="P416" s="3" t="str">
        <f t="shared" ca="1" si="334"/>
        <v>-</v>
      </c>
      <c r="Q416" s="10">
        <f t="shared" ca="1" si="335"/>
        <v>86</v>
      </c>
      <c r="R416" s="10">
        <f t="shared" ca="1" si="322"/>
        <v>73</v>
      </c>
      <c r="S416" s="4">
        <f t="shared" ca="1" si="336"/>
        <v>0.84883720930232553</v>
      </c>
      <c r="T416" s="478"/>
    </row>
    <row r="417" spans="1:20" x14ac:dyDescent="0.45">
      <c r="A417" s="64">
        <v>38139</v>
      </c>
      <c r="B417" s="14">
        <f>COUNTIFS(发射纪录!B:B,"&lt;&gt;-",发射纪录!G:G,"&gt;="&amp;DATE(YEAR(A417),MONTH(A417),1),发射纪录!G:G,"&lt;="&amp;DATE(YEAR(A417),MONTH(A417),DAY(EOMONTH(A417,0))),发射纪录!N:N,"&lt;&gt;")</f>
        <v>0</v>
      </c>
      <c r="C417" s="10">
        <f>COUNTIFS(发射纪录!B:B,"&lt;&gt;-",发射纪录!G:G,"&gt;="&amp;DATE(YEAR(A417),MONTH(A417),1),发射纪录!G:G,"&lt;="&amp;DATE(YEAR(A417),MONTH(A417),DAY(EOMONTH(A417,0))),发射纪录!N:N,"=成功",发射纪录!N:N,"&lt;&gt;")</f>
        <v>0</v>
      </c>
      <c r="D417" s="1" t="str">
        <f t="shared" si="324"/>
        <v>-</v>
      </c>
      <c r="E417" s="10">
        <f t="shared" si="325"/>
        <v>76</v>
      </c>
      <c r="F417" s="10">
        <f t="shared" si="326"/>
        <v>69</v>
      </c>
      <c r="G417" s="2">
        <f t="shared" si="327"/>
        <v>0.90789473684210531</v>
      </c>
      <c r="H417" s="10">
        <f>COUNTIFS(发射纪录!C:C,"&lt;&gt;-",发射纪录!G:G,"&gt;="&amp;DATE(YEAR(A417),MONTH(A417),1),发射纪录!G:G,"&lt;="&amp;DATE(YEAR(A417),MONTH(A417),DAY(EOMONTH(A417,0))),发射纪录!N:N,"&lt;&gt;")</f>
        <v>0</v>
      </c>
      <c r="I417" s="10">
        <f ca="1">COUNTIFS(发射纪录!C:C,"&lt;&gt;-",发射纪录!G:G,"&gt;="&amp;DATE(YEAR(A417),MONTH(A417),1),发射纪录!G:G,"&lt;="&amp;DATE(YEAR(A417),MONTH(A417),DAY(EOMONTH(A417,0))),发射纪录!N:N,"=成功",发射纪录!N:N,"&lt;&gt;")</f>
        <v>0</v>
      </c>
      <c r="J417" s="1" t="str">
        <f t="shared" si="328"/>
        <v>-</v>
      </c>
      <c r="K417" s="10">
        <f t="shared" ca="1" si="329"/>
        <v>10</v>
      </c>
      <c r="L417" s="10">
        <f t="shared" ca="1" si="330"/>
        <v>4</v>
      </c>
      <c r="M417" s="2">
        <f t="shared" ca="1" si="331"/>
        <v>0.4</v>
      </c>
      <c r="N417" s="10">
        <f t="shared" si="332"/>
        <v>0</v>
      </c>
      <c r="O417" s="10">
        <f t="shared" ca="1" si="333"/>
        <v>0</v>
      </c>
      <c r="P417" s="3" t="str">
        <f t="shared" si="334"/>
        <v>-</v>
      </c>
      <c r="Q417" s="10">
        <f t="shared" ca="1" si="335"/>
        <v>86</v>
      </c>
      <c r="R417" s="10">
        <f t="shared" ca="1" si="322"/>
        <v>73</v>
      </c>
      <c r="S417" s="4">
        <f t="shared" ca="1" si="336"/>
        <v>0.84883720930232553</v>
      </c>
      <c r="T417" s="478"/>
    </row>
    <row r="418" spans="1:20" x14ac:dyDescent="0.45">
      <c r="A418" s="64">
        <v>38169</v>
      </c>
      <c r="B418" s="14">
        <f>COUNTIFS(发射纪录!B:B,"&lt;&gt;-",发射纪录!G:G,"&gt;="&amp;DATE(YEAR(A418),MONTH(A418),1),发射纪录!G:G,"&lt;="&amp;DATE(YEAR(A418),MONTH(A418),DAY(EOMONTH(A418,0))),发射纪录!N:N,"&lt;&gt;")</f>
        <v>1</v>
      </c>
      <c r="C418" s="10">
        <f>COUNTIFS(发射纪录!B:B,"&lt;&gt;-",发射纪录!G:G,"&gt;="&amp;DATE(YEAR(A418),MONTH(A418),1),发射纪录!G:G,"&lt;="&amp;DATE(YEAR(A418),MONTH(A418),DAY(EOMONTH(A418,0))),发射纪录!N:N,"=成功",发射纪录!N:N,"&lt;&gt;")</f>
        <v>1</v>
      </c>
      <c r="D418" s="1">
        <f t="shared" si="324"/>
        <v>1</v>
      </c>
      <c r="E418" s="10">
        <f t="shared" si="325"/>
        <v>77</v>
      </c>
      <c r="F418" s="10">
        <f t="shared" si="326"/>
        <v>70</v>
      </c>
      <c r="G418" s="2">
        <f t="shared" si="327"/>
        <v>0.90909090909090906</v>
      </c>
      <c r="H418" s="10">
        <f ca="1">COUNTIFS(发射纪录!C:C,"&lt;&gt;-",发射纪录!G:G,"&gt;="&amp;DATE(YEAR(A418),MONTH(A418),1),发射纪录!G:G,"&lt;="&amp;DATE(YEAR(A418),MONTH(A418),DAY(EOMONTH(A418,0))),发射纪录!N:N,"&lt;&gt;")</f>
        <v>0</v>
      </c>
      <c r="I418" s="10">
        <f>COUNTIFS(发射纪录!C:C,"&lt;&gt;-",发射纪录!G:G,"&gt;="&amp;DATE(YEAR(A418),MONTH(A418),1),发射纪录!G:G,"&lt;="&amp;DATE(YEAR(A418),MONTH(A418),DAY(EOMONTH(A418,0))),发射纪录!N:N,"=成功",发射纪录!N:N,"&lt;&gt;")</f>
        <v>0</v>
      </c>
      <c r="J418" s="1" t="str">
        <f t="shared" ca="1" si="328"/>
        <v>-</v>
      </c>
      <c r="K418" s="10">
        <f t="shared" ca="1" si="329"/>
        <v>10</v>
      </c>
      <c r="L418" s="10">
        <f t="shared" ca="1" si="330"/>
        <v>4</v>
      </c>
      <c r="M418" s="2">
        <f t="shared" ca="1" si="331"/>
        <v>0.4</v>
      </c>
      <c r="N418" s="10">
        <f t="shared" ca="1" si="332"/>
        <v>1</v>
      </c>
      <c r="O418" s="10">
        <f t="shared" si="333"/>
        <v>1</v>
      </c>
      <c r="P418" s="3">
        <f t="shared" ca="1" si="334"/>
        <v>1</v>
      </c>
      <c r="Q418" s="10">
        <f t="shared" ca="1" si="335"/>
        <v>87</v>
      </c>
      <c r="R418" s="10">
        <f t="shared" ca="1" si="322"/>
        <v>74</v>
      </c>
      <c r="S418" s="4">
        <f t="shared" ca="1" si="336"/>
        <v>0.85057471264367812</v>
      </c>
      <c r="T418" s="478"/>
    </row>
    <row r="419" spans="1:20" x14ac:dyDescent="0.45">
      <c r="A419" s="64">
        <v>38200</v>
      </c>
      <c r="B419" s="14">
        <f>COUNTIFS(发射纪录!B:B,"&lt;&gt;-",发射纪录!G:G,"&gt;="&amp;DATE(YEAR(A419),MONTH(A419),1),发射纪录!G:G,"&lt;="&amp;DATE(YEAR(A419),MONTH(A419),DAY(EOMONTH(A419,0))),发射纪录!N:N,"&lt;&gt;")</f>
        <v>1</v>
      </c>
      <c r="C419" s="10">
        <f>COUNTIFS(发射纪录!B:B,"&lt;&gt;-",发射纪录!G:G,"&gt;="&amp;DATE(YEAR(A419),MONTH(A419),1),发射纪录!G:G,"&lt;="&amp;DATE(YEAR(A419),MONTH(A419),DAY(EOMONTH(A419,0))),发射纪录!N:N,"=成功",发射纪录!N:N,"&lt;&gt;")</f>
        <v>1</v>
      </c>
      <c r="D419" s="1">
        <f t="shared" si="324"/>
        <v>1</v>
      </c>
      <c r="E419" s="10">
        <f t="shared" si="325"/>
        <v>78</v>
      </c>
      <c r="F419" s="10">
        <f t="shared" si="326"/>
        <v>71</v>
      </c>
      <c r="G419" s="2">
        <f t="shared" si="327"/>
        <v>0.91025641025641024</v>
      </c>
      <c r="H419" s="10">
        <f ca="1">COUNTIFS(发射纪录!C:C,"&lt;&gt;-",发射纪录!G:G,"&gt;="&amp;DATE(YEAR(A419),MONTH(A419),1),发射纪录!G:G,"&lt;="&amp;DATE(YEAR(A419),MONTH(A419),DAY(EOMONTH(A419,0))),发射纪录!N:N,"&lt;&gt;")</f>
        <v>0</v>
      </c>
      <c r="I419" s="10">
        <f>COUNTIFS(发射纪录!C:C,"&lt;&gt;-",发射纪录!G:G,"&gt;="&amp;DATE(YEAR(A419),MONTH(A419),1),发射纪录!G:G,"&lt;="&amp;DATE(YEAR(A419),MONTH(A419),DAY(EOMONTH(A419,0))),发射纪录!N:N,"=成功",发射纪录!N:N,"&lt;&gt;")</f>
        <v>0</v>
      </c>
      <c r="J419" s="1" t="str">
        <f t="shared" ca="1" si="328"/>
        <v>-</v>
      </c>
      <c r="K419" s="10">
        <f t="shared" ca="1" si="329"/>
        <v>10</v>
      </c>
      <c r="L419" s="10">
        <f t="shared" ca="1" si="330"/>
        <v>4</v>
      </c>
      <c r="M419" s="2">
        <f t="shared" ca="1" si="331"/>
        <v>0.4</v>
      </c>
      <c r="N419" s="10">
        <f t="shared" ca="1" si="332"/>
        <v>1</v>
      </c>
      <c r="O419" s="10">
        <f t="shared" si="333"/>
        <v>1</v>
      </c>
      <c r="P419" s="3">
        <f t="shared" ca="1" si="334"/>
        <v>1</v>
      </c>
      <c r="Q419" s="10">
        <f t="shared" ca="1" si="335"/>
        <v>88</v>
      </c>
      <c r="R419" s="10">
        <f t="shared" ca="1" si="322"/>
        <v>75</v>
      </c>
      <c r="S419" s="4">
        <f t="shared" ca="1" si="336"/>
        <v>0.85227272727272729</v>
      </c>
      <c r="T419" s="478"/>
    </row>
    <row r="420" spans="1:20" x14ac:dyDescent="0.45">
      <c r="A420" s="64">
        <v>38231</v>
      </c>
      <c r="B420" s="14">
        <f>COUNTIFS(发射纪录!B:B,"&lt;&gt;-",发射纪录!G:G,"&gt;="&amp;DATE(YEAR(A420),MONTH(A420),1),发射纪录!G:G,"&lt;="&amp;DATE(YEAR(A420),MONTH(A420),DAY(EOMONTH(A420,0))),发射纪录!N:N,"&lt;&gt;")</f>
        <v>2</v>
      </c>
      <c r="C420" s="10">
        <f>COUNTIFS(发射纪录!B:B,"&lt;&gt;-",发射纪录!G:G,"&gt;="&amp;DATE(YEAR(A420),MONTH(A420),1),发射纪录!G:G,"&lt;="&amp;DATE(YEAR(A420),MONTH(A420),DAY(EOMONTH(A420,0))),发射纪录!N:N,"=成功",发射纪录!N:N,"&lt;&gt;")</f>
        <v>2</v>
      </c>
      <c r="D420" s="1">
        <f t="shared" si="324"/>
        <v>1</v>
      </c>
      <c r="E420" s="10">
        <f t="shared" si="325"/>
        <v>80</v>
      </c>
      <c r="F420" s="10">
        <f t="shared" si="326"/>
        <v>73</v>
      </c>
      <c r="G420" s="2">
        <f t="shared" si="327"/>
        <v>0.91249999999999998</v>
      </c>
      <c r="H420" s="10">
        <f>COUNTIFS(发射纪录!C:C,"&lt;&gt;-",发射纪录!G:G,"&gt;="&amp;DATE(YEAR(A420),MONTH(A420),1),发射纪录!G:G,"&lt;="&amp;DATE(YEAR(A420),MONTH(A420),DAY(EOMONTH(A420,0))),发射纪录!N:N,"&lt;&gt;")</f>
        <v>0</v>
      </c>
      <c r="I420" s="10">
        <f>COUNTIFS(发射纪录!C:C,"&lt;&gt;-",发射纪录!G:G,"&gt;="&amp;DATE(YEAR(A420),MONTH(A420),1),发射纪录!G:G,"&lt;="&amp;DATE(YEAR(A420),MONTH(A420),DAY(EOMONTH(A420,0))),发射纪录!N:N,"=成功",发射纪录!N:N,"&lt;&gt;")</f>
        <v>0</v>
      </c>
      <c r="J420" s="1" t="str">
        <f t="shared" si="328"/>
        <v>-</v>
      </c>
      <c r="K420" s="10">
        <f t="shared" ca="1" si="329"/>
        <v>10</v>
      </c>
      <c r="L420" s="10">
        <f t="shared" ca="1" si="330"/>
        <v>4</v>
      </c>
      <c r="M420" s="2">
        <f t="shared" ca="1" si="331"/>
        <v>0.4</v>
      </c>
      <c r="N420" s="10">
        <f t="shared" si="332"/>
        <v>2</v>
      </c>
      <c r="O420" s="10">
        <f t="shared" si="333"/>
        <v>2</v>
      </c>
      <c r="P420" s="3">
        <f t="shared" si="334"/>
        <v>1</v>
      </c>
      <c r="Q420" s="10">
        <f t="shared" ca="1" si="335"/>
        <v>90</v>
      </c>
      <c r="R420" s="10">
        <f t="shared" ca="1" si="322"/>
        <v>77</v>
      </c>
      <c r="S420" s="4">
        <f t="shared" ca="1" si="336"/>
        <v>0.85555555555555551</v>
      </c>
      <c r="T420" s="478"/>
    </row>
    <row r="421" spans="1:20" x14ac:dyDescent="0.45">
      <c r="A421" s="64">
        <v>38261</v>
      </c>
      <c r="B421" s="14">
        <f>COUNTIFS(发射纪录!B:B,"&lt;&gt;-",发射纪录!G:G,"&gt;="&amp;DATE(YEAR(A421),MONTH(A421),1),发射纪录!G:G,"&lt;="&amp;DATE(YEAR(A421),MONTH(A421),DAY(EOMONTH(A421,0))),发射纪录!N:N,"&lt;&gt;")</f>
        <v>1</v>
      </c>
      <c r="C421" s="10">
        <f>COUNTIFS(发射纪录!B:B,"&lt;&gt;-",发射纪录!G:G,"&gt;="&amp;DATE(YEAR(A421),MONTH(A421),1),发射纪录!G:G,"&lt;="&amp;DATE(YEAR(A421),MONTH(A421),DAY(EOMONTH(A421,0))),发射纪录!N:N,"=成功",发射纪录!N:N,"&lt;&gt;")</f>
        <v>1</v>
      </c>
      <c r="D421" s="1">
        <f t="shared" si="324"/>
        <v>1</v>
      </c>
      <c r="E421" s="10">
        <f t="shared" si="325"/>
        <v>81</v>
      </c>
      <c r="F421" s="10">
        <f t="shared" si="326"/>
        <v>74</v>
      </c>
      <c r="G421" s="2">
        <f t="shared" si="327"/>
        <v>0.9135802469135802</v>
      </c>
      <c r="H421" s="10">
        <f>COUNTIFS(发射纪录!C:C,"&lt;&gt;-",发射纪录!G:G,"&gt;="&amp;DATE(YEAR(A421),MONTH(A421),1),发射纪录!G:G,"&lt;="&amp;DATE(YEAR(A421),MONTH(A421),DAY(EOMONTH(A421,0))),发射纪录!N:N,"&lt;&gt;")</f>
        <v>0</v>
      </c>
      <c r="I421" s="10">
        <f>COUNTIFS(发射纪录!C:C,"&lt;&gt;-",发射纪录!G:G,"&gt;="&amp;DATE(YEAR(A421),MONTH(A421),1),发射纪录!G:G,"&lt;="&amp;DATE(YEAR(A421),MONTH(A421),DAY(EOMONTH(A421,0))),发射纪录!N:N,"=成功",发射纪录!N:N,"&lt;&gt;")</f>
        <v>0</v>
      </c>
      <c r="J421" s="1" t="str">
        <f t="shared" si="328"/>
        <v>-</v>
      </c>
      <c r="K421" s="10">
        <f t="shared" ca="1" si="329"/>
        <v>10</v>
      </c>
      <c r="L421" s="10">
        <f t="shared" ca="1" si="330"/>
        <v>4</v>
      </c>
      <c r="M421" s="2">
        <f t="shared" ca="1" si="331"/>
        <v>0.4</v>
      </c>
      <c r="N421" s="10">
        <f t="shared" si="332"/>
        <v>1</v>
      </c>
      <c r="O421" s="10">
        <f t="shared" si="333"/>
        <v>1</v>
      </c>
      <c r="P421" s="3">
        <f t="shared" si="334"/>
        <v>1</v>
      </c>
      <c r="Q421" s="10">
        <f t="shared" ca="1" si="335"/>
        <v>91</v>
      </c>
      <c r="R421" s="10">
        <f t="shared" ca="1" si="322"/>
        <v>78</v>
      </c>
      <c r="S421" s="4">
        <f t="shared" ca="1" si="336"/>
        <v>0.8571428571428571</v>
      </c>
      <c r="T421" s="478"/>
    </row>
    <row r="422" spans="1:20" x14ac:dyDescent="0.45">
      <c r="A422" s="64">
        <v>38292</v>
      </c>
      <c r="B422" s="14">
        <f>COUNTIFS(发射纪录!B:B,"&lt;&gt;-",发射纪录!G:G,"&gt;="&amp;DATE(YEAR(A422),MONTH(A422),1),发射纪录!G:G,"&lt;="&amp;DATE(YEAR(A422),MONTH(A422),DAY(EOMONTH(A422,0))),发射纪录!N:N,"&lt;&gt;")</f>
        <v>2</v>
      </c>
      <c r="C422" s="10">
        <f>COUNTIFS(发射纪录!B:B,"&lt;&gt;-",发射纪录!G:G,"&gt;="&amp;DATE(YEAR(A422),MONTH(A422),1),发射纪录!G:G,"&lt;="&amp;DATE(YEAR(A422),MONTH(A422),DAY(EOMONTH(A422,0))),发射纪录!N:N,"=成功",发射纪录!N:N,"&lt;&gt;")</f>
        <v>2</v>
      </c>
      <c r="D422" s="1">
        <f t="shared" si="324"/>
        <v>1</v>
      </c>
      <c r="E422" s="10">
        <f t="shared" si="325"/>
        <v>83</v>
      </c>
      <c r="F422" s="10">
        <f t="shared" si="326"/>
        <v>76</v>
      </c>
      <c r="G422" s="2">
        <f t="shared" si="327"/>
        <v>0.91566265060240959</v>
      </c>
      <c r="H422" s="10">
        <f>COUNTIFS(发射纪录!C:C,"&lt;&gt;-",发射纪录!G:G,"&gt;="&amp;DATE(YEAR(A422),MONTH(A422),1),发射纪录!G:G,"&lt;="&amp;DATE(YEAR(A422),MONTH(A422),DAY(EOMONTH(A422,0))),发射纪录!N:N,"&lt;&gt;")</f>
        <v>0</v>
      </c>
      <c r="I422" s="10">
        <f ca="1">COUNTIFS(发射纪录!C:C,"&lt;&gt;-",发射纪录!G:G,"&gt;="&amp;DATE(YEAR(A422),MONTH(A422),1),发射纪录!G:G,"&lt;="&amp;DATE(YEAR(A422),MONTH(A422),DAY(EOMONTH(A422,0))),发射纪录!N:N,"=成功",发射纪录!N:N,"&lt;&gt;")</f>
        <v>0</v>
      </c>
      <c r="J422" s="1" t="str">
        <f t="shared" si="328"/>
        <v>-</v>
      </c>
      <c r="K422" s="10">
        <f t="shared" ca="1" si="329"/>
        <v>10</v>
      </c>
      <c r="L422" s="10">
        <f t="shared" ca="1" si="330"/>
        <v>4</v>
      </c>
      <c r="M422" s="2">
        <f t="shared" ca="1" si="331"/>
        <v>0.4</v>
      </c>
      <c r="N422" s="10">
        <f t="shared" si="332"/>
        <v>2</v>
      </c>
      <c r="O422" s="10">
        <f t="shared" ca="1" si="333"/>
        <v>2</v>
      </c>
      <c r="P422" s="3">
        <f t="shared" ca="1" si="334"/>
        <v>1</v>
      </c>
      <c r="Q422" s="10">
        <f t="shared" ca="1" si="335"/>
        <v>93</v>
      </c>
      <c r="R422" s="10">
        <f t="shared" ca="1" si="322"/>
        <v>80</v>
      </c>
      <c r="S422" s="4">
        <f t="shared" ca="1" si="336"/>
        <v>0.86021505376344087</v>
      </c>
      <c r="T422" s="478"/>
    </row>
    <row r="423" spans="1:20" ht="19.5" customHeight="1" thickBot="1" x14ac:dyDescent="0.5">
      <c r="A423" s="65">
        <v>38322</v>
      </c>
      <c r="B423" s="17">
        <f>COUNTIFS(发射纪录!B:B,"&lt;&gt;-",发射纪录!G:G,"&gt;="&amp;DATE(YEAR(A423),MONTH(A423),1),发射纪录!G:G,"&lt;="&amp;DATE(YEAR(A423),MONTH(A423),DAY(EOMONTH(A423,0))),发射纪录!N:N,"&lt;&gt;")</f>
        <v>0</v>
      </c>
      <c r="C423" s="18">
        <f>COUNTIFS(发射纪录!B:B,"&lt;&gt;-",发射纪录!G:G,"&gt;="&amp;DATE(YEAR(A423),MONTH(A423),1),发射纪录!G:G,"&lt;="&amp;DATE(YEAR(A423),MONTH(A423),DAY(EOMONTH(A423,0))),发射纪录!N:N,"=成功",发射纪录!N:N,"&lt;&gt;")</f>
        <v>0</v>
      </c>
      <c r="D423" s="12" t="str">
        <f>IF(B423=0,"-",C423/B423)</f>
        <v>-</v>
      </c>
      <c r="E423" s="18">
        <f>E422+B423</f>
        <v>83</v>
      </c>
      <c r="F423" s="18">
        <f>F422+C423</f>
        <v>76</v>
      </c>
      <c r="G423" s="13">
        <f>IF(E423=0,"-",F423/E423)</f>
        <v>0.91566265060240959</v>
      </c>
      <c r="H423" s="18">
        <f ca="1">COUNTIFS(发射纪录!C:C,"&lt;&gt;-",发射纪录!G:G,"&gt;="&amp;DATE(YEAR(A423),MONTH(A423),1),发射纪录!G:G,"&lt;="&amp;DATE(YEAR(A423),MONTH(A423),DAY(EOMONTH(A423,0))),发射纪录!N:N,"&lt;&gt;")</f>
        <v>0</v>
      </c>
      <c r="I423" s="18">
        <f>COUNTIFS(发射纪录!C:C,"&lt;&gt;-",发射纪录!G:G,"&gt;="&amp;DATE(YEAR(A423),MONTH(A423),1),发射纪录!G:G,"&lt;="&amp;DATE(YEAR(A423),MONTH(A423),DAY(EOMONTH(A423,0))),发射纪录!N:N,"=成功",发射纪录!N:N,"&lt;&gt;")</f>
        <v>0</v>
      </c>
      <c r="J423" s="12" t="str">
        <f ca="1">IF(H423=0,"-",I423/H423)</f>
        <v>-</v>
      </c>
      <c r="K423" s="18">
        <f ca="1">K422+H423</f>
        <v>10</v>
      </c>
      <c r="L423" s="18">
        <f ca="1">L422+I423</f>
        <v>4</v>
      </c>
      <c r="M423" s="13">
        <f ca="1">IF(K423=0,"-",L423/K423)</f>
        <v>0.4</v>
      </c>
      <c r="N423" s="18">
        <f ca="1">B423+H423</f>
        <v>0</v>
      </c>
      <c r="O423" s="18">
        <f>C423+I423</f>
        <v>0</v>
      </c>
      <c r="P423" s="12" t="str">
        <f ca="1">IF(N423=0,"-",O423/N423)</f>
        <v>-</v>
      </c>
      <c r="Q423" s="18">
        <f ca="1">E423+K423</f>
        <v>93</v>
      </c>
      <c r="R423" s="18">
        <f ca="1">F423+L423</f>
        <v>80</v>
      </c>
      <c r="S423" s="13">
        <f ca="1">IF(Q423=0,"-",R423/Q423)</f>
        <v>0.86021505376344087</v>
      </c>
      <c r="T423" s="478"/>
    </row>
    <row r="424" spans="1:20" ht="19.5" customHeight="1" thickTop="1" x14ac:dyDescent="0.45">
      <c r="A424" s="63">
        <v>38353</v>
      </c>
      <c r="B424" s="14">
        <f>COUNTIFS(发射纪录!B:B,"&lt;&gt;-",发射纪录!G:G,"&gt;="&amp;DATE(YEAR(A424),MONTH(A424),1),发射纪录!G:G,"&lt;="&amp;DATE(YEAR(A424),MONTH(A424),DAY(EOMONTH(A424,0))),发射纪录!N:N,"&lt;&gt;")</f>
        <v>0</v>
      </c>
      <c r="C424" s="10">
        <f>COUNTIFS(发射纪录!B:B,"&lt;&gt;-",发射纪录!G:G,"&gt;="&amp;DATE(YEAR(A424),MONTH(A424),1),发射纪录!G:G,"&lt;="&amp;DATE(YEAR(A424),MONTH(A424),DAY(EOMONTH(A424,0))),发射纪录!N:N,"=成功",发射纪录!N:N,"&lt;&gt;")</f>
        <v>0</v>
      </c>
      <c r="D424" s="3" t="str">
        <f t="shared" ref="D424:D434" si="337">IF(B424=0,"-",C424/B424)</f>
        <v>-</v>
      </c>
      <c r="E424" s="10">
        <f t="shared" ref="E424:E434" si="338">E423+B424</f>
        <v>83</v>
      </c>
      <c r="F424" s="10">
        <f t="shared" ref="F424:F434" si="339">F423+C424</f>
        <v>76</v>
      </c>
      <c r="G424" s="4">
        <f t="shared" ref="G424:G434" si="340">IF(E424=0,"-",F424/E424)</f>
        <v>0.91566265060240959</v>
      </c>
      <c r="H424" s="10">
        <f>COUNTIFS(发射纪录!C:C,"&lt;&gt;-",发射纪录!G:G,"&gt;="&amp;DATE(YEAR(A424),MONTH(A424),1),发射纪录!G:G,"&lt;="&amp;DATE(YEAR(A424),MONTH(A424),DAY(EOMONTH(A424,0))),发射纪录!N:N,"&lt;&gt;")</f>
        <v>0</v>
      </c>
      <c r="I424" s="10">
        <f>COUNTIFS(发射纪录!C:C,"&lt;&gt;-",发射纪录!G:G,"&gt;="&amp;DATE(YEAR(A424),MONTH(A424),1),发射纪录!G:G,"&lt;="&amp;DATE(YEAR(A424),MONTH(A424),DAY(EOMONTH(A424,0))),发射纪录!N:N,"=成功",发射纪录!N:N,"&lt;&gt;")</f>
        <v>0</v>
      </c>
      <c r="J424" s="3" t="str">
        <f t="shared" ref="J424:J434" si="341">IF(H424=0,"-",I424/H424)</f>
        <v>-</v>
      </c>
      <c r="K424" s="10">
        <f t="shared" ref="K424:K434" ca="1" si="342">K423+H424</f>
        <v>10</v>
      </c>
      <c r="L424" s="10">
        <f t="shared" ref="L424:L434" ca="1" si="343">L423+I424</f>
        <v>4</v>
      </c>
      <c r="M424" s="4">
        <f t="shared" ref="M424:M434" ca="1" si="344">IF(K424=0,"-",L424/K424)</f>
        <v>0.4</v>
      </c>
      <c r="N424" s="10">
        <f t="shared" ref="N424:N434" si="345">B424+H424</f>
        <v>0</v>
      </c>
      <c r="O424" s="10">
        <f t="shared" ref="O424:O434" si="346">C424+I424</f>
        <v>0</v>
      </c>
      <c r="P424" s="3" t="str">
        <f t="shared" ref="P424:P434" si="347">IF(N424=0,"-",O424/N424)</f>
        <v>-</v>
      </c>
      <c r="Q424" s="10">
        <f t="shared" ref="Q424:Q434" ca="1" si="348">E424+K424</f>
        <v>93</v>
      </c>
      <c r="R424" s="10">
        <f t="shared" ca="1" si="322"/>
        <v>80</v>
      </c>
      <c r="S424" s="4">
        <f t="shared" ref="S424:S434" ca="1" si="349">IF(Q424=0,"-",R424/Q424)</f>
        <v>0.86021505376344087</v>
      </c>
      <c r="T424" s="478"/>
    </row>
    <row r="425" spans="1:20" x14ac:dyDescent="0.45">
      <c r="A425" s="64">
        <v>38384</v>
      </c>
      <c r="B425" s="14">
        <f>COUNTIFS(发射纪录!B:B,"&lt;&gt;-",发射纪录!G:G,"&gt;="&amp;DATE(YEAR(A425),MONTH(A425),1),发射纪录!G:G,"&lt;="&amp;DATE(YEAR(A425),MONTH(A425),DAY(EOMONTH(A425,0))),发射纪录!N:N,"&lt;&gt;")</f>
        <v>0</v>
      </c>
      <c r="C425" s="10">
        <f>COUNTIFS(发射纪录!B:B,"&lt;&gt;-",发射纪录!G:G,"&gt;="&amp;DATE(YEAR(A425),MONTH(A425),1),发射纪录!G:G,"&lt;="&amp;DATE(YEAR(A425),MONTH(A425),DAY(EOMONTH(A425,0))),发射纪录!N:N,"=成功",发射纪录!N:N,"&lt;&gt;")</f>
        <v>0</v>
      </c>
      <c r="D425" s="1" t="str">
        <f t="shared" si="337"/>
        <v>-</v>
      </c>
      <c r="E425" s="10">
        <f t="shared" si="338"/>
        <v>83</v>
      </c>
      <c r="F425" s="10">
        <f t="shared" si="339"/>
        <v>76</v>
      </c>
      <c r="G425" s="2">
        <f t="shared" si="340"/>
        <v>0.91566265060240959</v>
      </c>
      <c r="H425" s="10">
        <f>COUNTIFS(发射纪录!C:C,"&lt;&gt;-",发射纪录!G:G,"&gt;="&amp;DATE(YEAR(A425),MONTH(A425),1),发射纪录!G:G,"&lt;="&amp;DATE(YEAR(A425),MONTH(A425),DAY(EOMONTH(A425,0))),发射纪录!N:N,"&lt;&gt;")</f>
        <v>0</v>
      </c>
      <c r="I425" s="10">
        <f ca="1">COUNTIFS(发射纪录!C:C,"&lt;&gt;-",发射纪录!G:G,"&gt;="&amp;DATE(YEAR(A425),MONTH(A425),1),发射纪录!G:G,"&lt;="&amp;DATE(YEAR(A425),MONTH(A425),DAY(EOMONTH(A425,0))),发射纪录!N:N,"=成功",发射纪录!N:N,"&lt;&gt;")</f>
        <v>0</v>
      </c>
      <c r="J425" s="1" t="str">
        <f t="shared" si="341"/>
        <v>-</v>
      </c>
      <c r="K425" s="10">
        <f t="shared" ca="1" si="342"/>
        <v>10</v>
      </c>
      <c r="L425" s="10">
        <f t="shared" ca="1" si="343"/>
        <v>4</v>
      </c>
      <c r="M425" s="2">
        <f t="shared" ca="1" si="344"/>
        <v>0.4</v>
      </c>
      <c r="N425" s="10">
        <f t="shared" si="345"/>
        <v>0</v>
      </c>
      <c r="O425" s="10">
        <f t="shared" ca="1" si="346"/>
        <v>0</v>
      </c>
      <c r="P425" s="3" t="str">
        <f t="shared" si="347"/>
        <v>-</v>
      </c>
      <c r="Q425" s="10">
        <f t="shared" ca="1" si="348"/>
        <v>93</v>
      </c>
      <c r="R425" s="10">
        <f t="shared" ca="1" si="322"/>
        <v>80</v>
      </c>
      <c r="S425" s="4">
        <f t="shared" ca="1" si="349"/>
        <v>0.86021505376344087</v>
      </c>
      <c r="T425" s="478"/>
    </row>
    <row r="426" spans="1:20" x14ac:dyDescent="0.45">
      <c r="A426" s="64">
        <v>38412</v>
      </c>
      <c r="B426" s="14">
        <f>COUNTIFS(发射纪录!B:B,"&lt;&gt;-",发射纪录!G:G,"&gt;="&amp;DATE(YEAR(A426),MONTH(A426),1),发射纪录!G:G,"&lt;="&amp;DATE(YEAR(A426),MONTH(A426),DAY(EOMONTH(A426,0))),发射纪录!N:N,"&lt;&gt;")</f>
        <v>0</v>
      </c>
      <c r="C426" s="10">
        <f>COUNTIFS(发射纪录!B:B,"&lt;&gt;-",发射纪录!G:G,"&gt;="&amp;DATE(YEAR(A426),MONTH(A426),1),发射纪录!G:G,"&lt;="&amp;DATE(YEAR(A426),MONTH(A426),DAY(EOMONTH(A426,0))),发射纪录!N:N,"=成功",发射纪录!N:N,"&lt;&gt;")</f>
        <v>0</v>
      </c>
      <c r="D426" s="1" t="str">
        <f t="shared" si="337"/>
        <v>-</v>
      </c>
      <c r="E426" s="10">
        <f t="shared" si="338"/>
        <v>83</v>
      </c>
      <c r="F426" s="10">
        <f t="shared" si="339"/>
        <v>76</v>
      </c>
      <c r="G426" s="2">
        <f t="shared" si="340"/>
        <v>0.91566265060240959</v>
      </c>
      <c r="H426" s="10">
        <f>COUNTIFS(发射纪录!C:C,"&lt;&gt;-",发射纪录!G:G,"&gt;="&amp;DATE(YEAR(A426),MONTH(A426),1),发射纪录!G:G,"&lt;="&amp;DATE(YEAR(A426),MONTH(A426),DAY(EOMONTH(A426,0))),发射纪录!N:N,"&lt;&gt;")</f>
        <v>0</v>
      </c>
      <c r="I426" s="10">
        <f>COUNTIFS(发射纪录!C:C,"&lt;&gt;-",发射纪录!G:G,"&gt;="&amp;DATE(YEAR(A426),MONTH(A426),1),发射纪录!G:G,"&lt;="&amp;DATE(YEAR(A426),MONTH(A426),DAY(EOMONTH(A426,0))),发射纪录!N:N,"=成功",发射纪录!N:N,"&lt;&gt;")</f>
        <v>0</v>
      </c>
      <c r="J426" s="1" t="str">
        <f t="shared" si="341"/>
        <v>-</v>
      </c>
      <c r="K426" s="10">
        <f t="shared" ca="1" si="342"/>
        <v>10</v>
      </c>
      <c r="L426" s="10">
        <f t="shared" ca="1" si="343"/>
        <v>4</v>
      </c>
      <c r="M426" s="2">
        <f t="shared" ca="1" si="344"/>
        <v>0.4</v>
      </c>
      <c r="N426" s="10">
        <f t="shared" si="345"/>
        <v>0</v>
      </c>
      <c r="O426" s="10">
        <f t="shared" si="346"/>
        <v>0</v>
      </c>
      <c r="P426" s="3" t="str">
        <f t="shared" si="347"/>
        <v>-</v>
      </c>
      <c r="Q426" s="10">
        <f t="shared" ca="1" si="348"/>
        <v>93</v>
      </c>
      <c r="R426" s="10">
        <f t="shared" ca="1" si="322"/>
        <v>80</v>
      </c>
      <c r="S426" s="4">
        <f t="shared" ca="1" si="349"/>
        <v>0.86021505376344087</v>
      </c>
      <c r="T426" s="478"/>
    </row>
    <row r="427" spans="1:20" x14ac:dyDescent="0.45">
      <c r="A427" s="64">
        <v>38443</v>
      </c>
      <c r="B427" s="14">
        <f>COUNTIFS(发射纪录!B:B,"&lt;&gt;-",发射纪录!G:G,"&gt;="&amp;DATE(YEAR(A427),MONTH(A427),1),发射纪录!G:G,"&lt;="&amp;DATE(YEAR(A427),MONTH(A427),DAY(EOMONTH(A427,0))),发射纪录!N:N,"&lt;&gt;")</f>
        <v>1</v>
      </c>
      <c r="C427" s="10">
        <f>COUNTIFS(发射纪录!B:B,"&lt;&gt;-",发射纪录!G:G,"&gt;="&amp;DATE(YEAR(A427),MONTH(A427),1),发射纪录!G:G,"&lt;="&amp;DATE(YEAR(A427),MONTH(A427),DAY(EOMONTH(A427,0))),发射纪录!N:N,"=成功",发射纪录!N:N,"&lt;&gt;")</f>
        <v>1</v>
      </c>
      <c r="D427" s="1">
        <f t="shared" si="337"/>
        <v>1</v>
      </c>
      <c r="E427" s="10">
        <f t="shared" si="338"/>
        <v>84</v>
      </c>
      <c r="F427" s="10">
        <f t="shared" si="339"/>
        <v>77</v>
      </c>
      <c r="G427" s="2">
        <f t="shared" si="340"/>
        <v>0.91666666666666663</v>
      </c>
      <c r="H427" s="10">
        <f ca="1">COUNTIFS(发射纪录!C:C,"&lt;&gt;-",发射纪录!G:G,"&gt;="&amp;DATE(YEAR(A427),MONTH(A427),1),发射纪录!G:G,"&lt;="&amp;DATE(YEAR(A427),MONTH(A427),DAY(EOMONTH(A427,0))),发射纪录!N:N,"&lt;&gt;")</f>
        <v>0</v>
      </c>
      <c r="I427" s="10">
        <f>COUNTIFS(发射纪录!C:C,"&lt;&gt;-",发射纪录!G:G,"&gt;="&amp;DATE(YEAR(A427),MONTH(A427),1),发射纪录!G:G,"&lt;="&amp;DATE(YEAR(A427),MONTH(A427),DAY(EOMONTH(A427,0))),发射纪录!N:N,"=成功",发射纪录!N:N,"&lt;&gt;")</f>
        <v>0</v>
      </c>
      <c r="J427" s="1" t="str">
        <f t="shared" ca="1" si="341"/>
        <v>-</v>
      </c>
      <c r="K427" s="10">
        <f t="shared" ca="1" si="342"/>
        <v>10</v>
      </c>
      <c r="L427" s="10">
        <f t="shared" ca="1" si="343"/>
        <v>4</v>
      </c>
      <c r="M427" s="2">
        <f t="shared" ca="1" si="344"/>
        <v>0.4</v>
      </c>
      <c r="N427" s="10">
        <f t="shared" ca="1" si="345"/>
        <v>1</v>
      </c>
      <c r="O427" s="10">
        <f t="shared" si="346"/>
        <v>1</v>
      </c>
      <c r="P427" s="3">
        <f t="shared" ca="1" si="347"/>
        <v>1</v>
      </c>
      <c r="Q427" s="10">
        <f t="shared" ca="1" si="348"/>
        <v>94</v>
      </c>
      <c r="R427" s="10">
        <f t="shared" ca="1" si="322"/>
        <v>81</v>
      </c>
      <c r="S427" s="4">
        <f t="shared" ca="1" si="349"/>
        <v>0.86170212765957444</v>
      </c>
      <c r="T427" s="478"/>
    </row>
    <row r="428" spans="1:20" x14ac:dyDescent="0.45">
      <c r="A428" s="64">
        <v>38473</v>
      </c>
      <c r="B428" s="14">
        <f>COUNTIFS(发射纪录!B:B,"&lt;&gt;-",发射纪录!G:G,"&gt;="&amp;DATE(YEAR(A428),MONTH(A428),1),发射纪录!G:G,"&lt;="&amp;DATE(YEAR(A428),MONTH(A428),DAY(EOMONTH(A428,0))),发射纪录!N:N,"&lt;&gt;")</f>
        <v>0</v>
      </c>
      <c r="C428" s="10">
        <f>COUNTIFS(发射纪录!B:B,"&lt;&gt;-",发射纪录!G:G,"&gt;="&amp;DATE(YEAR(A428),MONTH(A428),1),发射纪录!G:G,"&lt;="&amp;DATE(YEAR(A428),MONTH(A428),DAY(EOMONTH(A428,0))),发射纪录!N:N,"=成功",发射纪录!N:N,"&lt;&gt;")</f>
        <v>0</v>
      </c>
      <c r="D428" s="1" t="str">
        <f t="shared" si="337"/>
        <v>-</v>
      </c>
      <c r="E428" s="10">
        <f t="shared" si="338"/>
        <v>84</v>
      </c>
      <c r="F428" s="10">
        <f t="shared" si="339"/>
        <v>77</v>
      </c>
      <c r="G428" s="2">
        <f t="shared" si="340"/>
        <v>0.91666666666666663</v>
      </c>
      <c r="H428" s="10">
        <f>COUNTIFS(发射纪录!C:C,"&lt;&gt;-",发射纪录!G:G,"&gt;="&amp;DATE(YEAR(A428),MONTH(A428),1),发射纪录!G:G,"&lt;="&amp;DATE(YEAR(A428),MONTH(A428),DAY(EOMONTH(A428,0))),发射纪录!N:N,"&lt;&gt;")</f>
        <v>0</v>
      </c>
      <c r="I428" s="10">
        <f ca="1">COUNTIFS(发射纪录!C:C,"&lt;&gt;-",发射纪录!G:G,"&gt;="&amp;DATE(YEAR(A428),MONTH(A428),1),发射纪录!G:G,"&lt;="&amp;DATE(YEAR(A428),MONTH(A428),DAY(EOMONTH(A428,0))),发射纪录!N:N,"=成功",发射纪录!N:N,"&lt;&gt;")</f>
        <v>0</v>
      </c>
      <c r="J428" s="1" t="str">
        <f t="shared" si="341"/>
        <v>-</v>
      </c>
      <c r="K428" s="10">
        <f t="shared" ca="1" si="342"/>
        <v>10</v>
      </c>
      <c r="L428" s="10">
        <f t="shared" ca="1" si="343"/>
        <v>4</v>
      </c>
      <c r="M428" s="2">
        <f t="shared" ca="1" si="344"/>
        <v>0.4</v>
      </c>
      <c r="N428" s="10">
        <f t="shared" si="345"/>
        <v>0</v>
      </c>
      <c r="O428" s="10">
        <f t="shared" ca="1" si="346"/>
        <v>0</v>
      </c>
      <c r="P428" s="3" t="str">
        <f t="shared" si="347"/>
        <v>-</v>
      </c>
      <c r="Q428" s="10">
        <f t="shared" ca="1" si="348"/>
        <v>94</v>
      </c>
      <c r="R428" s="10">
        <f t="shared" ca="1" si="322"/>
        <v>81</v>
      </c>
      <c r="S428" s="4">
        <f t="shared" ca="1" si="349"/>
        <v>0.86170212765957444</v>
      </c>
      <c r="T428" s="478"/>
    </row>
    <row r="429" spans="1:20" x14ac:dyDescent="0.45">
      <c r="A429" s="64">
        <v>38504</v>
      </c>
      <c r="B429" s="14">
        <f>COUNTIFS(发射纪录!B:B,"&lt;&gt;-",发射纪录!G:G,"&gt;="&amp;DATE(YEAR(A429),MONTH(A429),1),发射纪录!G:G,"&lt;="&amp;DATE(YEAR(A429),MONTH(A429),DAY(EOMONTH(A429,0))),发射纪录!N:N,"&lt;&gt;")</f>
        <v>0</v>
      </c>
      <c r="C429" s="10">
        <f>COUNTIFS(发射纪录!B:B,"&lt;&gt;-",发射纪录!G:G,"&gt;="&amp;DATE(YEAR(A429),MONTH(A429),1),发射纪录!G:G,"&lt;="&amp;DATE(YEAR(A429),MONTH(A429),DAY(EOMONTH(A429,0))),发射纪录!N:N,"=成功",发射纪录!N:N,"&lt;&gt;")</f>
        <v>0</v>
      </c>
      <c r="D429" s="1" t="str">
        <f t="shared" si="337"/>
        <v>-</v>
      </c>
      <c r="E429" s="10">
        <f t="shared" si="338"/>
        <v>84</v>
      </c>
      <c r="F429" s="10">
        <f t="shared" si="339"/>
        <v>77</v>
      </c>
      <c r="G429" s="2">
        <f t="shared" si="340"/>
        <v>0.91666666666666663</v>
      </c>
      <c r="H429" s="10">
        <f>COUNTIFS(发射纪录!C:C,"&lt;&gt;-",发射纪录!G:G,"&gt;="&amp;DATE(YEAR(A429),MONTH(A429),1),发射纪录!G:G,"&lt;="&amp;DATE(YEAR(A429),MONTH(A429),DAY(EOMONTH(A429,0))),发射纪录!N:N,"&lt;&gt;")</f>
        <v>1</v>
      </c>
      <c r="I429" s="10">
        <f ca="1">COUNTIFS(发射纪录!C:C,"&lt;&gt;-",发射纪录!G:G,"&gt;="&amp;DATE(YEAR(A429),MONTH(A429),1),发射纪录!G:G,"&lt;="&amp;DATE(YEAR(A429),MONTH(A429),DAY(EOMONTH(A429,0))),发射纪录!N:N,"=成功",发射纪录!N:N,"&lt;&gt;")</f>
        <v>0</v>
      </c>
      <c r="J429" s="1">
        <f t="shared" ca="1" si="341"/>
        <v>0</v>
      </c>
      <c r="K429" s="10">
        <f t="shared" ca="1" si="342"/>
        <v>11</v>
      </c>
      <c r="L429" s="10">
        <f t="shared" ca="1" si="343"/>
        <v>4</v>
      </c>
      <c r="M429" s="2">
        <f t="shared" ca="1" si="344"/>
        <v>0.36363636363636365</v>
      </c>
      <c r="N429" s="10">
        <f t="shared" si="345"/>
        <v>1</v>
      </c>
      <c r="O429" s="10">
        <f t="shared" ca="1" si="346"/>
        <v>0</v>
      </c>
      <c r="P429" s="3">
        <f t="shared" ca="1" si="347"/>
        <v>0</v>
      </c>
      <c r="Q429" s="10">
        <f t="shared" ca="1" si="348"/>
        <v>95</v>
      </c>
      <c r="R429" s="10">
        <f t="shared" ca="1" si="322"/>
        <v>81</v>
      </c>
      <c r="S429" s="4">
        <f t="shared" ca="1" si="349"/>
        <v>0.85263157894736841</v>
      </c>
      <c r="T429" s="478"/>
    </row>
    <row r="430" spans="1:20" x14ac:dyDescent="0.45">
      <c r="A430" s="64">
        <v>38534</v>
      </c>
      <c r="B430" s="14">
        <f>COUNTIFS(发射纪录!B:B,"&lt;&gt;-",发射纪录!G:G,"&gt;="&amp;DATE(YEAR(A430),MONTH(A430),1),发射纪录!G:G,"&lt;="&amp;DATE(YEAR(A430),MONTH(A430),DAY(EOMONTH(A430,0))),发射纪录!N:N,"&lt;&gt;")</f>
        <v>1</v>
      </c>
      <c r="C430" s="10">
        <f>COUNTIFS(发射纪录!B:B,"&lt;&gt;-",发射纪录!G:G,"&gt;="&amp;DATE(YEAR(A430),MONTH(A430),1),发射纪录!G:G,"&lt;="&amp;DATE(YEAR(A430),MONTH(A430),DAY(EOMONTH(A430,0))),发射纪录!N:N,"=成功",发射纪录!N:N,"&lt;&gt;")</f>
        <v>1</v>
      </c>
      <c r="D430" s="1">
        <f t="shared" si="337"/>
        <v>1</v>
      </c>
      <c r="E430" s="10">
        <f t="shared" si="338"/>
        <v>85</v>
      </c>
      <c r="F430" s="10">
        <f t="shared" si="339"/>
        <v>78</v>
      </c>
      <c r="G430" s="2">
        <f t="shared" si="340"/>
        <v>0.91764705882352937</v>
      </c>
      <c r="H430" s="10">
        <f>COUNTIFS(发射纪录!C:C,"&lt;&gt;-",发射纪录!G:G,"&gt;="&amp;DATE(YEAR(A430),MONTH(A430),1),发射纪录!G:G,"&lt;="&amp;DATE(YEAR(A430),MONTH(A430),DAY(EOMONTH(A430,0))),发射纪录!N:N,"&lt;&gt;")</f>
        <v>0</v>
      </c>
      <c r="I430" s="10">
        <f ca="1">COUNTIFS(发射纪录!C:C,"&lt;&gt;-",发射纪录!G:G,"&gt;="&amp;DATE(YEAR(A430),MONTH(A430),1),发射纪录!G:G,"&lt;="&amp;DATE(YEAR(A430),MONTH(A430),DAY(EOMONTH(A430,0))),发射纪录!N:N,"=成功",发射纪录!N:N,"&lt;&gt;")</f>
        <v>0</v>
      </c>
      <c r="J430" s="1" t="str">
        <f t="shared" si="341"/>
        <v>-</v>
      </c>
      <c r="K430" s="10">
        <f t="shared" ca="1" si="342"/>
        <v>11</v>
      </c>
      <c r="L430" s="10">
        <f t="shared" ca="1" si="343"/>
        <v>4</v>
      </c>
      <c r="M430" s="2">
        <f t="shared" ca="1" si="344"/>
        <v>0.36363636363636365</v>
      </c>
      <c r="N430" s="10">
        <f t="shared" si="345"/>
        <v>1</v>
      </c>
      <c r="O430" s="10">
        <f t="shared" ca="1" si="346"/>
        <v>1</v>
      </c>
      <c r="P430" s="3">
        <f t="shared" ca="1" si="347"/>
        <v>1</v>
      </c>
      <c r="Q430" s="10">
        <f t="shared" ca="1" si="348"/>
        <v>96</v>
      </c>
      <c r="R430" s="10">
        <f t="shared" ca="1" si="322"/>
        <v>82</v>
      </c>
      <c r="S430" s="4">
        <f t="shared" ca="1" si="349"/>
        <v>0.85416666666666663</v>
      </c>
      <c r="T430" s="478"/>
    </row>
    <row r="431" spans="1:20" x14ac:dyDescent="0.45">
      <c r="A431" s="64">
        <v>38565</v>
      </c>
      <c r="B431" s="14">
        <f>COUNTIFS(发射纪录!B:B,"&lt;&gt;-",发射纪录!G:G,"&gt;="&amp;DATE(YEAR(A431),MONTH(A431),1),发射纪录!G:G,"&lt;="&amp;DATE(YEAR(A431),MONTH(A431),DAY(EOMONTH(A431,0))),发射纪录!N:N,"&lt;&gt;")</f>
        <v>2</v>
      </c>
      <c r="C431" s="10">
        <f>COUNTIFS(发射纪录!B:B,"&lt;&gt;-",发射纪录!G:G,"&gt;="&amp;DATE(YEAR(A431),MONTH(A431),1),发射纪录!G:G,"&lt;="&amp;DATE(YEAR(A431),MONTH(A431),DAY(EOMONTH(A431,0))),发射纪录!N:N,"=成功",发射纪录!N:N,"&lt;&gt;")</f>
        <v>2</v>
      </c>
      <c r="D431" s="1">
        <f t="shared" si="337"/>
        <v>1</v>
      </c>
      <c r="E431" s="10">
        <f t="shared" si="338"/>
        <v>87</v>
      </c>
      <c r="F431" s="10">
        <f t="shared" si="339"/>
        <v>80</v>
      </c>
      <c r="G431" s="2">
        <f t="shared" si="340"/>
        <v>0.91954022988505746</v>
      </c>
      <c r="H431" s="10">
        <f>COUNTIFS(发射纪录!C:C,"&lt;&gt;-",发射纪录!G:G,"&gt;="&amp;DATE(YEAR(A431),MONTH(A431),1),发射纪录!G:G,"&lt;="&amp;DATE(YEAR(A431),MONTH(A431),DAY(EOMONTH(A431,0))),发射纪录!N:N,"&lt;&gt;")</f>
        <v>0</v>
      </c>
      <c r="I431" s="10">
        <f>COUNTIFS(发射纪录!C:C,"&lt;&gt;-",发射纪录!G:G,"&gt;="&amp;DATE(YEAR(A431),MONTH(A431),1),发射纪录!G:G,"&lt;="&amp;DATE(YEAR(A431),MONTH(A431),DAY(EOMONTH(A431,0))),发射纪录!N:N,"=成功",发射纪录!N:N,"&lt;&gt;")</f>
        <v>0</v>
      </c>
      <c r="J431" s="1" t="str">
        <f t="shared" si="341"/>
        <v>-</v>
      </c>
      <c r="K431" s="10">
        <f t="shared" ca="1" si="342"/>
        <v>11</v>
      </c>
      <c r="L431" s="10">
        <f t="shared" ca="1" si="343"/>
        <v>4</v>
      </c>
      <c r="M431" s="2">
        <f t="shared" ca="1" si="344"/>
        <v>0.36363636363636365</v>
      </c>
      <c r="N431" s="10">
        <f t="shared" si="345"/>
        <v>2</v>
      </c>
      <c r="O431" s="10">
        <f t="shared" si="346"/>
        <v>2</v>
      </c>
      <c r="P431" s="3">
        <f t="shared" si="347"/>
        <v>1</v>
      </c>
      <c r="Q431" s="10">
        <f t="shared" ca="1" si="348"/>
        <v>98</v>
      </c>
      <c r="R431" s="10">
        <f t="shared" ca="1" si="322"/>
        <v>84</v>
      </c>
      <c r="S431" s="4">
        <f t="shared" ca="1" si="349"/>
        <v>0.8571428571428571</v>
      </c>
      <c r="T431" s="478"/>
    </row>
    <row r="432" spans="1:20" x14ac:dyDescent="0.45">
      <c r="A432" s="64">
        <v>38596</v>
      </c>
      <c r="B432" s="14">
        <f>COUNTIFS(发射纪录!B:B,"&lt;&gt;-",发射纪录!G:G,"&gt;="&amp;DATE(YEAR(A432),MONTH(A432),1),发射纪录!G:G,"&lt;="&amp;DATE(YEAR(A432),MONTH(A432),DAY(EOMONTH(A432,0))),发射纪录!N:N,"&lt;&gt;")</f>
        <v>0</v>
      </c>
      <c r="C432" s="10">
        <f>COUNTIFS(发射纪录!B:B,"&lt;&gt;-",发射纪录!G:G,"&gt;="&amp;DATE(YEAR(A432),MONTH(A432),1),发射纪录!G:G,"&lt;="&amp;DATE(YEAR(A432),MONTH(A432),DAY(EOMONTH(A432,0))),发射纪录!N:N,"=成功",发射纪录!N:N,"&lt;&gt;")</f>
        <v>0</v>
      </c>
      <c r="D432" s="1" t="str">
        <f t="shared" si="337"/>
        <v>-</v>
      </c>
      <c r="E432" s="10">
        <f t="shared" si="338"/>
        <v>87</v>
      </c>
      <c r="F432" s="10">
        <f t="shared" si="339"/>
        <v>80</v>
      </c>
      <c r="G432" s="2">
        <f t="shared" si="340"/>
        <v>0.91954022988505746</v>
      </c>
      <c r="H432" s="10">
        <f>COUNTIFS(发射纪录!C:C,"&lt;&gt;-",发射纪录!G:G,"&gt;="&amp;DATE(YEAR(A432),MONTH(A432),1),发射纪录!G:G,"&lt;="&amp;DATE(YEAR(A432),MONTH(A432),DAY(EOMONTH(A432,0))),发射纪录!N:N,"&lt;&gt;")</f>
        <v>0</v>
      </c>
      <c r="I432" s="10">
        <f>COUNTIFS(发射纪录!C:C,"&lt;&gt;-",发射纪录!G:G,"&gt;="&amp;DATE(YEAR(A432),MONTH(A432),1),发射纪录!G:G,"&lt;="&amp;DATE(YEAR(A432),MONTH(A432),DAY(EOMONTH(A432,0))),发射纪录!N:N,"=成功",发射纪录!N:N,"&lt;&gt;")</f>
        <v>0</v>
      </c>
      <c r="J432" s="1" t="str">
        <f t="shared" si="341"/>
        <v>-</v>
      </c>
      <c r="K432" s="10">
        <f t="shared" ca="1" si="342"/>
        <v>11</v>
      </c>
      <c r="L432" s="10">
        <f t="shared" ca="1" si="343"/>
        <v>4</v>
      </c>
      <c r="M432" s="2">
        <f t="shared" ca="1" si="344"/>
        <v>0.36363636363636365</v>
      </c>
      <c r="N432" s="10">
        <f t="shared" si="345"/>
        <v>0</v>
      </c>
      <c r="O432" s="10">
        <f t="shared" si="346"/>
        <v>0</v>
      </c>
      <c r="P432" s="3" t="str">
        <f t="shared" si="347"/>
        <v>-</v>
      </c>
      <c r="Q432" s="10">
        <f t="shared" ca="1" si="348"/>
        <v>98</v>
      </c>
      <c r="R432" s="10">
        <f t="shared" ca="1" si="322"/>
        <v>84</v>
      </c>
      <c r="S432" s="4">
        <f t="shared" ca="1" si="349"/>
        <v>0.8571428571428571</v>
      </c>
      <c r="T432" s="478"/>
    </row>
    <row r="433" spans="1:20" x14ac:dyDescent="0.45">
      <c r="A433" s="64">
        <v>38626</v>
      </c>
      <c r="B433" s="14">
        <f>COUNTIFS(发射纪录!B:B,"&lt;&gt;-",发射纪录!G:G,"&gt;="&amp;DATE(YEAR(A433),MONTH(A433),1),发射纪录!G:G,"&lt;="&amp;DATE(YEAR(A433),MONTH(A433),DAY(EOMONTH(A433,0))),发射纪录!N:N,"&lt;&gt;")</f>
        <v>1</v>
      </c>
      <c r="C433" s="10">
        <f>COUNTIFS(发射纪录!B:B,"&lt;&gt;-",发射纪录!G:G,"&gt;="&amp;DATE(YEAR(A433),MONTH(A433),1),发射纪录!G:G,"&lt;="&amp;DATE(YEAR(A433),MONTH(A433),DAY(EOMONTH(A433,0))),发射纪录!N:N,"=成功",发射纪录!N:N,"&lt;&gt;")</f>
        <v>1</v>
      </c>
      <c r="D433" s="1">
        <f t="shared" si="337"/>
        <v>1</v>
      </c>
      <c r="E433" s="10">
        <f t="shared" si="338"/>
        <v>88</v>
      </c>
      <c r="F433" s="10">
        <f t="shared" si="339"/>
        <v>81</v>
      </c>
      <c r="G433" s="2">
        <f t="shared" si="340"/>
        <v>0.92045454545454541</v>
      </c>
      <c r="H433" s="10">
        <f>COUNTIFS(发射纪录!C:C,"&lt;&gt;-",发射纪录!G:G,"&gt;="&amp;DATE(YEAR(A433),MONTH(A433),1),发射纪录!G:G,"&lt;="&amp;DATE(YEAR(A433),MONTH(A433),DAY(EOMONTH(A433,0))),发射纪录!N:N,"&lt;&gt;")</f>
        <v>0</v>
      </c>
      <c r="I433" s="10">
        <f ca="1">COUNTIFS(发射纪录!C:C,"&lt;&gt;-",发射纪录!G:G,"&gt;="&amp;DATE(YEAR(A433),MONTH(A433),1),发射纪录!G:G,"&lt;="&amp;DATE(YEAR(A433),MONTH(A433),DAY(EOMONTH(A433,0))),发射纪录!N:N,"=成功",发射纪录!N:N,"&lt;&gt;")</f>
        <v>0</v>
      </c>
      <c r="J433" s="1" t="str">
        <f t="shared" si="341"/>
        <v>-</v>
      </c>
      <c r="K433" s="10">
        <f t="shared" ca="1" si="342"/>
        <v>11</v>
      </c>
      <c r="L433" s="10">
        <f t="shared" ca="1" si="343"/>
        <v>4</v>
      </c>
      <c r="M433" s="2">
        <f t="shared" ca="1" si="344"/>
        <v>0.36363636363636365</v>
      </c>
      <c r="N433" s="10">
        <f t="shared" si="345"/>
        <v>1</v>
      </c>
      <c r="O433" s="10">
        <f t="shared" ca="1" si="346"/>
        <v>1</v>
      </c>
      <c r="P433" s="3">
        <f t="shared" ca="1" si="347"/>
        <v>1</v>
      </c>
      <c r="Q433" s="10">
        <f t="shared" ca="1" si="348"/>
        <v>99</v>
      </c>
      <c r="R433" s="10">
        <f t="shared" ca="1" si="322"/>
        <v>85</v>
      </c>
      <c r="S433" s="4">
        <f t="shared" ca="1" si="349"/>
        <v>0.85858585858585856</v>
      </c>
      <c r="T433" s="478"/>
    </row>
    <row r="434" spans="1:20" x14ac:dyDescent="0.45">
      <c r="A434" s="64">
        <v>38657</v>
      </c>
      <c r="B434" s="14">
        <f>COUNTIFS(发射纪录!B:B,"&lt;&gt;-",发射纪录!G:G,"&gt;="&amp;DATE(YEAR(A434),MONTH(A434),1),发射纪录!G:G,"&lt;="&amp;DATE(YEAR(A434),MONTH(A434),DAY(EOMONTH(A434,0))),发射纪录!N:N,"&lt;&gt;")</f>
        <v>0</v>
      </c>
      <c r="C434" s="10">
        <f>COUNTIFS(发射纪录!B:B,"&lt;&gt;-",发射纪录!G:G,"&gt;="&amp;DATE(YEAR(A434),MONTH(A434),1),发射纪录!G:G,"&lt;="&amp;DATE(YEAR(A434),MONTH(A434),DAY(EOMONTH(A434,0))),发射纪录!N:N,"=成功",发射纪录!N:N,"&lt;&gt;")</f>
        <v>0</v>
      </c>
      <c r="D434" s="1" t="str">
        <f t="shared" si="337"/>
        <v>-</v>
      </c>
      <c r="E434" s="10">
        <f t="shared" si="338"/>
        <v>88</v>
      </c>
      <c r="F434" s="10">
        <f t="shared" si="339"/>
        <v>81</v>
      </c>
      <c r="G434" s="2">
        <f t="shared" si="340"/>
        <v>0.92045454545454541</v>
      </c>
      <c r="H434" s="10">
        <f>COUNTIFS(发射纪录!C:C,"&lt;&gt;-",发射纪录!G:G,"&gt;="&amp;DATE(YEAR(A434),MONTH(A434),1),发射纪录!G:G,"&lt;="&amp;DATE(YEAR(A434),MONTH(A434),DAY(EOMONTH(A434,0))),发射纪录!N:N,"&lt;&gt;")</f>
        <v>0</v>
      </c>
      <c r="I434" s="10">
        <f>COUNTIFS(发射纪录!C:C,"&lt;&gt;-",发射纪录!G:G,"&gt;="&amp;DATE(YEAR(A434),MONTH(A434),1),发射纪录!G:G,"&lt;="&amp;DATE(YEAR(A434),MONTH(A434),DAY(EOMONTH(A434,0))),发射纪录!N:N,"=成功",发射纪录!N:N,"&lt;&gt;")</f>
        <v>0</v>
      </c>
      <c r="J434" s="1" t="str">
        <f t="shared" si="341"/>
        <v>-</v>
      </c>
      <c r="K434" s="10">
        <f t="shared" ca="1" si="342"/>
        <v>11</v>
      </c>
      <c r="L434" s="10">
        <f t="shared" ca="1" si="343"/>
        <v>4</v>
      </c>
      <c r="M434" s="2">
        <f t="shared" ca="1" si="344"/>
        <v>0.36363636363636365</v>
      </c>
      <c r="N434" s="10">
        <f t="shared" si="345"/>
        <v>0</v>
      </c>
      <c r="O434" s="10">
        <f t="shared" si="346"/>
        <v>0</v>
      </c>
      <c r="P434" s="3" t="str">
        <f t="shared" si="347"/>
        <v>-</v>
      </c>
      <c r="Q434" s="10">
        <f t="shared" ca="1" si="348"/>
        <v>99</v>
      </c>
      <c r="R434" s="10">
        <f t="shared" ca="1" si="322"/>
        <v>85</v>
      </c>
      <c r="S434" s="4">
        <f t="shared" ca="1" si="349"/>
        <v>0.85858585858585856</v>
      </c>
      <c r="T434" s="478"/>
    </row>
    <row r="435" spans="1:20" ht="19.5" customHeight="1" thickBot="1" x14ac:dyDescent="0.5">
      <c r="A435" s="65">
        <v>38687</v>
      </c>
      <c r="B435" s="17">
        <f>COUNTIFS(发射纪录!B:B,"&lt;&gt;-",发射纪录!G:G,"&gt;="&amp;DATE(YEAR(A435),MONTH(A435),1),发射纪录!G:G,"&lt;="&amp;DATE(YEAR(A435),MONTH(A435),DAY(EOMONTH(A435,0))),发射纪录!N:N,"&lt;&gt;")</f>
        <v>0</v>
      </c>
      <c r="C435" s="18">
        <f>COUNTIFS(发射纪录!B:B,"&lt;&gt;-",发射纪录!G:G,"&gt;="&amp;DATE(YEAR(A435),MONTH(A435),1),发射纪录!G:G,"&lt;="&amp;DATE(YEAR(A435),MONTH(A435),DAY(EOMONTH(A435,0))),发射纪录!N:N,"=成功",发射纪录!N:N,"&lt;&gt;")</f>
        <v>0</v>
      </c>
      <c r="D435" s="12" t="str">
        <f>IF(B435=0,"-",C435/B435)</f>
        <v>-</v>
      </c>
      <c r="E435" s="18">
        <f>E434+B435</f>
        <v>88</v>
      </c>
      <c r="F435" s="18">
        <f>F434+C435</f>
        <v>81</v>
      </c>
      <c r="G435" s="13">
        <f>IF(E435=0,"-",F435/E435)</f>
        <v>0.92045454545454541</v>
      </c>
      <c r="H435" s="18">
        <f ca="1">COUNTIFS(发射纪录!C:C,"&lt;&gt;-",发射纪录!G:G,"&gt;="&amp;DATE(YEAR(A435),MONTH(A435),1),发射纪录!G:G,"&lt;="&amp;DATE(YEAR(A435),MONTH(A435),DAY(EOMONTH(A435,0))),发射纪录!N:N,"&lt;&gt;")</f>
        <v>0</v>
      </c>
      <c r="I435" s="18">
        <f ca="1">COUNTIFS(发射纪录!C:C,"&lt;&gt;-",发射纪录!G:G,"&gt;="&amp;DATE(YEAR(A435),MONTH(A435),1),发射纪录!G:G,"&lt;="&amp;DATE(YEAR(A435),MONTH(A435),DAY(EOMONTH(A435,0))),发射纪录!N:N,"=成功",发射纪录!N:N,"&lt;&gt;")</f>
        <v>0</v>
      </c>
      <c r="J435" s="12" t="str">
        <f ca="1">IF(H435=0,"-",I435/H435)</f>
        <v>-</v>
      </c>
      <c r="K435" s="18">
        <f ca="1">K434+H435</f>
        <v>11</v>
      </c>
      <c r="L435" s="18">
        <f ca="1">L434+I435</f>
        <v>4</v>
      </c>
      <c r="M435" s="13">
        <f ca="1">IF(K435=0,"-",L435/K435)</f>
        <v>0.36363636363636365</v>
      </c>
      <c r="N435" s="18">
        <f ca="1">B435+H435</f>
        <v>0</v>
      </c>
      <c r="O435" s="18">
        <f ca="1">C435+I435</f>
        <v>0</v>
      </c>
      <c r="P435" s="12" t="str">
        <f ca="1">IF(N435=0,"-",O435/N435)</f>
        <v>-</v>
      </c>
      <c r="Q435" s="18">
        <f ca="1">E435+K435</f>
        <v>99</v>
      </c>
      <c r="R435" s="18">
        <f ca="1">F435+L435</f>
        <v>85</v>
      </c>
      <c r="S435" s="13">
        <f ca="1">IF(Q435=0,"-",R435/Q435)</f>
        <v>0.85858585858585856</v>
      </c>
      <c r="T435" s="478"/>
    </row>
    <row r="436" spans="1:20" ht="19.5" customHeight="1" thickTop="1" x14ac:dyDescent="0.45">
      <c r="A436" s="63">
        <v>38718</v>
      </c>
      <c r="B436" s="14">
        <f>COUNTIFS(发射纪录!B:B,"&lt;&gt;-",发射纪录!G:G,"&gt;="&amp;DATE(YEAR(A436),MONTH(A436),1),发射纪录!G:G,"&lt;="&amp;DATE(YEAR(A436),MONTH(A436),DAY(EOMONTH(A436,0))),发射纪录!N:N,"&lt;&gt;")</f>
        <v>0</v>
      </c>
      <c r="C436" s="10">
        <f>COUNTIFS(发射纪录!B:B,"&lt;&gt;-",发射纪录!G:G,"&gt;="&amp;DATE(YEAR(A436),MONTH(A436),1),发射纪录!G:G,"&lt;="&amp;DATE(YEAR(A436),MONTH(A436),DAY(EOMONTH(A436,0))),发射纪录!N:N,"=成功",发射纪录!N:N,"&lt;&gt;")</f>
        <v>0</v>
      </c>
      <c r="D436" s="3" t="str">
        <f t="shared" ref="D436:D446" si="350">IF(B436=0,"-",C436/B436)</f>
        <v>-</v>
      </c>
      <c r="E436" s="10">
        <f t="shared" ref="E436:E446" si="351">E435+B436</f>
        <v>88</v>
      </c>
      <c r="F436" s="10">
        <f t="shared" ref="F436:F446" si="352">F435+C436</f>
        <v>81</v>
      </c>
      <c r="G436" s="4">
        <f t="shared" ref="G436:G446" si="353">IF(E436=0,"-",F436/E436)</f>
        <v>0.92045454545454541</v>
      </c>
      <c r="H436" s="10">
        <f>COUNTIFS(发射纪录!C:C,"&lt;&gt;-",发射纪录!G:G,"&gt;="&amp;DATE(YEAR(A436),MONTH(A436),1),发射纪录!G:G,"&lt;="&amp;DATE(YEAR(A436),MONTH(A436),DAY(EOMONTH(A436,0))),发射纪录!N:N,"&lt;&gt;")</f>
        <v>0</v>
      </c>
      <c r="I436" s="10">
        <f>COUNTIFS(发射纪录!C:C,"&lt;&gt;-",发射纪录!G:G,"&gt;="&amp;DATE(YEAR(A436),MONTH(A436),1),发射纪录!G:G,"&lt;="&amp;DATE(YEAR(A436),MONTH(A436),DAY(EOMONTH(A436,0))),发射纪录!N:N,"=成功",发射纪录!N:N,"&lt;&gt;")</f>
        <v>0</v>
      </c>
      <c r="J436" s="3" t="str">
        <f t="shared" ref="J436:J446" si="354">IF(H436=0,"-",I436/H436)</f>
        <v>-</v>
      </c>
      <c r="K436" s="10">
        <f t="shared" ref="K436:K446" ca="1" si="355">K435+H436</f>
        <v>11</v>
      </c>
      <c r="L436" s="10">
        <f t="shared" ref="L436:L446" ca="1" si="356">L435+I436</f>
        <v>4</v>
      </c>
      <c r="M436" s="4">
        <f t="shared" ref="M436:M446" ca="1" si="357">IF(K436=0,"-",L436/K436)</f>
        <v>0.36363636363636365</v>
      </c>
      <c r="N436" s="10">
        <f t="shared" ref="N436:N446" si="358">B436+H436</f>
        <v>0</v>
      </c>
      <c r="O436" s="10">
        <f t="shared" ref="O436:O446" si="359">C436+I436</f>
        <v>0</v>
      </c>
      <c r="P436" s="3" t="str">
        <f t="shared" ref="P436:P446" si="360">IF(N436=0,"-",O436/N436)</f>
        <v>-</v>
      </c>
      <c r="Q436" s="10">
        <f t="shared" ref="Q436:Q446" ca="1" si="361">E436+K436</f>
        <v>99</v>
      </c>
      <c r="R436" s="10">
        <f t="shared" ca="1" si="322"/>
        <v>85</v>
      </c>
      <c r="S436" s="4">
        <f t="shared" ref="S436:S446" ca="1" si="362">IF(Q436=0,"-",R436/Q436)</f>
        <v>0.85858585858585856</v>
      </c>
      <c r="T436" s="478"/>
    </row>
    <row r="437" spans="1:20" x14ac:dyDescent="0.45">
      <c r="A437" s="64">
        <v>38749</v>
      </c>
      <c r="B437" s="14">
        <f>COUNTIFS(发射纪录!B:B,"&lt;&gt;-",发射纪录!G:G,"&gt;="&amp;DATE(YEAR(A437),MONTH(A437),1),发射纪录!G:G,"&lt;="&amp;DATE(YEAR(A437),MONTH(A437),DAY(EOMONTH(A437,0))),发射纪录!N:N,"&lt;&gt;")</f>
        <v>0</v>
      </c>
      <c r="C437" s="10">
        <f>COUNTIFS(发射纪录!B:B,"&lt;&gt;-",发射纪录!G:G,"&gt;="&amp;DATE(YEAR(A437),MONTH(A437),1),发射纪录!G:G,"&lt;="&amp;DATE(YEAR(A437),MONTH(A437),DAY(EOMONTH(A437,0))),发射纪录!N:N,"=成功",发射纪录!N:N,"&lt;&gt;")</f>
        <v>0</v>
      </c>
      <c r="D437" s="1" t="str">
        <f t="shared" si="350"/>
        <v>-</v>
      </c>
      <c r="E437" s="10">
        <f t="shared" si="351"/>
        <v>88</v>
      </c>
      <c r="F437" s="10">
        <f t="shared" si="352"/>
        <v>81</v>
      </c>
      <c r="G437" s="2">
        <f t="shared" si="353"/>
        <v>0.92045454545454541</v>
      </c>
      <c r="H437" s="10">
        <f>COUNTIFS(发射纪录!C:C,"&lt;&gt;-",发射纪录!G:G,"&gt;="&amp;DATE(YEAR(A437),MONTH(A437),1),发射纪录!G:G,"&lt;="&amp;DATE(YEAR(A437),MONTH(A437),DAY(EOMONTH(A437,0))),发射纪录!N:N,"&lt;&gt;")</f>
        <v>0</v>
      </c>
      <c r="I437" s="10">
        <f>COUNTIFS(发射纪录!C:C,"&lt;&gt;-",发射纪录!G:G,"&gt;="&amp;DATE(YEAR(A437),MONTH(A437),1),发射纪录!G:G,"&lt;="&amp;DATE(YEAR(A437),MONTH(A437),DAY(EOMONTH(A437,0))),发射纪录!N:N,"=成功",发射纪录!N:N,"&lt;&gt;")</f>
        <v>0</v>
      </c>
      <c r="J437" s="1" t="str">
        <f t="shared" si="354"/>
        <v>-</v>
      </c>
      <c r="K437" s="10">
        <f t="shared" ca="1" si="355"/>
        <v>11</v>
      </c>
      <c r="L437" s="10">
        <f t="shared" ca="1" si="356"/>
        <v>4</v>
      </c>
      <c r="M437" s="2">
        <f t="shared" ca="1" si="357"/>
        <v>0.36363636363636365</v>
      </c>
      <c r="N437" s="10">
        <f t="shared" si="358"/>
        <v>0</v>
      </c>
      <c r="O437" s="10">
        <f t="shared" si="359"/>
        <v>0</v>
      </c>
      <c r="P437" s="3" t="str">
        <f t="shared" si="360"/>
        <v>-</v>
      </c>
      <c r="Q437" s="10">
        <f t="shared" ca="1" si="361"/>
        <v>99</v>
      </c>
      <c r="R437" s="10">
        <f t="shared" ca="1" si="322"/>
        <v>85</v>
      </c>
      <c r="S437" s="4">
        <f t="shared" ca="1" si="362"/>
        <v>0.85858585858585856</v>
      </c>
      <c r="T437" s="478"/>
    </row>
    <row r="438" spans="1:20" x14ac:dyDescent="0.45">
      <c r="A438" s="64">
        <v>38777</v>
      </c>
      <c r="B438" s="14">
        <f>COUNTIFS(发射纪录!B:B,"&lt;&gt;-",发射纪录!G:G,"&gt;="&amp;DATE(YEAR(A438),MONTH(A438),1),发射纪录!G:G,"&lt;="&amp;DATE(YEAR(A438),MONTH(A438),DAY(EOMONTH(A438,0))),发射纪录!N:N,"&lt;&gt;")</f>
        <v>0</v>
      </c>
      <c r="C438" s="10">
        <f>COUNTIFS(发射纪录!B:B,"&lt;&gt;-",发射纪录!G:G,"&gt;="&amp;DATE(YEAR(A438),MONTH(A438),1),发射纪录!G:G,"&lt;="&amp;DATE(YEAR(A438),MONTH(A438),DAY(EOMONTH(A438,0))),发射纪录!N:N,"=成功",发射纪录!N:N,"&lt;&gt;")</f>
        <v>0</v>
      </c>
      <c r="D438" s="1" t="str">
        <f t="shared" si="350"/>
        <v>-</v>
      </c>
      <c r="E438" s="10">
        <f t="shared" si="351"/>
        <v>88</v>
      </c>
      <c r="F438" s="10">
        <f t="shared" si="352"/>
        <v>81</v>
      </c>
      <c r="G438" s="2">
        <f t="shared" si="353"/>
        <v>0.92045454545454541</v>
      </c>
      <c r="H438" s="10">
        <f ca="1">COUNTIFS(发射纪录!C:C,"&lt;&gt;-",发射纪录!G:G,"&gt;="&amp;DATE(YEAR(A438),MONTH(A438),1),发射纪录!G:G,"&lt;="&amp;DATE(YEAR(A438),MONTH(A438),DAY(EOMONTH(A438,0))),发射纪录!N:N,"&lt;&gt;")</f>
        <v>0</v>
      </c>
      <c r="I438" s="10">
        <f>COUNTIFS(发射纪录!C:C,"&lt;&gt;-",发射纪录!G:G,"&gt;="&amp;DATE(YEAR(A438),MONTH(A438),1),发射纪录!G:G,"&lt;="&amp;DATE(YEAR(A438),MONTH(A438),DAY(EOMONTH(A438,0))),发射纪录!N:N,"=成功",发射纪录!N:N,"&lt;&gt;")</f>
        <v>0</v>
      </c>
      <c r="J438" s="1" t="str">
        <f t="shared" ca="1" si="354"/>
        <v>-</v>
      </c>
      <c r="K438" s="10">
        <f t="shared" ca="1" si="355"/>
        <v>11</v>
      </c>
      <c r="L438" s="10">
        <f t="shared" ca="1" si="356"/>
        <v>4</v>
      </c>
      <c r="M438" s="2">
        <f t="shared" ca="1" si="357"/>
        <v>0.36363636363636365</v>
      </c>
      <c r="N438" s="10">
        <f t="shared" ca="1" si="358"/>
        <v>0</v>
      </c>
      <c r="O438" s="10">
        <f t="shared" si="359"/>
        <v>0</v>
      </c>
      <c r="P438" s="3" t="str">
        <f t="shared" ca="1" si="360"/>
        <v>-</v>
      </c>
      <c r="Q438" s="10">
        <f t="shared" ca="1" si="361"/>
        <v>99</v>
      </c>
      <c r="R438" s="10">
        <f t="shared" ca="1" si="322"/>
        <v>85</v>
      </c>
      <c r="S438" s="4">
        <f t="shared" ca="1" si="362"/>
        <v>0.85858585858585856</v>
      </c>
      <c r="T438" s="478"/>
    </row>
    <row r="439" spans="1:20" x14ac:dyDescent="0.45">
      <c r="A439" s="64">
        <v>38808</v>
      </c>
      <c r="B439" s="14">
        <f>COUNTIFS(发射纪录!B:B,"&lt;&gt;-",发射纪录!G:G,"&gt;="&amp;DATE(YEAR(A439),MONTH(A439),1),发射纪录!G:G,"&lt;="&amp;DATE(YEAR(A439),MONTH(A439),DAY(EOMONTH(A439,0))),发射纪录!N:N,"&lt;&gt;")</f>
        <v>1</v>
      </c>
      <c r="C439" s="10">
        <f>COUNTIFS(发射纪录!B:B,"&lt;&gt;-",发射纪录!G:G,"&gt;="&amp;DATE(YEAR(A439),MONTH(A439),1),发射纪录!G:G,"&lt;="&amp;DATE(YEAR(A439),MONTH(A439),DAY(EOMONTH(A439,0))),发射纪录!N:N,"=成功",发射纪录!N:N,"&lt;&gt;")</f>
        <v>1</v>
      </c>
      <c r="D439" s="1">
        <f t="shared" si="350"/>
        <v>1</v>
      </c>
      <c r="E439" s="10">
        <f t="shared" si="351"/>
        <v>89</v>
      </c>
      <c r="F439" s="10">
        <f t="shared" si="352"/>
        <v>82</v>
      </c>
      <c r="G439" s="2">
        <f t="shared" si="353"/>
        <v>0.9213483146067416</v>
      </c>
      <c r="H439" s="10">
        <f ca="1">COUNTIFS(发射纪录!C:C,"&lt;&gt;-",发射纪录!G:G,"&gt;="&amp;DATE(YEAR(A439),MONTH(A439),1),发射纪录!G:G,"&lt;="&amp;DATE(YEAR(A439),MONTH(A439),DAY(EOMONTH(A439,0))),发射纪录!N:N,"&lt;&gt;")</f>
        <v>0</v>
      </c>
      <c r="I439" s="10">
        <f>COUNTIFS(发射纪录!C:C,"&lt;&gt;-",发射纪录!G:G,"&gt;="&amp;DATE(YEAR(A439),MONTH(A439),1),发射纪录!G:G,"&lt;="&amp;DATE(YEAR(A439),MONTH(A439),DAY(EOMONTH(A439,0))),发射纪录!N:N,"=成功",发射纪录!N:N,"&lt;&gt;")</f>
        <v>0</v>
      </c>
      <c r="J439" s="1" t="str">
        <f t="shared" ca="1" si="354"/>
        <v>-</v>
      </c>
      <c r="K439" s="10">
        <f t="shared" ca="1" si="355"/>
        <v>11</v>
      </c>
      <c r="L439" s="10">
        <f t="shared" ca="1" si="356"/>
        <v>4</v>
      </c>
      <c r="M439" s="2">
        <f t="shared" ca="1" si="357"/>
        <v>0.36363636363636365</v>
      </c>
      <c r="N439" s="10">
        <f t="shared" ca="1" si="358"/>
        <v>1</v>
      </c>
      <c r="O439" s="10">
        <f t="shared" si="359"/>
        <v>1</v>
      </c>
      <c r="P439" s="3">
        <f t="shared" ca="1" si="360"/>
        <v>1</v>
      </c>
      <c r="Q439" s="10">
        <f t="shared" ca="1" si="361"/>
        <v>100</v>
      </c>
      <c r="R439" s="10">
        <f t="shared" ca="1" si="322"/>
        <v>86</v>
      </c>
      <c r="S439" s="4">
        <f t="shared" ca="1" si="362"/>
        <v>0.86</v>
      </c>
      <c r="T439" s="478"/>
    </row>
    <row r="440" spans="1:20" x14ac:dyDescent="0.45">
      <c r="A440" s="64">
        <v>38838</v>
      </c>
      <c r="B440" s="14">
        <f>COUNTIFS(发射纪录!B:B,"&lt;&gt;-",发射纪录!G:G,"&gt;="&amp;DATE(YEAR(A440),MONTH(A440),1),发射纪录!G:G,"&lt;="&amp;DATE(YEAR(A440),MONTH(A440),DAY(EOMONTH(A440,0))),发射纪录!N:N,"&lt;&gt;")</f>
        <v>0</v>
      </c>
      <c r="C440" s="10">
        <f>COUNTIFS(发射纪录!B:B,"&lt;&gt;-",发射纪录!G:G,"&gt;="&amp;DATE(YEAR(A440),MONTH(A440),1),发射纪录!G:G,"&lt;="&amp;DATE(YEAR(A440),MONTH(A440),DAY(EOMONTH(A440,0))),发射纪录!N:N,"=成功",发射纪录!N:N,"&lt;&gt;")</f>
        <v>0</v>
      </c>
      <c r="D440" s="1" t="str">
        <f t="shared" si="350"/>
        <v>-</v>
      </c>
      <c r="E440" s="10">
        <f t="shared" si="351"/>
        <v>89</v>
      </c>
      <c r="F440" s="10">
        <f t="shared" si="352"/>
        <v>82</v>
      </c>
      <c r="G440" s="2">
        <f t="shared" si="353"/>
        <v>0.9213483146067416</v>
      </c>
      <c r="H440" s="10">
        <f>COUNTIFS(发射纪录!C:C,"&lt;&gt;-",发射纪录!G:G,"&gt;="&amp;DATE(YEAR(A440),MONTH(A440),1),发射纪录!G:G,"&lt;="&amp;DATE(YEAR(A440),MONTH(A440),DAY(EOMONTH(A440,0))),发射纪录!N:N,"&lt;&gt;")</f>
        <v>0</v>
      </c>
      <c r="I440" s="10">
        <f>COUNTIFS(发射纪录!C:C,"&lt;&gt;-",发射纪录!G:G,"&gt;="&amp;DATE(YEAR(A440),MONTH(A440),1),发射纪录!G:G,"&lt;="&amp;DATE(YEAR(A440),MONTH(A440),DAY(EOMONTH(A440,0))),发射纪录!N:N,"=成功",发射纪录!N:N,"&lt;&gt;")</f>
        <v>0</v>
      </c>
      <c r="J440" s="1" t="str">
        <f t="shared" si="354"/>
        <v>-</v>
      </c>
      <c r="K440" s="10">
        <f t="shared" ca="1" si="355"/>
        <v>11</v>
      </c>
      <c r="L440" s="10">
        <f t="shared" ca="1" si="356"/>
        <v>4</v>
      </c>
      <c r="M440" s="2">
        <f t="shared" ca="1" si="357"/>
        <v>0.36363636363636365</v>
      </c>
      <c r="N440" s="10">
        <f t="shared" si="358"/>
        <v>0</v>
      </c>
      <c r="O440" s="10">
        <f t="shared" si="359"/>
        <v>0</v>
      </c>
      <c r="P440" s="3" t="str">
        <f t="shared" si="360"/>
        <v>-</v>
      </c>
      <c r="Q440" s="10">
        <f t="shared" ca="1" si="361"/>
        <v>100</v>
      </c>
      <c r="R440" s="10">
        <f t="shared" ca="1" si="322"/>
        <v>86</v>
      </c>
      <c r="S440" s="4">
        <f t="shared" ca="1" si="362"/>
        <v>0.86</v>
      </c>
      <c r="T440" s="478"/>
    </row>
    <row r="441" spans="1:20" x14ac:dyDescent="0.45">
      <c r="A441" s="64">
        <v>38869</v>
      </c>
      <c r="B441" s="14">
        <f>COUNTIFS(发射纪录!B:B,"&lt;&gt;-",发射纪录!G:G,"&gt;="&amp;DATE(YEAR(A441),MONTH(A441),1),发射纪录!G:G,"&lt;="&amp;DATE(YEAR(A441),MONTH(A441),DAY(EOMONTH(A441,0))),发射纪录!N:N,"&lt;&gt;")</f>
        <v>0</v>
      </c>
      <c r="C441" s="10">
        <f>COUNTIFS(发射纪录!B:B,"&lt;&gt;-",发射纪录!G:G,"&gt;="&amp;DATE(YEAR(A441),MONTH(A441),1),发射纪录!G:G,"&lt;="&amp;DATE(YEAR(A441),MONTH(A441),DAY(EOMONTH(A441,0))),发射纪录!N:N,"=成功",发射纪录!N:N,"&lt;&gt;")</f>
        <v>0</v>
      </c>
      <c r="D441" s="1" t="str">
        <f t="shared" si="350"/>
        <v>-</v>
      </c>
      <c r="E441" s="10">
        <f t="shared" si="351"/>
        <v>89</v>
      </c>
      <c r="F441" s="10">
        <f t="shared" si="352"/>
        <v>82</v>
      </c>
      <c r="G441" s="2">
        <f t="shared" si="353"/>
        <v>0.9213483146067416</v>
      </c>
      <c r="H441" s="10">
        <f>COUNTIFS(发射纪录!C:C,"&lt;&gt;-",发射纪录!G:G,"&gt;="&amp;DATE(YEAR(A441),MONTH(A441),1),发射纪录!G:G,"&lt;="&amp;DATE(YEAR(A441),MONTH(A441),DAY(EOMONTH(A441,0))),发射纪录!N:N,"&lt;&gt;")</f>
        <v>0</v>
      </c>
      <c r="I441" s="10">
        <f>COUNTIFS(发射纪录!C:C,"&lt;&gt;-",发射纪录!G:G,"&gt;="&amp;DATE(YEAR(A441),MONTH(A441),1),发射纪录!G:G,"&lt;="&amp;DATE(YEAR(A441),MONTH(A441),DAY(EOMONTH(A441,0))),发射纪录!N:N,"=成功",发射纪录!N:N,"&lt;&gt;")</f>
        <v>0</v>
      </c>
      <c r="J441" s="1" t="str">
        <f t="shared" si="354"/>
        <v>-</v>
      </c>
      <c r="K441" s="10">
        <f t="shared" ca="1" si="355"/>
        <v>11</v>
      </c>
      <c r="L441" s="10">
        <f t="shared" ca="1" si="356"/>
        <v>4</v>
      </c>
      <c r="M441" s="2">
        <f t="shared" ca="1" si="357"/>
        <v>0.36363636363636365</v>
      </c>
      <c r="N441" s="10">
        <f t="shared" si="358"/>
        <v>0</v>
      </c>
      <c r="O441" s="10">
        <f t="shared" si="359"/>
        <v>0</v>
      </c>
      <c r="P441" s="3" t="str">
        <f t="shared" si="360"/>
        <v>-</v>
      </c>
      <c r="Q441" s="10">
        <f t="shared" ca="1" si="361"/>
        <v>100</v>
      </c>
      <c r="R441" s="10">
        <f t="shared" ca="1" si="322"/>
        <v>86</v>
      </c>
      <c r="S441" s="4">
        <f t="shared" ca="1" si="362"/>
        <v>0.86</v>
      </c>
      <c r="T441" s="478"/>
    </row>
    <row r="442" spans="1:20" x14ac:dyDescent="0.45">
      <c r="A442" s="64">
        <v>38899</v>
      </c>
      <c r="B442" s="14">
        <f>COUNTIFS(发射纪录!B:B,"&lt;&gt;-",发射纪录!G:G,"&gt;="&amp;DATE(YEAR(A442),MONTH(A442),1),发射纪录!G:G,"&lt;="&amp;DATE(YEAR(A442),MONTH(A442),DAY(EOMONTH(A442,0))),发射纪录!N:N,"&lt;&gt;")</f>
        <v>0</v>
      </c>
      <c r="C442" s="10">
        <f>COUNTIFS(发射纪录!B:B,"&lt;&gt;-",发射纪录!G:G,"&gt;="&amp;DATE(YEAR(A442),MONTH(A442),1),发射纪录!G:G,"&lt;="&amp;DATE(YEAR(A442),MONTH(A442),DAY(EOMONTH(A442,0))),发射纪录!N:N,"=成功",发射纪录!N:N,"&lt;&gt;")</f>
        <v>0</v>
      </c>
      <c r="D442" s="1" t="str">
        <f t="shared" si="350"/>
        <v>-</v>
      </c>
      <c r="E442" s="10">
        <f t="shared" si="351"/>
        <v>89</v>
      </c>
      <c r="F442" s="10">
        <f t="shared" si="352"/>
        <v>82</v>
      </c>
      <c r="G442" s="2">
        <f t="shared" si="353"/>
        <v>0.9213483146067416</v>
      </c>
      <c r="H442" s="10">
        <f>COUNTIFS(发射纪录!C:C,"&lt;&gt;-",发射纪录!G:G,"&gt;="&amp;DATE(YEAR(A442),MONTH(A442),1),发射纪录!G:G,"&lt;="&amp;DATE(YEAR(A442),MONTH(A442),DAY(EOMONTH(A442,0))),发射纪录!N:N,"&lt;&gt;")</f>
        <v>0</v>
      </c>
      <c r="I442" s="10">
        <f>COUNTIFS(发射纪录!C:C,"&lt;&gt;-",发射纪录!G:G,"&gt;="&amp;DATE(YEAR(A442),MONTH(A442),1),发射纪录!G:G,"&lt;="&amp;DATE(YEAR(A442),MONTH(A442),DAY(EOMONTH(A442,0))),发射纪录!N:N,"=成功",发射纪录!N:N,"&lt;&gt;")</f>
        <v>0</v>
      </c>
      <c r="J442" s="1" t="str">
        <f t="shared" si="354"/>
        <v>-</v>
      </c>
      <c r="K442" s="10">
        <f t="shared" ca="1" si="355"/>
        <v>11</v>
      </c>
      <c r="L442" s="10">
        <f t="shared" ca="1" si="356"/>
        <v>4</v>
      </c>
      <c r="M442" s="2">
        <f t="shared" ca="1" si="357"/>
        <v>0.36363636363636365</v>
      </c>
      <c r="N442" s="10">
        <f t="shared" si="358"/>
        <v>0</v>
      </c>
      <c r="O442" s="10">
        <f t="shared" si="359"/>
        <v>0</v>
      </c>
      <c r="P442" s="3" t="str">
        <f t="shared" si="360"/>
        <v>-</v>
      </c>
      <c r="Q442" s="10">
        <f t="shared" ca="1" si="361"/>
        <v>100</v>
      </c>
      <c r="R442" s="10">
        <f t="shared" ca="1" si="322"/>
        <v>86</v>
      </c>
      <c r="S442" s="4">
        <f t="shared" ca="1" si="362"/>
        <v>0.86</v>
      </c>
      <c r="T442" s="478"/>
    </row>
    <row r="443" spans="1:20" x14ac:dyDescent="0.45">
      <c r="A443" s="64">
        <v>38930</v>
      </c>
      <c r="B443" s="14">
        <f>COUNTIFS(发射纪录!B:B,"&lt;&gt;-",发射纪录!G:G,"&gt;="&amp;DATE(YEAR(A443),MONTH(A443),1),发射纪录!G:G,"&lt;="&amp;DATE(YEAR(A443),MONTH(A443),DAY(EOMONTH(A443,0))),发射纪录!N:N,"&lt;&gt;")</f>
        <v>0</v>
      </c>
      <c r="C443" s="10">
        <f>COUNTIFS(发射纪录!B:B,"&lt;&gt;-",发射纪录!G:G,"&gt;="&amp;DATE(YEAR(A443),MONTH(A443),1),发射纪录!G:G,"&lt;="&amp;DATE(YEAR(A443),MONTH(A443),DAY(EOMONTH(A443,0))),发射纪录!N:N,"=成功",发射纪录!N:N,"&lt;&gt;")</f>
        <v>0</v>
      </c>
      <c r="D443" s="1" t="str">
        <f t="shared" si="350"/>
        <v>-</v>
      </c>
      <c r="E443" s="10">
        <f t="shared" si="351"/>
        <v>89</v>
      </c>
      <c r="F443" s="10">
        <f t="shared" si="352"/>
        <v>82</v>
      </c>
      <c r="G443" s="2">
        <f t="shared" si="353"/>
        <v>0.9213483146067416</v>
      </c>
      <c r="H443" s="10">
        <f ca="1">COUNTIFS(发射纪录!C:C,"&lt;&gt;-",发射纪录!G:G,"&gt;="&amp;DATE(YEAR(A443),MONTH(A443),1),发射纪录!G:G,"&lt;="&amp;DATE(YEAR(A443),MONTH(A443),DAY(EOMONTH(A443,0))),发射纪录!N:N,"&lt;&gt;")</f>
        <v>0</v>
      </c>
      <c r="I443" s="10">
        <f>COUNTIFS(发射纪录!C:C,"&lt;&gt;-",发射纪录!G:G,"&gt;="&amp;DATE(YEAR(A443),MONTH(A443),1),发射纪录!G:G,"&lt;="&amp;DATE(YEAR(A443),MONTH(A443),DAY(EOMONTH(A443,0))),发射纪录!N:N,"=成功",发射纪录!N:N,"&lt;&gt;")</f>
        <v>0</v>
      </c>
      <c r="J443" s="1" t="str">
        <f t="shared" ca="1" si="354"/>
        <v>-</v>
      </c>
      <c r="K443" s="10">
        <f t="shared" ca="1" si="355"/>
        <v>11</v>
      </c>
      <c r="L443" s="10">
        <f t="shared" ca="1" si="356"/>
        <v>4</v>
      </c>
      <c r="M443" s="2">
        <f t="shared" ca="1" si="357"/>
        <v>0.36363636363636365</v>
      </c>
      <c r="N443" s="10">
        <f t="shared" ca="1" si="358"/>
        <v>0</v>
      </c>
      <c r="O443" s="10">
        <f t="shared" si="359"/>
        <v>0</v>
      </c>
      <c r="P443" s="3" t="str">
        <f t="shared" ca="1" si="360"/>
        <v>-</v>
      </c>
      <c r="Q443" s="10">
        <f t="shared" ca="1" si="361"/>
        <v>100</v>
      </c>
      <c r="R443" s="10">
        <f t="shared" ca="1" si="322"/>
        <v>86</v>
      </c>
      <c r="S443" s="4">
        <f t="shared" ca="1" si="362"/>
        <v>0.86</v>
      </c>
      <c r="T443" s="478"/>
    </row>
    <row r="444" spans="1:20" x14ac:dyDescent="0.45">
      <c r="A444" s="64">
        <v>38961</v>
      </c>
      <c r="B444" s="14">
        <f>COUNTIFS(发射纪录!B:B,"&lt;&gt;-",发射纪录!G:G,"&gt;="&amp;DATE(YEAR(A444),MONTH(A444),1),发射纪录!G:G,"&lt;="&amp;DATE(YEAR(A444),MONTH(A444),DAY(EOMONTH(A444,0))),发射纪录!N:N,"&lt;&gt;")</f>
        <v>2</v>
      </c>
      <c r="C444" s="10">
        <f>COUNTIFS(发射纪录!B:B,"&lt;&gt;-",发射纪录!G:G,"&gt;="&amp;DATE(YEAR(A444),MONTH(A444),1),发射纪录!G:G,"&lt;="&amp;DATE(YEAR(A444),MONTH(A444),DAY(EOMONTH(A444,0))),发射纪录!N:N,"=成功",发射纪录!N:N,"&lt;&gt;")</f>
        <v>2</v>
      </c>
      <c r="D444" s="1">
        <f t="shared" si="350"/>
        <v>1</v>
      </c>
      <c r="E444" s="10">
        <f t="shared" si="351"/>
        <v>91</v>
      </c>
      <c r="F444" s="10">
        <f t="shared" si="352"/>
        <v>84</v>
      </c>
      <c r="G444" s="2">
        <f t="shared" si="353"/>
        <v>0.92307692307692313</v>
      </c>
      <c r="H444" s="10">
        <f ca="1">COUNTIFS(发射纪录!C:C,"&lt;&gt;-",发射纪录!G:G,"&gt;="&amp;DATE(YEAR(A444),MONTH(A444),1),发射纪录!G:G,"&lt;="&amp;DATE(YEAR(A444),MONTH(A444),DAY(EOMONTH(A444,0))),发射纪录!N:N,"&lt;&gt;")</f>
        <v>0</v>
      </c>
      <c r="I444" s="10">
        <f>COUNTIFS(发射纪录!C:C,"&lt;&gt;-",发射纪录!G:G,"&gt;="&amp;DATE(YEAR(A444),MONTH(A444),1),发射纪录!G:G,"&lt;="&amp;DATE(YEAR(A444),MONTH(A444),DAY(EOMONTH(A444,0))),发射纪录!N:N,"=成功",发射纪录!N:N,"&lt;&gt;")</f>
        <v>0</v>
      </c>
      <c r="J444" s="1" t="str">
        <f t="shared" ca="1" si="354"/>
        <v>-</v>
      </c>
      <c r="K444" s="10">
        <f t="shared" ca="1" si="355"/>
        <v>11</v>
      </c>
      <c r="L444" s="10">
        <f t="shared" ca="1" si="356"/>
        <v>4</v>
      </c>
      <c r="M444" s="2">
        <f t="shared" ca="1" si="357"/>
        <v>0.36363636363636365</v>
      </c>
      <c r="N444" s="10">
        <f t="shared" ca="1" si="358"/>
        <v>2</v>
      </c>
      <c r="O444" s="10">
        <f t="shared" si="359"/>
        <v>2</v>
      </c>
      <c r="P444" s="3">
        <f t="shared" ca="1" si="360"/>
        <v>1</v>
      </c>
      <c r="Q444" s="10">
        <f t="shared" ca="1" si="361"/>
        <v>102</v>
      </c>
      <c r="R444" s="10">
        <f t="shared" ca="1" si="322"/>
        <v>88</v>
      </c>
      <c r="S444" s="4">
        <f t="shared" ca="1" si="362"/>
        <v>0.86274509803921573</v>
      </c>
      <c r="T444" s="478"/>
    </row>
    <row r="445" spans="1:20" x14ac:dyDescent="0.45">
      <c r="A445" s="64">
        <v>38991</v>
      </c>
      <c r="B445" s="14">
        <f>COUNTIFS(发射纪录!B:B,"&lt;&gt;-",发射纪录!G:G,"&gt;="&amp;DATE(YEAR(A445),MONTH(A445),1),发射纪录!G:G,"&lt;="&amp;DATE(YEAR(A445),MONTH(A445),DAY(EOMONTH(A445,0))),发射纪录!N:N,"&lt;&gt;")</f>
        <v>2</v>
      </c>
      <c r="C445" s="10">
        <f>COUNTIFS(发射纪录!B:B,"&lt;&gt;-",发射纪录!G:G,"&gt;="&amp;DATE(YEAR(A445),MONTH(A445),1),发射纪录!G:G,"&lt;="&amp;DATE(YEAR(A445),MONTH(A445),DAY(EOMONTH(A445,0))),发射纪录!N:N,"=成功",发射纪录!N:N,"&lt;&gt;")</f>
        <v>2</v>
      </c>
      <c r="D445" s="1">
        <f t="shared" si="350"/>
        <v>1</v>
      </c>
      <c r="E445" s="10">
        <f t="shared" si="351"/>
        <v>93</v>
      </c>
      <c r="F445" s="10">
        <f t="shared" si="352"/>
        <v>86</v>
      </c>
      <c r="G445" s="2">
        <f t="shared" si="353"/>
        <v>0.92473118279569888</v>
      </c>
      <c r="H445" s="10">
        <f ca="1">COUNTIFS(发射纪录!C:C,"&lt;&gt;-",发射纪录!G:G,"&gt;="&amp;DATE(YEAR(A445),MONTH(A445),1),发射纪录!G:G,"&lt;="&amp;DATE(YEAR(A445),MONTH(A445),DAY(EOMONTH(A445,0))),发射纪录!N:N,"&lt;&gt;")</f>
        <v>0</v>
      </c>
      <c r="I445" s="10">
        <f>COUNTIFS(发射纪录!C:C,"&lt;&gt;-",发射纪录!G:G,"&gt;="&amp;DATE(YEAR(A445),MONTH(A445),1),发射纪录!G:G,"&lt;="&amp;DATE(YEAR(A445),MONTH(A445),DAY(EOMONTH(A445,0))),发射纪录!N:N,"=成功",发射纪录!N:N,"&lt;&gt;")</f>
        <v>0</v>
      </c>
      <c r="J445" s="1" t="str">
        <f t="shared" ca="1" si="354"/>
        <v>-</v>
      </c>
      <c r="K445" s="10">
        <f t="shared" ca="1" si="355"/>
        <v>11</v>
      </c>
      <c r="L445" s="10">
        <f t="shared" ca="1" si="356"/>
        <v>4</v>
      </c>
      <c r="M445" s="2">
        <f t="shared" ca="1" si="357"/>
        <v>0.36363636363636365</v>
      </c>
      <c r="N445" s="10">
        <f t="shared" ca="1" si="358"/>
        <v>2</v>
      </c>
      <c r="O445" s="10">
        <f t="shared" si="359"/>
        <v>2</v>
      </c>
      <c r="P445" s="3">
        <f t="shared" ca="1" si="360"/>
        <v>1</v>
      </c>
      <c r="Q445" s="10">
        <f t="shared" ca="1" si="361"/>
        <v>104</v>
      </c>
      <c r="R445" s="10">
        <f t="shared" ca="1" si="322"/>
        <v>90</v>
      </c>
      <c r="S445" s="4">
        <f t="shared" ca="1" si="362"/>
        <v>0.86538461538461542</v>
      </c>
      <c r="T445" s="478"/>
    </row>
    <row r="446" spans="1:20" x14ac:dyDescent="0.45">
      <c r="A446" s="64">
        <v>39022</v>
      </c>
      <c r="B446" s="14">
        <f>COUNTIFS(发射纪录!B:B,"&lt;&gt;-",发射纪录!G:G,"&gt;="&amp;DATE(YEAR(A446),MONTH(A446),1),发射纪录!G:G,"&lt;="&amp;DATE(YEAR(A446),MONTH(A446),DAY(EOMONTH(A446,0))),发射纪录!N:N,"&lt;&gt;")</f>
        <v>0</v>
      </c>
      <c r="C446" s="10">
        <f>COUNTIFS(发射纪录!B:B,"&lt;&gt;-",发射纪录!G:G,"&gt;="&amp;DATE(YEAR(A446),MONTH(A446),1),发射纪录!G:G,"&lt;="&amp;DATE(YEAR(A446),MONTH(A446),DAY(EOMONTH(A446,0))),发射纪录!N:N,"=成功",发射纪录!N:N,"&lt;&gt;")</f>
        <v>0</v>
      </c>
      <c r="D446" s="1" t="str">
        <f t="shared" si="350"/>
        <v>-</v>
      </c>
      <c r="E446" s="10">
        <f t="shared" si="351"/>
        <v>93</v>
      </c>
      <c r="F446" s="10">
        <f t="shared" si="352"/>
        <v>86</v>
      </c>
      <c r="G446" s="2">
        <f t="shared" si="353"/>
        <v>0.92473118279569888</v>
      </c>
      <c r="H446" s="10">
        <f ca="1">COUNTIFS(发射纪录!C:C,"&lt;&gt;-",发射纪录!G:G,"&gt;="&amp;DATE(YEAR(A446),MONTH(A446),1),发射纪录!G:G,"&lt;="&amp;DATE(YEAR(A446),MONTH(A446),DAY(EOMONTH(A446,0))),发射纪录!N:N,"&lt;&gt;")</f>
        <v>0</v>
      </c>
      <c r="I446" s="10">
        <f>COUNTIFS(发射纪录!C:C,"&lt;&gt;-",发射纪录!G:G,"&gt;="&amp;DATE(YEAR(A446),MONTH(A446),1),发射纪录!G:G,"&lt;="&amp;DATE(YEAR(A446),MONTH(A446),DAY(EOMONTH(A446,0))),发射纪录!N:N,"=成功",发射纪录!N:N,"&lt;&gt;")</f>
        <v>0</v>
      </c>
      <c r="J446" s="1" t="str">
        <f t="shared" ca="1" si="354"/>
        <v>-</v>
      </c>
      <c r="K446" s="10">
        <f t="shared" ca="1" si="355"/>
        <v>11</v>
      </c>
      <c r="L446" s="10">
        <f t="shared" ca="1" si="356"/>
        <v>4</v>
      </c>
      <c r="M446" s="2">
        <f t="shared" ca="1" si="357"/>
        <v>0.36363636363636365</v>
      </c>
      <c r="N446" s="10">
        <f t="shared" ca="1" si="358"/>
        <v>0</v>
      </c>
      <c r="O446" s="10">
        <f t="shared" si="359"/>
        <v>0</v>
      </c>
      <c r="P446" s="3" t="str">
        <f t="shared" ca="1" si="360"/>
        <v>-</v>
      </c>
      <c r="Q446" s="10">
        <f t="shared" ca="1" si="361"/>
        <v>104</v>
      </c>
      <c r="R446" s="10">
        <f t="shared" ca="1" si="322"/>
        <v>90</v>
      </c>
      <c r="S446" s="4">
        <f t="shared" ca="1" si="362"/>
        <v>0.86538461538461542</v>
      </c>
      <c r="T446" s="478"/>
    </row>
    <row r="447" spans="1:20" ht="19.5" customHeight="1" thickBot="1" x14ac:dyDescent="0.5">
      <c r="A447" s="65">
        <v>39052</v>
      </c>
      <c r="B447" s="17">
        <f>COUNTIFS(发射纪录!B:B,"&lt;&gt;-",发射纪录!G:G,"&gt;="&amp;DATE(YEAR(A447),MONTH(A447),1),发射纪录!G:G,"&lt;="&amp;DATE(YEAR(A447),MONTH(A447),DAY(EOMONTH(A447,0))),发射纪录!N:N,"&lt;&gt;")</f>
        <v>1</v>
      </c>
      <c r="C447" s="18">
        <f>COUNTIFS(发射纪录!B:B,"&lt;&gt;-",发射纪录!G:G,"&gt;="&amp;DATE(YEAR(A447),MONTH(A447),1),发射纪录!G:G,"&lt;="&amp;DATE(YEAR(A447),MONTH(A447),DAY(EOMONTH(A447,0))),发射纪录!N:N,"=成功",发射纪录!N:N,"&lt;&gt;")</f>
        <v>1</v>
      </c>
      <c r="D447" s="12">
        <f>IF(B447=0,"-",C447/B447)</f>
        <v>1</v>
      </c>
      <c r="E447" s="18">
        <f>E446+B447</f>
        <v>94</v>
      </c>
      <c r="F447" s="18">
        <f>F446+C447</f>
        <v>87</v>
      </c>
      <c r="G447" s="13">
        <f>IF(E447=0,"-",F447/E447)</f>
        <v>0.92553191489361697</v>
      </c>
      <c r="H447" s="18">
        <f>COUNTIFS(发射纪录!C:C,"&lt;&gt;-",发射纪录!G:G,"&gt;="&amp;DATE(YEAR(A447),MONTH(A447),1),发射纪录!G:G,"&lt;="&amp;DATE(YEAR(A447),MONTH(A447),DAY(EOMONTH(A447,0))),发射纪录!N:N,"&lt;&gt;")</f>
        <v>0</v>
      </c>
      <c r="I447" s="18">
        <f ca="1">COUNTIFS(发射纪录!C:C,"&lt;&gt;-",发射纪录!G:G,"&gt;="&amp;DATE(YEAR(A447),MONTH(A447),1),发射纪录!G:G,"&lt;="&amp;DATE(YEAR(A447),MONTH(A447),DAY(EOMONTH(A447,0))),发射纪录!N:N,"=成功",发射纪录!N:N,"&lt;&gt;")</f>
        <v>0</v>
      </c>
      <c r="J447" s="12" t="str">
        <f>IF(H447=0,"-",I447/H447)</f>
        <v>-</v>
      </c>
      <c r="K447" s="18">
        <f ca="1">K446+H447</f>
        <v>11</v>
      </c>
      <c r="L447" s="18">
        <f ca="1">L446+I447</f>
        <v>4</v>
      </c>
      <c r="M447" s="13">
        <f ca="1">IF(K447=0,"-",L447/K447)</f>
        <v>0.36363636363636365</v>
      </c>
      <c r="N447" s="18">
        <f>B447+H447</f>
        <v>1</v>
      </c>
      <c r="O447" s="18">
        <f ca="1">C447+I447</f>
        <v>1</v>
      </c>
      <c r="P447" s="12">
        <f ca="1">IF(N447=0,"-",O447/N447)</f>
        <v>1</v>
      </c>
      <c r="Q447" s="18">
        <f ca="1">E447+K447</f>
        <v>105</v>
      </c>
      <c r="R447" s="18">
        <f ca="1">F447+L447</f>
        <v>91</v>
      </c>
      <c r="S447" s="13">
        <f ca="1">IF(Q447=0,"-",R447/Q447)</f>
        <v>0.8666666666666667</v>
      </c>
      <c r="T447" s="478"/>
    </row>
    <row r="448" spans="1:20" ht="19.5" customHeight="1" thickTop="1" x14ac:dyDescent="0.45">
      <c r="A448" s="63">
        <v>39083</v>
      </c>
      <c r="B448" s="14">
        <f>COUNTIFS(发射纪录!B:B,"&lt;&gt;-",发射纪录!G:G,"&gt;="&amp;DATE(YEAR(A448),MONTH(A448),1),发射纪录!G:G,"&lt;="&amp;DATE(YEAR(A448),MONTH(A448),DAY(EOMONTH(A448,0))),发射纪录!N:N,"&lt;&gt;")</f>
        <v>0</v>
      </c>
      <c r="C448" s="10">
        <f>COUNTIFS(发射纪录!B:B,"&lt;&gt;-",发射纪录!G:G,"&gt;="&amp;DATE(YEAR(A448),MONTH(A448),1),发射纪录!G:G,"&lt;="&amp;DATE(YEAR(A448),MONTH(A448),DAY(EOMONTH(A448,0))),发射纪录!N:N,"=成功",发射纪录!N:N,"&lt;&gt;")</f>
        <v>0</v>
      </c>
      <c r="D448" s="3" t="str">
        <f t="shared" ref="D448:D458" si="363">IF(B448=0,"-",C448/B448)</f>
        <v>-</v>
      </c>
      <c r="E448" s="10">
        <f t="shared" ref="E448:E458" si="364">E447+B448</f>
        <v>94</v>
      </c>
      <c r="F448" s="10">
        <f t="shared" ref="F448:F458" si="365">F447+C448</f>
        <v>87</v>
      </c>
      <c r="G448" s="4">
        <f t="shared" ref="G448:G458" si="366">IF(E448=0,"-",F448/E448)</f>
        <v>0.92553191489361697</v>
      </c>
      <c r="H448" s="10">
        <f>COUNTIFS(发射纪录!C:C,"&lt;&gt;-",发射纪录!G:G,"&gt;="&amp;DATE(YEAR(A448),MONTH(A448),1),发射纪录!G:G,"&lt;="&amp;DATE(YEAR(A448),MONTH(A448),DAY(EOMONTH(A448,0))),发射纪录!N:N,"&lt;&gt;")</f>
        <v>0</v>
      </c>
      <c r="I448" s="10">
        <f>COUNTIFS(发射纪录!C:C,"&lt;&gt;-",发射纪录!G:G,"&gt;="&amp;DATE(YEAR(A448),MONTH(A448),1),发射纪录!G:G,"&lt;="&amp;DATE(YEAR(A448),MONTH(A448),DAY(EOMONTH(A448,0))),发射纪录!N:N,"=成功",发射纪录!N:N,"&lt;&gt;")</f>
        <v>0</v>
      </c>
      <c r="J448" s="3" t="str">
        <f t="shared" ref="J448:J458" si="367">IF(H448=0,"-",I448/H448)</f>
        <v>-</v>
      </c>
      <c r="K448" s="10">
        <f t="shared" ref="K448:K458" ca="1" si="368">K447+H448</f>
        <v>11</v>
      </c>
      <c r="L448" s="10">
        <f t="shared" ref="L448:L458" ca="1" si="369">L447+I448</f>
        <v>4</v>
      </c>
      <c r="M448" s="4">
        <f t="shared" ref="M448:M458" ca="1" si="370">IF(K448=0,"-",L448/K448)</f>
        <v>0.36363636363636365</v>
      </c>
      <c r="N448" s="10">
        <f t="shared" ref="N448:N458" si="371">B448+H448</f>
        <v>0</v>
      </c>
      <c r="O448" s="10">
        <f t="shared" ref="O448:O458" si="372">C448+I448</f>
        <v>0</v>
      </c>
      <c r="P448" s="3" t="str">
        <f t="shared" ref="P448:P458" si="373">IF(N448=0,"-",O448/N448)</f>
        <v>-</v>
      </c>
      <c r="Q448" s="10">
        <f t="shared" ref="Q448:Q458" ca="1" si="374">E448+K448</f>
        <v>105</v>
      </c>
      <c r="R448" s="10">
        <f t="shared" ca="1" si="322"/>
        <v>91</v>
      </c>
      <c r="S448" s="4">
        <f t="shared" ref="S448:S458" ca="1" si="375">IF(Q448=0,"-",R448/Q448)</f>
        <v>0.8666666666666667</v>
      </c>
      <c r="T448" s="478"/>
    </row>
    <row r="449" spans="1:20" x14ac:dyDescent="0.45">
      <c r="A449" s="64">
        <v>39114</v>
      </c>
      <c r="B449" s="14">
        <f>COUNTIFS(发射纪录!B:B,"&lt;&gt;-",发射纪录!G:G,"&gt;="&amp;DATE(YEAR(A449),MONTH(A449),1),发射纪录!G:G,"&lt;="&amp;DATE(YEAR(A449),MONTH(A449),DAY(EOMONTH(A449,0))),发射纪录!N:N,"&lt;&gt;")</f>
        <v>1</v>
      </c>
      <c r="C449" s="10">
        <f>COUNTIFS(发射纪录!B:B,"&lt;&gt;-",发射纪录!G:G,"&gt;="&amp;DATE(YEAR(A449),MONTH(A449),1),发射纪录!G:G,"&lt;="&amp;DATE(YEAR(A449),MONTH(A449),DAY(EOMONTH(A449,0))),发射纪录!N:N,"=成功",发射纪录!N:N,"&lt;&gt;")</f>
        <v>1</v>
      </c>
      <c r="D449" s="1">
        <f t="shared" si="363"/>
        <v>1</v>
      </c>
      <c r="E449" s="10">
        <f t="shared" si="364"/>
        <v>95</v>
      </c>
      <c r="F449" s="10">
        <f t="shared" si="365"/>
        <v>88</v>
      </c>
      <c r="G449" s="2">
        <f t="shared" si="366"/>
        <v>0.9263157894736842</v>
      </c>
      <c r="H449" s="10">
        <f>COUNTIFS(发射纪录!C:C,"&lt;&gt;-",发射纪录!G:G,"&gt;="&amp;DATE(YEAR(A449),MONTH(A449),1),发射纪录!G:G,"&lt;="&amp;DATE(YEAR(A449),MONTH(A449),DAY(EOMONTH(A449,0))),发射纪录!N:N,"&lt;&gt;")</f>
        <v>0</v>
      </c>
      <c r="I449" s="10">
        <f>COUNTIFS(发射纪录!C:C,"&lt;&gt;-",发射纪录!G:G,"&gt;="&amp;DATE(YEAR(A449),MONTH(A449),1),发射纪录!G:G,"&lt;="&amp;DATE(YEAR(A449),MONTH(A449),DAY(EOMONTH(A449,0))),发射纪录!N:N,"=成功",发射纪录!N:N,"&lt;&gt;")</f>
        <v>0</v>
      </c>
      <c r="J449" s="1" t="str">
        <f t="shared" si="367"/>
        <v>-</v>
      </c>
      <c r="K449" s="10">
        <f t="shared" ca="1" si="368"/>
        <v>11</v>
      </c>
      <c r="L449" s="10">
        <f t="shared" ca="1" si="369"/>
        <v>4</v>
      </c>
      <c r="M449" s="2">
        <f t="shared" ca="1" si="370"/>
        <v>0.36363636363636365</v>
      </c>
      <c r="N449" s="10">
        <f t="shared" si="371"/>
        <v>1</v>
      </c>
      <c r="O449" s="10">
        <f t="shared" si="372"/>
        <v>1</v>
      </c>
      <c r="P449" s="3">
        <f t="shared" si="373"/>
        <v>1</v>
      </c>
      <c r="Q449" s="10">
        <f t="shared" ca="1" si="374"/>
        <v>106</v>
      </c>
      <c r="R449" s="10">
        <f t="shared" ca="1" si="322"/>
        <v>92</v>
      </c>
      <c r="S449" s="4">
        <f t="shared" ca="1" si="375"/>
        <v>0.86792452830188682</v>
      </c>
      <c r="T449" s="478"/>
    </row>
    <row r="450" spans="1:20" x14ac:dyDescent="0.45">
      <c r="A450" s="64">
        <v>39142</v>
      </c>
      <c r="B450" s="14">
        <f>COUNTIFS(发射纪录!B:B,"&lt;&gt;-",发射纪录!G:G,"&gt;="&amp;DATE(YEAR(A450),MONTH(A450),1),发射纪录!G:G,"&lt;="&amp;DATE(YEAR(A450),MONTH(A450),DAY(EOMONTH(A450,0))),发射纪录!N:N,"&lt;&gt;")</f>
        <v>0</v>
      </c>
      <c r="C450" s="10">
        <f>COUNTIFS(发射纪录!B:B,"&lt;&gt;-",发射纪录!G:G,"&gt;="&amp;DATE(YEAR(A450),MONTH(A450),1),发射纪录!G:G,"&lt;="&amp;DATE(YEAR(A450),MONTH(A450),DAY(EOMONTH(A450,0))),发射纪录!N:N,"=成功",发射纪录!N:N,"&lt;&gt;")</f>
        <v>0</v>
      </c>
      <c r="D450" s="1" t="str">
        <f t="shared" si="363"/>
        <v>-</v>
      </c>
      <c r="E450" s="10">
        <f t="shared" si="364"/>
        <v>95</v>
      </c>
      <c r="F450" s="10">
        <f t="shared" si="365"/>
        <v>88</v>
      </c>
      <c r="G450" s="2">
        <f t="shared" si="366"/>
        <v>0.9263157894736842</v>
      </c>
      <c r="H450" s="10">
        <f>COUNTIFS(发射纪录!C:C,"&lt;&gt;-",发射纪录!G:G,"&gt;="&amp;DATE(YEAR(A450),MONTH(A450),1),发射纪录!G:G,"&lt;="&amp;DATE(YEAR(A450),MONTH(A450),DAY(EOMONTH(A450,0))),发射纪录!N:N,"&lt;&gt;")</f>
        <v>0</v>
      </c>
      <c r="I450" s="10">
        <f>COUNTIFS(发射纪录!C:C,"&lt;&gt;-",发射纪录!G:G,"&gt;="&amp;DATE(YEAR(A450),MONTH(A450),1),发射纪录!G:G,"&lt;="&amp;DATE(YEAR(A450),MONTH(A450),DAY(EOMONTH(A450,0))),发射纪录!N:N,"=成功",发射纪录!N:N,"&lt;&gt;")</f>
        <v>0</v>
      </c>
      <c r="J450" s="1" t="str">
        <f t="shared" si="367"/>
        <v>-</v>
      </c>
      <c r="K450" s="10">
        <f t="shared" ca="1" si="368"/>
        <v>11</v>
      </c>
      <c r="L450" s="10">
        <f t="shared" ca="1" si="369"/>
        <v>4</v>
      </c>
      <c r="M450" s="2">
        <f t="shared" ca="1" si="370"/>
        <v>0.36363636363636365</v>
      </c>
      <c r="N450" s="10">
        <f t="shared" si="371"/>
        <v>0</v>
      </c>
      <c r="O450" s="10">
        <f t="shared" si="372"/>
        <v>0</v>
      </c>
      <c r="P450" s="3" t="str">
        <f t="shared" si="373"/>
        <v>-</v>
      </c>
      <c r="Q450" s="10">
        <f t="shared" ca="1" si="374"/>
        <v>106</v>
      </c>
      <c r="R450" s="10">
        <f t="shared" ca="1" si="322"/>
        <v>92</v>
      </c>
      <c r="S450" s="4">
        <f t="shared" ca="1" si="375"/>
        <v>0.86792452830188682</v>
      </c>
      <c r="T450" s="478"/>
    </row>
    <row r="451" spans="1:20" x14ac:dyDescent="0.45">
      <c r="A451" s="64">
        <v>39173</v>
      </c>
      <c r="B451" s="14">
        <f>COUNTIFS(发射纪录!B:B,"&lt;&gt;-",发射纪录!G:G,"&gt;="&amp;DATE(YEAR(A451),MONTH(A451),1),发射纪录!G:G,"&lt;="&amp;DATE(YEAR(A451),MONTH(A451),DAY(EOMONTH(A451,0))),发射纪录!N:N,"&lt;&gt;")</f>
        <v>2</v>
      </c>
      <c r="C451" s="10">
        <f>COUNTIFS(发射纪录!B:B,"&lt;&gt;-",发射纪录!G:G,"&gt;="&amp;DATE(YEAR(A451),MONTH(A451),1),发射纪录!G:G,"&lt;="&amp;DATE(YEAR(A451),MONTH(A451),DAY(EOMONTH(A451,0))),发射纪录!N:N,"=成功",发射纪录!N:N,"&lt;&gt;")</f>
        <v>2</v>
      </c>
      <c r="D451" s="1">
        <f t="shared" si="363"/>
        <v>1</v>
      </c>
      <c r="E451" s="10">
        <f t="shared" si="364"/>
        <v>97</v>
      </c>
      <c r="F451" s="10">
        <f t="shared" si="365"/>
        <v>90</v>
      </c>
      <c r="G451" s="2">
        <f t="shared" si="366"/>
        <v>0.92783505154639179</v>
      </c>
      <c r="H451" s="10">
        <f>COUNTIFS(发射纪录!C:C,"&lt;&gt;-",发射纪录!G:G,"&gt;="&amp;DATE(YEAR(A451),MONTH(A451),1),发射纪录!G:G,"&lt;="&amp;DATE(YEAR(A451),MONTH(A451),DAY(EOMONTH(A451,0))),发射纪录!N:N,"&lt;&gt;")</f>
        <v>0</v>
      </c>
      <c r="I451" s="10">
        <f>COUNTIFS(发射纪录!C:C,"&lt;&gt;-",发射纪录!G:G,"&gt;="&amp;DATE(YEAR(A451),MONTH(A451),1),发射纪录!G:G,"&lt;="&amp;DATE(YEAR(A451),MONTH(A451),DAY(EOMONTH(A451,0))),发射纪录!N:N,"=成功",发射纪录!N:N,"&lt;&gt;")</f>
        <v>0</v>
      </c>
      <c r="J451" s="1" t="str">
        <f t="shared" si="367"/>
        <v>-</v>
      </c>
      <c r="K451" s="10">
        <f t="shared" ca="1" si="368"/>
        <v>11</v>
      </c>
      <c r="L451" s="10">
        <f t="shared" ca="1" si="369"/>
        <v>4</v>
      </c>
      <c r="M451" s="2">
        <f t="shared" ca="1" si="370"/>
        <v>0.36363636363636365</v>
      </c>
      <c r="N451" s="10">
        <f t="shared" si="371"/>
        <v>2</v>
      </c>
      <c r="O451" s="10">
        <f t="shared" si="372"/>
        <v>2</v>
      </c>
      <c r="P451" s="3">
        <f t="shared" si="373"/>
        <v>1</v>
      </c>
      <c r="Q451" s="10">
        <f t="shared" ca="1" si="374"/>
        <v>108</v>
      </c>
      <c r="R451" s="10">
        <f t="shared" ca="1" si="322"/>
        <v>94</v>
      </c>
      <c r="S451" s="4">
        <f t="shared" ca="1" si="375"/>
        <v>0.87037037037037035</v>
      </c>
      <c r="T451" s="478"/>
    </row>
    <row r="452" spans="1:20" x14ac:dyDescent="0.45">
      <c r="A452" s="64">
        <v>39203</v>
      </c>
      <c r="B452" s="14">
        <f>COUNTIFS(发射纪录!B:B,"&lt;&gt;-",发射纪录!G:G,"&gt;="&amp;DATE(YEAR(A452),MONTH(A452),1),发射纪录!G:G,"&lt;="&amp;DATE(YEAR(A452),MONTH(A452),DAY(EOMONTH(A452,0))),发射纪录!N:N,"&lt;&gt;")</f>
        <v>2</v>
      </c>
      <c r="C452" s="10">
        <f>COUNTIFS(发射纪录!B:B,"&lt;&gt;-",发射纪录!G:G,"&gt;="&amp;DATE(YEAR(A452),MONTH(A452),1),发射纪录!G:G,"&lt;="&amp;DATE(YEAR(A452),MONTH(A452),DAY(EOMONTH(A452,0))),发射纪录!N:N,"=成功",发射纪录!N:N,"&lt;&gt;")</f>
        <v>2</v>
      </c>
      <c r="D452" s="1">
        <f t="shared" si="363"/>
        <v>1</v>
      </c>
      <c r="E452" s="10">
        <f t="shared" si="364"/>
        <v>99</v>
      </c>
      <c r="F452" s="10">
        <f t="shared" si="365"/>
        <v>92</v>
      </c>
      <c r="G452" s="2">
        <f t="shared" si="366"/>
        <v>0.92929292929292928</v>
      </c>
      <c r="H452" s="10">
        <f>COUNTIFS(发射纪录!C:C,"&lt;&gt;-",发射纪录!G:G,"&gt;="&amp;DATE(YEAR(A452),MONTH(A452),1),发射纪录!G:G,"&lt;="&amp;DATE(YEAR(A452),MONTH(A452),DAY(EOMONTH(A452,0))),发射纪录!N:N,"&lt;&gt;")</f>
        <v>0</v>
      </c>
      <c r="I452" s="10">
        <f ca="1">COUNTIFS(发射纪录!C:C,"&lt;&gt;-",发射纪录!G:G,"&gt;="&amp;DATE(YEAR(A452),MONTH(A452),1),发射纪录!G:G,"&lt;="&amp;DATE(YEAR(A452),MONTH(A452),DAY(EOMONTH(A452,0))),发射纪录!N:N,"=成功",发射纪录!N:N,"&lt;&gt;")</f>
        <v>0</v>
      </c>
      <c r="J452" s="1" t="str">
        <f t="shared" si="367"/>
        <v>-</v>
      </c>
      <c r="K452" s="10">
        <f t="shared" ca="1" si="368"/>
        <v>11</v>
      </c>
      <c r="L452" s="10">
        <f t="shared" ca="1" si="369"/>
        <v>4</v>
      </c>
      <c r="M452" s="2">
        <f t="shared" ca="1" si="370"/>
        <v>0.36363636363636365</v>
      </c>
      <c r="N452" s="10">
        <f t="shared" si="371"/>
        <v>2</v>
      </c>
      <c r="O452" s="10">
        <f t="shared" ca="1" si="372"/>
        <v>2</v>
      </c>
      <c r="P452" s="3">
        <f t="shared" ca="1" si="373"/>
        <v>1</v>
      </c>
      <c r="Q452" s="10">
        <f t="shared" ca="1" si="374"/>
        <v>110</v>
      </c>
      <c r="R452" s="10">
        <f t="shared" ref="R452:R458" ca="1" si="376">F452+L452</f>
        <v>96</v>
      </c>
      <c r="S452" s="4">
        <f t="shared" ca="1" si="375"/>
        <v>0.87272727272727268</v>
      </c>
      <c r="T452" s="478"/>
    </row>
    <row r="453" spans="1:20" x14ac:dyDescent="0.45">
      <c r="A453" s="64">
        <v>39234</v>
      </c>
      <c r="B453" s="14">
        <f>COUNTIFS(发射纪录!B:B,"&lt;&gt;-",发射纪录!G:G,"&gt;="&amp;DATE(YEAR(A453),MONTH(A453),1),发射纪录!G:G,"&lt;="&amp;DATE(YEAR(A453),MONTH(A453),DAY(EOMONTH(A453,0))),发射纪录!N:N,"&lt;&gt;")</f>
        <v>1</v>
      </c>
      <c r="C453" s="10">
        <f>COUNTIFS(发射纪录!B:B,"&lt;&gt;-",发射纪录!G:G,"&gt;="&amp;DATE(YEAR(A453),MONTH(A453),1),发射纪录!G:G,"&lt;="&amp;DATE(YEAR(A453),MONTH(A453),DAY(EOMONTH(A453,0))),发射纪录!N:N,"=成功",发射纪录!N:N,"&lt;&gt;")</f>
        <v>1</v>
      </c>
      <c r="D453" s="1">
        <f t="shared" si="363"/>
        <v>1</v>
      </c>
      <c r="E453" s="10">
        <f t="shared" si="364"/>
        <v>100</v>
      </c>
      <c r="F453" s="10">
        <f t="shared" si="365"/>
        <v>93</v>
      </c>
      <c r="G453" s="2">
        <f t="shared" si="366"/>
        <v>0.93</v>
      </c>
      <c r="H453" s="10">
        <f ca="1">COUNTIFS(发射纪录!C:C,"&lt;&gt;-",发射纪录!G:G,"&gt;="&amp;DATE(YEAR(A453),MONTH(A453),1),发射纪录!G:G,"&lt;="&amp;DATE(YEAR(A453),MONTH(A453),DAY(EOMONTH(A453,0))),发射纪录!N:N,"&lt;&gt;")</f>
        <v>0</v>
      </c>
      <c r="I453" s="10">
        <f>COUNTIFS(发射纪录!C:C,"&lt;&gt;-",发射纪录!G:G,"&gt;="&amp;DATE(YEAR(A453),MONTH(A453),1),发射纪录!G:G,"&lt;="&amp;DATE(YEAR(A453),MONTH(A453),DAY(EOMONTH(A453,0))),发射纪录!N:N,"=成功",发射纪录!N:N,"&lt;&gt;")</f>
        <v>0</v>
      </c>
      <c r="J453" s="1" t="str">
        <f t="shared" ca="1" si="367"/>
        <v>-</v>
      </c>
      <c r="K453" s="10">
        <f t="shared" ca="1" si="368"/>
        <v>11</v>
      </c>
      <c r="L453" s="10">
        <f t="shared" ca="1" si="369"/>
        <v>4</v>
      </c>
      <c r="M453" s="2">
        <f t="shared" ca="1" si="370"/>
        <v>0.36363636363636365</v>
      </c>
      <c r="N453" s="10">
        <f t="shared" ca="1" si="371"/>
        <v>1</v>
      </c>
      <c r="O453" s="10">
        <f t="shared" si="372"/>
        <v>1</v>
      </c>
      <c r="P453" s="3">
        <f t="shared" ca="1" si="373"/>
        <v>1</v>
      </c>
      <c r="Q453" s="10">
        <f t="shared" ca="1" si="374"/>
        <v>111</v>
      </c>
      <c r="R453" s="10">
        <f t="shared" ca="1" si="376"/>
        <v>97</v>
      </c>
      <c r="S453" s="4">
        <f t="shared" ca="1" si="375"/>
        <v>0.87387387387387383</v>
      </c>
      <c r="T453" s="478"/>
    </row>
    <row r="454" spans="1:20" x14ac:dyDescent="0.45">
      <c r="A454" s="64">
        <v>39264</v>
      </c>
      <c r="B454" s="14">
        <f>COUNTIFS(发射纪录!B:B,"&lt;&gt;-",发射纪录!G:G,"&gt;="&amp;DATE(YEAR(A454),MONTH(A454),1),发射纪录!G:G,"&lt;="&amp;DATE(YEAR(A454),MONTH(A454),DAY(EOMONTH(A454,0))),发射纪录!N:N,"&lt;&gt;")</f>
        <v>1</v>
      </c>
      <c r="C454" s="10">
        <f>COUNTIFS(发射纪录!B:B,"&lt;&gt;-",发射纪录!G:G,"&gt;="&amp;DATE(YEAR(A454),MONTH(A454),1),发射纪录!G:G,"&lt;="&amp;DATE(YEAR(A454),MONTH(A454),DAY(EOMONTH(A454,0))),发射纪录!N:N,"=成功",发射纪录!N:N,"&lt;&gt;")</f>
        <v>1</v>
      </c>
      <c r="D454" s="1">
        <f t="shared" si="363"/>
        <v>1</v>
      </c>
      <c r="E454" s="10">
        <f t="shared" si="364"/>
        <v>101</v>
      </c>
      <c r="F454" s="10">
        <f t="shared" si="365"/>
        <v>94</v>
      </c>
      <c r="G454" s="2">
        <f t="shared" si="366"/>
        <v>0.93069306930693074</v>
      </c>
      <c r="H454" s="10">
        <f ca="1">COUNTIFS(发射纪录!C:C,"&lt;&gt;-",发射纪录!G:G,"&gt;="&amp;DATE(YEAR(A454),MONTH(A454),1),发射纪录!G:G,"&lt;="&amp;DATE(YEAR(A454),MONTH(A454),DAY(EOMONTH(A454,0))),发射纪录!N:N,"&lt;&gt;")</f>
        <v>0</v>
      </c>
      <c r="I454" s="10">
        <f>COUNTIFS(发射纪录!C:C,"&lt;&gt;-",发射纪录!G:G,"&gt;="&amp;DATE(YEAR(A454),MONTH(A454),1),发射纪录!G:G,"&lt;="&amp;DATE(YEAR(A454),MONTH(A454),DAY(EOMONTH(A454,0))),发射纪录!N:N,"=成功",发射纪录!N:N,"&lt;&gt;")</f>
        <v>0</v>
      </c>
      <c r="J454" s="1" t="str">
        <f t="shared" ca="1" si="367"/>
        <v>-</v>
      </c>
      <c r="K454" s="10">
        <f t="shared" ca="1" si="368"/>
        <v>11</v>
      </c>
      <c r="L454" s="10">
        <f t="shared" ca="1" si="369"/>
        <v>4</v>
      </c>
      <c r="M454" s="2">
        <f t="shared" ca="1" si="370"/>
        <v>0.36363636363636365</v>
      </c>
      <c r="N454" s="10">
        <f t="shared" ca="1" si="371"/>
        <v>1</v>
      </c>
      <c r="O454" s="10">
        <f t="shared" si="372"/>
        <v>1</v>
      </c>
      <c r="P454" s="3">
        <f t="shared" ca="1" si="373"/>
        <v>1</v>
      </c>
      <c r="Q454" s="10">
        <f t="shared" ca="1" si="374"/>
        <v>112</v>
      </c>
      <c r="R454" s="10">
        <f t="shared" ca="1" si="376"/>
        <v>98</v>
      </c>
      <c r="S454" s="4">
        <f t="shared" ca="1" si="375"/>
        <v>0.875</v>
      </c>
      <c r="T454" s="478"/>
    </row>
    <row r="455" spans="1:20" x14ac:dyDescent="0.45">
      <c r="A455" s="64">
        <v>39295</v>
      </c>
      <c r="B455" s="14">
        <f>COUNTIFS(发射纪录!B:B,"&lt;&gt;-",发射纪录!G:G,"&gt;="&amp;DATE(YEAR(A455),MONTH(A455),1),发射纪录!G:G,"&lt;="&amp;DATE(YEAR(A455),MONTH(A455),DAY(EOMONTH(A455,0))),发射纪录!N:N,"&lt;&gt;")</f>
        <v>0</v>
      </c>
      <c r="C455" s="10">
        <f>COUNTIFS(发射纪录!B:B,"&lt;&gt;-",发射纪录!G:G,"&gt;="&amp;DATE(YEAR(A455),MONTH(A455),1),发射纪录!G:G,"&lt;="&amp;DATE(YEAR(A455),MONTH(A455),DAY(EOMONTH(A455,0))),发射纪录!N:N,"=成功",发射纪录!N:N,"&lt;&gt;")</f>
        <v>0</v>
      </c>
      <c r="D455" s="1" t="str">
        <f t="shared" si="363"/>
        <v>-</v>
      </c>
      <c r="E455" s="10">
        <f t="shared" si="364"/>
        <v>101</v>
      </c>
      <c r="F455" s="10">
        <f t="shared" si="365"/>
        <v>94</v>
      </c>
      <c r="G455" s="2">
        <f t="shared" si="366"/>
        <v>0.93069306930693074</v>
      </c>
      <c r="H455" s="10">
        <f>COUNTIFS(发射纪录!C:C,"&lt;&gt;-",发射纪录!G:G,"&gt;="&amp;DATE(YEAR(A455),MONTH(A455),1),发射纪录!G:G,"&lt;="&amp;DATE(YEAR(A455),MONTH(A455),DAY(EOMONTH(A455,0))),发射纪录!N:N,"&lt;&gt;")</f>
        <v>0</v>
      </c>
      <c r="I455" s="10">
        <f>COUNTIFS(发射纪录!C:C,"&lt;&gt;-",发射纪录!G:G,"&gt;="&amp;DATE(YEAR(A455),MONTH(A455),1),发射纪录!G:G,"&lt;="&amp;DATE(YEAR(A455),MONTH(A455),DAY(EOMONTH(A455,0))),发射纪录!N:N,"=成功",发射纪录!N:N,"&lt;&gt;")</f>
        <v>0</v>
      </c>
      <c r="J455" s="1" t="str">
        <f t="shared" si="367"/>
        <v>-</v>
      </c>
      <c r="K455" s="10">
        <f t="shared" ca="1" si="368"/>
        <v>11</v>
      </c>
      <c r="L455" s="10">
        <f t="shared" ca="1" si="369"/>
        <v>4</v>
      </c>
      <c r="M455" s="2">
        <f t="shared" ca="1" si="370"/>
        <v>0.36363636363636365</v>
      </c>
      <c r="N455" s="10">
        <f t="shared" si="371"/>
        <v>0</v>
      </c>
      <c r="O455" s="10">
        <f t="shared" si="372"/>
        <v>0</v>
      </c>
      <c r="P455" s="3" t="str">
        <f t="shared" si="373"/>
        <v>-</v>
      </c>
      <c r="Q455" s="10">
        <f t="shared" ca="1" si="374"/>
        <v>112</v>
      </c>
      <c r="R455" s="10">
        <f t="shared" ca="1" si="376"/>
        <v>98</v>
      </c>
      <c r="S455" s="4">
        <f t="shared" ca="1" si="375"/>
        <v>0.875</v>
      </c>
      <c r="T455" s="478"/>
    </row>
    <row r="456" spans="1:20" x14ac:dyDescent="0.45">
      <c r="A456" s="64">
        <v>39326</v>
      </c>
      <c r="B456" s="14">
        <f>COUNTIFS(发射纪录!B:B,"&lt;&gt;-",发射纪录!G:G,"&gt;="&amp;DATE(YEAR(A456),MONTH(A456),1),发射纪录!G:G,"&lt;="&amp;DATE(YEAR(A456),MONTH(A456),DAY(EOMONTH(A456,0))),发射纪录!N:N,"&lt;&gt;")</f>
        <v>1</v>
      </c>
      <c r="C456" s="10">
        <f>COUNTIFS(发射纪录!B:B,"&lt;&gt;-",发射纪录!G:G,"&gt;="&amp;DATE(YEAR(A456),MONTH(A456),1),发射纪录!G:G,"&lt;="&amp;DATE(YEAR(A456),MONTH(A456),DAY(EOMONTH(A456,0))),发射纪录!N:N,"=成功",发射纪录!N:N,"&lt;&gt;")</f>
        <v>1</v>
      </c>
      <c r="D456" s="1">
        <f t="shared" si="363"/>
        <v>1</v>
      </c>
      <c r="E456" s="10">
        <f t="shared" si="364"/>
        <v>102</v>
      </c>
      <c r="F456" s="10">
        <f t="shared" si="365"/>
        <v>95</v>
      </c>
      <c r="G456" s="2">
        <f t="shared" si="366"/>
        <v>0.93137254901960786</v>
      </c>
      <c r="H456" s="10">
        <f ca="1">COUNTIFS(发射纪录!C:C,"&lt;&gt;-",发射纪录!G:G,"&gt;="&amp;DATE(YEAR(A456),MONTH(A456),1),发射纪录!G:G,"&lt;="&amp;DATE(YEAR(A456),MONTH(A456),DAY(EOMONTH(A456,0))),发射纪录!N:N,"&lt;&gt;")</f>
        <v>0</v>
      </c>
      <c r="I456" s="10">
        <f ca="1">COUNTIFS(发射纪录!C:C,"&lt;&gt;-",发射纪录!G:G,"&gt;="&amp;DATE(YEAR(A456),MONTH(A456),1),发射纪录!G:G,"&lt;="&amp;DATE(YEAR(A456),MONTH(A456),DAY(EOMONTH(A456,0))),发射纪录!N:N,"=成功",发射纪录!N:N,"&lt;&gt;")</f>
        <v>0</v>
      </c>
      <c r="J456" s="1" t="str">
        <f t="shared" ca="1" si="367"/>
        <v>-</v>
      </c>
      <c r="K456" s="10">
        <f t="shared" ca="1" si="368"/>
        <v>11</v>
      </c>
      <c r="L456" s="10">
        <f t="shared" ca="1" si="369"/>
        <v>4</v>
      </c>
      <c r="M456" s="2">
        <f t="shared" ca="1" si="370"/>
        <v>0.36363636363636365</v>
      </c>
      <c r="N456" s="10">
        <f t="shared" ca="1" si="371"/>
        <v>1</v>
      </c>
      <c r="O456" s="10">
        <f t="shared" ca="1" si="372"/>
        <v>1</v>
      </c>
      <c r="P456" s="3">
        <f t="shared" ca="1" si="373"/>
        <v>1</v>
      </c>
      <c r="Q456" s="10">
        <f t="shared" ca="1" si="374"/>
        <v>113</v>
      </c>
      <c r="R456" s="10">
        <f t="shared" ca="1" si="376"/>
        <v>99</v>
      </c>
      <c r="S456" s="4">
        <f t="shared" ca="1" si="375"/>
        <v>0.87610619469026552</v>
      </c>
      <c r="T456" s="478"/>
    </row>
    <row r="457" spans="1:20" x14ac:dyDescent="0.45">
      <c r="A457" s="64">
        <v>39356</v>
      </c>
      <c r="B457" s="14">
        <f>COUNTIFS(发射纪录!B:B,"&lt;&gt;-",发射纪录!G:G,"&gt;="&amp;DATE(YEAR(A457),MONTH(A457),1),发射纪录!G:G,"&lt;="&amp;DATE(YEAR(A457),MONTH(A457),DAY(EOMONTH(A457,0))),发射纪录!N:N,"&lt;&gt;")</f>
        <v>1</v>
      </c>
      <c r="C457" s="10">
        <f>COUNTIFS(发射纪录!B:B,"&lt;&gt;-",发射纪录!G:G,"&gt;="&amp;DATE(YEAR(A457),MONTH(A457),1),发射纪录!G:G,"&lt;="&amp;DATE(YEAR(A457),MONTH(A457),DAY(EOMONTH(A457,0))),发射纪录!N:N,"=成功",发射纪录!N:N,"&lt;&gt;")</f>
        <v>1</v>
      </c>
      <c r="D457" s="1">
        <f t="shared" si="363"/>
        <v>1</v>
      </c>
      <c r="E457" s="10">
        <f t="shared" si="364"/>
        <v>103</v>
      </c>
      <c r="F457" s="10">
        <f t="shared" si="365"/>
        <v>96</v>
      </c>
      <c r="G457" s="2">
        <f t="shared" si="366"/>
        <v>0.93203883495145634</v>
      </c>
      <c r="H457" s="10">
        <f>COUNTIFS(发射纪录!C:C,"&lt;&gt;-",发射纪录!G:G,"&gt;="&amp;DATE(YEAR(A457),MONTH(A457),1),发射纪录!G:G,"&lt;="&amp;DATE(YEAR(A457),MONTH(A457),DAY(EOMONTH(A457,0))),发射纪录!N:N,"&lt;&gt;")</f>
        <v>0</v>
      </c>
      <c r="I457" s="10">
        <f ca="1">COUNTIFS(发射纪录!C:C,"&lt;&gt;-",发射纪录!G:G,"&gt;="&amp;DATE(YEAR(A457),MONTH(A457),1),发射纪录!G:G,"&lt;="&amp;DATE(YEAR(A457),MONTH(A457),DAY(EOMONTH(A457,0))),发射纪录!N:N,"=成功",发射纪录!N:N,"&lt;&gt;")</f>
        <v>0</v>
      </c>
      <c r="J457" s="1" t="str">
        <f t="shared" si="367"/>
        <v>-</v>
      </c>
      <c r="K457" s="10">
        <f t="shared" ca="1" si="368"/>
        <v>11</v>
      </c>
      <c r="L457" s="10">
        <f t="shared" ca="1" si="369"/>
        <v>4</v>
      </c>
      <c r="M457" s="2">
        <f t="shared" ca="1" si="370"/>
        <v>0.36363636363636365</v>
      </c>
      <c r="N457" s="10">
        <f t="shared" si="371"/>
        <v>1</v>
      </c>
      <c r="O457" s="10">
        <f t="shared" ca="1" si="372"/>
        <v>1</v>
      </c>
      <c r="P457" s="3">
        <f t="shared" ca="1" si="373"/>
        <v>1</v>
      </c>
      <c r="Q457" s="10">
        <f t="shared" ca="1" si="374"/>
        <v>114</v>
      </c>
      <c r="R457" s="10">
        <f t="shared" ca="1" si="376"/>
        <v>100</v>
      </c>
      <c r="S457" s="4">
        <f t="shared" ca="1" si="375"/>
        <v>0.8771929824561403</v>
      </c>
      <c r="T457" s="478"/>
    </row>
    <row r="458" spans="1:20" x14ac:dyDescent="0.45">
      <c r="A458" s="64">
        <v>39387</v>
      </c>
      <c r="B458" s="14">
        <f>COUNTIFS(发射纪录!B:B,"&lt;&gt;-",发射纪录!G:G,"&gt;="&amp;DATE(YEAR(A458),MONTH(A458),1),发射纪录!G:G,"&lt;="&amp;DATE(YEAR(A458),MONTH(A458),DAY(EOMONTH(A458,0))),发射纪录!N:N,"&lt;&gt;")</f>
        <v>1</v>
      </c>
      <c r="C458" s="10">
        <f>COUNTIFS(发射纪录!B:B,"&lt;&gt;-",发射纪录!G:G,"&gt;="&amp;DATE(YEAR(A458),MONTH(A458),1),发射纪录!G:G,"&lt;="&amp;DATE(YEAR(A458),MONTH(A458),DAY(EOMONTH(A458,0))),发射纪录!N:N,"=成功",发射纪录!N:N,"&lt;&gt;")</f>
        <v>1</v>
      </c>
      <c r="D458" s="1">
        <f t="shared" si="363"/>
        <v>1</v>
      </c>
      <c r="E458" s="10">
        <f t="shared" si="364"/>
        <v>104</v>
      </c>
      <c r="F458" s="10">
        <f t="shared" si="365"/>
        <v>97</v>
      </c>
      <c r="G458" s="2">
        <f t="shared" si="366"/>
        <v>0.93269230769230771</v>
      </c>
      <c r="H458" s="10">
        <f ca="1">COUNTIFS(发射纪录!C:C,"&lt;&gt;-",发射纪录!G:G,"&gt;="&amp;DATE(YEAR(A458),MONTH(A458),1),发射纪录!G:G,"&lt;="&amp;DATE(YEAR(A458),MONTH(A458),DAY(EOMONTH(A458,0))),发射纪录!N:N,"&lt;&gt;")</f>
        <v>0</v>
      </c>
      <c r="I458" s="10">
        <f>COUNTIFS(发射纪录!C:C,"&lt;&gt;-",发射纪录!G:G,"&gt;="&amp;DATE(YEAR(A458),MONTH(A458),1),发射纪录!G:G,"&lt;="&amp;DATE(YEAR(A458),MONTH(A458),DAY(EOMONTH(A458,0))),发射纪录!N:N,"=成功",发射纪录!N:N,"&lt;&gt;")</f>
        <v>0</v>
      </c>
      <c r="J458" s="1" t="str">
        <f t="shared" ca="1" si="367"/>
        <v>-</v>
      </c>
      <c r="K458" s="10">
        <f t="shared" ca="1" si="368"/>
        <v>11</v>
      </c>
      <c r="L458" s="10">
        <f t="shared" ca="1" si="369"/>
        <v>4</v>
      </c>
      <c r="M458" s="2">
        <f t="shared" ca="1" si="370"/>
        <v>0.36363636363636365</v>
      </c>
      <c r="N458" s="10">
        <f t="shared" ca="1" si="371"/>
        <v>1</v>
      </c>
      <c r="O458" s="10">
        <f t="shared" si="372"/>
        <v>1</v>
      </c>
      <c r="P458" s="3">
        <f t="shared" ca="1" si="373"/>
        <v>1</v>
      </c>
      <c r="Q458" s="10">
        <f t="shared" ca="1" si="374"/>
        <v>115</v>
      </c>
      <c r="R458" s="10">
        <f t="shared" ca="1" si="376"/>
        <v>101</v>
      </c>
      <c r="S458" s="4">
        <f t="shared" ca="1" si="375"/>
        <v>0.87826086956521743</v>
      </c>
      <c r="T458" s="478"/>
    </row>
    <row r="459" spans="1:20" ht="19.5" customHeight="1" thickBot="1" x14ac:dyDescent="0.5">
      <c r="A459" s="65">
        <v>39417</v>
      </c>
      <c r="B459" s="17">
        <f>COUNTIFS(发射纪录!B:B,"&lt;&gt;-",发射纪录!G:G,"&gt;="&amp;DATE(YEAR(A459),MONTH(A459),1),发射纪录!G:G,"&lt;="&amp;DATE(YEAR(A459),MONTH(A459),DAY(EOMONTH(A459,0))),发射纪录!N:N,"&lt;&gt;")</f>
        <v>0</v>
      </c>
      <c r="C459" s="18">
        <f>COUNTIFS(发射纪录!B:B,"&lt;&gt;-",发射纪录!G:G,"&gt;="&amp;DATE(YEAR(A459),MONTH(A459),1),发射纪录!G:G,"&lt;="&amp;DATE(YEAR(A459),MONTH(A459),DAY(EOMONTH(A459,0))),发射纪录!N:N,"=成功",发射纪录!N:N,"&lt;&gt;")</f>
        <v>0</v>
      </c>
      <c r="D459" s="12" t="str">
        <f>IF(B459=0,"-",C459/B459)</f>
        <v>-</v>
      </c>
      <c r="E459" s="18">
        <f>E458+B459</f>
        <v>104</v>
      </c>
      <c r="F459" s="18">
        <f>F458+C459</f>
        <v>97</v>
      </c>
      <c r="G459" s="13">
        <f>IF(E459=0,"-",F459/E459)</f>
        <v>0.93269230769230771</v>
      </c>
      <c r="H459" s="18">
        <f ca="1">COUNTIFS(发射纪录!C:C,"&lt;&gt;-",发射纪录!G:G,"&gt;="&amp;DATE(YEAR(A459),MONTH(A459),1),发射纪录!G:G,"&lt;="&amp;DATE(YEAR(A459),MONTH(A459),DAY(EOMONTH(A459,0))),发射纪录!N:N,"&lt;&gt;")</f>
        <v>0</v>
      </c>
      <c r="I459" s="18">
        <f ca="1">COUNTIFS(发射纪录!C:C,"&lt;&gt;-",发射纪录!G:G,"&gt;="&amp;DATE(YEAR(A459),MONTH(A459),1),发射纪录!G:G,"&lt;="&amp;DATE(YEAR(A459),MONTH(A459),DAY(EOMONTH(A459,0))),发射纪录!N:N,"=成功",发射纪录!N:N,"&lt;&gt;")</f>
        <v>0</v>
      </c>
      <c r="J459" s="12" t="str">
        <f ca="1">IF(H459=0,"-",I459/H459)</f>
        <v>-</v>
      </c>
      <c r="K459" s="18">
        <f ca="1">K458+H459</f>
        <v>11</v>
      </c>
      <c r="L459" s="18">
        <f ca="1">L458+I459</f>
        <v>4</v>
      </c>
      <c r="M459" s="13">
        <f ca="1">IF(K459=0,"-",L459/K459)</f>
        <v>0.36363636363636365</v>
      </c>
      <c r="N459" s="18">
        <f ca="1">B459+H459</f>
        <v>0</v>
      </c>
      <c r="O459" s="18">
        <f ca="1">C459+I459</f>
        <v>0</v>
      </c>
      <c r="P459" s="12" t="str">
        <f ca="1">IF(N459=0,"-",O459/N459)</f>
        <v>-</v>
      </c>
      <c r="Q459" s="18">
        <f ca="1">E459+K459</f>
        <v>115</v>
      </c>
      <c r="R459" s="18">
        <f ca="1">F459+L459</f>
        <v>101</v>
      </c>
      <c r="S459" s="13">
        <f ca="1">IF(Q459=0,"-",R459/Q459)</f>
        <v>0.87826086956521743</v>
      </c>
      <c r="T459" s="478"/>
    </row>
    <row r="460" spans="1:20" ht="19.5" customHeight="1" thickTop="1" x14ac:dyDescent="0.45">
      <c r="A460" s="63">
        <v>39448</v>
      </c>
      <c r="B460" s="14">
        <f>COUNTIFS(发射纪录!B:B,"&lt;&gt;-",发射纪录!G:G,"&gt;="&amp;DATE(YEAR(A460),MONTH(A460),1),发射纪录!G:G,"&lt;="&amp;DATE(YEAR(A460),MONTH(A460),DAY(EOMONTH(A460,0))),发射纪录!N:N,"&lt;&gt;")</f>
        <v>0</v>
      </c>
      <c r="C460" s="10">
        <f>COUNTIFS(发射纪录!B:B,"&lt;&gt;-",发射纪录!G:G,"&gt;="&amp;DATE(YEAR(A460),MONTH(A460),1),发射纪录!G:G,"&lt;="&amp;DATE(YEAR(A460),MONTH(A460),DAY(EOMONTH(A460,0))),发射纪录!N:N,"=成功",发射纪录!N:N,"&lt;&gt;")</f>
        <v>0</v>
      </c>
      <c r="D460" s="3" t="str">
        <f t="shared" ref="D460:D470" si="377">IF(B460=0,"-",C460/B460)</f>
        <v>-</v>
      </c>
      <c r="E460" s="10">
        <f t="shared" ref="E460:E470" si="378">E459+B460</f>
        <v>104</v>
      </c>
      <c r="F460" s="10">
        <f t="shared" ref="F460:F470" si="379">F459+C460</f>
        <v>97</v>
      </c>
      <c r="G460" s="4">
        <f t="shared" ref="G460:G470" si="380">IF(E460=0,"-",F460/E460)</f>
        <v>0.93269230769230771</v>
      </c>
      <c r="H460" s="10">
        <f>COUNTIFS(发射纪录!C:C,"&lt;&gt;-",发射纪录!G:G,"&gt;="&amp;DATE(YEAR(A460),MONTH(A460),1),发射纪录!G:G,"&lt;="&amp;DATE(YEAR(A460),MONTH(A460),DAY(EOMONTH(A460,0))),发射纪录!N:N,"&lt;&gt;")</f>
        <v>0</v>
      </c>
      <c r="I460" s="10">
        <f>COUNTIFS(发射纪录!C:C,"&lt;&gt;-",发射纪录!G:G,"&gt;="&amp;DATE(YEAR(A460),MONTH(A460),1),发射纪录!G:G,"&lt;="&amp;DATE(YEAR(A460),MONTH(A460),DAY(EOMONTH(A460,0))),发射纪录!N:N,"=成功",发射纪录!N:N,"&lt;&gt;")</f>
        <v>0</v>
      </c>
      <c r="J460" s="3" t="str">
        <f t="shared" ref="J460:J470" si="381">IF(H460=0,"-",I460/H460)</f>
        <v>-</v>
      </c>
      <c r="K460" s="10">
        <f t="shared" ref="K460:K470" ca="1" si="382">K459+H460</f>
        <v>11</v>
      </c>
      <c r="L460" s="10">
        <f t="shared" ref="L460:L470" ca="1" si="383">L459+I460</f>
        <v>4</v>
      </c>
      <c r="M460" s="4">
        <f t="shared" ref="M460:M470" ca="1" si="384">IF(K460=0,"-",L460/K460)</f>
        <v>0.36363636363636365</v>
      </c>
      <c r="N460" s="10">
        <f t="shared" ref="N460:N470" si="385">B460+H460</f>
        <v>0</v>
      </c>
      <c r="O460" s="10">
        <f t="shared" ref="O460:O470" si="386">C460+I460</f>
        <v>0</v>
      </c>
      <c r="P460" s="3" t="str">
        <f t="shared" ref="P460:P470" si="387">IF(N460=0,"-",O460/N460)</f>
        <v>-</v>
      </c>
      <c r="Q460" s="10">
        <f t="shared" ref="Q460:Q470" ca="1" si="388">E460+K460</f>
        <v>115</v>
      </c>
      <c r="R460" s="10">
        <f t="shared" ref="R460:R506" ca="1" si="389">F460+L460</f>
        <v>101</v>
      </c>
      <c r="S460" s="4">
        <f t="shared" ref="S460:S470" ca="1" si="390">IF(Q460=0,"-",R460/Q460)</f>
        <v>0.87826086956521743</v>
      </c>
      <c r="T460" s="478"/>
    </row>
    <row r="461" spans="1:20" x14ac:dyDescent="0.45">
      <c r="A461" s="64">
        <v>39479</v>
      </c>
      <c r="B461" s="14">
        <f>COUNTIFS(发射纪录!B:B,"&lt;&gt;-",发射纪录!G:G,"&gt;="&amp;DATE(YEAR(A461),MONTH(A461),1),发射纪录!G:G,"&lt;="&amp;DATE(YEAR(A461),MONTH(A461),DAY(EOMONTH(A461,0))),发射纪录!N:N,"&lt;&gt;")</f>
        <v>0</v>
      </c>
      <c r="C461" s="10">
        <f>COUNTIFS(发射纪录!B:B,"&lt;&gt;-",发射纪录!G:G,"&gt;="&amp;DATE(YEAR(A461),MONTH(A461),1),发射纪录!G:G,"&lt;="&amp;DATE(YEAR(A461),MONTH(A461),DAY(EOMONTH(A461,0))),发射纪录!N:N,"=成功",发射纪录!N:N,"&lt;&gt;")</f>
        <v>0</v>
      </c>
      <c r="D461" s="1" t="str">
        <f t="shared" si="377"/>
        <v>-</v>
      </c>
      <c r="E461" s="10">
        <f t="shared" si="378"/>
        <v>104</v>
      </c>
      <c r="F461" s="10">
        <f t="shared" si="379"/>
        <v>97</v>
      </c>
      <c r="G461" s="2">
        <f t="shared" si="380"/>
        <v>0.93269230769230771</v>
      </c>
      <c r="H461" s="10">
        <f>COUNTIFS(发射纪录!C:C,"&lt;&gt;-",发射纪录!G:G,"&gt;="&amp;DATE(YEAR(A461),MONTH(A461),1),发射纪录!G:G,"&lt;="&amp;DATE(YEAR(A461),MONTH(A461),DAY(EOMONTH(A461,0))),发射纪录!N:N,"&lt;&gt;")</f>
        <v>0</v>
      </c>
      <c r="I461" s="10">
        <f>COUNTIFS(发射纪录!C:C,"&lt;&gt;-",发射纪录!G:G,"&gt;="&amp;DATE(YEAR(A461),MONTH(A461),1),发射纪录!G:G,"&lt;="&amp;DATE(YEAR(A461),MONTH(A461),DAY(EOMONTH(A461,0))),发射纪录!N:N,"=成功",发射纪录!N:N,"&lt;&gt;")</f>
        <v>0</v>
      </c>
      <c r="J461" s="1" t="str">
        <f t="shared" si="381"/>
        <v>-</v>
      </c>
      <c r="K461" s="10">
        <f t="shared" ca="1" si="382"/>
        <v>11</v>
      </c>
      <c r="L461" s="10">
        <f t="shared" ca="1" si="383"/>
        <v>4</v>
      </c>
      <c r="M461" s="2">
        <f t="shared" ca="1" si="384"/>
        <v>0.36363636363636365</v>
      </c>
      <c r="N461" s="10">
        <f t="shared" si="385"/>
        <v>0</v>
      </c>
      <c r="O461" s="10">
        <f t="shared" si="386"/>
        <v>0</v>
      </c>
      <c r="P461" s="3" t="str">
        <f t="shared" si="387"/>
        <v>-</v>
      </c>
      <c r="Q461" s="10">
        <f t="shared" ca="1" si="388"/>
        <v>115</v>
      </c>
      <c r="R461" s="10">
        <f t="shared" ca="1" si="389"/>
        <v>101</v>
      </c>
      <c r="S461" s="4">
        <f t="shared" ca="1" si="390"/>
        <v>0.87826086956521743</v>
      </c>
      <c r="T461" s="478"/>
    </row>
    <row r="462" spans="1:20" x14ac:dyDescent="0.45">
      <c r="A462" s="64">
        <v>39508</v>
      </c>
      <c r="B462" s="14">
        <f>COUNTIFS(发射纪录!B:B,"&lt;&gt;-",发射纪录!G:G,"&gt;="&amp;DATE(YEAR(A462),MONTH(A462),1),发射纪录!G:G,"&lt;="&amp;DATE(YEAR(A462),MONTH(A462),DAY(EOMONTH(A462,0))),发射纪录!N:N,"&lt;&gt;")</f>
        <v>0</v>
      </c>
      <c r="C462" s="10">
        <f>COUNTIFS(发射纪录!B:B,"&lt;&gt;-",发射纪录!G:G,"&gt;="&amp;DATE(YEAR(A462),MONTH(A462),1),发射纪录!G:G,"&lt;="&amp;DATE(YEAR(A462),MONTH(A462),DAY(EOMONTH(A462,0))),发射纪录!N:N,"=成功",发射纪录!N:N,"&lt;&gt;")</f>
        <v>0</v>
      </c>
      <c r="D462" s="1" t="str">
        <f t="shared" si="377"/>
        <v>-</v>
      </c>
      <c r="E462" s="10">
        <f t="shared" si="378"/>
        <v>104</v>
      </c>
      <c r="F462" s="10">
        <f t="shared" si="379"/>
        <v>97</v>
      </c>
      <c r="G462" s="2">
        <f t="shared" si="380"/>
        <v>0.93269230769230771</v>
      </c>
      <c r="H462" s="10">
        <f>COUNTIFS(发射纪录!C:C,"&lt;&gt;-",发射纪录!G:G,"&gt;="&amp;DATE(YEAR(A462),MONTH(A462),1),发射纪录!G:G,"&lt;="&amp;DATE(YEAR(A462),MONTH(A462),DAY(EOMONTH(A462,0))),发射纪录!N:N,"&lt;&gt;")</f>
        <v>0</v>
      </c>
      <c r="I462" s="10">
        <f>COUNTIFS(发射纪录!C:C,"&lt;&gt;-",发射纪录!G:G,"&gt;="&amp;DATE(YEAR(A462),MONTH(A462),1),发射纪录!G:G,"&lt;="&amp;DATE(YEAR(A462),MONTH(A462),DAY(EOMONTH(A462,0))),发射纪录!N:N,"=成功",发射纪录!N:N,"&lt;&gt;")</f>
        <v>0</v>
      </c>
      <c r="J462" s="1" t="str">
        <f t="shared" si="381"/>
        <v>-</v>
      </c>
      <c r="K462" s="10">
        <f t="shared" ca="1" si="382"/>
        <v>11</v>
      </c>
      <c r="L462" s="10">
        <f t="shared" ca="1" si="383"/>
        <v>4</v>
      </c>
      <c r="M462" s="2">
        <f t="shared" ca="1" si="384"/>
        <v>0.36363636363636365</v>
      </c>
      <c r="N462" s="10">
        <f t="shared" si="385"/>
        <v>0</v>
      </c>
      <c r="O462" s="10">
        <f t="shared" si="386"/>
        <v>0</v>
      </c>
      <c r="P462" s="3" t="str">
        <f t="shared" si="387"/>
        <v>-</v>
      </c>
      <c r="Q462" s="10">
        <f t="shared" ca="1" si="388"/>
        <v>115</v>
      </c>
      <c r="R462" s="10">
        <f t="shared" ca="1" si="389"/>
        <v>101</v>
      </c>
      <c r="S462" s="4">
        <f t="shared" ca="1" si="390"/>
        <v>0.87826086956521743</v>
      </c>
      <c r="T462" s="478"/>
    </row>
    <row r="463" spans="1:20" x14ac:dyDescent="0.45">
      <c r="A463" s="64">
        <v>39539</v>
      </c>
      <c r="B463" s="14">
        <f>COUNTIFS(发射纪录!B:B,"&lt;&gt;-",发射纪录!G:G,"&gt;="&amp;DATE(YEAR(A463),MONTH(A463),1),发射纪录!G:G,"&lt;="&amp;DATE(YEAR(A463),MONTH(A463),DAY(EOMONTH(A463,0))),发射纪录!N:N,"&lt;&gt;")</f>
        <v>1</v>
      </c>
      <c r="C463" s="10">
        <f>COUNTIFS(发射纪录!B:B,"&lt;&gt;-",发射纪录!G:G,"&gt;="&amp;DATE(YEAR(A463),MONTH(A463),1),发射纪录!G:G,"&lt;="&amp;DATE(YEAR(A463),MONTH(A463),DAY(EOMONTH(A463,0))),发射纪录!N:N,"=成功",发射纪录!N:N,"&lt;&gt;")</f>
        <v>1</v>
      </c>
      <c r="D463" s="1">
        <f t="shared" si="377"/>
        <v>1</v>
      </c>
      <c r="E463" s="10">
        <f t="shared" si="378"/>
        <v>105</v>
      </c>
      <c r="F463" s="10">
        <f t="shared" si="379"/>
        <v>98</v>
      </c>
      <c r="G463" s="2">
        <f t="shared" si="380"/>
        <v>0.93333333333333335</v>
      </c>
      <c r="H463" s="10">
        <f>COUNTIFS(发射纪录!C:C,"&lt;&gt;-",发射纪录!G:G,"&gt;="&amp;DATE(YEAR(A463),MONTH(A463),1),发射纪录!G:G,"&lt;="&amp;DATE(YEAR(A463),MONTH(A463),DAY(EOMONTH(A463,0))),发射纪录!N:N,"&lt;&gt;")</f>
        <v>0</v>
      </c>
      <c r="I463" s="10">
        <f>COUNTIFS(发射纪录!C:C,"&lt;&gt;-",发射纪录!G:G,"&gt;="&amp;DATE(YEAR(A463),MONTH(A463),1),发射纪录!G:G,"&lt;="&amp;DATE(YEAR(A463),MONTH(A463),DAY(EOMONTH(A463,0))),发射纪录!N:N,"=成功",发射纪录!N:N,"&lt;&gt;")</f>
        <v>0</v>
      </c>
      <c r="J463" s="1" t="str">
        <f t="shared" si="381"/>
        <v>-</v>
      </c>
      <c r="K463" s="10">
        <f t="shared" ca="1" si="382"/>
        <v>11</v>
      </c>
      <c r="L463" s="10">
        <f t="shared" ca="1" si="383"/>
        <v>4</v>
      </c>
      <c r="M463" s="2">
        <f t="shared" ca="1" si="384"/>
        <v>0.36363636363636365</v>
      </c>
      <c r="N463" s="10">
        <f t="shared" si="385"/>
        <v>1</v>
      </c>
      <c r="O463" s="10">
        <f t="shared" si="386"/>
        <v>1</v>
      </c>
      <c r="P463" s="3">
        <f t="shared" si="387"/>
        <v>1</v>
      </c>
      <c r="Q463" s="10">
        <f t="shared" ca="1" si="388"/>
        <v>116</v>
      </c>
      <c r="R463" s="10">
        <f t="shared" ca="1" si="389"/>
        <v>102</v>
      </c>
      <c r="S463" s="4">
        <f t="shared" ca="1" si="390"/>
        <v>0.87931034482758619</v>
      </c>
      <c r="T463" s="478"/>
    </row>
    <row r="464" spans="1:20" x14ac:dyDescent="0.45">
      <c r="A464" s="64">
        <v>39569</v>
      </c>
      <c r="B464" s="14">
        <f>COUNTIFS(发射纪录!B:B,"&lt;&gt;-",发射纪录!G:G,"&gt;="&amp;DATE(YEAR(A464),MONTH(A464),1),发射纪录!G:G,"&lt;="&amp;DATE(YEAR(A464),MONTH(A464),DAY(EOMONTH(A464,0))),发射纪录!N:N,"&lt;&gt;")</f>
        <v>1</v>
      </c>
      <c r="C464" s="10">
        <f>COUNTIFS(发射纪录!B:B,"&lt;&gt;-",发射纪录!G:G,"&gt;="&amp;DATE(YEAR(A464),MONTH(A464),1),发射纪录!G:G,"&lt;="&amp;DATE(YEAR(A464),MONTH(A464),DAY(EOMONTH(A464,0))),发射纪录!N:N,"=成功",发射纪录!N:N,"&lt;&gt;")</f>
        <v>1</v>
      </c>
      <c r="D464" s="1">
        <f t="shared" si="377"/>
        <v>1</v>
      </c>
      <c r="E464" s="10">
        <f t="shared" si="378"/>
        <v>106</v>
      </c>
      <c r="F464" s="10">
        <f t="shared" si="379"/>
        <v>99</v>
      </c>
      <c r="G464" s="2">
        <f t="shared" si="380"/>
        <v>0.93396226415094341</v>
      </c>
      <c r="H464" s="10">
        <f>COUNTIFS(发射纪录!C:C,"&lt;&gt;-",发射纪录!G:G,"&gt;="&amp;DATE(YEAR(A464),MONTH(A464),1),发射纪录!G:G,"&lt;="&amp;DATE(YEAR(A464),MONTH(A464),DAY(EOMONTH(A464,0))),发射纪录!N:N,"&lt;&gt;")</f>
        <v>0</v>
      </c>
      <c r="I464" s="10">
        <f ca="1">COUNTIFS(发射纪录!C:C,"&lt;&gt;-",发射纪录!G:G,"&gt;="&amp;DATE(YEAR(A464),MONTH(A464),1),发射纪录!G:G,"&lt;="&amp;DATE(YEAR(A464),MONTH(A464),DAY(EOMONTH(A464,0))),发射纪录!N:N,"=成功",发射纪录!N:N,"&lt;&gt;")</f>
        <v>0</v>
      </c>
      <c r="J464" s="1" t="str">
        <f t="shared" si="381"/>
        <v>-</v>
      </c>
      <c r="K464" s="10">
        <f t="shared" ca="1" si="382"/>
        <v>11</v>
      </c>
      <c r="L464" s="10">
        <f t="shared" ca="1" si="383"/>
        <v>4</v>
      </c>
      <c r="M464" s="2">
        <f t="shared" ca="1" si="384"/>
        <v>0.36363636363636365</v>
      </c>
      <c r="N464" s="10">
        <f t="shared" si="385"/>
        <v>1</v>
      </c>
      <c r="O464" s="10">
        <f t="shared" ca="1" si="386"/>
        <v>1</v>
      </c>
      <c r="P464" s="3">
        <f t="shared" ca="1" si="387"/>
        <v>1</v>
      </c>
      <c r="Q464" s="10">
        <f t="shared" ca="1" si="388"/>
        <v>117</v>
      </c>
      <c r="R464" s="10">
        <f t="shared" ca="1" si="389"/>
        <v>103</v>
      </c>
      <c r="S464" s="4">
        <f t="shared" ca="1" si="390"/>
        <v>0.88034188034188032</v>
      </c>
      <c r="T464" s="478"/>
    </row>
    <row r="465" spans="1:20" x14ac:dyDescent="0.45">
      <c r="A465" s="64">
        <v>39600</v>
      </c>
      <c r="B465" s="14">
        <f>COUNTIFS(发射纪录!B:B,"&lt;&gt;-",发射纪录!G:G,"&gt;="&amp;DATE(YEAR(A465),MONTH(A465),1),发射纪录!G:G,"&lt;="&amp;DATE(YEAR(A465),MONTH(A465),DAY(EOMONTH(A465,0))),发射纪录!N:N,"&lt;&gt;")</f>
        <v>1</v>
      </c>
      <c r="C465" s="10">
        <f>COUNTIFS(发射纪录!B:B,"&lt;&gt;-",发射纪录!G:G,"&gt;="&amp;DATE(YEAR(A465),MONTH(A465),1),发射纪录!G:G,"&lt;="&amp;DATE(YEAR(A465),MONTH(A465),DAY(EOMONTH(A465,0))),发射纪录!N:N,"=成功",发射纪录!N:N,"&lt;&gt;")</f>
        <v>1</v>
      </c>
      <c r="D465" s="1">
        <f t="shared" si="377"/>
        <v>1</v>
      </c>
      <c r="E465" s="10">
        <f t="shared" si="378"/>
        <v>107</v>
      </c>
      <c r="F465" s="10">
        <f t="shared" si="379"/>
        <v>100</v>
      </c>
      <c r="G465" s="2">
        <f t="shared" si="380"/>
        <v>0.93457943925233644</v>
      </c>
      <c r="H465" s="10">
        <f ca="1">COUNTIFS(发射纪录!C:C,"&lt;&gt;-",发射纪录!G:G,"&gt;="&amp;DATE(YEAR(A465),MONTH(A465),1),发射纪录!G:G,"&lt;="&amp;DATE(YEAR(A465),MONTH(A465),DAY(EOMONTH(A465,0))),发射纪录!N:N,"&lt;&gt;")</f>
        <v>0</v>
      </c>
      <c r="I465" s="10">
        <f>COUNTIFS(发射纪录!C:C,"&lt;&gt;-",发射纪录!G:G,"&gt;="&amp;DATE(YEAR(A465),MONTH(A465),1),发射纪录!G:G,"&lt;="&amp;DATE(YEAR(A465),MONTH(A465),DAY(EOMONTH(A465,0))),发射纪录!N:N,"=成功",发射纪录!N:N,"&lt;&gt;")</f>
        <v>0</v>
      </c>
      <c r="J465" s="1" t="str">
        <f t="shared" ca="1" si="381"/>
        <v>-</v>
      </c>
      <c r="K465" s="10">
        <f t="shared" ca="1" si="382"/>
        <v>11</v>
      </c>
      <c r="L465" s="10">
        <f t="shared" ca="1" si="383"/>
        <v>4</v>
      </c>
      <c r="M465" s="2">
        <f t="shared" ca="1" si="384"/>
        <v>0.36363636363636365</v>
      </c>
      <c r="N465" s="10">
        <f t="shared" ca="1" si="385"/>
        <v>1</v>
      </c>
      <c r="O465" s="10">
        <f t="shared" si="386"/>
        <v>1</v>
      </c>
      <c r="P465" s="3">
        <f t="shared" ca="1" si="387"/>
        <v>1</v>
      </c>
      <c r="Q465" s="10">
        <f t="shared" ca="1" si="388"/>
        <v>118</v>
      </c>
      <c r="R465" s="10">
        <f t="shared" ca="1" si="389"/>
        <v>104</v>
      </c>
      <c r="S465" s="4">
        <f t="shared" ca="1" si="390"/>
        <v>0.88135593220338981</v>
      </c>
      <c r="T465" s="478"/>
    </row>
    <row r="466" spans="1:20" x14ac:dyDescent="0.45">
      <c r="A466" s="64">
        <v>39630</v>
      </c>
      <c r="B466" s="14">
        <f>COUNTIFS(发射纪录!B:B,"&lt;&gt;-",发射纪录!G:G,"&gt;="&amp;DATE(YEAR(A466),MONTH(A466),1),发射纪录!G:G,"&lt;="&amp;DATE(YEAR(A466),MONTH(A466),DAY(EOMONTH(A466,0))),发射纪录!N:N,"&lt;&gt;")</f>
        <v>0</v>
      </c>
      <c r="C466" s="10">
        <f>COUNTIFS(发射纪录!B:B,"&lt;&gt;-",发射纪录!G:G,"&gt;="&amp;DATE(YEAR(A466),MONTH(A466),1),发射纪录!G:G,"&lt;="&amp;DATE(YEAR(A466),MONTH(A466),DAY(EOMONTH(A466,0))),发射纪录!N:N,"=成功",发射纪录!N:N,"&lt;&gt;")</f>
        <v>0</v>
      </c>
      <c r="D466" s="1" t="str">
        <f t="shared" si="377"/>
        <v>-</v>
      </c>
      <c r="E466" s="10">
        <f t="shared" si="378"/>
        <v>107</v>
      </c>
      <c r="F466" s="10">
        <f t="shared" si="379"/>
        <v>100</v>
      </c>
      <c r="G466" s="2">
        <f t="shared" si="380"/>
        <v>0.93457943925233644</v>
      </c>
      <c r="H466" s="10">
        <f ca="1">COUNTIFS(发射纪录!C:C,"&lt;&gt;-",发射纪录!G:G,"&gt;="&amp;DATE(YEAR(A466),MONTH(A466),1),发射纪录!G:G,"&lt;="&amp;DATE(YEAR(A466),MONTH(A466),DAY(EOMONTH(A466,0))),发射纪录!N:N,"&lt;&gt;")</f>
        <v>0</v>
      </c>
      <c r="I466" s="10">
        <f>COUNTIFS(发射纪录!C:C,"&lt;&gt;-",发射纪录!G:G,"&gt;="&amp;DATE(YEAR(A466),MONTH(A466),1),发射纪录!G:G,"&lt;="&amp;DATE(YEAR(A466),MONTH(A466),DAY(EOMONTH(A466,0))),发射纪录!N:N,"=成功",发射纪录!N:N,"&lt;&gt;")</f>
        <v>0</v>
      </c>
      <c r="J466" s="1" t="str">
        <f t="shared" ca="1" si="381"/>
        <v>-</v>
      </c>
      <c r="K466" s="10">
        <f t="shared" ca="1" si="382"/>
        <v>11</v>
      </c>
      <c r="L466" s="10">
        <f t="shared" ca="1" si="383"/>
        <v>4</v>
      </c>
      <c r="M466" s="2">
        <f t="shared" ca="1" si="384"/>
        <v>0.36363636363636365</v>
      </c>
      <c r="N466" s="10">
        <f t="shared" ca="1" si="385"/>
        <v>0</v>
      </c>
      <c r="O466" s="10">
        <f t="shared" si="386"/>
        <v>0</v>
      </c>
      <c r="P466" s="3" t="str">
        <f t="shared" ca="1" si="387"/>
        <v>-</v>
      </c>
      <c r="Q466" s="10">
        <f t="shared" ca="1" si="388"/>
        <v>118</v>
      </c>
      <c r="R466" s="10">
        <f t="shared" ca="1" si="389"/>
        <v>104</v>
      </c>
      <c r="S466" s="4">
        <f t="shared" ca="1" si="390"/>
        <v>0.88135593220338981</v>
      </c>
      <c r="T466" s="478"/>
    </row>
    <row r="467" spans="1:20" x14ac:dyDescent="0.45">
      <c r="A467" s="64">
        <v>39661</v>
      </c>
      <c r="B467" s="14">
        <f>COUNTIFS(发射纪录!B:B,"&lt;&gt;-",发射纪录!G:G,"&gt;="&amp;DATE(YEAR(A467),MONTH(A467),1),发射纪录!G:G,"&lt;="&amp;DATE(YEAR(A467),MONTH(A467),DAY(EOMONTH(A467,0))),发射纪录!N:N,"&lt;&gt;")</f>
        <v>0</v>
      </c>
      <c r="C467" s="10">
        <f>COUNTIFS(发射纪录!B:B,"&lt;&gt;-",发射纪录!G:G,"&gt;="&amp;DATE(YEAR(A467),MONTH(A467),1),发射纪录!G:G,"&lt;="&amp;DATE(YEAR(A467),MONTH(A467),DAY(EOMONTH(A467,0))),发射纪录!N:N,"=成功",发射纪录!N:N,"&lt;&gt;")</f>
        <v>0</v>
      </c>
      <c r="D467" s="1" t="str">
        <f t="shared" si="377"/>
        <v>-</v>
      </c>
      <c r="E467" s="10">
        <f t="shared" si="378"/>
        <v>107</v>
      </c>
      <c r="F467" s="10">
        <f t="shared" si="379"/>
        <v>100</v>
      </c>
      <c r="G467" s="2">
        <f t="shared" si="380"/>
        <v>0.93457943925233644</v>
      </c>
      <c r="H467" s="10">
        <f>COUNTIFS(发射纪录!C:C,"&lt;&gt;-",发射纪录!G:G,"&gt;="&amp;DATE(YEAR(A467),MONTH(A467),1),发射纪录!G:G,"&lt;="&amp;DATE(YEAR(A467),MONTH(A467),DAY(EOMONTH(A467,0))),发射纪录!N:N,"&lt;&gt;")</f>
        <v>0</v>
      </c>
      <c r="I467" s="10">
        <f ca="1">COUNTIFS(发射纪录!C:C,"&lt;&gt;-",发射纪录!G:G,"&gt;="&amp;DATE(YEAR(A467),MONTH(A467),1),发射纪录!G:G,"&lt;="&amp;DATE(YEAR(A467),MONTH(A467),DAY(EOMONTH(A467,0))),发射纪录!N:N,"=成功",发射纪录!N:N,"&lt;&gt;")</f>
        <v>0</v>
      </c>
      <c r="J467" s="1" t="str">
        <f t="shared" si="381"/>
        <v>-</v>
      </c>
      <c r="K467" s="10">
        <f t="shared" ca="1" si="382"/>
        <v>11</v>
      </c>
      <c r="L467" s="10">
        <f t="shared" ca="1" si="383"/>
        <v>4</v>
      </c>
      <c r="M467" s="2">
        <f t="shared" ca="1" si="384"/>
        <v>0.36363636363636365</v>
      </c>
      <c r="N467" s="10">
        <f t="shared" si="385"/>
        <v>0</v>
      </c>
      <c r="O467" s="10">
        <f t="shared" ca="1" si="386"/>
        <v>0</v>
      </c>
      <c r="P467" s="3" t="str">
        <f t="shared" si="387"/>
        <v>-</v>
      </c>
      <c r="Q467" s="10">
        <f t="shared" ca="1" si="388"/>
        <v>118</v>
      </c>
      <c r="R467" s="10">
        <f t="shared" ca="1" si="389"/>
        <v>104</v>
      </c>
      <c r="S467" s="4">
        <f t="shared" ca="1" si="390"/>
        <v>0.88135593220338981</v>
      </c>
      <c r="T467" s="478"/>
    </row>
    <row r="468" spans="1:20" x14ac:dyDescent="0.45">
      <c r="A468" s="64">
        <v>39692</v>
      </c>
      <c r="B468" s="14">
        <f>COUNTIFS(发射纪录!B:B,"&lt;&gt;-",发射纪录!G:G,"&gt;="&amp;DATE(YEAR(A468),MONTH(A468),1),发射纪录!G:G,"&lt;="&amp;DATE(YEAR(A468),MONTH(A468),DAY(EOMONTH(A468,0))),发射纪录!N:N,"&lt;&gt;")</f>
        <v>2</v>
      </c>
      <c r="C468" s="10">
        <f>COUNTIFS(发射纪录!B:B,"&lt;&gt;-",发射纪录!G:G,"&gt;="&amp;DATE(YEAR(A468),MONTH(A468),1),发射纪录!G:G,"&lt;="&amp;DATE(YEAR(A468),MONTH(A468),DAY(EOMONTH(A468,0))),发射纪录!N:N,"=成功",发射纪录!N:N,"&lt;&gt;")</f>
        <v>2</v>
      </c>
      <c r="D468" s="1">
        <f t="shared" si="377"/>
        <v>1</v>
      </c>
      <c r="E468" s="10">
        <f t="shared" si="378"/>
        <v>109</v>
      </c>
      <c r="F468" s="10">
        <f t="shared" si="379"/>
        <v>102</v>
      </c>
      <c r="G468" s="2">
        <f t="shared" si="380"/>
        <v>0.93577981651376152</v>
      </c>
      <c r="H468" s="10">
        <f>COUNTIFS(发射纪录!C:C,"&lt;&gt;-",发射纪录!G:G,"&gt;="&amp;DATE(YEAR(A468),MONTH(A468),1),发射纪录!G:G,"&lt;="&amp;DATE(YEAR(A468),MONTH(A468),DAY(EOMONTH(A468,0))),发射纪录!N:N,"&lt;&gt;")</f>
        <v>0</v>
      </c>
      <c r="I468" s="10">
        <f>COUNTIFS(发射纪录!C:C,"&lt;&gt;-",发射纪录!G:G,"&gt;="&amp;DATE(YEAR(A468),MONTH(A468),1),发射纪录!G:G,"&lt;="&amp;DATE(YEAR(A468),MONTH(A468),DAY(EOMONTH(A468,0))),发射纪录!N:N,"=成功",发射纪录!N:N,"&lt;&gt;")</f>
        <v>0</v>
      </c>
      <c r="J468" s="1" t="str">
        <f t="shared" si="381"/>
        <v>-</v>
      </c>
      <c r="K468" s="10">
        <f t="shared" ca="1" si="382"/>
        <v>11</v>
      </c>
      <c r="L468" s="10">
        <f t="shared" ca="1" si="383"/>
        <v>4</v>
      </c>
      <c r="M468" s="2">
        <f t="shared" ca="1" si="384"/>
        <v>0.36363636363636365</v>
      </c>
      <c r="N468" s="10">
        <f t="shared" si="385"/>
        <v>2</v>
      </c>
      <c r="O468" s="10">
        <f t="shared" si="386"/>
        <v>2</v>
      </c>
      <c r="P468" s="3">
        <f t="shared" si="387"/>
        <v>1</v>
      </c>
      <c r="Q468" s="10">
        <f t="shared" ca="1" si="388"/>
        <v>120</v>
      </c>
      <c r="R468" s="10">
        <f t="shared" ca="1" si="389"/>
        <v>106</v>
      </c>
      <c r="S468" s="4">
        <f t="shared" ca="1" si="390"/>
        <v>0.8833333333333333</v>
      </c>
      <c r="T468" s="478"/>
    </row>
    <row r="469" spans="1:20" x14ac:dyDescent="0.45">
      <c r="A469" s="64">
        <v>39722</v>
      </c>
      <c r="B469" s="14">
        <f>COUNTIFS(发射纪录!B:B,"&lt;&gt;-",发射纪录!G:G,"&gt;="&amp;DATE(YEAR(A469),MONTH(A469),1),发射纪录!G:G,"&lt;="&amp;DATE(YEAR(A469),MONTH(A469),DAY(EOMONTH(A469,0))),发射纪录!N:N,"&lt;&gt;")</f>
        <v>2</v>
      </c>
      <c r="C469" s="10">
        <f>COUNTIFS(发射纪录!B:B,"&lt;&gt;-",发射纪录!G:G,"&gt;="&amp;DATE(YEAR(A469),MONTH(A469),1),发射纪录!G:G,"&lt;="&amp;DATE(YEAR(A469),MONTH(A469),DAY(EOMONTH(A469,0))),发射纪录!N:N,"=成功",发射纪录!N:N,"&lt;&gt;")</f>
        <v>2</v>
      </c>
      <c r="D469" s="1">
        <f t="shared" si="377"/>
        <v>1</v>
      </c>
      <c r="E469" s="10">
        <f t="shared" si="378"/>
        <v>111</v>
      </c>
      <c r="F469" s="10">
        <f t="shared" si="379"/>
        <v>104</v>
      </c>
      <c r="G469" s="2">
        <f t="shared" si="380"/>
        <v>0.93693693693693691</v>
      </c>
      <c r="H469" s="10">
        <f>COUNTIFS(发射纪录!C:C,"&lt;&gt;-",发射纪录!G:G,"&gt;="&amp;DATE(YEAR(A469),MONTH(A469),1),发射纪录!G:G,"&lt;="&amp;DATE(YEAR(A469),MONTH(A469),DAY(EOMONTH(A469,0))),发射纪录!N:N,"&lt;&gt;")</f>
        <v>0</v>
      </c>
      <c r="I469" s="10">
        <f>COUNTIFS(发射纪录!C:C,"&lt;&gt;-",发射纪录!G:G,"&gt;="&amp;DATE(YEAR(A469),MONTH(A469),1),发射纪录!G:G,"&lt;="&amp;DATE(YEAR(A469),MONTH(A469),DAY(EOMONTH(A469,0))),发射纪录!N:N,"=成功",发射纪录!N:N,"&lt;&gt;")</f>
        <v>0</v>
      </c>
      <c r="J469" s="1" t="str">
        <f t="shared" si="381"/>
        <v>-</v>
      </c>
      <c r="K469" s="10">
        <f t="shared" ca="1" si="382"/>
        <v>11</v>
      </c>
      <c r="L469" s="10">
        <f t="shared" ca="1" si="383"/>
        <v>4</v>
      </c>
      <c r="M469" s="2">
        <f t="shared" ca="1" si="384"/>
        <v>0.36363636363636365</v>
      </c>
      <c r="N469" s="10">
        <f t="shared" si="385"/>
        <v>2</v>
      </c>
      <c r="O469" s="10">
        <f t="shared" si="386"/>
        <v>2</v>
      </c>
      <c r="P469" s="3">
        <f t="shared" si="387"/>
        <v>1</v>
      </c>
      <c r="Q469" s="10">
        <f t="shared" ca="1" si="388"/>
        <v>122</v>
      </c>
      <c r="R469" s="10">
        <f t="shared" ca="1" si="389"/>
        <v>108</v>
      </c>
      <c r="S469" s="4">
        <f t="shared" ca="1" si="390"/>
        <v>0.88524590163934425</v>
      </c>
      <c r="T469" s="478"/>
    </row>
    <row r="470" spans="1:20" x14ac:dyDescent="0.45">
      <c r="A470" s="64">
        <v>39753</v>
      </c>
      <c r="B470" s="14">
        <f>COUNTIFS(发射纪录!B:B,"&lt;&gt;-",发射纪录!G:G,"&gt;="&amp;DATE(YEAR(A470),MONTH(A470),1),发射纪录!G:G,"&lt;="&amp;DATE(YEAR(A470),MONTH(A470),DAY(EOMONTH(A470,0))),发射纪录!N:N,"&lt;&gt;")</f>
        <v>1</v>
      </c>
      <c r="C470" s="10">
        <f>COUNTIFS(发射纪录!B:B,"&lt;&gt;-",发射纪录!G:G,"&gt;="&amp;DATE(YEAR(A470),MONTH(A470),1),发射纪录!G:G,"&lt;="&amp;DATE(YEAR(A470),MONTH(A470),DAY(EOMONTH(A470,0))),发射纪录!N:N,"=成功",发射纪录!N:N,"&lt;&gt;")</f>
        <v>1</v>
      </c>
      <c r="D470" s="1">
        <f t="shared" si="377"/>
        <v>1</v>
      </c>
      <c r="E470" s="10">
        <f t="shared" si="378"/>
        <v>112</v>
      </c>
      <c r="F470" s="10">
        <f t="shared" si="379"/>
        <v>105</v>
      </c>
      <c r="G470" s="2">
        <f t="shared" si="380"/>
        <v>0.9375</v>
      </c>
      <c r="H470" s="10">
        <f>COUNTIFS(发射纪录!C:C,"&lt;&gt;-",发射纪录!G:G,"&gt;="&amp;DATE(YEAR(A470),MONTH(A470),1),发射纪录!G:G,"&lt;="&amp;DATE(YEAR(A470),MONTH(A470),DAY(EOMONTH(A470,0))),发射纪录!N:N,"&lt;&gt;")</f>
        <v>0</v>
      </c>
      <c r="I470" s="10">
        <f ca="1">COUNTIFS(发射纪录!C:C,"&lt;&gt;-",发射纪录!G:G,"&gt;="&amp;DATE(YEAR(A470),MONTH(A470),1),发射纪录!G:G,"&lt;="&amp;DATE(YEAR(A470),MONTH(A470),DAY(EOMONTH(A470,0))),发射纪录!N:N,"=成功",发射纪录!N:N,"&lt;&gt;")</f>
        <v>0</v>
      </c>
      <c r="J470" s="1" t="str">
        <f t="shared" si="381"/>
        <v>-</v>
      </c>
      <c r="K470" s="10">
        <f t="shared" ca="1" si="382"/>
        <v>11</v>
      </c>
      <c r="L470" s="10">
        <f t="shared" ca="1" si="383"/>
        <v>4</v>
      </c>
      <c r="M470" s="2">
        <f t="shared" ca="1" si="384"/>
        <v>0.36363636363636365</v>
      </c>
      <c r="N470" s="10">
        <f t="shared" si="385"/>
        <v>1</v>
      </c>
      <c r="O470" s="10">
        <f t="shared" ca="1" si="386"/>
        <v>1</v>
      </c>
      <c r="P470" s="3">
        <f t="shared" ca="1" si="387"/>
        <v>1</v>
      </c>
      <c r="Q470" s="10">
        <f t="shared" ca="1" si="388"/>
        <v>123</v>
      </c>
      <c r="R470" s="10">
        <f t="shared" ca="1" si="389"/>
        <v>109</v>
      </c>
      <c r="S470" s="4">
        <f t="shared" ca="1" si="390"/>
        <v>0.88617886178861793</v>
      </c>
      <c r="T470" s="478"/>
    </row>
    <row r="471" spans="1:20" ht="19.5" customHeight="1" thickBot="1" x14ac:dyDescent="0.5">
      <c r="A471" s="65">
        <v>39783</v>
      </c>
      <c r="B471" s="17">
        <f>COUNTIFS(发射纪录!B:B,"&lt;&gt;-",发射纪录!G:G,"&gt;="&amp;DATE(YEAR(A471),MONTH(A471),1),发射纪录!G:G,"&lt;="&amp;DATE(YEAR(A471),MONTH(A471),DAY(EOMONTH(A471,0))),发射纪录!N:N,"&lt;&gt;")</f>
        <v>3</v>
      </c>
      <c r="C471" s="18">
        <f>COUNTIFS(发射纪录!B:B,"&lt;&gt;-",发射纪录!G:G,"&gt;="&amp;DATE(YEAR(A471),MONTH(A471),1),发射纪录!G:G,"&lt;="&amp;DATE(YEAR(A471),MONTH(A471),DAY(EOMONTH(A471,0))),发射纪录!N:N,"=成功",发射纪录!N:N,"&lt;&gt;")</f>
        <v>3</v>
      </c>
      <c r="D471" s="12">
        <f>IF(B471=0,"-",C471/B471)</f>
        <v>1</v>
      </c>
      <c r="E471" s="18">
        <f>E470+B471</f>
        <v>115</v>
      </c>
      <c r="F471" s="18">
        <f>F470+C471</f>
        <v>108</v>
      </c>
      <c r="G471" s="13">
        <f>IF(E471=0,"-",F471/E471)</f>
        <v>0.93913043478260871</v>
      </c>
      <c r="H471" s="18">
        <f ca="1">COUNTIFS(发射纪录!C:C,"&lt;&gt;-",发射纪录!G:G,"&gt;="&amp;DATE(YEAR(A471),MONTH(A471),1),发射纪录!G:G,"&lt;="&amp;DATE(YEAR(A471),MONTH(A471),DAY(EOMONTH(A471,0))),发射纪录!N:N,"&lt;&gt;")</f>
        <v>0</v>
      </c>
      <c r="I471" s="18">
        <f ca="1">COUNTIFS(发射纪录!C:C,"&lt;&gt;-",发射纪录!G:G,"&gt;="&amp;DATE(YEAR(A471),MONTH(A471),1),发射纪录!G:G,"&lt;="&amp;DATE(YEAR(A471),MONTH(A471),DAY(EOMONTH(A471,0))),发射纪录!N:N,"=成功",发射纪录!N:N,"&lt;&gt;")</f>
        <v>0</v>
      </c>
      <c r="J471" s="12" t="str">
        <f ca="1">IF(H471=0,"-",I471/H471)</f>
        <v>-</v>
      </c>
      <c r="K471" s="18">
        <f ca="1">K470+H471</f>
        <v>11</v>
      </c>
      <c r="L471" s="18">
        <f ca="1">L470+I471</f>
        <v>4</v>
      </c>
      <c r="M471" s="13">
        <f ca="1">IF(K471=0,"-",L471/K471)</f>
        <v>0.36363636363636365</v>
      </c>
      <c r="N471" s="18">
        <f ca="1">B471+H471</f>
        <v>3</v>
      </c>
      <c r="O471" s="18">
        <f ca="1">C471+I471</f>
        <v>3</v>
      </c>
      <c r="P471" s="12">
        <f ca="1">IF(N471=0,"-",O471/N471)</f>
        <v>1</v>
      </c>
      <c r="Q471" s="18">
        <f ca="1">E471+K471</f>
        <v>126</v>
      </c>
      <c r="R471" s="18">
        <f ca="1">F471+L471</f>
        <v>112</v>
      </c>
      <c r="S471" s="13">
        <f ca="1">IF(Q471=0,"-",R471/Q471)</f>
        <v>0.88888888888888884</v>
      </c>
      <c r="T471" s="478"/>
    </row>
    <row r="472" spans="1:20" ht="19.5" customHeight="1" thickTop="1" x14ac:dyDescent="0.45">
      <c r="A472" s="63">
        <v>39814</v>
      </c>
      <c r="B472" s="14">
        <f>COUNTIFS(发射纪录!B:B,"&lt;&gt;-",发射纪录!G:G,"&gt;="&amp;DATE(YEAR(A472),MONTH(A472),1),发射纪录!G:G,"&lt;="&amp;DATE(YEAR(A472),MONTH(A472),DAY(EOMONTH(A472,0))),发射纪录!N:N,"&lt;&gt;")</f>
        <v>0</v>
      </c>
      <c r="C472" s="10">
        <f>COUNTIFS(发射纪录!B:B,"&lt;&gt;-",发射纪录!G:G,"&gt;="&amp;DATE(YEAR(A472),MONTH(A472),1),发射纪录!G:G,"&lt;="&amp;DATE(YEAR(A472),MONTH(A472),DAY(EOMONTH(A472,0))),发射纪录!N:N,"=成功",发射纪录!N:N,"&lt;&gt;")</f>
        <v>0</v>
      </c>
      <c r="D472" s="3" t="str">
        <f t="shared" ref="D472:D482" si="391">IF(B472=0,"-",C472/B472)</f>
        <v>-</v>
      </c>
      <c r="E472" s="10">
        <f t="shared" ref="E472:E482" si="392">E471+B472</f>
        <v>115</v>
      </c>
      <c r="F472" s="10">
        <f t="shared" ref="F472:F482" si="393">F471+C472</f>
        <v>108</v>
      </c>
      <c r="G472" s="4">
        <f t="shared" ref="G472:G482" si="394">IF(E472=0,"-",F472/E472)</f>
        <v>0.93913043478260871</v>
      </c>
      <c r="H472" s="10">
        <f>COUNTIFS(发射纪录!C:C,"&lt;&gt;-",发射纪录!G:G,"&gt;="&amp;DATE(YEAR(A472),MONTH(A472),1),发射纪录!G:G,"&lt;="&amp;DATE(YEAR(A472),MONTH(A472),DAY(EOMONTH(A472,0))),发射纪录!N:N,"&lt;&gt;")</f>
        <v>0</v>
      </c>
      <c r="I472" s="10">
        <f>COUNTIFS(发射纪录!C:C,"&lt;&gt;-",发射纪录!G:G,"&gt;="&amp;DATE(YEAR(A472),MONTH(A472),1),发射纪录!G:G,"&lt;="&amp;DATE(YEAR(A472),MONTH(A472),DAY(EOMONTH(A472,0))),发射纪录!N:N,"=成功",发射纪录!N:N,"&lt;&gt;")</f>
        <v>0</v>
      </c>
      <c r="J472" s="3" t="str">
        <f t="shared" ref="J472:J482" si="395">IF(H472=0,"-",I472/H472)</f>
        <v>-</v>
      </c>
      <c r="K472" s="10">
        <f t="shared" ref="K472:K482" ca="1" si="396">K471+H472</f>
        <v>11</v>
      </c>
      <c r="L472" s="10">
        <f t="shared" ref="L472:L482" ca="1" si="397">L471+I472</f>
        <v>4</v>
      </c>
      <c r="M472" s="4">
        <f t="shared" ref="M472:M482" ca="1" si="398">IF(K472=0,"-",L472/K472)</f>
        <v>0.36363636363636365</v>
      </c>
      <c r="N472" s="10">
        <f t="shared" ref="N472:N482" si="399">B472+H472</f>
        <v>0</v>
      </c>
      <c r="O472" s="10">
        <f t="shared" ref="O472:O482" si="400">C472+I472</f>
        <v>0</v>
      </c>
      <c r="P472" s="3" t="str">
        <f t="shared" ref="P472:P482" si="401">IF(N472=0,"-",O472/N472)</f>
        <v>-</v>
      </c>
      <c r="Q472" s="10">
        <f t="shared" ref="Q472:Q482" ca="1" si="402">E472+K472</f>
        <v>126</v>
      </c>
      <c r="R472" s="10">
        <f t="shared" ca="1" si="389"/>
        <v>112</v>
      </c>
      <c r="S472" s="4">
        <f t="shared" ref="S472:S482" ca="1" si="403">IF(Q472=0,"-",R472/Q472)</f>
        <v>0.88888888888888884</v>
      </c>
      <c r="T472" s="478"/>
    </row>
    <row r="473" spans="1:20" x14ac:dyDescent="0.45">
      <c r="A473" s="64">
        <v>39845</v>
      </c>
      <c r="B473" s="14">
        <f>COUNTIFS(发射纪录!B:B,"&lt;&gt;-",发射纪录!G:G,"&gt;="&amp;DATE(YEAR(A473),MONTH(A473),1),发射纪录!G:G,"&lt;="&amp;DATE(YEAR(A473),MONTH(A473),DAY(EOMONTH(A473,0))),发射纪录!N:N,"&lt;&gt;")</f>
        <v>0</v>
      </c>
      <c r="C473" s="10">
        <f>COUNTIFS(发射纪录!B:B,"&lt;&gt;-",发射纪录!G:G,"&gt;="&amp;DATE(YEAR(A473),MONTH(A473),1),发射纪录!G:G,"&lt;="&amp;DATE(YEAR(A473),MONTH(A473),DAY(EOMONTH(A473,0))),发射纪录!N:N,"=成功",发射纪录!N:N,"&lt;&gt;")</f>
        <v>0</v>
      </c>
      <c r="D473" s="1" t="str">
        <f t="shared" si="391"/>
        <v>-</v>
      </c>
      <c r="E473" s="10">
        <f t="shared" si="392"/>
        <v>115</v>
      </c>
      <c r="F473" s="10">
        <f t="shared" si="393"/>
        <v>108</v>
      </c>
      <c r="G473" s="2">
        <f t="shared" si="394"/>
        <v>0.93913043478260871</v>
      </c>
      <c r="H473" s="10">
        <f>COUNTIFS(发射纪录!C:C,"&lt;&gt;-",发射纪录!G:G,"&gt;="&amp;DATE(YEAR(A473),MONTH(A473),1),发射纪录!G:G,"&lt;="&amp;DATE(YEAR(A473),MONTH(A473),DAY(EOMONTH(A473,0))),发射纪录!N:N,"&lt;&gt;")</f>
        <v>0</v>
      </c>
      <c r="I473" s="10">
        <f>COUNTIFS(发射纪录!C:C,"&lt;&gt;-",发射纪录!G:G,"&gt;="&amp;DATE(YEAR(A473),MONTH(A473),1),发射纪录!G:G,"&lt;="&amp;DATE(YEAR(A473),MONTH(A473),DAY(EOMONTH(A473,0))),发射纪录!N:N,"=成功",发射纪录!N:N,"&lt;&gt;")</f>
        <v>0</v>
      </c>
      <c r="J473" s="1" t="str">
        <f t="shared" si="395"/>
        <v>-</v>
      </c>
      <c r="K473" s="10">
        <f t="shared" ca="1" si="396"/>
        <v>11</v>
      </c>
      <c r="L473" s="10">
        <f t="shared" ca="1" si="397"/>
        <v>4</v>
      </c>
      <c r="M473" s="2">
        <f t="shared" ca="1" si="398"/>
        <v>0.36363636363636365</v>
      </c>
      <c r="N473" s="10">
        <f t="shared" si="399"/>
        <v>0</v>
      </c>
      <c r="O473" s="10">
        <f t="shared" si="400"/>
        <v>0</v>
      </c>
      <c r="P473" s="3" t="str">
        <f t="shared" si="401"/>
        <v>-</v>
      </c>
      <c r="Q473" s="10">
        <f t="shared" ca="1" si="402"/>
        <v>126</v>
      </c>
      <c r="R473" s="10">
        <f t="shared" ca="1" si="389"/>
        <v>112</v>
      </c>
      <c r="S473" s="4">
        <f t="shared" ca="1" si="403"/>
        <v>0.88888888888888884</v>
      </c>
      <c r="T473" s="478"/>
    </row>
    <row r="474" spans="1:20" x14ac:dyDescent="0.45">
      <c r="A474" s="64">
        <v>39873</v>
      </c>
      <c r="B474" s="14">
        <f>COUNTIFS(发射纪录!B:B,"&lt;&gt;-",发射纪录!G:G,"&gt;="&amp;DATE(YEAR(A474),MONTH(A474),1),发射纪录!G:G,"&lt;="&amp;DATE(YEAR(A474),MONTH(A474),DAY(EOMONTH(A474,0))),发射纪录!N:N,"&lt;&gt;")</f>
        <v>0</v>
      </c>
      <c r="C474" s="10">
        <f>COUNTIFS(发射纪录!B:B,"&lt;&gt;-",发射纪录!G:G,"&gt;="&amp;DATE(YEAR(A474),MONTH(A474),1),发射纪录!G:G,"&lt;="&amp;DATE(YEAR(A474),MONTH(A474),DAY(EOMONTH(A474,0))),发射纪录!N:N,"=成功",发射纪录!N:N,"&lt;&gt;")</f>
        <v>0</v>
      </c>
      <c r="D474" s="1" t="str">
        <f t="shared" si="391"/>
        <v>-</v>
      </c>
      <c r="E474" s="10">
        <f t="shared" si="392"/>
        <v>115</v>
      </c>
      <c r="F474" s="10">
        <f t="shared" si="393"/>
        <v>108</v>
      </c>
      <c r="G474" s="2">
        <f t="shared" si="394"/>
        <v>0.93913043478260871</v>
      </c>
      <c r="H474" s="10">
        <f>COUNTIFS(发射纪录!C:C,"&lt;&gt;-",发射纪录!G:G,"&gt;="&amp;DATE(YEAR(A474),MONTH(A474),1),发射纪录!G:G,"&lt;="&amp;DATE(YEAR(A474),MONTH(A474),DAY(EOMONTH(A474,0))),发射纪录!N:N,"&lt;&gt;")</f>
        <v>0</v>
      </c>
      <c r="I474" s="10">
        <f>COUNTIFS(发射纪录!C:C,"&lt;&gt;-",发射纪录!G:G,"&gt;="&amp;DATE(YEAR(A474),MONTH(A474),1),发射纪录!G:G,"&lt;="&amp;DATE(YEAR(A474),MONTH(A474),DAY(EOMONTH(A474,0))),发射纪录!N:N,"=成功",发射纪录!N:N,"&lt;&gt;")</f>
        <v>0</v>
      </c>
      <c r="J474" s="1" t="str">
        <f t="shared" si="395"/>
        <v>-</v>
      </c>
      <c r="K474" s="10">
        <f t="shared" ca="1" si="396"/>
        <v>11</v>
      </c>
      <c r="L474" s="10">
        <f t="shared" ca="1" si="397"/>
        <v>4</v>
      </c>
      <c r="M474" s="2">
        <f t="shared" ca="1" si="398"/>
        <v>0.36363636363636365</v>
      </c>
      <c r="N474" s="10">
        <f t="shared" si="399"/>
        <v>0</v>
      </c>
      <c r="O474" s="10">
        <f t="shared" si="400"/>
        <v>0</v>
      </c>
      <c r="P474" s="3" t="str">
        <f t="shared" si="401"/>
        <v>-</v>
      </c>
      <c r="Q474" s="10">
        <f t="shared" ca="1" si="402"/>
        <v>126</v>
      </c>
      <c r="R474" s="10">
        <f t="shared" ca="1" si="389"/>
        <v>112</v>
      </c>
      <c r="S474" s="4">
        <f t="shared" ca="1" si="403"/>
        <v>0.88888888888888884</v>
      </c>
      <c r="T474" s="478"/>
    </row>
    <row r="475" spans="1:20" x14ac:dyDescent="0.45">
      <c r="A475" s="64">
        <v>39904</v>
      </c>
      <c r="B475" s="14">
        <f>COUNTIFS(发射纪录!B:B,"&lt;&gt;-",发射纪录!G:G,"&gt;="&amp;DATE(YEAR(A475),MONTH(A475),1),发射纪录!G:G,"&lt;="&amp;DATE(YEAR(A475),MONTH(A475),DAY(EOMONTH(A475,0))),发射纪录!N:N,"&lt;&gt;")</f>
        <v>2</v>
      </c>
      <c r="C475" s="10">
        <f>COUNTIFS(发射纪录!B:B,"&lt;&gt;-",发射纪录!G:G,"&gt;="&amp;DATE(YEAR(A475),MONTH(A475),1),发射纪录!G:G,"&lt;="&amp;DATE(YEAR(A475),MONTH(A475),DAY(EOMONTH(A475,0))),发射纪录!N:N,"=成功",发射纪录!N:N,"&lt;&gt;")</f>
        <v>2</v>
      </c>
      <c r="D475" s="1">
        <f t="shared" si="391"/>
        <v>1</v>
      </c>
      <c r="E475" s="10">
        <f t="shared" si="392"/>
        <v>117</v>
      </c>
      <c r="F475" s="10">
        <f t="shared" si="393"/>
        <v>110</v>
      </c>
      <c r="G475" s="2">
        <f t="shared" si="394"/>
        <v>0.94017094017094016</v>
      </c>
      <c r="H475" s="10">
        <f>COUNTIFS(发射纪录!C:C,"&lt;&gt;-",发射纪录!G:G,"&gt;="&amp;DATE(YEAR(A475),MONTH(A475),1),发射纪录!G:G,"&lt;="&amp;DATE(YEAR(A475),MONTH(A475),DAY(EOMONTH(A475,0))),发射纪录!N:N,"&lt;&gt;")</f>
        <v>0</v>
      </c>
      <c r="I475" s="10">
        <f ca="1">COUNTIFS(发射纪录!C:C,"&lt;&gt;-",发射纪录!G:G,"&gt;="&amp;DATE(YEAR(A475),MONTH(A475),1),发射纪录!G:G,"&lt;="&amp;DATE(YEAR(A475),MONTH(A475),DAY(EOMONTH(A475,0))),发射纪录!N:N,"=成功",发射纪录!N:N,"&lt;&gt;")</f>
        <v>0</v>
      </c>
      <c r="J475" s="1" t="str">
        <f t="shared" si="395"/>
        <v>-</v>
      </c>
      <c r="K475" s="10">
        <f t="shared" ca="1" si="396"/>
        <v>11</v>
      </c>
      <c r="L475" s="10">
        <f t="shared" ca="1" si="397"/>
        <v>4</v>
      </c>
      <c r="M475" s="2">
        <f t="shared" ca="1" si="398"/>
        <v>0.36363636363636365</v>
      </c>
      <c r="N475" s="10">
        <f t="shared" si="399"/>
        <v>2</v>
      </c>
      <c r="O475" s="10">
        <f t="shared" ca="1" si="400"/>
        <v>2</v>
      </c>
      <c r="P475" s="3">
        <f t="shared" ca="1" si="401"/>
        <v>1</v>
      </c>
      <c r="Q475" s="10">
        <f t="shared" ca="1" si="402"/>
        <v>128</v>
      </c>
      <c r="R475" s="10">
        <f t="shared" ca="1" si="389"/>
        <v>114</v>
      </c>
      <c r="S475" s="4">
        <f t="shared" ca="1" si="403"/>
        <v>0.890625</v>
      </c>
      <c r="T475" s="478"/>
    </row>
    <row r="476" spans="1:20" x14ac:dyDescent="0.45">
      <c r="A476" s="64">
        <v>39934</v>
      </c>
      <c r="B476" s="14">
        <f>COUNTIFS(发射纪录!B:B,"&lt;&gt;-",发射纪录!G:G,"&gt;="&amp;DATE(YEAR(A476),MONTH(A476),1),发射纪录!G:G,"&lt;="&amp;DATE(YEAR(A476),MONTH(A476),DAY(EOMONTH(A476,0))),发射纪录!N:N,"&lt;&gt;")</f>
        <v>0</v>
      </c>
      <c r="C476" s="10">
        <f>COUNTIFS(发射纪录!B:B,"&lt;&gt;-",发射纪录!G:G,"&gt;="&amp;DATE(YEAR(A476),MONTH(A476),1),发射纪录!G:G,"&lt;="&amp;DATE(YEAR(A476),MONTH(A476),DAY(EOMONTH(A476,0))),发射纪录!N:N,"=成功",发射纪录!N:N,"&lt;&gt;")</f>
        <v>0</v>
      </c>
      <c r="D476" s="1" t="str">
        <f t="shared" si="391"/>
        <v>-</v>
      </c>
      <c r="E476" s="10">
        <f t="shared" si="392"/>
        <v>117</v>
      </c>
      <c r="F476" s="10">
        <f t="shared" si="393"/>
        <v>110</v>
      </c>
      <c r="G476" s="2">
        <f t="shared" si="394"/>
        <v>0.94017094017094016</v>
      </c>
      <c r="H476" s="10">
        <f>COUNTIFS(发射纪录!C:C,"&lt;&gt;-",发射纪录!G:G,"&gt;="&amp;DATE(YEAR(A476),MONTH(A476),1),发射纪录!G:G,"&lt;="&amp;DATE(YEAR(A476),MONTH(A476),DAY(EOMONTH(A476,0))),发射纪录!N:N,"&lt;&gt;")</f>
        <v>0</v>
      </c>
      <c r="I476" s="10">
        <f>COUNTIFS(发射纪录!C:C,"&lt;&gt;-",发射纪录!G:G,"&gt;="&amp;DATE(YEAR(A476),MONTH(A476),1),发射纪录!G:G,"&lt;="&amp;DATE(YEAR(A476),MONTH(A476),DAY(EOMONTH(A476,0))),发射纪录!N:N,"=成功",发射纪录!N:N,"&lt;&gt;")</f>
        <v>0</v>
      </c>
      <c r="J476" s="1" t="str">
        <f t="shared" si="395"/>
        <v>-</v>
      </c>
      <c r="K476" s="10">
        <f t="shared" ca="1" si="396"/>
        <v>11</v>
      </c>
      <c r="L476" s="10">
        <f t="shared" ca="1" si="397"/>
        <v>4</v>
      </c>
      <c r="M476" s="2">
        <f t="shared" ca="1" si="398"/>
        <v>0.36363636363636365</v>
      </c>
      <c r="N476" s="10">
        <f t="shared" si="399"/>
        <v>0</v>
      </c>
      <c r="O476" s="10">
        <f t="shared" si="400"/>
        <v>0</v>
      </c>
      <c r="P476" s="3" t="str">
        <f t="shared" si="401"/>
        <v>-</v>
      </c>
      <c r="Q476" s="10">
        <f t="shared" ca="1" si="402"/>
        <v>128</v>
      </c>
      <c r="R476" s="10">
        <f t="shared" ca="1" si="389"/>
        <v>114</v>
      </c>
      <c r="S476" s="4">
        <f t="shared" ca="1" si="403"/>
        <v>0.890625</v>
      </c>
      <c r="T476" s="478"/>
    </row>
    <row r="477" spans="1:20" x14ac:dyDescent="0.45">
      <c r="A477" s="64">
        <v>39965</v>
      </c>
      <c r="B477" s="14">
        <f>COUNTIFS(发射纪录!B:B,"&lt;&gt;-",发射纪录!G:G,"&gt;="&amp;DATE(YEAR(A477),MONTH(A477),1),发射纪录!G:G,"&lt;="&amp;DATE(YEAR(A477),MONTH(A477),DAY(EOMONTH(A477,0))),发射纪录!N:N,"&lt;&gt;")</f>
        <v>0</v>
      </c>
      <c r="C477" s="10">
        <f>COUNTIFS(发射纪录!B:B,"&lt;&gt;-",发射纪录!G:G,"&gt;="&amp;DATE(YEAR(A477),MONTH(A477),1),发射纪录!G:G,"&lt;="&amp;DATE(YEAR(A477),MONTH(A477),DAY(EOMONTH(A477,0))),发射纪录!N:N,"=成功",发射纪录!N:N,"&lt;&gt;")</f>
        <v>0</v>
      </c>
      <c r="D477" s="1" t="str">
        <f t="shared" si="391"/>
        <v>-</v>
      </c>
      <c r="E477" s="10">
        <f t="shared" si="392"/>
        <v>117</v>
      </c>
      <c r="F477" s="10">
        <f t="shared" si="393"/>
        <v>110</v>
      </c>
      <c r="G477" s="2">
        <f t="shared" si="394"/>
        <v>0.94017094017094016</v>
      </c>
      <c r="H477" s="10">
        <f>COUNTIFS(发射纪录!C:C,"&lt;&gt;-",发射纪录!G:G,"&gt;="&amp;DATE(YEAR(A477),MONTH(A477),1),发射纪录!G:G,"&lt;="&amp;DATE(YEAR(A477),MONTH(A477),DAY(EOMONTH(A477,0))),发射纪录!N:N,"&lt;&gt;")</f>
        <v>0</v>
      </c>
      <c r="I477" s="10">
        <f>COUNTIFS(发射纪录!C:C,"&lt;&gt;-",发射纪录!G:G,"&gt;="&amp;DATE(YEAR(A477),MONTH(A477),1),发射纪录!G:G,"&lt;="&amp;DATE(YEAR(A477),MONTH(A477),DAY(EOMONTH(A477,0))),发射纪录!N:N,"=成功",发射纪录!N:N,"&lt;&gt;")</f>
        <v>0</v>
      </c>
      <c r="J477" s="1" t="str">
        <f t="shared" si="395"/>
        <v>-</v>
      </c>
      <c r="K477" s="10">
        <f t="shared" ca="1" si="396"/>
        <v>11</v>
      </c>
      <c r="L477" s="10">
        <f t="shared" ca="1" si="397"/>
        <v>4</v>
      </c>
      <c r="M477" s="2">
        <f t="shared" ca="1" si="398"/>
        <v>0.36363636363636365</v>
      </c>
      <c r="N477" s="10">
        <f t="shared" si="399"/>
        <v>0</v>
      </c>
      <c r="O477" s="10">
        <f t="shared" si="400"/>
        <v>0</v>
      </c>
      <c r="P477" s="3" t="str">
        <f t="shared" si="401"/>
        <v>-</v>
      </c>
      <c r="Q477" s="10">
        <f t="shared" ca="1" si="402"/>
        <v>128</v>
      </c>
      <c r="R477" s="10">
        <f t="shared" ca="1" si="389"/>
        <v>114</v>
      </c>
      <c r="S477" s="4">
        <f t="shared" ca="1" si="403"/>
        <v>0.890625</v>
      </c>
      <c r="T477" s="478"/>
    </row>
    <row r="478" spans="1:20" x14ac:dyDescent="0.45">
      <c r="A478" s="64">
        <v>39995</v>
      </c>
      <c r="B478" s="14">
        <f>COUNTIFS(发射纪录!B:B,"&lt;&gt;-",发射纪录!G:G,"&gt;="&amp;DATE(YEAR(A478),MONTH(A478),1),发射纪录!G:G,"&lt;="&amp;DATE(YEAR(A478),MONTH(A478),DAY(EOMONTH(A478,0))),发射纪录!N:N,"&lt;&gt;")</f>
        <v>0</v>
      </c>
      <c r="C478" s="10">
        <f>COUNTIFS(发射纪录!B:B,"&lt;&gt;-",发射纪录!G:G,"&gt;="&amp;DATE(YEAR(A478),MONTH(A478),1),发射纪录!G:G,"&lt;="&amp;DATE(YEAR(A478),MONTH(A478),DAY(EOMONTH(A478,0))),发射纪录!N:N,"=成功",发射纪录!N:N,"&lt;&gt;")</f>
        <v>0</v>
      </c>
      <c r="D478" s="1" t="str">
        <f t="shared" si="391"/>
        <v>-</v>
      </c>
      <c r="E478" s="10">
        <f t="shared" si="392"/>
        <v>117</v>
      </c>
      <c r="F478" s="10">
        <f t="shared" si="393"/>
        <v>110</v>
      </c>
      <c r="G478" s="2">
        <f t="shared" si="394"/>
        <v>0.94017094017094016</v>
      </c>
      <c r="H478" s="10">
        <f>COUNTIFS(发射纪录!C:C,"&lt;&gt;-",发射纪录!G:G,"&gt;="&amp;DATE(YEAR(A478),MONTH(A478),1),发射纪录!G:G,"&lt;="&amp;DATE(YEAR(A478),MONTH(A478),DAY(EOMONTH(A478,0))),发射纪录!N:N,"&lt;&gt;")</f>
        <v>0</v>
      </c>
      <c r="I478" s="10">
        <f ca="1">COUNTIFS(发射纪录!C:C,"&lt;&gt;-",发射纪录!G:G,"&gt;="&amp;DATE(YEAR(A478),MONTH(A478),1),发射纪录!G:G,"&lt;="&amp;DATE(YEAR(A478),MONTH(A478),DAY(EOMONTH(A478,0))),发射纪录!N:N,"=成功",发射纪录!N:N,"&lt;&gt;")</f>
        <v>0</v>
      </c>
      <c r="J478" s="1" t="str">
        <f t="shared" si="395"/>
        <v>-</v>
      </c>
      <c r="K478" s="10">
        <f t="shared" ca="1" si="396"/>
        <v>11</v>
      </c>
      <c r="L478" s="10">
        <f t="shared" ca="1" si="397"/>
        <v>4</v>
      </c>
      <c r="M478" s="2">
        <f t="shared" ca="1" si="398"/>
        <v>0.36363636363636365</v>
      </c>
      <c r="N478" s="10">
        <f t="shared" si="399"/>
        <v>0</v>
      </c>
      <c r="O478" s="10">
        <f t="shared" ca="1" si="400"/>
        <v>0</v>
      </c>
      <c r="P478" s="3" t="str">
        <f t="shared" si="401"/>
        <v>-</v>
      </c>
      <c r="Q478" s="10">
        <f t="shared" ca="1" si="402"/>
        <v>128</v>
      </c>
      <c r="R478" s="10">
        <f t="shared" ca="1" si="389"/>
        <v>114</v>
      </c>
      <c r="S478" s="4">
        <f t="shared" ca="1" si="403"/>
        <v>0.890625</v>
      </c>
      <c r="T478" s="478"/>
    </row>
    <row r="479" spans="1:20" x14ac:dyDescent="0.45">
      <c r="A479" s="64">
        <v>40026</v>
      </c>
      <c r="B479" s="14">
        <f>COUNTIFS(发射纪录!B:B,"&lt;&gt;-",发射纪录!G:G,"&gt;="&amp;DATE(YEAR(A479),MONTH(A479),1),发射纪录!G:G,"&lt;="&amp;DATE(YEAR(A479),MONTH(A479),DAY(EOMONTH(A479,0))),发射纪录!N:N,"&lt;&gt;")</f>
        <v>1</v>
      </c>
      <c r="C479" s="10">
        <f>COUNTIFS(发射纪录!B:B,"&lt;&gt;-",发射纪录!G:G,"&gt;="&amp;DATE(YEAR(A479),MONTH(A479),1),发射纪录!G:G,"&lt;="&amp;DATE(YEAR(A479),MONTH(A479),DAY(EOMONTH(A479,0))),发射纪录!N:N,"=成功",发射纪录!N:N,"&lt;&gt;")</f>
        <v>0</v>
      </c>
      <c r="D479" s="1">
        <f t="shared" si="391"/>
        <v>0</v>
      </c>
      <c r="E479" s="10">
        <f t="shared" si="392"/>
        <v>118</v>
      </c>
      <c r="F479" s="10">
        <f t="shared" si="393"/>
        <v>110</v>
      </c>
      <c r="G479" s="2">
        <f t="shared" si="394"/>
        <v>0.93220338983050843</v>
      </c>
      <c r="H479" s="10">
        <f ca="1">COUNTIFS(发射纪录!C:C,"&lt;&gt;-",发射纪录!G:G,"&gt;="&amp;DATE(YEAR(A479),MONTH(A479),1),发射纪录!G:G,"&lt;="&amp;DATE(YEAR(A479),MONTH(A479),DAY(EOMONTH(A479,0))),发射纪录!N:N,"&lt;&gt;")</f>
        <v>0</v>
      </c>
      <c r="I479" s="10">
        <f>COUNTIFS(发射纪录!C:C,"&lt;&gt;-",发射纪录!G:G,"&gt;="&amp;DATE(YEAR(A479),MONTH(A479),1),发射纪录!G:G,"&lt;="&amp;DATE(YEAR(A479),MONTH(A479),DAY(EOMONTH(A479,0))),发射纪录!N:N,"=成功",发射纪录!N:N,"&lt;&gt;")</f>
        <v>0</v>
      </c>
      <c r="J479" s="1" t="str">
        <f t="shared" ca="1" si="395"/>
        <v>-</v>
      </c>
      <c r="K479" s="10">
        <f t="shared" ca="1" si="396"/>
        <v>11</v>
      </c>
      <c r="L479" s="10">
        <f t="shared" ca="1" si="397"/>
        <v>4</v>
      </c>
      <c r="M479" s="2">
        <f t="shared" ca="1" si="398"/>
        <v>0.36363636363636365</v>
      </c>
      <c r="N479" s="10">
        <f t="shared" ca="1" si="399"/>
        <v>1</v>
      </c>
      <c r="O479" s="10">
        <f t="shared" si="400"/>
        <v>0</v>
      </c>
      <c r="P479" s="3">
        <f t="shared" ca="1" si="401"/>
        <v>0</v>
      </c>
      <c r="Q479" s="10">
        <f t="shared" ca="1" si="402"/>
        <v>129</v>
      </c>
      <c r="R479" s="10">
        <f t="shared" ca="1" si="389"/>
        <v>114</v>
      </c>
      <c r="S479" s="4">
        <f t="shared" ca="1" si="403"/>
        <v>0.88372093023255816</v>
      </c>
      <c r="T479" s="478"/>
    </row>
    <row r="480" spans="1:20" x14ac:dyDescent="0.45">
      <c r="A480" s="64">
        <v>40057</v>
      </c>
      <c r="B480" s="14">
        <f>COUNTIFS(发射纪录!B:B,"&lt;&gt;-",发射纪录!G:G,"&gt;="&amp;DATE(YEAR(A480),MONTH(A480),1),发射纪录!G:G,"&lt;="&amp;DATE(YEAR(A480),MONTH(A480),DAY(EOMONTH(A480,0))),发射纪录!N:N,"&lt;&gt;")</f>
        <v>0</v>
      </c>
      <c r="C480" s="10">
        <f>COUNTIFS(发射纪录!B:B,"&lt;&gt;-",发射纪录!G:G,"&gt;="&amp;DATE(YEAR(A480),MONTH(A480),1),发射纪录!G:G,"&lt;="&amp;DATE(YEAR(A480),MONTH(A480),DAY(EOMONTH(A480,0))),发射纪录!N:N,"=成功",发射纪录!N:N,"&lt;&gt;")</f>
        <v>0</v>
      </c>
      <c r="D480" s="1" t="str">
        <f t="shared" si="391"/>
        <v>-</v>
      </c>
      <c r="E480" s="10">
        <f t="shared" si="392"/>
        <v>118</v>
      </c>
      <c r="F480" s="10">
        <f t="shared" si="393"/>
        <v>110</v>
      </c>
      <c r="G480" s="2">
        <f t="shared" si="394"/>
        <v>0.93220338983050843</v>
      </c>
      <c r="H480" s="10">
        <f>COUNTIFS(发射纪录!C:C,"&lt;&gt;-",发射纪录!G:G,"&gt;="&amp;DATE(YEAR(A480),MONTH(A480),1),发射纪录!G:G,"&lt;="&amp;DATE(YEAR(A480),MONTH(A480),DAY(EOMONTH(A480,0))),发射纪录!N:N,"&lt;&gt;")</f>
        <v>0</v>
      </c>
      <c r="I480" s="10">
        <f ca="1">COUNTIFS(发射纪录!C:C,"&lt;&gt;-",发射纪录!G:G,"&gt;="&amp;DATE(YEAR(A480),MONTH(A480),1),发射纪录!G:G,"&lt;="&amp;DATE(YEAR(A480),MONTH(A480),DAY(EOMONTH(A480,0))),发射纪录!N:N,"=成功",发射纪录!N:N,"&lt;&gt;")</f>
        <v>0</v>
      </c>
      <c r="J480" s="1" t="str">
        <f t="shared" si="395"/>
        <v>-</v>
      </c>
      <c r="K480" s="10">
        <f t="shared" ca="1" si="396"/>
        <v>11</v>
      </c>
      <c r="L480" s="10">
        <f t="shared" ca="1" si="397"/>
        <v>4</v>
      </c>
      <c r="M480" s="2">
        <f t="shared" ca="1" si="398"/>
        <v>0.36363636363636365</v>
      </c>
      <c r="N480" s="10">
        <f t="shared" si="399"/>
        <v>0</v>
      </c>
      <c r="O480" s="10">
        <f t="shared" ca="1" si="400"/>
        <v>0</v>
      </c>
      <c r="P480" s="3" t="str">
        <f t="shared" si="401"/>
        <v>-</v>
      </c>
      <c r="Q480" s="10">
        <f t="shared" ca="1" si="402"/>
        <v>129</v>
      </c>
      <c r="R480" s="10">
        <f t="shared" ca="1" si="389"/>
        <v>114</v>
      </c>
      <c r="S480" s="4">
        <f t="shared" ca="1" si="403"/>
        <v>0.88372093023255816</v>
      </c>
      <c r="T480" s="478"/>
    </row>
    <row r="481" spans="1:20" x14ac:dyDescent="0.45">
      <c r="A481" s="64">
        <v>40087</v>
      </c>
      <c r="B481" s="14">
        <f>COUNTIFS(发射纪录!B:B,"&lt;&gt;-",发射纪录!G:G,"&gt;="&amp;DATE(YEAR(A481),MONTH(A481),1),发射纪录!G:G,"&lt;="&amp;DATE(YEAR(A481),MONTH(A481),DAY(EOMONTH(A481,0))),发射纪录!N:N,"&lt;&gt;")</f>
        <v>0</v>
      </c>
      <c r="C481" s="10">
        <f>COUNTIFS(发射纪录!B:B,"&lt;&gt;-",发射纪录!G:G,"&gt;="&amp;DATE(YEAR(A481),MONTH(A481),1),发射纪录!G:G,"&lt;="&amp;DATE(YEAR(A481),MONTH(A481),DAY(EOMONTH(A481,0))),发射纪录!N:N,"=成功",发射纪录!N:N,"&lt;&gt;")</f>
        <v>0</v>
      </c>
      <c r="D481" s="1" t="str">
        <f t="shared" si="391"/>
        <v>-</v>
      </c>
      <c r="E481" s="10">
        <f t="shared" si="392"/>
        <v>118</v>
      </c>
      <c r="F481" s="10">
        <f t="shared" si="393"/>
        <v>110</v>
      </c>
      <c r="G481" s="2">
        <f t="shared" si="394"/>
        <v>0.93220338983050843</v>
      </c>
      <c r="H481" s="10">
        <f>COUNTIFS(发射纪录!C:C,"&lt;&gt;-",发射纪录!G:G,"&gt;="&amp;DATE(YEAR(A481),MONTH(A481),1),发射纪录!G:G,"&lt;="&amp;DATE(YEAR(A481),MONTH(A481),DAY(EOMONTH(A481,0))),发射纪录!N:N,"&lt;&gt;")</f>
        <v>0</v>
      </c>
      <c r="I481" s="10">
        <f ca="1">COUNTIFS(发射纪录!C:C,"&lt;&gt;-",发射纪录!G:G,"&gt;="&amp;DATE(YEAR(A481),MONTH(A481),1),发射纪录!G:G,"&lt;="&amp;DATE(YEAR(A481),MONTH(A481),DAY(EOMONTH(A481,0))),发射纪录!N:N,"=成功",发射纪录!N:N,"&lt;&gt;")</f>
        <v>0</v>
      </c>
      <c r="J481" s="1" t="str">
        <f t="shared" si="395"/>
        <v>-</v>
      </c>
      <c r="K481" s="10">
        <f t="shared" ca="1" si="396"/>
        <v>11</v>
      </c>
      <c r="L481" s="10">
        <f t="shared" ca="1" si="397"/>
        <v>4</v>
      </c>
      <c r="M481" s="2">
        <f t="shared" ca="1" si="398"/>
        <v>0.36363636363636365</v>
      </c>
      <c r="N481" s="10">
        <f t="shared" si="399"/>
        <v>0</v>
      </c>
      <c r="O481" s="10">
        <f t="shared" ca="1" si="400"/>
        <v>0</v>
      </c>
      <c r="P481" s="3" t="str">
        <f t="shared" si="401"/>
        <v>-</v>
      </c>
      <c r="Q481" s="10">
        <f t="shared" ca="1" si="402"/>
        <v>129</v>
      </c>
      <c r="R481" s="10">
        <f t="shared" ca="1" si="389"/>
        <v>114</v>
      </c>
      <c r="S481" s="4">
        <f t="shared" ca="1" si="403"/>
        <v>0.88372093023255816</v>
      </c>
      <c r="T481" s="478"/>
    </row>
    <row r="482" spans="1:20" x14ac:dyDescent="0.45">
      <c r="A482" s="64">
        <v>40118</v>
      </c>
      <c r="B482" s="14">
        <f>COUNTIFS(发射纪录!B:B,"&lt;&gt;-",发射纪录!G:G,"&gt;="&amp;DATE(YEAR(A482),MONTH(A482),1),发射纪录!G:G,"&lt;="&amp;DATE(YEAR(A482),MONTH(A482),DAY(EOMONTH(A482,0))),发射纪录!N:N,"&lt;&gt;")</f>
        <v>1</v>
      </c>
      <c r="C482" s="10">
        <f>COUNTIFS(发射纪录!B:B,"&lt;&gt;-",发射纪录!G:G,"&gt;="&amp;DATE(YEAR(A482),MONTH(A482),1),发射纪录!G:G,"&lt;="&amp;DATE(YEAR(A482),MONTH(A482),DAY(EOMONTH(A482,0))),发射纪录!N:N,"=成功",发射纪录!N:N,"&lt;&gt;")</f>
        <v>1</v>
      </c>
      <c r="D482" s="1">
        <f t="shared" si="391"/>
        <v>1</v>
      </c>
      <c r="E482" s="10">
        <f t="shared" si="392"/>
        <v>119</v>
      </c>
      <c r="F482" s="10">
        <f t="shared" si="393"/>
        <v>111</v>
      </c>
      <c r="G482" s="2">
        <f t="shared" si="394"/>
        <v>0.9327731092436975</v>
      </c>
      <c r="H482" s="10">
        <f>COUNTIFS(发射纪录!C:C,"&lt;&gt;-",发射纪录!G:G,"&gt;="&amp;DATE(YEAR(A482),MONTH(A482),1),发射纪录!G:G,"&lt;="&amp;DATE(YEAR(A482),MONTH(A482),DAY(EOMONTH(A482,0))),发射纪录!N:N,"&lt;&gt;")</f>
        <v>0</v>
      </c>
      <c r="I482" s="10">
        <f ca="1">COUNTIFS(发射纪录!C:C,"&lt;&gt;-",发射纪录!G:G,"&gt;="&amp;DATE(YEAR(A482),MONTH(A482),1),发射纪录!G:G,"&lt;="&amp;DATE(YEAR(A482),MONTH(A482),DAY(EOMONTH(A482,0))),发射纪录!N:N,"=成功",发射纪录!N:N,"&lt;&gt;")</f>
        <v>0</v>
      </c>
      <c r="J482" s="1" t="str">
        <f t="shared" si="395"/>
        <v>-</v>
      </c>
      <c r="K482" s="10">
        <f t="shared" ca="1" si="396"/>
        <v>11</v>
      </c>
      <c r="L482" s="10">
        <f t="shared" ca="1" si="397"/>
        <v>4</v>
      </c>
      <c r="M482" s="2">
        <f t="shared" ca="1" si="398"/>
        <v>0.36363636363636365</v>
      </c>
      <c r="N482" s="10">
        <f t="shared" si="399"/>
        <v>1</v>
      </c>
      <c r="O482" s="10">
        <f t="shared" ca="1" si="400"/>
        <v>1</v>
      </c>
      <c r="P482" s="3">
        <f t="shared" ca="1" si="401"/>
        <v>1</v>
      </c>
      <c r="Q482" s="10">
        <f t="shared" ca="1" si="402"/>
        <v>130</v>
      </c>
      <c r="R482" s="10">
        <f t="shared" ca="1" si="389"/>
        <v>115</v>
      </c>
      <c r="S482" s="4">
        <f t="shared" ca="1" si="403"/>
        <v>0.88461538461538458</v>
      </c>
      <c r="T482" s="478"/>
    </row>
    <row r="483" spans="1:20" ht="19.5" customHeight="1" thickBot="1" x14ac:dyDescent="0.5">
      <c r="A483" s="65">
        <v>40148</v>
      </c>
      <c r="B483" s="17">
        <f>COUNTIFS(发射纪录!B:B,"&lt;&gt;-",发射纪录!G:G,"&gt;="&amp;DATE(YEAR(A483),MONTH(A483),1),发射纪录!G:G,"&lt;="&amp;DATE(YEAR(A483),MONTH(A483),DAY(EOMONTH(A483,0))),发射纪录!N:N,"&lt;&gt;")</f>
        <v>2</v>
      </c>
      <c r="C483" s="18">
        <f>COUNTIFS(发射纪录!B:B,"&lt;&gt;-",发射纪录!G:G,"&gt;="&amp;DATE(YEAR(A483),MONTH(A483),1),发射纪录!G:G,"&lt;="&amp;DATE(YEAR(A483),MONTH(A483),DAY(EOMONTH(A483,0))),发射纪录!N:N,"=成功",发射纪录!N:N,"&lt;&gt;")</f>
        <v>2</v>
      </c>
      <c r="D483" s="12">
        <f>IF(B483=0,"-",C483/B483)</f>
        <v>1</v>
      </c>
      <c r="E483" s="18">
        <f>E482+B483</f>
        <v>121</v>
      </c>
      <c r="F483" s="18">
        <f>F482+C483</f>
        <v>113</v>
      </c>
      <c r="G483" s="13">
        <f>IF(E483=0,"-",F483/E483)</f>
        <v>0.93388429752066116</v>
      </c>
      <c r="H483" s="18">
        <f ca="1">COUNTIFS(发射纪录!C:C,"&lt;&gt;-",发射纪录!G:G,"&gt;="&amp;DATE(YEAR(A483),MONTH(A483),1),发射纪录!G:G,"&lt;="&amp;DATE(YEAR(A483),MONTH(A483),DAY(EOMONTH(A483,0))),发射纪录!N:N,"&lt;&gt;")</f>
        <v>0</v>
      </c>
      <c r="I483" s="18">
        <f ca="1">COUNTIFS(发射纪录!C:C,"&lt;&gt;-",发射纪录!G:G,"&gt;="&amp;DATE(YEAR(A483),MONTH(A483),1),发射纪录!G:G,"&lt;="&amp;DATE(YEAR(A483),MONTH(A483),DAY(EOMONTH(A483,0))),发射纪录!N:N,"=成功",发射纪录!N:N,"&lt;&gt;")</f>
        <v>0</v>
      </c>
      <c r="J483" s="12" t="str">
        <f ca="1">IF(H483=0,"-",I483/H483)</f>
        <v>-</v>
      </c>
      <c r="K483" s="18">
        <f ca="1">K482+H483</f>
        <v>11</v>
      </c>
      <c r="L483" s="18">
        <f ca="1">L482+I483</f>
        <v>4</v>
      </c>
      <c r="M483" s="13">
        <f ca="1">IF(K483=0,"-",L483/K483)</f>
        <v>0.36363636363636365</v>
      </c>
      <c r="N483" s="18">
        <f ca="1">B483+H483</f>
        <v>2</v>
      </c>
      <c r="O483" s="18">
        <f ca="1">C483+I483</f>
        <v>2</v>
      </c>
      <c r="P483" s="12">
        <f ca="1">IF(N483=0,"-",O483/N483)</f>
        <v>1</v>
      </c>
      <c r="Q483" s="18">
        <f ca="1">E483+K483</f>
        <v>132</v>
      </c>
      <c r="R483" s="18">
        <f ca="1">F483+L483</f>
        <v>117</v>
      </c>
      <c r="S483" s="13">
        <f ca="1">IF(Q483=0,"-",R483/Q483)</f>
        <v>0.88636363636363635</v>
      </c>
      <c r="T483" s="478"/>
    </row>
    <row r="484" spans="1:20" ht="19.5" customHeight="1" thickTop="1" x14ac:dyDescent="0.45">
      <c r="A484" s="63">
        <v>40179</v>
      </c>
      <c r="B484" s="14">
        <f>COUNTIFS(发射纪录!B:B,"&lt;&gt;-",发射纪录!G:G,"&gt;="&amp;DATE(YEAR(A484),MONTH(A484),1),发射纪录!G:G,"&lt;="&amp;DATE(YEAR(A484),MONTH(A484),DAY(EOMONTH(A484,0))),发射纪录!N:N,"&lt;&gt;")</f>
        <v>1</v>
      </c>
      <c r="C484" s="10">
        <f>COUNTIFS(发射纪录!B:B,"&lt;&gt;-",发射纪录!G:G,"&gt;="&amp;DATE(YEAR(A484),MONTH(A484),1),发射纪录!G:G,"&lt;="&amp;DATE(YEAR(A484),MONTH(A484),DAY(EOMONTH(A484,0))),发射纪录!N:N,"=成功",发射纪录!N:N,"&lt;&gt;")</f>
        <v>1</v>
      </c>
      <c r="D484" s="3">
        <f t="shared" ref="D484:D494" si="404">IF(B484=0,"-",C484/B484)</f>
        <v>1</v>
      </c>
      <c r="E484" s="10">
        <f t="shared" ref="E484:E494" si="405">E483+B484</f>
        <v>122</v>
      </c>
      <c r="F484" s="10">
        <f t="shared" ref="F484:F494" si="406">F483+C484</f>
        <v>114</v>
      </c>
      <c r="G484" s="4">
        <f t="shared" ref="G484:G494" si="407">IF(E484=0,"-",F484/E484)</f>
        <v>0.93442622950819676</v>
      </c>
      <c r="H484" s="10">
        <f>COUNTIFS(发射纪录!C:C,"&lt;&gt;-",发射纪录!G:G,"&gt;="&amp;DATE(YEAR(A484),MONTH(A484),1),发射纪录!G:G,"&lt;="&amp;DATE(YEAR(A484),MONTH(A484),DAY(EOMONTH(A484,0))),发射纪录!N:N,"&lt;&gt;")</f>
        <v>0</v>
      </c>
      <c r="I484" s="10">
        <f>COUNTIFS(发射纪录!C:C,"&lt;&gt;-",发射纪录!G:G,"&gt;="&amp;DATE(YEAR(A484),MONTH(A484),1),发射纪录!G:G,"&lt;="&amp;DATE(YEAR(A484),MONTH(A484),DAY(EOMONTH(A484,0))),发射纪录!N:N,"=成功",发射纪录!N:N,"&lt;&gt;")</f>
        <v>0</v>
      </c>
      <c r="J484" s="3" t="str">
        <f t="shared" ref="J484:J494" si="408">IF(H484=0,"-",I484/H484)</f>
        <v>-</v>
      </c>
      <c r="K484" s="10">
        <f t="shared" ref="K484:K494" ca="1" si="409">K483+H484</f>
        <v>11</v>
      </c>
      <c r="L484" s="10">
        <f t="shared" ref="L484:L494" ca="1" si="410">L483+I484</f>
        <v>4</v>
      </c>
      <c r="M484" s="4">
        <f t="shared" ref="M484:M494" ca="1" si="411">IF(K484=0,"-",L484/K484)</f>
        <v>0.36363636363636365</v>
      </c>
      <c r="N484" s="10">
        <f t="shared" ref="N484:N494" si="412">B484+H484</f>
        <v>1</v>
      </c>
      <c r="O484" s="10">
        <f t="shared" ref="O484:O494" si="413">C484+I484</f>
        <v>1</v>
      </c>
      <c r="P484" s="3">
        <f t="shared" ref="P484:P494" si="414">IF(N484=0,"-",O484/N484)</f>
        <v>1</v>
      </c>
      <c r="Q484" s="10">
        <f t="shared" ref="Q484:Q494" ca="1" si="415">E484+K484</f>
        <v>133</v>
      </c>
      <c r="R484" s="10">
        <f t="shared" ca="1" si="389"/>
        <v>118</v>
      </c>
      <c r="S484" s="4">
        <f t="shared" ref="S484:S494" ca="1" si="416">IF(Q484=0,"-",R484/Q484)</f>
        <v>0.88721804511278191</v>
      </c>
      <c r="T484" s="478"/>
    </row>
    <row r="485" spans="1:20" x14ac:dyDescent="0.45">
      <c r="A485" s="64">
        <v>40210</v>
      </c>
      <c r="B485" s="14">
        <f>COUNTIFS(发射纪录!B:B,"&lt;&gt;-",发射纪录!G:G,"&gt;="&amp;DATE(YEAR(A485),MONTH(A485),1),发射纪录!G:G,"&lt;="&amp;DATE(YEAR(A485),MONTH(A485),DAY(EOMONTH(A485,0))),发射纪录!N:N,"&lt;&gt;")</f>
        <v>0</v>
      </c>
      <c r="C485" s="10">
        <f>COUNTIFS(发射纪录!B:B,"&lt;&gt;-",发射纪录!G:G,"&gt;="&amp;DATE(YEAR(A485),MONTH(A485),1),发射纪录!G:G,"&lt;="&amp;DATE(YEAR(A485),MONTH(A485),DAY(EOMONTH(A485,0))),发射纪录!N:N,"=成功",发射纪录!N:N,"&lt;&gt;")</f>
        <v>0</v>
      </c>
      <c r="D485" s="1" t="str">
        <f t="shared" si="404"/>
        <v>-</v>
      </c>
      <c r="E485" s="10">
        <f t="shared" si="405"/>
        <v>122</v>
      </c>
      <c r="F485" s="10">
        <f t="shared" si="406"/>
        <v>114</v>
      </c>
      <c r="G485" s="2">
        <f t="shared" si="407"/>
        <v>0.93442622950819676</v>
      </c>
      <c r="H485" s="10">
        <f>COUNTIFS(发射纪录!C:C,"&lt;&gt;-",发射纪录!G:G,"&gt;="&amp;DATE(YEAR(A485),MONTH(A485),1),发射纪录!G:G,"&lt;="&amp;DATE(YEAR(A485),MONTH(A485),DAY(EOMONTH(A485,0))),发射纪录!N:N,"&lt;&gt;")</f>
        <v>0</v>
      </c>
      <c r="I485" s="10">
        <f>COUNTIFS(发射纪录!C:C,"&lt;&gt;-",发射纪录!G:G,"&gt;="&amp;DATE(YEAR(A485),MONTH(A485),1),发射纪录!G:G,"&lt;="&amp;DATE(YEAR(A485),MONTH(A485),DAY(EOMONTH(A485,0))),发射纪录!N:N,"=成功",发射纪录!N:N,"&lt;&gt;")</f>
        <v>0</v>
      </c>
      <c r="J485" s="1" t="str">
        <f t="shared" si="408"/>
        <v>-</v>
      </c>
      <c r="K485" s="10">
        <f t="shared" ca="1" si="409"/>
        <v>11</v>
      </c>
      <c r="L485" s="10">
        <f t="shared" ca="1" si="410"/>
        <v>4</v>
      </c>
      <c r="M485" s="2">
        <f t="shared" ca="1" si="411"/>
        <v>0.36363636363636365</v>
      </c>
      <c r="N485" s="10">
        <f t="shared" si="412"/>
        <v>0</v>
      </c>
      <c r="O485" s="10">
        <f t="shared" si="413"/>
        <v>0</v>
      </c>
      <c r="P485" s="3" t="str">
        <f t="shared" si="414"/>
        <v>-</v>
      </c>
      <c r="Q485" s="10">
        <f t="shared" ca="1" si="415"/>
        <v>133</v>
      </c>
      <c r="R485" s="10">
        <f t="shared" ca="1" si="389"/>
        <v>118</v>
      </c>
      <c r="S485" s="4">
        <f t="shared" ca="1" si="416"/>
        <v>0.88721804511278191</v>
      </c>
      <c r="T485" s="478"/>
    </row>
    <row r="486" spans="1:20" x14ac:dyDescent="0.45">
      <c r="A486" s="64">
        <v>40238</v>
      </c>
      <c r="B486" s="14">
        <f>COUNTIFS(发射纪录!B:B,"&lt;&gt;-",发射纪录!G:G,"&gt;="&amp;DATE(YEAR(A486),MONTH(A486),1),发射纪录!G:G,"&lt;="&amp;DATE(YEAR(A486),MONTH(A486),DAY(EOMONTH(A486,0))),发射纪录!N:N,"&lt;&gt;")</f>
        <v>1</v>
      </c>
      <c r="C486" s="10">
        <f>COUNTIFS(发射纪录!B:B,"&lt;&gt;-",发射纪录!G:G,"&gt;="&amp;DATE(YEAR(A486),MONTH(A486),1),发射纪录!G:G,"&lt;="&amp;DATE(YEAR(A486),MONTH(A486),DAY(EOMONTH(A486,0))),发射纪录!N:N,"=成功",发射纪录!N:N,"&lt;&gt;")</f>
        <v>1</v>
      </c>
      <c r="D486" s="1">
        <f t="shared" si="404"/>
        <v>1</v>
      </c>
      <c r="E486" s="10">
        <f t="shared" si="405"/>
        <v>123</v>
      </c>
      <c r="F486" s="10">
        <f t="shared" si="406"/>
        <v>115</v>
      </c>
      <c r="G486" s="2">
        <f t="shared" si="407"/>
        <v>0.93495934959349591</v>
      </c>
      <c r="H486" s="10">
        <f>COUNTIFS(发射纪录!C:C,"&lt;&gt;-",发射纪录!G:G,"&gt;="&amp;DATE(YEAR(A486),MONTH(A486),1),发射纪录!G:G,"&lt;="&amp;DATE(YEAR(A486),MONTH(A486),DAY(EOMONTH(A486,0))),发射纪录!N:N,"&lt;&gt;")</f>
        <v>0</v>
      </c>
      <c r="I486" s="10">
        <f>COUNTIFS(发射纪录!C:C,"&lt;&gt;-",发射纪录!G:G,"&gt;="&amp;DATE(YEAR(A486),MONTH(A486),1),发射纪录!G:G,"&lt;="&amp;DATE(YEAR(A486),MONTH(A486),DAY(EOMONTH(A486,0))),发射纪录!N:N,"=成功",发射纪录!N:N,"&lt;&gt;")</f>
        <v>0</v>
      </c>
      <c r="J486" s="1" t="str">
        <f t="shared" si="408"/>
        <v>-</v>
      </c>
      <c r="K486" s="10">
        <f t="shared" ca="1" si="409"/>
        <v>11</v>
      </c>
      <c r="L486" s="10">
        <f t="shared" ca="1" si="410"/>
        <v>4</v>
      </c>
      <c r="M486" s="2">
        <f t="shared" ca="1" si="411"/>
        <v>0.36363636363636365</v>
      </c>
      <c r="N486" s="10">
        <f t="shared" si="412"/>
        <v>1</v>
      </c>
      <c r="O486" s="10">
        <f t="shared" si="413"/>
        <v>1</v>
      </c>
      <c r="P486" s="3">
        <f t="shared" si="414"/>
        <v>1</v>
      </c>
      <c r="Q486" s="10">
        <f t="shared" ca="1" si="415"/>
        <v>134</v>
      </c>
      <c r="R486" s="10">
        <f t="shared" ca="1" si="389"/>
        <v>119</v>
      </c>
      <c r="S486" s="4">
        <f t="shared" ca="1" si="416"/>
        <v>0.88805970149253732</v>
      </c>
      <c r="T486" s="478"/>
    </row>
    <row r="487" spans="1:20" x14ac:dyDescent="0.45">
      <c r="A487" s="64">
        <v>40269</v>
      </c>
      <c r="B487" s="14">
        <f>COUNTIFS(发射纪录!B:B,"&lt;&gt;-",发射纪录!G:G,"&gt;="&amp;DATE(YEAR(A487),MONTH(A487),1),发射纪录!G:G,"&lt;="&amp;DATE(YEAR(A487),MONTH(A487),DAY(EOMONTH(A487,0))),发射纪录!N:N,"&lt;&gt;")</f>
        <v>0</v>
      </c>
      <c r="C487" s="10">
        <f>COUNTIFS(发射纪录!B:B,"&lt;&gt;-",发射纪录!G:G,"&gt;="&amp;DATE(YEAR(A487),MONTH(A487),1),发射纪录!G:G,"&lt;="&amp;DATE(YEAR(A487),MONTH(A487),DAY(EOMONTH(A487,0))),发射纪录!N:N,"=成功",发射纪录!N:N,"&lt;&gt;")</f>
        <v>0</v>
      </c>
      <c r="D487" s="1" t="str">
        <f t="shared" si="404"/>
        <v>-</v>
      </c>
      <c r="E487" s="10">
        <f t="shared" si="405"/>
        <v>123</v>
      </c>
      <c r="F487" s="10">
        <f t="shared" si="406"/>
        <v>115</v>
      </c>
      <c r="G487" s="2">
        <f t="shared" si="407"/>
        <v>0.93495934959349591</v>
      </c>
      <c r="H487" s="10">
        <f>COUNTIFS(发射纪录!C:C,"&lt;&gt;-",发射纪录!G:G,"&gt;="&amp;DATE(YEAR(A487),MONTH(A487),1),发射纪录!G:G,"&lt;="&amp;DATE(YEAR(A487),MONTH(A487),DAY(EOMONTH(A487,0))),发射纪录!N:N,"&lt;&gt;")</f>
        <v>0</v>
      </c>
      <c r="I487" s="10">
        <f>COUNTIFS(发射纪录!C:C,"&lt;&gt;-",发射纪录!G:G,"&gt;="&amp;DATE(YEAR(A487),MONTH(A487),1),发射纪录!G:G,"&lt;="&amp;DATE(YEAR(A487),MONTH(A487),DAY(EOMONTH(A487,0))),发射纪录!N:N,"=成功",发射纪录!N:N,"&lt;&gt;")</f>
        <v>0</v>
      </c>
      <c r="J487" s="1" t="str">
        <f t="shared" si="408"/>
        <v>-</v>
      </c>
      <c r="K487" s="10">
        <f t="shared" ca="1" si="409"/>
        <v>11</v>
      </c>
      <c r="L487" s="10">
        <f t="shared" ca="1" si="410"/>
        <v>4</v>
      </c>
      <c r="M487" s="2">
        <f t="shared" ca="1" si="411"/>
        <v>0.36363636363636365</v>
      </c>
      <c r="N487" s="10">
        <f t="shared" si="412"/>
        <v>0</v>
      </c>
      <c r="O487" s="10">
        <f t="shared" si="413"/>
        <v>0</v>
      </c>
      <c r="P487" s="3" t="str">
        <f t="shared" si="414"/>
        <v>-</v>
      </c>
      <c r="Q487" s="10">
        <f t="shared" ca="1" si="415"/>
        <v>134</v>
      </c>
      <c r="R487" s="10">
        <f t="shared" ca="1" si="389"/>
        <v>119</v>
      </c>
      <c r="S487" s="4">
        <f t="shared" ca="1" si="416"/>
        <v>0.88805970149253732</v>
      </c>
      <c r="T487" s="478"/>
    </row>
    <row r="488" spans="1:20" x14ac:dyDescent="0.45">
      <c r="A488" s="64">
        <v>40299</v>
      </c>
      <c r="B488" s="14">
        <f>COUNTIFS(发射纪录!B:B,"&lt;&gt;-",发射纪录!G:G,"&gt;="&amp;DATE(YEAR(A488),MONTH(A488),1),发射纪录!G:G,"&lt;="&amp;DATE(YEAR(A488),MONTH(A488),DAY(EOMONTH(A488,0))),发射纪录!N:N,"&lt;&gt;")</f>
        <v>0</v>
      </c>
      <c r="C488" s="10">
        <f>COUNTIFS(发射纪录!B:B,"&lt;&gt;-",发射纪录!G:G,"&gt;="&amp;DATE(YEAR(A488),MONTH(A488),1),发射纪录!G:G,"&lt;="&amp;DATE(YEAR(A488),MONTH(A488),DAY(EOMONTH(A488,0))),发射纪录!N:N,"=成功",发射纪录!N:N,"&lt;&gt;")</f>
        <v>0</v>
      </c>
      <c r="D488" s="1" t="str">
        <f t="shared" si="404"/>
        <v>-</v>
      </c>
      <c r="E488" s="10">
        <f t="shared" si="405"/>
        <v>123</v>
      </c>
      <c r="F488" s="10">
        <f t="shared" si="406"/>
        <v>115</v>
      </c>
      <c r="G488" s="2">
        <f t="shared" si="407"/>
        <v>0.93495934959349591</v>
      </c>
      <c r="H488" s="10">
        <f ca="1">COUNTIFS(发射纪录!C:C,"&lt;&gt;-",发射纪录!G:G,"&gt;="&amp;DATE(YEAR(A488),MONTH(A488),1),发射纪录!G:G,"&lt;="&amp;DATE(YEAR(A488),MONTH(A488),DAY(EOMONTH(A488,0))),发射纪录!N:N,"&lt;&gt;")</f>
        <v>0</v>
      </c>
      <c r="I488" s="10">
        <f ca="1">COUNTIFS(发射纪录!C:C,"&lt;&gt;-",发射纪录!G:G,"&gt;="&amp;DATE(YEAR(A488),MONTH(A488),1),发射纪录!G:G,"&lt;="&amp;DATE(YEAR(A488),MONTH(A488),DAY(EOMONTH(A488,0))),发射纪录!N:N,"=成功",发射纪录!N:N,"&lt;&gt;")</f>
        <v>0</v>
      </c>
      <c r="J488" s="1" t="str">
        <f t="shared" ca="1" si="408"/>
        <v>-</v>
      </c>
      <c r="K488" s="10">
        <f t="shared" ca="1" si="409"/>
        <v>11</v>
      </c>
      <c r="L488" s="10">
        <f t="shared" ca="1" si="410"/>
        <v>4</v>
      </c>
      <c r="M488" s="2">
        <f t="shared" ca="1" si="411"/>
        <v>0.36363636363636365</v>
      </c>
      <c r="N488" s="10">
        <f t="shared" ca="1" si="412"/>
        <v>0</v>
      </c>
      <c r="O488" s="10">
        <f t="shared" ca="1" si="413"/>
        <v>0</v>
      </c>
      <c r="P488" s="3" t="str">
        <f t="shared" ca="1" si="414"/>
        <v>-</v>
      </c>
      <c r="Q488" s="10">
        <f t="shared" ca="1" si="415"/>
        <v>134</v>
      </c>
      <c r="R488" s="10">
        <f t="shared" ca="1" si="389"/>
        <v>119</v>
      </c>
      <c r="S488" s="4">
        <f t="shared" ca="1" si="416"/>
        <v>0.88805970149253732</v>
      </c>
      <c r="T488" s="478"/>
    </row>
    <row r="489" spans="1:20" x14ac:dyDescent="0.45">
      <c r="A489" s="64">
        <v>40330</v>
      </c>
      <c r="B489" s="14">
        <f>COUNTIFS(发射纪录!B:B,"&lt;&gt;-",发射纪录!G:G,"&gt;="&amp;DATE(YEAR(A489),MONTH(A489),1),发射纪录!G:G,"&lt;="&amp;DATE(YEAR(A489),MONTH(A489),DAY(EOMONTH(A489,0))),发射纪录!N:N,"&lt;&gt;")</f>
        <v>2</v>
      </c>
      <c r="C489" s="10">
        <f>COUNTIFS(发射纪录!B:B,"&lt;&gt;-",发射纪录!G:G,"&gt;="&amp;DATE(YEAR(A489),MONTH(A489),1),发射纪录!G:G,"&lt;="&amp;DATE(YEAR(A489),MONTH(A489),DAY(EOMONTH(A489,0))),发射纪录!N:N,"=成功",发射纪录!N:N,"&lt;&gt;")</f>
        <v>2</v>
      </c>
      <c r="D489" s="1">
        <f t="shared" si="404"/>
        <v>1</v>
      </c>
      <c r="E489" s="10">
        <f t="shared" si="405"/>
        <v>125</v>
      </c>
      <c r="F489" s="10">
        <f t="shared" si="406"/>
        <v>117</v>
      </c>
      <c r="G489" s="2">
        <f t="shared" si="407"/>
        <v>0.93600000000000005</v>
      </c>
      <c r="H489" s="10">
        <f>COUNTIFS(发射纪录!C:C,"&lt;&gt;-",发射纪录!G:G,"&gt;="&amp;DATE(YEAR(A489),MONTH(A489),1),发射纪录!G:G,"&lt;="&amp;DATE(YEAR(A489),MONTH(A489),DAY(EOMONTH(A489,0))),发射纪录!N:N,"&lt;&gt;")</f>
        <v>0</v>
      </c>
      <c r="I489" s="10">
        <f ca="1">COUNTIFS(发射纪录!C:C,"&lt;&gt;-",发射纪录!G:G,"&gt;="&amp;DATE(YEAR(A489),MONTH(A489),1),发射纪录!G:G,"&lt;="&amp;DATE(YEAR(A489),MONTH(A489),DAY(EOMONTH(A489,0))),发射纪录!N:N,"=成功",发射纪录!N:N,"&lt;&gt;")</f>
        <v>0</v>
      </c>
      <c r="J489" s="1" t="str">
        <f t="shared" si="408"/>
        <v>-</v>
      </c>
      <c r="K489" s="10">
        <f t="shared" ca="1" si="409"/>
        <v>11</v>
      </c>
      <c r="L489" s="10">
        <f t="shared" ca="1" si="410"/>
        <v>4</v>
      </c>
      <c r="M489" s="2">
        <f t="shared" ca="1" si="411"/>
        <v>0.36363636363636365</v>
      </c>
      <c r="N489" s="10">
        <f t="shared" si="412"/>
        <v>2</v>
      </c>
      <c r="O489" s="10">
        <f t="shared" ca="1" si="413"/>
        <v>2</v>
      </c>
      <c r="P489" s="3">
        <f t="shared" ca="1" si="414"/>
        <v>1</v>
      </c>
      <c r="Q489" s="10">
        <f t="shared" ca="1" si="415"/>
        <v>136</v>
      </c>
      <c r="R489" s="10">
        <f t="shared" ca="1" si="389"/>
        <v>121</v>
      </c>
      <c r="S489" s="4">
        <f t="shared" ca="1" si="416"/>
        <v>0.88970588235294112</v>
      </c>
      <c r="T489" s="478"/>
    </row>
    <row r="490" spans="1:20" x14ac:dyDescent="0.45">
      <c r="A490" s="64">
        <v>40360</v>
      </c>
      <c r="B490" s="14">
        <f>COUNTIFS(发射纪录!B:B,"&lt;&gt;-",发射纪录!G:G,"&gt;="&amp;DATE(YEAR(A490),MONTH(A490),1),发射纪录!G:G,"&lt;="&amp;DATE(YEAR(A490),MONTH(A490),DAY(EOMONTH(A490,0))),发射纪录!N:N,"&lt;&gt;")</f>
        <v>0</v>
      </c>
      <c r="C490" s="10">
        <f>COUNTIFS(发射纪录!B:B,"&lt;&gt;-",发射纪录!G:G,"&gt;="&amp;DATE(YEAR(A490),MONTH(A490),1),发射纪录!G:G,"&lt;="&amp;DATE(YEAR(A490),MONTH(A490),DAY(EOMONTH(A490,0))),发射纪录!N:N,"=成功",发射纪录!N:N,"&lt;&gt;")</f>
        <v>0</v>
      </c>
      <c r="D490" s="1" t="str">
        <f t="shared" si="404"/>
        <v>-</v>
      </c>
      <c r="E490" s="10">
        <f t="shared" si="405"/>
        <v>125</v>
      </c>
      <c r="F490" s="10">
        <f t="shared" si="406"/>
        <v>117</v>
      </c>
      <c r="G490" s="2">
        <f t="shared" si="407"/>
        <v>0.93600000000000005</v>
      </c>
      <c r="H490" s="10">
        <f>COUNTIFS(发射纪录!C:C,"&lt;&gt;-",发射纪录!G:G,"&gt;="&amp;DATE(YEAR(A490),MONTH(A490),1),发射纪录!G:G,"&lt;="&amp;DATE(YEAR(A490),MONTH(A490),DAY(EOMONTH(A490,0))),发射纪录!N:N,"&lt;&gt;")</f>
        <v>0</v>
      </c>
      <c r="I490" s="10">
        <f>COUNTIFS(发射纪录!C:C,"&lt;&gt;-",发射纪录!G:G,"&gt;="&amp;DATE(YEAR(A490),MONTH(A490),1),发射纪录!G:G,"&lt;="&amp;DATE(YEAR(A490),MONTH(A490),DAY(EOMONTH(A490,0))),发射纪录!N:N,"=成功",发射纪录!N:N,"&lt;&gt;")</f>
        <v>0</v>
      </c>
      <c r="J490" s="1" t="str">
        <f t="shared" si="408"/>
        <v>-</v>
      </c>
      <c r="K490" s="10">
        <f t="shared" ca="1" si="409"/>
        <v>11</v>
      </c>
      <c r="L490" s="10">
        <f t="shared" ca="1" si="410"/>
        <v>4</v>
      </c>
      <c r="M490" s="2">
        <f t="shared" ca="1" si="411"/>
        <v>0.36363636363636365</v>
      </c>
      <c r="N490" s="10">
        <f t="shared" si="412"/>
        <v>0</v>
      </c>
      <c r="O490" s="10">
        <f t="shared" si="413"/>
        <v>0</v>
      </c>
      <c r="P490" s="3" t="str">
        <f t="shared" si="414"/>
        <v>-</v>
      </c>
      <c r="Q490" s="10">
        <f t="shared" ca="1" si="415"/>
        <v>136</v>
      </c>
      <c r="R490" s="10">
        <f t="shared" ca="1" si="389"/>
        <v>121</v>
      </c>
      <c r="S490" s="4">
        <f t="shared" ca="1" si="416"/>
        <v>0.88970588235294112</v>
      </c>
      <c r="T490" s="478"/>
    </row>
    <row r="491" spans="1:20" x14ac:dyDescent="0.45">
      <c r="A491" s="64">
        <v>40391</v>
      </c>
      <c r="B491" s="14">
        <f>COUNTIFS(发射纪录!B:B,"&lt;&gt;-",发射纪录!G:G,"&gt;="&amp;DATE(YEAR(A491),MONTH(A491),1),发射纪录!G:G,"&lt;="&amp;DATE(YEAR(A491),MONTH(A491),DAY(EOMONTH(A491,0))),发射纪录!N:N,"&lt;&gt;")</f>
        <v>3</v>
      </c>
      <c r="C491" s="10">
        <f>COUNTIFS(发射纪录!B:B,"&lt;&gt;-",发射纪录!G:G,"&gt;="&amp;DATE(YEAR(A491),MONTH(A491),1),发射纪录!G:G,"&lt;="&amp;DATE(YEAR(A491),MONTH(A491),DAY(EOMONTH(A491,0))),发射纪录!N:N,"=成功",发射纪录!N:N,"&lt;&gt;")</f>
        <v>3</v>
      </c>
      <c r="D491" s="1">
        <f t="shared" si="404"/>
        <v>1</v>
      </c>
      <c r="E491" s="10">
        <f t="shared" si="405"/>
        <v>128</v>
      </c>
      <c r="F491" s="10">
        <f t="shared" si="406"/>
        <v>120</v>
      </c>
      <c r="G491" s="2">
        <f t="shared" si="407"/>
        <v>0.9375</v>
      </c>
      <c r="H491" s="10">
        <f>COUNTIFS(发射纪录!C:C,"&lt;&gt;-",发射纪录!G:G,"&gt;="&amp;DATE(YEAR(A491),MONTH(A491),1),发射纪录!G:G,"&lt;="&amp;DATE(YEAR(A491),MONTH(A491),DAY(EOMONTH(A491,0))),发射纪录!N:N,"&lt;&gt;")</f>
        <v>0</v>
      </c>
      <c r="I491" s="10">
        <f ca="1">COUNTIFS(发射纪录!C:C,"&lt;&gt;-",发射纪录!G:G,"&gt;="&amp;DATE(YEAR(A491),MONTH(A491),1),发射纪录!G:G,"&lt;="&amp;DATE(YEAR(A491),MONTH(A491),DAY(EOMONTH(A491,0))),发射纪录!N:N,"=成功",发射纪录!N:N,"&lt;&gt;")</f>
        <v>0</v>
      </c>
      <c r="J491" s="1" t="str">
        <f t="shared" si="408"/>
        <v>-</v>
      </c>
      <c r="K491" s="10">
        <f t="shared" ca="1" si="409"/>
        <v>11</v>
      </c>
      <c r="L491" s="10">
        <f t="shared" ca="1" si="410"/>
        <v>4</v>
      </c>
      <c r="M491" s="2">
        <f t="shared" ca="1" si="411"/>
        <v>0.36363636363636365</v>
      </c>
      <c r="N491" s="10">
        <f t="shared" si="412"/>
        <v>3</v>
      </c>
      <c r="O491" s="10">
        <f t="shared" ca="1" si="413"/>
        <v>3</v>
      </c>
      <c r="P491" s="3">
        <f t="shared" ca="1" si="414"/>
        <v>1</v>
      </c>
      <c r="Q491" s="10">
        <f t="shared" ca="1" si="415"/>
        <v>139</v>
      </c>
      <c r="R491" s="10">
        <f t="shared" ca="1" si="389"/>
        <v>124</v>
      </c>
      <c r="S491" s="4">
        <f t="shared" ca="1" si="416"/>
        <v>0.8920863309352518</v>
      </c>
      <c r="T491" s="478"/>
    </row>
    <row r="492" spans="1:20" x14ac:dyDescent="0.45">
      <c r="A492" s="64">
        <v>40422</v>
      </c>
      <c r="B492" s="14">
        <f>COUNTIFS(发射纪录!B:B,"&lt;&gt;-",发射纪录!G:G,"&gt;="&amp;DATE(YEAR(A492),MONTH(A492),1),发射纪录!G:G,"&lt;="&amp;DATE(YEAR(A492),MONTH(A492),DAY(EOMONTH(A492,0))),发射纪录!N:N,"&lt;&gt;")</f>
        <v>2</v>
      </c>
      <c r="C492" s="10">
        <f>COUNTIFS(发射纪录!B:B,"&lt;&gt;-",发射纪录!G:G,"&gt;="&amp;DATE(YEAR(A492),MONTH(A492),1),发射纪录!G:G,"&lt;="&amp;DATE(YEAR(A492),MONTH(A492),DAY(EOMONTH(A492,0))),发射纪录!N:N,"=成功",发射纪录!N:N,"&lt;&gt;")</f>
        <v>2</v>
      </c>
      <c r="D492" s="1">
        <f t="shared" si="404"/>
        <v>1</v>
      </c>
      <c r="E492" s="10">
        <f t="shared" si="405"/>
        <v>130</v>
      </c>
      <c r="F492" s="10">
        <f t="shared" si="406"/>
        <v>122</v>
      </c>
      <c r="G492" s="2">
        <f t="shared" si="407"/>
        <v>0.93846153846153846</v>
      </c>
      <c r="H492" s="10">
        <f ca="1">COUNTIFS(发射纪录!C:C,"&lt;&gt;-",发射纪录!G:G,"&gt;="&amp;DATE(YEAR(A492),MONTH(A492),1),发射纪录!G:G,"&lt;="&amp;DATE(YEAR(A492),MONTH(A492),DAY(EOMONTH(A492,0))),发射纪录!N:N,"&lt;&gt;")</f>
        <v>0</v>
      </c>
      <c r="I492" s="10">
        <f>COUNTIFS(发射纪录!C:C,"&lt;&gt;-",发射纪录!G:G,"&gt;="&amp;DATE(YEAR(A492),MONTH(A492),1),发射纪录!G:G,"&lt;="&amp;DATE(YEAR(A492),MONTH(A492),DAY(EOMONTH(A492,0))),发射纪录!N:N,"=成功",发射纪录!N:N,"&lt;&gt;")</f>
        <v>0</v>
      </c>
      <c r="J492" s="1" t="str">
        <f t="shared" ca="1" si="408"/>
        <v>-</v>
      </c>
      <c r="K492" s="10">
        <f t="shared" ca="1" si="409"/>
        <v>11</v>
      </c>
      <c r="L492" s="10">
        <f t="shared" ca="1" si="410"/>
        <v>4</v>
      </c>
      <c r="M492" s="2">
        <f t="shared" ca="1" si="411"/>
        <v>0.36363636363636365</v>
      </c>
      <c r="N492" s="10">
        <f t="shared" ca="1" si="412"/>
        <v>2</v>
      </c>
      <c r="O492" s="10">
        <f t="shared" si="413"/>
        <v>2</v>
      </c>
      <c r="P492" s="3">
        <f t="shared" ca="1" si="414"/>
        <v>1</v>
      </c>
      <c r="Q492" s="10">
        <f t="shared" ca="1" si="415"/>
        <v>141</v>
      </c>
      <c r="R492" s="10">
        <f t="shared" ca="1" si="389"/>
        <v>126</v>
      </c>
      <c r="S492" s="4">
        <f t="shared" ca="1" si="416"/>
        <v>0.8936170212765957</v>
      </c>
      <c r="T492" s="478"/>
    </row>
    <row r="493" spans="1:20" x14ac:dyDescent="0.45">
      <c r="A493" s="64">
        <v>40452</v>
      </c>
      <c r="B493" s="14">
        <f>COUNTIFS(发射纪录!B:B,"&lt;&gt;-",发射纪录!G:G,"&gt;="&amp;DATE(YEAR(A493),MONTH(A493),1),发射纪录!G:G,"&lt;="&amp;DATE(YEAR(A493),MONTH(A493),DAY(EOMONTH(A493,0))),发射纪录!N:N,"&lt;&gt;")</f>
        <v>2</v>
      </c>
      <c r="C493" s="10">
        <f>COUNTIFS(发射纪录!B:B,"&lt;&gt;-",发射纪录!G:G,"&gt;="&amp;DATE(YEAR(A493),MONTH(A493),1),发射纪录!G:G,"&lt;="&amp;DATE(YEAR(A493),MONTH(A493),DAY(EOMONTH(A493,0))),发射纪录!N:N,"=成功",发射纪录!N:N,"&lt;&gt;")</f>
        <v>2</v>
      </c>
      <c r="D493" s="1">
        <f t="shared" si="404"/>
        <v>1</v>
      </c>
      <c r="E493" s="10">
        <f t="shared" si="405"/>
        <v>132</v>
      </c>
      <c r="F493" s="10">
        <f t="shared" si="406"/>
        <v>124</v>
      </c>
      <c r="G493" s="2">
        <f t="shared" si="407"/>
        <v>0.93939393939393945</v>
      </c>
      <c r="H493" s="10">
        <f>COUNTIFS(发射纪录!C:C,"&lt;&gt;-",发射纪录!G:G,"&gt;="&amp;DATE(YEAR(A493),MONTH(A493),1),发射纪录!G:G,"&lt;="&amp;DATE(YEAR(A493),MONTH(A493),DAY(EOMONTH(A493,0))),发射纪录!N:N,"&lt;&gt;")</f>
        <v>0</v>
      </c>
      <c r="I493" s="10">
        <f ca="1">COUNTIFS(发射纪录!C:C,"&lt;&gt;-",发射纪录!G:G,"&gt;="&amp;DATE(YEAR(A493),MONTH(A493),1),发射纪录!G:G,"&lt;="&amp;DATE(YEAR(A493),MONTH(A493),DAY(EOMONTH(A493,0))),发射纪录!N:N,"=成功",发射纪录!N:N,"&lt;&gt;")</f>
        <v>0</v>
      </c>
      <c r="J493" s="1" t="str">
        <f t="shared" si="408"/>
        <v>-</v>
      </c>
      <c r="K493" s="10">
        <f t="shared" ca="1" si="409"/>
        <v>11</v>
      </c>
      <c r="L493" s="10">
        <f t="shared" ca="1" si="410"/>
        <v>4</v>
      </c>
      <c r="M493" s="2">
        <f t="shared" ca="1" si="411"/>
        <v>0.36363636363636365</v>
      </c>
      <c r="N493" s="10">
        <f t="shared" si="412"/>
        <v>2</v>
      </c>
      <c r="O493" s="10">
        <f t="shared" ca="1" si="413"/>
        <v>2</v>
      </c>
      <c r="P493" s="3">
        <f t="shared" ca="1" si="414"/>
        <v>1</v>
      </c>
      <c r="Q493" s="10">
        <f t="shared" ca="1" si="415"/>
        <v>143</v>
      </c>
      <c r="R493" s="10">
        <f t="shared" ca="1" si="389"/>
        <v>128</v>
      </c>
      <c r="S493" s="4">
        <f t="shared" ca="1" si="416"/>
        <v>0.8951048951048951</v>
      </c>
      <c r="T493" s="478"/>
    </row>
    <row r="494" spans="1:20" x14ac:dyDescent="0.45">
      <c r="A494" s="64">
        <v>40483</v>
      </c>
      <c r="B494" s="14">
        <f>COUNTIFS(发射纪录!B:B,"&lt;&gt;-",发射纪录!G:G,"&gt;="&amp;DATE(YEAR(A494),MONTH(A494),1),发射纪录!G:G,"&lt;="&amp;DATE(YEAR(A494),MONTH(A494),DAY(EOMONTH(A494,0))),发射纪录!N:N,"&lt;&gt;")</f>
        <v>3</v>
      </c>
      <c r="C494" s="10">
        <f>COUNTIFS(发射纪录!B:B,"&lt;&gt;-",发射纪录!G:G,"&gt;="&amp;DATE(YEAR(A494),MONTH(A494),1),发射纪录!G:G,"&lt;="&amp;DATE(YEAR(A494),MONTH(A494),DAY(EOMONTH(A494,0))),发射纪录!N:N,"=成功",发射纪录!N:N,"&lt;&gt;")</f>
        <v>3</v>
      </c>
      <c r="D494" s="1">
        <f t="shared" si="404"/>
        <v>1</v>
      </c>
      <c r="E494" s="10">
        <f t="shared" si="405"/>
        <v>135</v>
      </c>
      <c r="F494" s="10">
        <f t="shared" si="406"/>
        <v>127</v>
      </c>
      <c r="G494" s="2">
        <f t="shared" si="407"/>
        <v>0.94074074074074077</v>
      </c>
      <c r="H494" s="10">
        <f ca="1">COUNTIFS(发射纪录!C:C,"&lt;&gt;-",发射纪录!G:G,"&gt;="&amp;DATE(YEAR(A494),MONTH(A494),1),发射纪录!G:G,"&lt;="&amp;DATE(YEAR(A494),MONTH(A494),DAY(EOMONTH(A494,0))),发射纪录!N:N,"&lt;&gt;")</f>
        <v>0</v>
      </c>
      <c r="I494" s="10">
        <f ca="1">COUNTIFS(发射纪录!C:C,"&lt;&gt;-",发射纪录!G:G,"&gt;="&amp;DATE(YEAR(A494),MONTH(A494),1),发射纪录!G:G,"&lt;="&amp;DATE(YEAR(A494),MONTH(A494),DAY(EOMONTH(A494,0))),发射纪录!N:N,"=成功",发射纪录!N:N,"&lt;&gt;")</f>
        <v>0</v>
      </c>
      <c r="J494" s="1" t="str">
        <f t="shared" ca="1" si="408"/>
        <v>-</v>
      </c>
      <c r="K494" s="10">
        <f t="shared" ca="1" si="409"/>
        <v>11</v>
      </c>
      <c r="L494" s="10">
        <f t="shared" ca="1" si="410"/>
        <v>4</v>
      </c>
      <c r="M494" s="2">
        <f t="shared" ca="1" si="411"/>
        <v>0.36363636363636365</v>
      </c>
      <c r="N494" s="10">
        <f t="shared" ca="1" si="412"/>
        <v>3</v>
      </c>
      <c r="O494" s="10">
        <f t="shared" ca="1" si="413"/>
        <v>3</v>
      </c>
      <c r="P494" s="3">
        <f t="shared" ca="1" si="414"/>
        <v>1</v>
      </c>
      <c r="Q494" s="10">
        <f t="shared" ca="1" si="415"/>
        <v>146</v>
      </c>
      <c r="R494" s="10">
        <f t="shared" ca="1" si="389"/>
        <v>131</v>
      </c>
      <c r="S494" s="4">
        <f t="shared" ca="1" si="416"/>
        <v>0.89726027397260277</v>
      </c>
      <c r="T494" s="478"/>
    </row>
    <row r="495" spans="1:20" ht="19.5" customHeight="1" thickBot="1" x14ac:dyDescent="0.5">
      <c r="A495" s="65">
        <v>40513</v>
      </c>
      <c r="B495" s="17">
        <f>COUNTIFS(发射纪录!B:B,"&lt;&gt;-",发射纪录!G:G,"&gt;="&amp;DATE(YEAR(A495),MONTH(A495),1),发射纪录!G:G,"&lt;="&amp;DATE(YEAR(A495),MONTH(A495),DAY(EOMONTH(A495,0))),发射纪录!N:N,"&lt;&gt;")</f>
        <v>1</v>
      </c>
      <c r="C495" s="18">
        <f>COUNTIFS(发射纪录!B:B,"&lt;&gt;-",发射纪录!G:G,"&gt;="&amp;DATE(YEAR(A495),MONTH(A495),1),发射纪录!G:G,"&lt;="&amp;DATE(YEAR(A495),MONTH(A495),DAY(EOMONTH(A495,0))),发射纪录!N:N,"=成功",发射纪录!N:N,"&lt;&gt;")</f>
        <v>1</v>
      </c>
      <c r="D495" s="12">
        <f>IF(B495=0,"-",C495/B495)</f>
        <v>1</v>
      </c>
      <c r="E495" s="18">
        <f>E494+B495</f>
        <v>136</v>
      </c>
      <c r="F495" s="18">
        <f>F494+C495</f>
        <v>128</v>
      </c>
      <c r="G495" s="13">
        <f>IF(E495=0,"-",F495/E495)</f>
        <v>0.94117647058823528</v>
      </c>
      <c r="H495" s="18">
        <f ca="1">COUNTIFS(发射纪录!C:C,"&lt;&gt;-",发射纪录!G:G,"&gt;="&amp;DATE(YEAR(A495),MONTH(A495),1),发射纪录!G:G,"&lt;="&amp;DATE(YEAR(A495),MONTH(A495),DAY(EOMONTH(A495,0))),发射纪录!N:N,"&lt;&gt;")</f>
        <v>0</v>
      </c>
      <c r="I495" s="18">
        <f>COUNTIFS(发射纪录!C:C,"&lt;&gt;-",发射纪录!G:G,"&gt;="&amp;DATE(YEAR(A495),MONTH(A495),1),发射纪录!G:G,"&lt;="&amp;DATE(YEAR(A495),MONTH(A495),DAY(EOMONTH(A495,0))),发射纪录!N:N,"=成功",发射纪录!N:N,"&lt;&gt;")</f>
        <v>0</v>
      </c>
      <c r="J495" s="12" t="str">
        <f ca="1">IF(H495=0,"-",I495/H495)</f>
        <v>-</v>
      </c>
      <c r="K495" s="18">
        <f ca="1">K494+H495</f>
        <v>11</v>
      </c>
      <c r="L495" s="18">
        <f ca="1">L494+I495</f>
        <v>4</v>
      </c>
      <c r="M495" s="13">
        <f ca="1">IF(K495=0,"-",L495/K495)</f>
        <v>0.36363636363636365</v>
      </c>
      <c r="N495" s="18">
        <f ca="1">B495+H495</f>
        <v>1</v>
      </c>
      <c r="O495" s="18">
        <f>C495+I495</f>
        <v>1</v>
      </c>
      <c r="P495" s="12">
        <f ca="1">IF(N495=0,"-",O495/N495)</f>
        <v>1</v>
      </c>
      <c r="Q495" s="18">
        <f ca="1">E495+K495</f>
        <v>147</v>
      </c>
      <c r="R495" s="18">
        <f ca="1">F495+L495</f>
        <v>132</v>
      </c>
      <c r="S495" s="13">
        <f ca="1">IF(Q495=0,"-",R495/Q495)</f>
        <v>0.89795918367346939</v>
      </c>
      <c r="T495" s="478"/>
    </row>
    <row r="496" spans="1:20" ht="19.5" customHeight="1" thickTop="1" x14ac:dyDescent="0.45">
      <c r="A496" s="63">
        <v>40544</v>
      </c>
      <c r="B496" s="14">
        <f>COUNTIFS(发射纪录!B:B,"&lt;&gt;-",发射纪录!G:G,"&gt;="&amp;DATE(YEAR(A496),MONTH(A496),1),发射纪录!G:G,"&lt;="&amp;DATE(YEAR(A496),MONTH(A496),DAY(EOMONTH(A496,0))),发射纪录!N:N,"&lt;&gt;")</f>
        <v>0</v>
      </c>
      <c r="C496" s="10">
        <f>COUNTIFS(发射纪录!B:B,"&lt;&gt;-",发射纪录!G:G,"&gt;="&amp;DATE(YEAR(A496),MONTH(A496),1),发射纪录!G:G,"&lt;="&amp;DATE(YEAR(A496),MONTH(A496),DAY(EOMONTH(A496,0))),发射纪录!N:N,"=成功",发射纪录!N:N,"&lt;&gt;")</f>
        <v>0</v>
      </c>
      <c r="D496" s="3" t="str">
        <f t="shared" ref="D496:D506" si="417">IF(B496=0,"-",C496/B496)</f>
        <v>-</v>
      </c>
      <c r="E496" s="10">
        <f t="shared" ref="E496:E506" si="418">E495+B496</f>
        <v>136</v>
      </c>
      <c r="F496" s="10">
        <f t="shared" ref="F496:F506" si="419">F495+C496</f>
        <v>128</v>
      </c>
      <c r="G496" s="4">
        <f t="shared" ref="G496:G506" si="420">IF(E496=0,"-",F496/E496)</f>
        <v>0.94117647058823528</v>
      </c>
      <c r="H496" s="10">
        <f>COUNTIFS(发射纪录!C:C,"&lt;&gt;-",发射纪录!G:G,"&gt;="&amp;DATE(YEAR(A496),MONTH(A496),1),发射纪录!G:G,"&lt;="&amp;DATE(YEAR(A496),MONTH(A496),DAY(EOMONTH(A496,0))),发射纪录!N:N,"&lt;&gt;")</f>
        <v>0</v>
      </c>
      <c r="I496" s="10">
        <f>COUNTIFS(发射纪录!C:C,"&lt;&gt;-",发射纪录!G:G,"&gt;="&amp;DATE(YEAR(A496),MONTH(A496),1),发射纪录!G:G,"&lt;="&amp;DATE(YEAR(A496),MONTH(A496),DAY(EOMONTH(A496,0))),发射纪录!N:N,"=成功",发射纪录!N:N,"&lt;&gt;")</f>
        <v>0</v>
      </c>
      <c r="J496" s="3" t="str">
        <f t="shared" ref="J496:J506" si="421">IF(H496=0,"-",I496/H496)</f>
        <v>-</v>
      </c>
      <c r="K496" s="10">
        <f t="shared" ref="K496:K506" ca="1" si="422">K495+H496</f>
        <v>11</v>
      </c>
      <c r="L496" s="10">
        <f t="shared" ref="L496:L506" ca="1" si="423">L495+I496</f>
        <v>4</v>
      </c>
      <c r="M496" s="4">
        <f t="shared" ref="M496:M506" ca="1" si="424">IF(K496=0,"-",L496/K496)</f>
        <v>0.36363636363636365</v>
      </c>
      <c r="N496" s="10">
        <f t="shared" ref="N496:N506" si="425">B496+H496</f>
        <v>0</v>
      </c>
      <c r="O496" s="10">
        <f t="shared" ref="O496:O506" si="426">C496+I496</f>
        <v>0</v>
      </c>
      <c r="P496" s="3" t="str">
        <f t="shared" ref="P496:P506" si="427">IF(N496=0,"-",O496/N496)</f>
        <v>-</v>
      </c>
      <c r="Q496" s="10">
        <f t="shared" ref="Q496:Q506" ca="1" si="428">E496+K496</f>
        <v>147</v>
      </c>
      <c r="R496" s="10">
        <f t="shared" ca="1" si="389"/>
        <v>132</v>
      </c>
      <c r="S496" s="4">
        <f t="shared" ref="S496:S506" ca="1" si="429">IF(Q496=0,"-",R496/Q496)</f>
        <v>0.89795918367346939</v>
      </c>
      <c r="T496" s="478"/>
    </row>
    <row r="497" spans="1:20" x14ac:dyDescent="0.45">
      <c r="A497" s="64">
        <v>40575</v>
      </c>
      <c r="B497" s="14">
        <f>COUNTIFS(发射纪录!B:B,"&lt;&gt;-",发射纪录!G:G,"&gt;="&amp;DATE(YEAR(A497),MONTH(A497),1),发射纪录!G:G,"&lt;="&amp;DATE(YEAR(A497),MONTH(A497),DAY(EOMONTH(A497,0))),发射纪录!N:N,"&lt;&gt;")</f>
        <v>0</v>
      </c>
      <c r="C497" s="10">
        <f>COUNTIFS(发射纪录!B:B,"&lt;&gt;-",发射纪录!G:G,"&gt;="&amp;DATE(YEAR(A497),MONTH(A497),1),发射纪录!G:G,"&lt;="&amp;DATE(YEAR(A497),MONTH(A497),DAY(EOMONTH(A497,0))),发射纪录!N:N,"=成功",发射纪录!N:N,"&lt;&gt;")</f>
        <v>0</v>
      </c>
      <c r="D497" s="1" t="str">
        <f t="shared" si="417"/>
        <v>-</v>
      </c>
      <c r="E497" s="10">
        <f t="shared" si="418"/>
        <v>136</v>
      </c>
      <c r="F497" s="10">
        <f t="shared" si="419"/>
        <v>128</v>
      </c>
      <c r="G497" s="2">
        <f t="shared" si="420"/>
        <v>0.94117647058823528</v>
      </c>
      <c r="H497" s="10">
        <f>COUNTIFS(发射纪录!C:C,"&lt;&gt;-",发射纪录!G:G,"&gt;="&amp;DATE(YEAR(A497),MONTH(A497),1),发射纪录!G:G,"&lt;="&amp;DATE(YEAR(A497),MONTH(A497),DAY(EOMONTH(A497,0))),发射纪录!N:N,"&lt;&gt;")</f>
        <v>0</v>
      </c>
      <c r="I497" s="10">
        <f>COUNTIFS(发射纪录!C:C,"&lt;&gt;-",发射纪录!G:G,"&gt;="&amp;DATE(YEAR(A497),MONTH(A497),1),发射纪录!G:G,"&lt;="&amp;DATE(YEAR(A497),MONTH(A497),DAY(EOMONTH(A497,0))),发射纪录!N:N,"=成功",发射纪录!N:N,"&lt;&gt;")</f>
        <v>0</v>
      </c>
      <c r="J497" s="1" t="str">
        <f t="shared" si="421"/>
        <v>-</v>
      </c>
      <c r="K497" s="10">
        <f t="shared" ca="1" si="422"/>
        <v>11</v>
      </c>
      <c r="L497" s="10">
        <f t="shared" ca="1" si="423"/>
        <v>4</v>
      </c>
      <c r="M497" s="2">
        <f t="shared" ca="1" si="424"/>
        <v>0.36363636363636365</v>
      </c>
      <c r="N497" s="10">
        <f t="shared" si="425"/>
        <v>0</v>
      </c>
      <c r="O497" s="10">
        <f t="shared" si="426"/>
        <v>0</v>
      </c>
      <c r="P497" s="3" t="str">
        <f t="shared" si="427"/>
        <v>-</v>
      </c>
      <c r="Q497" s="10">
        <f t="shared" ca="1" si="428"/>
        <v>147</v>
      </c>
      <c r="R497" s="10">
        <f t="shared" ca="1" si="389"/>
        <v>132</v>
      </c>
      <c r="S497" s="4">
        <f t="shared" ca="1" si="429"/>
        <v>0.89795918367346939</v>
      </c>
      <c r="T497" s="478"/>
    </row>
    <row r="498" spans="1:20" x14ac:dyDescent="0.45">
      <c r="A498" s="64">
        <v>40603</v>
      </c>
      <c r="B498" s="14">
        <f>COUNTIFS(发射纪录!B:B,"&lt;&gt;-",发射纪录!G:G,"&gt;="&amp;DATE(YEAR(A498),MONTH(A498),1),发射纪录!G:G,"&lt;="&amp;DATE(YEAR(A498),MONTH(A498),DAY(EOMONTH(A498,0))),发射纪录!N:N,"&lt;&gt;")</f>
        <v>0</v>
      </c>
      <c r="C498" s="10">
        <f>COUNTIFS(发射纪录!B:B,"&lt;&gt;-",发射纪录!G:G,"&gt;="&amp;DATE(YEAR(A498),MONTH(A498),1),发射纪录!G:G,"&lt;="&amp;DATE(YEAR(A498),MONTH(A498),DAY(EOMONTH(A498,0))),发射纪录!N:N,"=成功",发射纪录!N:N,"&lt;&gt;")</f>
        <v>0</v>
      </c>
      <c r="D498" s="1" t="str">
        <f t="shared" si="417"/>
        <v>-</v>
      </c>
      <c r="E498" s="10">
        <f t="shared" si="418"/>
        <v>136</v>
      </c>
      <c r="F498" s="10">
        <f t="shared" si="419"/>
        <v>128</v>
      </c>
      <c r="G498" s="2">
        <f t="shared" si="420"/>
        <v>0.94117647058823528</v>
      </c>
      <c r="H498" s="10">
        <f>COUNTIFS(发射纪录!C:C,"&lt;&gt;-",发射纪录!G:G,"&gt;="&amp;DATE(YEAR(A498),MONTH(A498),1),发射纪录!G:G,"&lt;="&amp;DATE(YEAR(A498),MONTH(A498),DAY(EOMONTH(A498,0))),发射纪录!N:N,"&lt;&gt;")</f>
        <v>0</v>
      </c>
      <c r="I498" s="10">
        <f>COUNTIFS(发射纪录!C:C,"&lt;&gt;-",发射纪录!G:G,"&gt;="&amp;DATE(YEAR(A498),MONTH(A498),1),发射纪录!G:G,"&lt;="&amp;DATE(YEAR(A498),MONTH(A498),DAY(EOMONTH(A498,0))),发射纪录!N:N,"=成功",发射纪录!N:N,"&lt;&gt;")</f>
        <v>0</v>
      </c>
      <c r="J498" s="1" t="str">
        <f t="shared" si="421"/>
        <v>-</v>
      </c>
      <c r="K498" s="10">
        <f t="shared" ca="1" si="422"/>
        <v>11</v>
      </c>
      <c r="L498" s="10">
        <f t="shared" ca="1" si="423"/>
        <v>4</v>
      </c>
      <c r="M498" s="2">
        <f t="shared" ca="1" si="424"/>
        <v>0.36363636363636365</v>
      </c>
      <c r="N498" s="10">
        <f t="shared" si="425"/>
        <v>0</v>
      </c>
      <c r="O498" s="10">
        <f t="shared" si="426"/>
        <v>0</v>
      </c>
      <c r="P498" s="3" t="str">
        <f t="shared" si="427"/>
        <v>-</v>
      </c>
      <c r="Q498" s="10">
        <f t="shared" ca="1" si="428"/>
        <v>147</v>
      </c>
      <c r="R498" s="10">
        <f t="shared" ca="1" si="389"/>
        <v>132</v>
      </c>
      <c r="S498" s="4">
        <f t="shared" ca="1" si="429"/>
        <v>0.89795918367346939</v>
      </c>
      <c r="T498" s="478"/>
    </row>
    <row r="499" spans="1:20" x14ac:dyDescent="0.45">
      <c r="A499" s="64">
        <v>40634</v>
      </c>
      <c r="B499" s="14">
        <f>COUNTIFS(发射纪录!B:B,"&lt;&gt;-",发射纪录!G:G,"&gt;="&amp;DATE(YEAR(A499),MONTH(A499),1),发射纪录!G:G,"&lt;="&amp;DATE(YEAR(A499),MONTH(A499),DAY(EOMONTH(A499,0))),发射纪录!N:N,"&lt;&gt;")</f>
        <v>1</v>
      </c>
      <c r="C499" s="10">
        <f>COUNTIFS(发射纪录!B:B,"&lt;&gt;-",发射纪录!G:G,"&gt;="&amp;DATE(YEAR(A499),MONTH(A499),1),发射纪录!G:G,"&lt;="&amp;DATE(YEAR(A499),MONTH(A499),DAY(EOMONTH(A499,0))),发射纪录!N:N,"=成功",发射纪录!N:N,"&lt;&gt;")</f>
        <v>1</v>
      </c>
      <c r="D499" s="1">
        <f t="shared" si="417"/>
        <v>1</v>
      </c>
      <c r="E499" s="10">
        <f t="shared" si="418"/>
        <v>137</v>
      </c>
      <c r="F499" s="10">
        <f t="shared" si="419"/>
        <v>129</v>
      </c>
      <c r="G499" s="2">
        <f t="shared" si="420"/>
        <v>0.94160583941605835</v>
      </c>
      <c r="H499" s="10">
        <f ca="1">COUNTIFS(发射纪录!C:C,"&lt;&gt;-",发射纪录!G:G,"&gt;="&amp;DATE(YEAR(A499),MONTH(A499),1),发射纪录!G:G,"&lt;="&amp;DATE(YEAR(A499),MONTH(A499),DAY(EOMONTH(A499,0))),发射纪录!N:N,"&lt;&gt;")</f>
        <v>0</v>
      </c>
      <c r="I499" s="10">
        <f>COUNTIFS(发射纪录!C:C,"&lt;&gt;-",发射纪录!G:G,"&gt;="&amp;DATE(YEAR(A499),MONTH(A499),1),发射纪录!G:G,"&lt;="&amp;DATE(YEAR(A499),MONTH(A499),DAY(EOMONTH(A499,0))),发射纪录!N:N,"=成功",发射纪录!N:N,"&lt;&gt;")</f>
        <v>0</v>
      </c>
      <c r="J499" s="1" t="str">
        <f t="shared" ca="1" si="421"/>
        <v>-</v>
      </c>
      <c r="K499" s="10">
        <f t="shared" ca="1" si="422"/>
        <v>11</v>
      </c>
      <c r="L499" s="10">
        <f t="shared" ca="1" si="423"/>
        <v>4</v>
      </c>
      <c r="M499" s="2">
        <f t="shared" ca="1" si="424"/>
        <v>0.36363636363636365</v>
      </c>
      <c r="N499" s="10">
        <f t="shared" ca="1" si="425"/>
        <v>1</v>
      </c>
      <c r="O499" s="10">
        <f t="shared" si="426"/>
        <v>1</v>
      </c>
      <c r="P499" s="3">
        <f t="shared" ca="1" si="427"/>
        <v>1</v>
      </c>
      <c r="Q499" s="10">
        <f t="shared" ca="1" si="428"/>
        <v>148</v>
      </c>
      <c r="R499" s="10">
        <f t="shared" ca="1" si="389"/>
        <v>133</v>
      </c>
      <c r="S499" s="4">
        <f t="shared" ca="1" si="429"/>
        <v>0.89864864864864868</v>
      </c>
      <c r="T499" s="478"/>
    </row>
    <row r="500" spans="1:20" x14ac:dyDescent="0.45">
      <c r="A500" s="64">
        <v>40664</v>
      </c>
      <c r="B500" s="14">
        <f>COUNTIFS(发射纪录!B:B,"&lt;&gt;-",发射纪录!G:G,"&gt;="&amp;DATE(YEAR(A500),MONTH(A500),1),发射纪录!G:G,"&lt;="&amp;DATE(YEAR(A500),MONTH(A500),DAY(EOMONTH(A500,0))),发射纪录!N:N,"&lt;&gt;")</f>
        <v>0</v>
      </c>
      <c r="C500" s="10">
        <f>COUNTIFS(发射纪录!B:B,"&lt;&gt;-",发射纪录!G:G,"&gt;="&amp;DATE(YEAR(A500),MONTH(A500),1),发射纪录!G:G,"&lt;="&amp;DATE(YEAR(A500),MONTH(A500),DAY(EOMONTH(A500,0))),发射纪录!N:N,"=成功",发射纪录!N:N,"&lt;&gt;")</f>
        <v>0</v>
      </c>
      <c r="D500" s="1" t="str">
        <f t="shared" si="417"/>
        <v>-</v>
      </c>
      <c r="E500" s="10">
        <f t="shared" si="418"/>
        <v>137</v>
      </c>
      <c r="F500" s="10">
        <f t="shared" si="419"/>
        <v>129</v>
      </c>
      <c r="G500" s="2">
        <f t="shared" si="420"/>
        <v>0.94160583941605835</v>
      </c>
      <c r="H500" s="10">
        <f>COUNTIFS(发射纪录!C:C,"&lt;&gt;-",发射纪录!G:G,"&gt;="&amp;DATE(YEAR(A500),MONTH(A500),1),发射纪录!G:G,"&lt;="&amp;DATE(YEAR(A500),MONTH(A500),DAY(EOMONTH(A500,0))),发射纪录!N:N,"&lt;&gt;")</f>
        <v>0</v>
      </c>
      <c r="I500" s="10">
        <f ca="1">COUNTIFS(发射纪录!C:C,"&lt;&gt;-",发射纪录!G:G,"&gt;="&amp;DATE(YEAR(A500),MONTH(A500),1),发射纪录!G:G,"&lt;="&amp;DATE(YEAR(A500),MONTH(A500),DAY(EOMONTH(A500,0))),发射纪录!N:N,"=成功",发射纪录!N:N,"&lt;&gt;")</f>
        <v>0</v>
      </c>
      <c r="J500" s="1" t="str">
        <f t="shared" si="421"/>
        <v>-</v>
      </c>
      <c r="K500" s="10">
        <f t="shared" ca="1" si="422"/>
        <v>11</v>
      </c>
      <c r="L500" s="10">
        <f t="shared" ca="1" si="423"/>
        <v>4</v>
      </c>
      <c r="M500" s="2">
        <f t="shared" ca="1" si="424"/>
        <v>0.36363636363636365</v>
      </c>
      <c r="N500" s="10">
        <f t="shared" si="425"/>
        <v>0</v>
      </c>
      <c r="O500" s="10">
        <f t="shared" ca="1" si="426"/>
        <v>0</v>
      </c>
      <c r="P500" s="3" t="str">
        <f t="shared" si="427"/>
        <v>-</v>
      </c>
      <c r="Q500" s="10">
        <f t="shared" ca="1" si="428"/>
        <v>148</v>
      </c>
      <c r="R500" s="10">
        <f t="shared" ca="1" si="389"/>
        <v>133</v>
      </c>
      <c r="S500" s="4">
        <f t="shared" ca="1" si="429"/>
        <v>0.89864864864864868</v>
      </c>
      <c r="T500" s="478"/>
    </row>
    <row r="501" spans="1:20" x14ac:dyDescent="0.45">
      <c r="A501" s="64">
        <v>40695</v>
      </c>
      <c r="B501" s="14">
        <f>COUNTIFS(发射纪录!B:B,"&lt;&gt;-",发射纪录!G:G,"&gt;="&amp;DATE(YEAR(A501),MONTH(A501),1),发射纪录!G:G,"&lt;="&amp;DATE(YEAR(A501),MONTH(A501),DAY(EOMONTH(A501,0))),发射纪录!N:N,"&lt;&gt;")</f>
        <v>1</v>
      </c>
      <c r="C501" s="10">
        <f>COUNTIFS(发射纪录!B:B,"&lt;&gt;-",发射纪录!G:G,"&gt;="&amp;DATE(YEAR(A501),MONTH(A501),1),发射纪录!G:G,"&lt;="&amp;DATE(YEAR(A501),MONTH(A501),DAY(EOMONTH(A501,0))),发射纪录!N:N,"=成功",发射纪录!N:N,"&lt;&gt;")</f>
        <v>1</v>
      </c>
      <c r="D501" s="1">
        <f t="shared" si="417"/>
        <v>1</v>
      </c>
      <c r="E501" s="10">
        <f t="shared" si="418"/>
        <v>138</v>
      </c>
      <c r="F501" s="10">
        <f t="shared" si="419"/>
        <v>130</v>
      </c>
      <c r="G501" s="2">
        <f t="shared" si="420"/>
        <v>0.94202898550724634</v>
      </c>
      <c r="H501" s="10">
        <f>COUNTIFS(发射纪录!C:C,"&lt;&gt;-",发射纪录!G:G,"&gt;="&amp;DATE(YEAR(A501),MONTH(A501),1),发射纪录!G:G,"&lt;="&amp;DATE(YEAR(A501),MONTH(A501),DAY(EOMONTH(A501,0))),发射纪录!N:N,"&lt;&gt;")</f>
        <v>0</v>
      </c>
      <c r="I501" s="10">
        <f ca="1">COUNTIFS(发射纪录!C:C,"&lt;&gt;-",发射纪录!G:G,"&gt;="&amp;DATE(YEAR(A501),MONTH(A501),1),发射纪录!G:G,"&lt;="&amp;DATE(YEAR(A501),MONTH(A501),DAY(EOMONTH(A501,0))),发射纪录!N:N,"=成功",发射纪录!N:N,"&lt;&gt;")</f>
        <v>0</v>
      </c>
      <c r="J501" s="1" t="str">
        <f t="shared" si="421"/>
        <v>-</v>
      </c>
      <c r="K501" s="10">
        <f t="shared" ca="1" si="422"/>
        <v>11</v>
      </c>
      <c r="L501" s="10">
        <f t="shared" ca="1" si="423"/>
        <v>4</v>
      </c>
      <c r="M501" s="2">
        <f t="shared" ca="1" si="424"/>
        <v>0.36363636363636365</v>
      </c>
      <c r="N501" s="10">
        <f t="shared" si="425"/>
        <v>1</v>
      </c>
      <c r="O501" s="10">
        <f t="shared" ca="1" si="426"/>
        <v>1</v>
      </c>
      <c r="P501" s="3">
        <f t="shared" ca="1" si="427"/>
        <v>1</v>
      </c>
      <c r="Q501" s="10">
        <f t="shared" ca="1" si="428"/>
        <v>149</v>
      </c>
      <c r="R501" s="10">
        <f t="shared" ca="1" si="389"/>
        <v>134</v>
      </c>
      <c r="S501" s="4">
        <f t="shared" ca="1" si="429"/>
        <v>0.89932885906040272</v>
      </c>
      <c r="T501" s="478"/>
    </row>
    <row r="502" spans="1:20" x14ac:dyDescent="0.45">
      <c r="A502" s="64">
        <v>40725</v>
      </c>
      <c r="B502" s="14">
        <f>COUNTIFS(发射纪录!B:B,"&lt;&gt;-",发射纪录!G:G,"&gt;="&amp;DATE(YEAR(A502),MONTH(A502),1),发射纪录!G:G,"&lt;="&amp;DATE(YEAR(A502),MONTH(A502),DAY(EOMONTH(A502,0))),发射纪录!N:N,"&lt;&gt;")</f>
        <v>4</v>
      </c>
      <c r="C502" s="10">
        <f>COUNTIFS(发射纪录!B:B,"&lt;&gt;-",发射纪录!G:G,"&gt;="&amp;DATE(YEAR(A502),MONTH(A502),1),发射纪录!G:G,"&lt;="&amp;DATE(YEAR(A502),MONTH(A502),DAY(EOMONTH(A502,0))),发射纪录!N:N,"=成功",发射纪录!N:N,"&lt;&gt;")</f>
        <v>4</v>
      </c>
      <c r="D502" s="1">
        <f t="shared" si="417"/>
        <v>1</v>
      </c>
      <c r="E502" s="10">
        <f t="shared" si="418"/>
        <v>142</v>
      </c>
      <c r="F502" s="10">
        <f t="shared" si="419"/>
        <v>134</v>
      </c>
      <c r="G502" s="2">
        <f t="shared" si="420"/>
        <v>0.94366197183098588</v>
      </c>
      <c r="H502" s="10">
        <f>COUNTIFS(发射纪录!C:C,"&lt;&gt;-",发射纪录!G:G,"&gt;="&amp;DATE(YEAR(A502),MONTH(A502),1),发射纪录!G:G,"&lt;="&amp;DATE(YEAR(A502),MONTH(A502),DAY(EOMONTH(A502,0))),发射纪录!N:N,"&lt;&gt;")</f>
        <v>0</v>
      </c>
      <c r="I502" s="10">
        <f ca="1">COUNTIFS(发射纪录!C:C,"&lt;&gt;-",发射纪录!G:G,"&gt;="&amp;DATE(YEAR(A502),MONTH(A502),1),发射纪录!G:G,"&lt;="&amp;DATE(YEAR(A502),MONTH(A502),DAY(EOMONTH(A502,0))),发射纪录!N:N,"=成功",发射纪录!N:N,"&lt;&gt;")</f>
        <v>0</v>
      </c>
      <c r="J502" s="1" t="str">
        <f t="shared" si="421"/>
        <v>-</v>
      </c>
      <c r="K502" s="10">
        <f t="shared" ca="1" si="422"/>
        <v>11</v>
      </c>
      <c r="L502" s="10">
        <f t="shared" ca="1" si="423"/>
        <v>4</v>
      </c>
      <c r="M502" s="2">
        <f t="shared" ca="1" si="424"/>
        <v>0.36363636363636365</v>
      </c>
      <c r="N502" s="10">
        <f t="shared" si="425"/>
        <v>4</v>
      </c>
      <c r="O502" s="10">
        <f t="shared" ca="1" si="426"/>
        <v>4</v>
      </c>
      <c r="P502" s="3">
        <f t="shared" ca="1" si="427"/>
        <v>1</v>
      </c>
      <c r="Q502" s="10">
        <f t="shared" ca="1" si="428"/>
        <v>153</v>
      </c>
      <c r="R502" s="10">
        <f t="shared" ca="1" si="389"/>
        <v>138</v>
      </c>
      <c r="S502" s="4">
        <f t="shared" ca="1" si="429"/>
        <v>0.90196078431372551</v>
      </c>
      <c r="T502" s="478"/>
    </row>
    <row r="503" spans="1:20" x14ac:dyDescent="0.45">
      <c r="A503" s="64">
        <v>40756</v>
      </c>
      <c r="B503" s="14">
        <f>COUNTIFS(发射纪录!B:B,"&lt;&gt;-",发射纪录!G:G,"&gt;="&amp;DATE(YEAR(A503),MONTH(A503),1),发射纪录!G:G,"&lt;="&amp;DATE(YEAR(A503),MONTH(A503),DAY(EOMONTH(A503,0))),发射纪录!N:N,"&lt;&gt;")</f>
        <v>3</v>
      </c>
      <c r="C503" s="10">
        <f>COUNTIFS(发射纪录!B:B,"&lt;&gt;-",发射纪录!G:G,"&gt;="&amp;DATE(YEAR(A503),MONTH(A503),1),发射纪录!G:G,"&lt;="&amp;DATE(YEAR(A503),MONTH(A503),DAY(EOMONTH(A503,0))),发射纪录!N:N,"=成功",发射纪录!N:N,"&lt;&gt;")</f>
        <v>2</v>
      </c>
      <c r="D503" s="1">
        <f t="shared" si="417"/>
        <v>0.66666666666666663</v>
      </c>
      <c r="E503" s="10">
        <f t="shared" si="418"/>
        <v>145</v>
      </c>
      <c r="F503" s="10">
        <f t="shared" si="419"/>
        <v>136</v>
      </c>
      <c r="G503" s="2">
        <f t="shared" si="420"/>
        <v>0.93793103448275861</v>
      </c>
      <c r="H503" s="10">
        <f>COUNTIFS(发射纪录!C:C,"&lt;&gt;-",发射纪录!G:G,"&gt;="&amp;DATE(YEAR(A503),MONTH(A503),1),发射纪录!G:G,"&lt;="&amp;DATE(YEAR(A503),MONTH(A503),DAY(EOMONTH(A503,0))),发射纪录!N:N,"&lt;&gt;")</f>
        <v>0</v>
      </c>
      <c r="I503" s="10">
        <f ca="1">COUNTIFS(发射纪录!C:C,"&lt;&gt;-",发射纪录!G:G,"&gt;="&amp;DATE(YEAR(A503),MONTH(A503),1),发射纪录!G:G,"&lt;="&amp;DATE(YEAR(A503),MONTH(A503),DAY(EOMONTH(A503,0))),发射纪录!N:N,"=成功",发射纪录!N:N,"&lt;&gt;")</f>
        <v>0</v>
      </c>
      <c r="J503" s="1" t="str">
        <f t="shared" si="421"/>
        <v>-</v>
      </c>
      <c r="K503" s="10">
        <f t="shared" ca="1" si="422"/>
        <v>11</v>
      </c>
      <c r="L503" s="10">
        <f t="shared" ca="1" si="423"/>
        <v>4</v>
      </c>
      <c r="M503" s="2">
        <f t="shared" ca="1" si="424"/>
        <v>0.36363636363636365</v>
      </c>
      <c r="N503" s="10">
        <f t="shared" si="425"/>
        <v>3</v>
      </c>
      <c r="O503" s="10">
        <f t="shared" ca="1" si="426"/>
        <v>2</v>
      </c>
      <c r="P503" s="3">
        <f t="shared" ca="1" si="427"/>
        <v>0.66666666666666663</v>
      </c>
      <c r="Q503" s="10">
        <f t="shared" ca="1" si="428"/>
        <v>156</v>
      </c>
      <c r="R503" s="10">
        <f t="shared" ca="1" si="389"/>
        <v>140</v>
      </c>
      <c r="S503" s="4">
        <f t="shared" ca="1" si="429"/>
        <v>0.89743589743589747</v>
      </c>
      <c r="T503" s="478"/>
    </row>
    <row r="504" spans="1:20" x14ac:dyDescent="0.45">
      <c r="A504" s="64">
        <v>40787</v>
      </c>
      <c r="B504" s="14">
        <f>COUNTIFS(发射纪录!B:B,"&lt;&gt;-",发射纪录!G:G,"&gt;="&amp;DATE(YEAR(A504),MONTH(A504),1),发射纪录!G:G,"&lt;="&amp;DATE(YEAR(A504),MONTH(A504),DAY(EOMONTH(A504,0))),发射纪录!N:N,"&lt;&gt;")</f>
        <v>2</v>
      </c>
      <c r="C504" s="10">
        <f>COUNTIFS(发射纪录!B:B,"&lt;&gt;-",发射纪录!G:G,"&gt;="&amp;DATE(YEAR(A504),MONTH(A504),1),发射纪录!G:G,"&lt;="&amp;DATE(YEAR(A504),MONTH(A504),DAY(EOMONTH(A504,0))),发射纪录!N:N,"=成功",发射纪录!N:N,"&lt;&gt;")</f>
        <v>2</v>
      </c>
      <c r="D504" s="1">
        <f t="shared" si="417"/>
        <v>1</v>
      </c>
      <c r="E504" s="10">
        <f t="shared" si="418"/>
        <v>147</v>
      </c>
      <c r="F504" s="10">
        <f t="shared" si="419"/>
        <v>138</v>
      </c>
      <c r="G504" s="2">
        <f t="shared" si="420"/>
        <v>0.93877551020408168</v>
      </c>
      <c r="H504" s="10">
        <f>COUNTIFS(发射纪录!C:C,"&lt;&gt;-",发射纪录!G:G,"&gt;="&amp;DATE(YEAR(A504),MONTH(A504),1),发射纪录!G:G,"&lt;="&amp;DATE(YEAR(A504),MONTH(A504),DAY(EOMONTH(A504,0))),发射纪录!N:N,"&lt;&gt;")</f>
        <v>0</v>
      </c>
      <c r="I504" s="10">
        <f>COUNTIFS(发射纪录!C:C,"&lt;&gt;-",发射纪录!G:G,"&gt;="&amp;DATE(YEAR(A504),MONTH(A504),1),发射纪录!G:G,"&lt;="&amp;DATE(YEAR(A504),MONTH(A504),DAY(EOMONTH(A504,0))),发射纪录!N:N,"=成功",发射纪录!N:N,"&lt;&gt;")</f>
        <v>0</v>
      </c>
      <c r="J504" s="1" t="str">
        <f t="shared" si="421"/>
        <v>-</v>
      </c>
      <c r="K504" s="10">
        <f t="shared" ca="1" si="422"/>
        <v>11</v>
      </c>
      <c r="L504" s="10">
        <f t="shared" ca="1" si="423"/>
        <v>4</v>
      </c>
      <c r="M504" s="2">
        <f t="shared" ca="1" si="424"/>
        <v>0.36363636363636365</v>
      </c>
      <c r="N504" s="10">
        <f t="shared" si="425"/>
        <v>2</v>
      </c>
      <c r="O504" s="10">
        <f t="shared" si="426"/>
        <v>2</v>
      </c>
      <c r="P504" s="3">
        <f t="shared" si="427"/>
        <v>1</v>
      </c>
      <c r="Q504" s="10">
        <f t="shared" ca="1" si="428"/>
        <v>158</v>
      </c>
      <c r="R504" s="10">
        <f t="shared" ca="1" si="389"/>
        <v>142</v>
      </c>
      <c r="S504" s="4">
        <f t="shared" ca="1" si="429"/>
        <v>0.89873417721518989</v>
      </c>
      <c r="T504" s="478"/>
    </row>
    <row r="505" spans="1:20" x14ac:dyDescent="0.45">
      <c r="A505" s="64">
        <v>40817</v>
      </c>
      <c r="B505" s="14">
        <f>COUNTIFS(发射纪录!B:B,"&lt;&gt;-",发射纪录!G:G,"&gt;="&amp;DATE(YEAR(A505),MONTH(A505),1),发射纪录!G:G,"&lt;="&amp;DATE(YEAR(A505),MONTH(A505),DAY(EOMONTH(A505,0))),发射纪录!N:N,"&lt;&gt;")</f>
        <v>1</v>
      </c>
      <c r="C505" s="10">
        <f>COUNTIFS(发射纪录!B:B,"&lt;&gt;-",发射纪录!G:G,"&gt;="&amp;DATE(YEAR(A505),MONTH(A505),1),发射纪录!G:G,"&lt;="&amp;DATE(YEAR(A505),MONTH(A505),DAY(EOMONTH(A505,0))),发射纪录!N:N,"=成功",发射纪录!N:N,"&lt;&gt;")</f>
        <v>1</v>
      </c>
      <c r="D505" s="1">
        <f t="shared" si="417"/>
        <v>1</v>
      </c>
      <c r="E505" s="10">
        <f t="shared" si="418"/>
        <v>148</v>
      </c>
      <c r="F505" s="10">
        <f t="shared" si="419"/>
        <v>139</v>
      </c>
      <c r="G505" s="2">
        <f t="shared" si="420"/>
        <v>0.93918918918918914</v>
      </c>
      <c r="H505" s="10">
        <f>COUNTIFS(发射纪录!C:C,"&lt;&gt;-",发射纪录!G:G,"&gt;="&amp;DATE(YEAR(A505),MONTH(A505),1),发射纪录!G:G,"&lt;="&amp;DATE(YEAR(A505),MONTH(A505),DAY(EOMONTH(A505,0))),发射纪录!N:N,"&lt;&gt;")</f>
        <v>0</v>
      </c>
      <c r="I505" s="10">
        <f ca="1">COUNTIFS(发射纪录!C:C,"&lt;&gt;-",发射纪录!G:G,"&gt;="&amp;DATE(YEAR(A505),MONTH(A505),1),发射纪录!G:G,"&lt;="&amp;DATE(YEAR(A505),MONTH(A505),DAY(EOMONTH(A505,0))),发射纪录!N:N,"=成功",发射纪录!N:N,"&lt;&gt;")</f>
        <v>0</v>
      </c>
      <c r="J505" s="1" t="str">
        <f t="shared" si="421"/>
        <v>-</v>
      </c>
      <c r="K505" s="10">
        <f t="shared" ca="1" si="422"/>
        <v>11</v>
      </c>
      <c r="L505" s="10">
        <f t="shared" ca="1" si="423"/>
        <v>4</v>
      </c>
      <c r="M505" s="2">
        <f t="shared" ca="1" si="424"/>
        <v>0.36363636363636365</v>
      </c>
      <c r="N505" s="10">
        <f t="shared" si="425"/>
        <v>1</v>
      </c>
      <c r="O505" s="10">
        <f t="shared" ca="1" si="426"/>
        <v>1</v>
      </c>
      <c r="P505" s="3">
        <f t="shared" ca="1" si="427"/>
        <v>1</v>
      </c>
      <c r="Q505" s="10">
        <f t="shared" ca="1" si="428"/>
        <v>159</v>
      </c>
      <c r="R505" s="10">
        <f t="shared" ca="1" si="389"/>
        <v>143</v>
      </c>
      <c r="S505" s="4">
        <f t="shared" ca="1" si="429"/>
        <v>0.89937106918238996</v>
      </c>
      <c r="T505" s="478"/>
    </row>
    <row r="506" spans="1:20" x14ac:dyDescent="0.45">
      <c r="A506" s="64">
        <v>40848</v>
      </c>
      <c r="B506" s="14">
        <f>COUNTIFS(发射纪录!B:B,"&lt;&gt;-",发射纪录!G:G,"&gt;="&amp;DATE(YEAR(A506),MONTH(A506),1),发射纪录!G:G,"&lt;="&amp;DATE(YEAR(A506),MONTH(A506),DAY(EOMONTH(A506,0))),发射纪录!N:N,"&lt;&gt;")</f>
        <v>4</v>
      </c>
      <c r="C506" s="10">
        <f>COUNTIFS(发射纪录!B:B,"&lt;&gt;-",发射纪录!G:G,"&gt;="&amp;DATE(YEAR(A506),MONTH(A506),1),发射纪录!G:G,"&lt;="&amp;DATE(YEAR(A506),MONTH(A506),DAY(EOMONTH(A506,0))),发射纪录!N:N,"=成功",发射纪录!N:N,"&lt;&gt;")</f>
        <v>4</v>
      </c>
      <c r="D506" s="1">
        <f t="shared" si="417"/>
        <v>1</v>
      </c>
      <c r="E506" s="10">
        <f t="shared" si="418"/>
        <v>152</v>
      </c>
      <c r="F506" s="10">
        <f t="shared" si="419"/>
        <v>143</v>
      </c>
      <c r="G506" s="2">
        <f t="shared" si="420"/>
        <v>0.94078947368421051</v>
      </c>
      <c r="H506" s="10">
        <f>COUNTIFS(发射纪录!C:C,"&lt;&gt;-",发射纪录!G:G,"&gt;="&amp;DATE(YEAR(A506),MONTH(A506),1),发射纪录!G:G,"&lt;="&amp;DATE(YEAR(A506),MONTH(A506),DAY(EOMONTH(A506,0))),发射纪录!N:N,"&lt;&gt;")</f>
        <v>0</v>
      </c>
      <c r="I506" s="10">
        <f>COUNTIFS(发射纪录!C:C,"&lt;&gt;-",发射纪录!G:G,"&gt;="&amp;DATE(YEAR(A506),MONTH(A506),1),发射纪录!G:G,"&lt;="&amp;DATE(YEAR(A506),MONTH(A506),DAY(EOMONTH(A506,0))),发射纪录!N:N,"=成功",发射纪录!N:N,"&lt;&gt;")</f>
        <v>0</v>
      </c>
      <c r="J506" s="1" t="str">
        <f t="shared" si="421"/>
        <v>-</v>
      </c>
      <c r="K506" s="10">
        <f t="shared" ca="1" si="422"/>
        <v>11</v>
      </c>
      <c r="L506" s="10">
        <f t="shared" ca="1" si="423"/>
        <v>4</v>
      </c>
      <c r="M506" s="2">
        <f t="shared" ca="1" si="424"/>
        <v>0.36363636363636365</v>
      </c>
      <c r="N506" s="10">
        <f t="shared" si="425"/>
        <v>4</v>
      </c>
      <c r="O506" s="10">
        <f t="shared" si="426"/>
        <v>4</v>
      </c>
      <c r="P506" s="3">
        <f t="shared" si="427"/>
        <v>1</v>
      </c>
      <c r="Q506" s="10">
        <f t="shared" ca="1" si="428"/>
        <v>163</v>
      </c>
      <c r="R506" s="10">
        <f t="shared" ca="1" si="389"/>
        <v>147</v>
      </c>
      <c r="S506" s="4">
        <f t="shared" ca="1" si="429"/>
        <v>0.90184049079754602</v>
      </c>
      <c r="T506" s="478"/>
    </row>
    <row r="507" spans="1:20" ht="19.5" customHeight="1" thickBot="1" x14ac:dyDescent="0.5">
      <c r="A507" s="65">
        <v>40878</v>
      </c>
      <c r="B507" s="17">
        <f>COUNTIFS(发射纪录!B:B,"&lt;&gt;-",发射纪录!G:G,"&gt;="&amp;DATE(YEAR(A507),MONTH(A507),1),发射纪录!G:G,"&lt;="&amp;DATE(YEAR(A507),MONTH(A507),DAY(EOMONTH(A507,0))),发射纪录!N:N,"&lt;&gt;")</f>
        <v>3</v>
      </c>
      <c r="C507" s="18">
        <f>COUNTIFS(发射纪录!B:B,"&lt;&gt;-",发射纪录!G:G,"&gt;="&amp;DATE(YEAR(A507),MONTH(A507),1),发射纪录!G:G,"&lt;="&amp;DATE(YEAR(A507),MONTH(A507),DAY(EOMONTH(A507,0))),发射纪录!N:N,"=成功",发射纪录!N:N,"&lt;&gt;")</f>
        <v>3</v>
      </c>
      <c r="D507" s="12">
        <f>IF(B507=0,"-",C507/B507)</f>
        <v>1</v>
      </c>
      <c r="E507" s="18">
        <f>E506+B507</f>
        <v>155</v>
      </c>
      <c r="F507" s="18">
        <f>F506+C507</f>
        <v>146</v>
      </c>
      <c r="G507" s="13">
        <f>IF(E507=0,"-",F507/E507)</f>
        <v>0.9419354838709677</v>
      </c>
      <c r="H507" s="18">
        <f ca="1">COUNTIFS(发射纪录!C:C,"&lt;&gt;-",发射纪录!G:G,"&gt;="&amp;DATE(YEAR(A507),MONTH(A507),1),发射纪录!G:G,"&lt;="&amp;DATE(YEAR(A507),MONTH(A507),DAY(EOMONTH(A507,0))),发射纪录!N:N,"&lt;&gt;")</f>
        <v>0</v>
      </c>
      <c r="I507" s="18">
        <f ca="1">COUNTIFS(发射纪录!C:C,"&lt;&gt;-",发射纪录!G:G,"&gt;="&amp;DATE(YEAR(A507),MONTH(A507),1),发射纪录!G:G,"&lt;="&amp;DATE(YEAR(A507),MONTH(A507),DAY(EOMONTH(A507,0))),发射纪录!N:N,"=成功",发射纪录!N:N,"&lt;&gt;")</f>
        <v>0</v>
      </c>
      <c r="J507" s="12" t="str">
        <f ca="1">IF(H507=0,"-",I507/H507)</f>
        <v>-</v>
      </c>
      <c r="K507" s="18">
        <f ca="1">K506+H507</f>
        <v>11</v>
      </c>
      <c r="L507" s="18">
        <f ca="1">L506+I507</f>
        <v>4</v>
      </c>
      <c r="M507" s="13">
        <f ca="1">IF(K507=0,"-",L507/K507)</f>
        <v>0.36363636363636365</v>
      </c>
      <c r="N507" s="18">
        <f ca="1">B507+H507</f>
        <v>3</v>
      </c>
      <c r="O507" s="18">
        <f ca="1">C507+I507</f>
        <v>3</v>
      </c>
      <c r="P507" s="12">
        <f ca="1">IF(N507=0,"-",O507/N507)</f>
        <v>1</v>
      </c>
      <c r="Q507" s="18">
        <f ca="1">E507+K507</f>
        <v>166</v>
      </c>
      <c r="R507" s="18">
        <f ca="1">F507+L507</f>
        <v>150</v>
      </c>
      <c r="S507" s="13">
        <f ca="1">IF(Q507=0,"-",R507/Q507)</f>
        <v>0.90361445783132532</v>
      </c>
      <c r="T507" s="478"/>
    </row>
    <row r="508" spans="1:20" ht="19.5" customHeight="1" thickTop="1" x14ac:dyDescent="0.45">
      <c r="A508" s="63">
        <v>40909</v>
      </c>
      <c r="B508" s="14">
        <f>COUNTIFS(发射纪录!B:B,"&lt;&gt;-",发射纪录!G:G,"&gt;="&amp;DATE(YEAR(A508),MONTH(A508),1),发射纪录!G:G,"&lt;="&amp;DATE(YEAR(A508),MONTH(A508),DAY(EOMONTH(A508,0))),发射纪录!N:N,"&lt;&gt;")</f>
        <v>2</v>
      </c>
      <c r="C508" s="10">
        <f>COUNTIFS(发射纪录!B:B,"&lt;&gt;-",发射纪录!G:G,"&gt;="&amp;DATE(YEAR(A508),MONTH(A508),1),发射纪录!G:G,"&lt;="&amp;DATE(YEAR(A508),MONTH(A508),DAY(EOMONTH(A508,0))),发射纪录!N:N,"=成功",发射纪录!N:N,"&lt;&gt;")</f>
        <v>2</v>
      </c>
      <c r="D508" s="3">
        <f t="shared" ref="D508:D518" si="430">IF(B508=0,"-",C508/B508)</f>
        <v>1</v>
      </c>
      <c r="E508" s="10">
        <f t="shared" ref="E508:E518" si="431">E507+B508</f>
        <v>157</v>
      </c>
      <c r="F508" s="10">
        <f t="shared" ref="F508:F518" si="432">F507+C508</f>
        <v>148</v>
      </c>
      <c r="G508" s="4">
        <f t="shared" ref="G508:G518" si="433">IF(E508=0,"-",F508/E508)</f>
        <v>0.9426751592356688</v>
      </c>
      <c r="H508" s="10">
        <f>COUNTIFS(发射纪录!C:C,"&lt;&gt;-",发射纪录!G:G,"&gt;="&amp;DATE(YEAR(A508),MONTH(A508),1),发射纪录!G:G,"&lt;="&amp;DATE(YEAR(A508),MONTH(A508),DAY(EOMONTH(A508,0))),发射纪录!N:N,"&lt;&gt;")</f>
        <v>0</v>
      </c>
      <c r="I508" s="10">
        <f>COUNTIFS(发射纪录!C:C,"&lt;&gt;-",发射纪录!G:G,"&gt;="&amp;DATE(YEAR(A508),MONTH(A508),1),发射纪录!G:G,"&lt;="&amp;DATE(YEAR(A508),MONTH(A508),DAY(EOMONTH(A508,0))),发射纪录!N:N,"=成功",发射纪录!N:N,"&lt;&gt;")</f>
        <v>0</v>
      </c>
      <c r="J508" s="3" t="str">
        <f t="shared" ref="J508:J518" si="434">IF(H508=0,"-",I508/H508)</f>
        <v>-</v>
      </c>
      <c r="K508" s="10">
        <f t="shared" ref="K508:K518" ca="1" si="435">K507+H508</f>
        <v>11</v>
      </c>
      <c r="L508" s="10">
        <f t="shared" ref="L508:L518" ca="1" si="436">L507+I508</f>
        <v>4</v>
      </c>
      <c r="M508" s="4">
        <f t="shared" ref="M508:M518" ca="1" si="437">IF(K508=0,"-",L508/K508)</f>
        <v>0.36363636363636365</v>
      </c>
      <c r="N508" s="10">
        <f t="shared" ref="N508:N518" si="438">B508+H508</f>
        <v>2</v>
      </c>
      <c r="O508" s="10">
        <f t="shared" ref="O508:O518" si="439">C508+I508</f>
        <v>2</v>
      </c>
      <c r="P508" s="3">
        <f t="shared" ref="P508:P518" si="440">IF(N508=0,"-",O508/N508)</f>
        <v>1</v>
      </c>
      <c r="Q508" s="10">
        <f t="shared" ref="Q508:Q518" ca="1" si="441">E508+K508</f>
        <v>168</v>
      </c>
      <c r="R508" s="10">
        <f t="shared" ref="R508:R518" ca="1" si="442">F508+L508</f>
        <v>152</v>
      </c>
      <c r="S508" s="4">
        <f t="shared" ref="S508:S518" ca="1" si="443">IF(Q508=0,"-",R508/Q508)</f>
        <v>0.90476190476190477</v>
      </c>
      <c r="T508" s="478"/>
    </row>
    <row r="509" spans="1:20" x14ac:dyDescent="0.45">
      <c r="A509" s="64">
        <v>40940</v>
      </c>
      <c r="B509" s="14">
        <f>COUNTIFS(发射纪录!B:B,"&lt;&gt;-",发射纪录!G:G,"&gt;="&amp;DATE(YEAR(A509),MONTH(A509),1),发射纪录!G:G,"&lt;="&amp;DATE(YEAR(A509),MONTH(A509),DAY(EOMONTH(A509,0))),发射纪录!N:N,"&lt;&gt;")</f>
        <v>1</v>
      </c>
      <c r="C509" s="10">
        <f>COUNTIFS(发射纪录!B:B,"&lt;&gt;-",发射纪录!G:G,"&gt;="&amp;DATE(YEAR(A509),MONTH(A509),1),发射纪录!G:G,"&lt;="&amp;DATE(YEAR(A509),MONTH(A509),DAY(EOMONTH(A509,0))),发射纪录!N:N,"=成功",发射纪录!N:N,"&lt;&gt;")</f>
        <v>1</v>
      </c>
      <c r="D509" s="1">
        <f t="shared" si="430"/>
        <v>1</v>
      </c>
      <c r="E509" s="10">
        <f t="shared" si="431"/>
        <v>158</v>
      </c>
      <c r="F509" s="10">
        <f t="shared" si="432"/>
        <v>149</v>
      </c>
      <c r="G509" s="2">
        <f t="shared" si="433"/>
        <v>0.94303797468354433</v>
      </c>
      <c r="H509" s="10">
        <f>COUNTIFS(发射纪录!C:C,"&lt;&gt;-",发射纪录!G:G,"&gt;="&amp;DATE(YEAR(A509),MONTH(A509),1),发射纪录!G:G,"&lt;="&amp;DATE(YEAR(A509),MONTH(A509),DAY(EOMONTH(A509,0))),发射纪录!N:N,"&lt;&gt;")</f>
        <v>0</v>
      </c>
      <c r="I509" s="10">
        <f>COUNTIFS(发射纪录!C:C,"&lt;&gt;-",发射纪录!G:G,"&gt;="&amp;DATE(YEAR(A509),MONTH(A509),1),发射纪录!G:G,"&lt;="&amp;DATE(YEAR(A509),MONTH(A509),DAY(EOMONTH(A509,0))),发射纪录!N:N,"=成功",发射纪录!N:N,"&lt;&gt;")</f>
        <v>0</v>
      </c>
      <c r="J509" s="1" t="str">
        <f t="shared" si="434"/>
        <v>-</v>
      </c>
      <c r="K509" s="10">
        <f t="shared" ca="1" si="435"/>
        <v>11</v>
      </c>
      <c r="L509" s="10">
        <f t="shared" ca="1" si="436"/>
        <v>4</v>
      </c>
      <c r="M509" s="2">
        <f t="shared" ca="1" si="437"/>
        <v>0.36363636363636365</v>
      </c>
      <c r="N509" s="10">
        <f t="shared" si="438"/>
        <v>1</v>
      </c>
      <c r="O509" s="10">
        <f t="shared" si="439"/>
        <v>1</v>
      </c>
      <c r="P509" s="3">
        <f t="shared" si="440"/>
        <v>1</v>
      </c>
      <c r="Q509" s="10">
        <f t="shared" ca="1" si="441"/>
        <v>169</v>
      </c>
      <c r="R509" s="10">
        <f t="shared" ca="1" si="442"/>
        <v>153</v>
      </c>
      <c r="S509" s="4">
        <f t="shared" ca="1" si="443"/>
        <v>0.90532544378698221</v>
      </c>
      <c r="T509" s="478"/>
    </row>
    <row r="510" spans="1:20" x14ac:dyDescent="0.45">
      <c r="A510" s="64">
        <v>40969</v>
      </c>
      <c r="B510" s="14">
        <f>COUNTIFS(发射纪录!B:B,"&lt;&gt;-",发射纪录!G:G,"&gt;="&amp;DATE(YEAR(A510),MONTH(A510),1),发射纪录!G:G,"&lt;="&amp;DATE(YEAR(A510),MONTH(A510),DAY(EOMONTH(A510,0))),发射纪录!N:N,"&lt;&gt;")</f>
        <v>1</v>
      </c>
      <c r="C510" s="10">
        <f>COUNTIFS(发射纪录!B:B,"&lt;&gt;-",发射纪录!G:G,"&gt;="&amp;DATE(YEAR(A510),MONTH(A510),1),发射纪录!G:G,"&lt;="&amp;DATE(YEAR(A510),MONTH(A510),DAY(EOMONTH(A510,0))),发射纪录!N:N,"=成功",发射纪录!N:N,"&lt;&gt;")</f>
        <v>1</v>
      </c>
      <c r="D510" s="1">
        <f t="shared" si="430"/>
        <v>1</v>
      </c>
      <c r="E510" s="10">
        <f t="shared" si="431"/>
        <v>159</v>
      </c>
      <c r="F510" s="10">
        <f t="shared" si="432"/>
        <v>150</v>
      </c>
      <c r="G510" s="2">
        <f t="shared" si="433"/>
        <v>0.94339622641509435</v>
      </c>
      <c r="H510" s="10">
        <f>COUNTIFS(发射纪录!C:C,"&lt;&gt;-",发射纪录!G:G,"&gt;="&amp;DATE(YEAR(A510),MONTH(A510),1),发射纪录!G:G,"&lt;="&amp;DATE(YEAR(A510),MONTH(A510),DAY(EOMONTH(A510,0))),发射纪录!N:N,"&lt;&gt;")</f>
        <v>0</v>
      </c>
      <c r="I510" s="10">
        <f>COUNTIFS(发射纪录!C:C,"&lt;&gt;-",发射纪录!G:G,"&gt;="&amp;DATE(YEAR(A510),MONTH(A510),1),发射纪录!G:G,"&lt;="&amp;DATE(YEAR(A510),MONTH(A510),DAY(EOMONTH(A510,0))),发射纪录!N:N,"=成功",发射纪录!N:N,"&lt;&gt;")</f>
        <v>0</v>
      </c>
      <c r="J510" s="1" t="str">
        <f t="shared" si="434"/>
        <v>-</v>
      </c>
      <c r="K510" s="10">
        <f t="shared" ca="1" si="435"/>
        <v>11</v>
      </c>
      <c r="L510" s="10">
        <f t="shared" ca="1" si="436"/>
        <v>4</v>
      </c>
      <c r="M510" s="2">
        <f t="shared" ca="1" si="437"/>
        <v>0.36363636363636365</v>
      </c>
      <c r="N510" s="10">
        <f t="shared" si="438"/>
        <v>1</v>
      </c>
      <c r="O510" s="10">
        <f t="shared" si="439"/>
        <v>1</v>
      </c>
      <c r="P510" s="3">
        <f t="shared" si="440"/>
        <v>1</v>
      </c>
      <c r="Q510" s="10">
        <f t="shared" ca="1" si="441"/>
        <v>170</v>
      </c>
      <c r="R510" s="10">
        <f t="shared" ca="1" si="442"/>
        <v>154</v>
      </c>
      <c r="S510" s="4">
        <f t="shared" ca="1" si="443"/>
        <v>0.90588235294117647</v>
      </c>
      <c r="T510" s="478"/>
    </row>
    <row r="511" spans="1:20" x14ac:dyDescent="0.45">
      <c r="A511" s="64">
        <v>41000</v>
      </c>
      <c r="B511" s="14">
        <f>COUNTIFS(发射纪录!B:B,"&lt;&gt;-",发射纪录!G:G,"&gt;="&amp;DATE(YEAR(A511),MONTH(A511),1),发射纪录!G:G,"&lt;="&amp;DATE(YEAR(A511),MONTH(A511),DAY(EOMONTH(A511,0))),发射纪录!N:N,"&lt;&gt;")</f>
        <v>1</v>
      </c>
      <c r="C511" s="10">
        <f>COUNTIFS(发射纪录!B:B,"&lt;&gt;-",发射纪录!G:G,"&gt;="&amp;DATE(YEAR(A511),MONTH(A511),1),发射纪录!G:G,"&lt;="&amp;DATE(YEAR(A511),MONTH(A511),DAY(EOMONTH(A511,0))),发射纪录!N:N,"=成功",发射纪录!N:N,"&lt;&gt;")</f>
        <v>1</v>
      </c>
      <c r="D511" s="1">
        <f t="shared" si="430"/>
        <v>1</v>
      </c>
      <c r="E511" s="10">
        <f t="shared" si="431"/>
        <v>160</v>
      </c>
      <c r="F511" s="10">
        <f t="shared" si="432"/>
        <v>151</v>
      </c>
      <c r="G511" s="2">
        <f t="shared" si="433"/>
        <v>0.94374999999999998</v>
      </c>
      <c r="H511" s="10">
        <f>COUNTIFS(发射纪录!C:C,"&lt;&gt;-",发射纪录!G:G,"&gt;="&amp;DATE(YEAR(A511),MONTH(A511),1),发射纪录!G:G,"&lt;="&amp;DATE(YEAR(A511),MONTH(A511),DAY(EOMONTH(A511,0))),发射纪录!N:N,"&lt;&gt;")</f>
        <v>0</v>
      </c>
      <c r="I511" s="10">
        <f>COUNTIFS(发射纪录!C:C,"&lt;&gt;-",发射纪录!G:G,"&gt;="&amp;DATE(YEAR(A511),MONTH(A511),1),发射纪录!G:G,"&lt;="&amp;DATE(YEAR(A511),MONTH(A511),DAY(EOMONTH(A511,0))),发射纪录!N:N,"=成功",发射纪录!N:N,"&lt;&gt;")</f>
        <v>0</v>
      </c>
      <c r="J511" s="1" t="str">
        <f t="shared" si="434"/>
        <v>-</v>
      </c>
      <c r="K511" s="10">
        <f t="shared" ca="1" si="435"/>
        <v>11</v>
      </c>
      <c r="L511" s="10">
        <f t="shared" ca="1" si="436"/>
        <v>4</v>
      </c>
      <c r="M511" s="2">
        <f t="shared" ca="1" si="437"/>
        <v>0.36363636363636365</v>
      </c>
      <c r="N511" s="10">
        <f t="shared" si="438"/>
        <v>1</v>
      </c>
      <c r="O511" s="10">
        <f t="shared" si="439"/>
        <v>1</v>
      </c>
      <c r="P511" s="3">
        <f t="shared" si="440"/>
        <v>1</v>
      </c>
      <c r="Q511" s="10">
        <f t="shared" ca="1" si="441"/>
        <v>171</v>
      </c>
      <c r="R511" s="10">
        <f t="shared" ca="1" si="442"/>
        <v>155</v>
      </c>
      <c r="S511" s="4">
        <f t="shared" ca="1" si="443"/>
        <v>0.9064327485380117</v>
      </c>
      <c r="T511" s="478"/>
    </row>
    <row r="512" spans="1:20" x14ac:dyDescent="0.45">
      <c r="A512" s="64">
        <v>41030</v>
      </c>
      <c r="B512" s="14">
        <f>COUNTIFS(发射纪录!B:B,"&lt;&gt;-",发射纪录!G:G,"&gt;="&amp;DATE(YEAR(A512),MONTH(A512),1),发射纪录!G:G,"&lt;="&amp;DATE(YEAR(A512),MONTH(A512),DAY(EOMONTH(A512,0))),发射纪录!N:N,"&lt;&gt;")</f>
        <v>4</v>
      </c>
      <c r="C512" s="10">
        <f>COUNTIFS(发射纪录!B:B,"&lt;&gt;-",发射纪录!G:G,"&gt;="&amp;DATE(YEAR(A512),MONTH(A512),1),发射纪录!G:G,"&lt;="&amp;DATE(YEAR(A512),MONTH(A512),DAY(EOMONTH(A512,0))),发射纪录!N:N,"=成功",发射纪录!N:N,"&lt;&gt;")</f>
        <v>4</v>
      </c>
      <c r="D512" s="1">
        <f t="shared" si="430"/>
        <v>1</v>
      </c>
      <c r="E512" s="10">
        <f t="shared" si="431"/>
        <v>164</v>
      </c>
      <c r="F512" s="10">
        <f t="shared" si="432"/>
        <v>155</v>
      </c>
      <c r="G512" s="2">
        <f t="shared" si="433"/>
        <v>0.94512195121951215</v>
      </c>
      <c r="H512" s="10">
        <f>COUNTIFS(发射纪录!C:C,"&lt;&gt;-",发射纪录!G:G,"&gt;="&amp;DATE(YEAR(A512),MONTH(A512),1),发射纪录!G:G,"&lt;="&amp;DATE(YEAR(A512),MONTH(A512),DAY(EOMONTH(A512,0))),发射纪录!N:N,"&lt;&gt;")</f>
        <v>0</v>
      </c>
      <c r="I512" s="10">
        <f>COUNTIFS(发射纪录!C:C,"&lt;&gt;-",发射纪录!G:G,"&gt;="&amp;DATE(YEAR(A512),MONTH(A512),1),发射纪录!G:G,"&lt;="&amp;DATE(YEAR(A512),MONTH(A512),DAY(EOMONTH(A512,0))),发射纪录!N:N,"=成功",发射纪录!N:N,"&lt;&gt;")</f>
        <v>0</v>
      </c>
      <c r="J512" s="1" t="str">
        <f t="shared" si="434"/>
        <v>-</v>
      </c>
      <c r="K512" s="10">
        <f t="shared" ca="1" si="435"/>
        <v>11</v>
      </c>
      <c r="L512" s="10">
        <f t="shared" ca="1" si="436"/>
        <v>4</v>
      </c>
      <c r="M512" s="2">
        <f t="shared" ca="1" si="437"/>
        <v>0.36363636363636365</v>
      </c>
      <c r="N512" s="10">
        <f t="shared" si="438"/>
        <v>4</v>
      </c>
      <c r="O512" s="10">
        <f t="shared" si="439"/>
        <v>4</v>
      </c>
      <c r="P512" s="3">
        <f t="shared" si="440"/>
        <v>1</v>
      </c>
      <c r="Q512" s="10">
        <f t="shared" ca="1" si="441"/>
        <v>175</v>
      </c>
      <c r="R512" s="10">
        <f t="shared" ca="1" si="442"/>
        <v>159</v>
      </c>
      <c r="S512" s="4">
        <f t="shared" ca="1" si="443"/>
        <v>0.90857142857142859</v>
      </c>
      <c r="T512" s="478"/>
    </row>
    <row r="513" spans="1:20" x14ac:dyDescent="0.45">
      <c r="A513" s="64">
        <v>41061</v>
      </c>
      <c r="B513" s="14">
        <f>COUNTIFS(发射纪录!B:B,"&lt;&gt;-",发射纪录!G:G,"&gt;="&amp;DATE(YEAR(A513),MONTH(A513),1),发射纪录!G:G,"&lt;="&amp;DATE(YEAR(A513),MONTH(A513),DAY(EOMONTH(A513,0))),发射纪录!N:N,"&lt;&gt;")</f>
        <v>1</v>
      </c>
      <c r="C513" s="10">
        <f>COUNTIFS(发射纪录!B:B,"&lt;&gt;-",发射纪录!G:G,"&gt;="&amp;DATE(YEAR(A513),MONTH(A513),1),发射纪录!G:G,"&lt;="&amp;DATE(YEAR(A513),MONTH(A513),DAY(EOMONTH(A513,0))),发射纪录!N:N,"=成功",发射纪录!N:N,"&lt;&gt;")</f>
        <v>1</v>
      </c>
      <c r="D513" s="1">
        <f t="shared" si="430"/>
        <v>1</v>
      </c>
      <c r="E513" s="10">
        <f t="shared" si="431"/>
        <v>165</v>
      </c>
      <c r="F513" s="10">
        <f t="shared" si="432"/>
        <v>156</v>
      </c>
      <c r="G513" s="2">
        <f t="shared" si="433"/>
        <v>0.94545454545454544</v>
      </c>
      <c r="H513" s="10">
        <f>COUNTIFS(发射纪录!C:C,"&lt;&gt;-",发射纪录!G:G,"&gt;="&amp;DATE(YEAR(A513),MONTH(A513),1),发射纪录!G:G,"&lt;="&amp;DATE(YEAR(A513),MONTH(A513),DAY(EOMONTH(A513,0))),发射纪录!N:N,"&lt;&gt;")</f>
        <v>0</v>
      </c>
      <c r="I513" s="10">
        <f>COUNTIFS(发射纪录!C:C,"&lt;&gt;-",发射纪录!G:G,"&gt;="&amp;DATE(YEAR(A513),MONTH(A513),1),发射纪录!G:G,"&lt;="&amp;DATE(YEAR(A513),MONTH(A513),DAY(EOMONTH(A513,0))),发射纪录!N:N,"=成功",发射纪录!N:N,"&lt;&gt;")</f>
        <v>0</v>
      </c>
      <c r="J513" s="1" t="str">
        <f t="shared" si="434"/>
        <v>-</v>
      </c>
      <c r="K513" s="10">
        <f t="shared" ca="1" si="435"/>
        <v>11</v>
      </c>
      <c r="L513" s="10">
        <f t="shared" ca="1" si="436"/>
        <v>4</v>
      </c>
      <c r="M513" s="2">
        <f t="shared" ca="1" si="437"/>
        <v>0.36363636363636365</v>
      </c>
      <c r="N513" s="10">
        <f t="shared" si="438"/>
        <v>1</v>
      </c>
      <c r="O513" s="10">
        <f t="shared" si="439"/>
        <v>1</v>
      </c>
      <c r="P513" s="3">
        <f t="shared" si="440"/>
        <v>1</v>
      </c>
      <c r="Q513" s="10">
        <f t="shared" ca="1" si="441"/>
        <v>176</v>
      </c>
      <c r="R513" s="10">
        <f t="shared" ca="1" si="442"/>
        <v>160</v>
      </c>
      <c r="S513" s="4">
        <f t="shared" ca="1" si="443"/>
        <v>0.90909090909090906</v>
      </c>
      <c r="T513" s="478"/>
    </row>
    <row r="514" spans="1:20" x14ac:dyDescent="0.45">
      <c r="A514" s="64">
        <v>41091</v>
      </c>
      <c r="B514" s="14">
        <f>COUNTIFS(发射纪录!B:B,"&lt;&gt;-",发射纪录!G:G,"&gt;="&amp;DATE(YEAR(A514),MONTH(A514),1),发射纪录!G:G,"&lt;="&amp;DATE(YEAR(A514),MONTH(A514),DAY(EOMONTH(A514,0))),发射纪录!N:N,"&lt;&gt;")</f>
        <v>1</v>
      </c>
      <c r="C514" s="10">
        <f>COUNTIFS(发射纪录!B:B,"&lt;&gt;-",发射纪录!G:G,"&gt;="&amp;DATE(YEAR(A514),MONTH(A514),1),发射纪录!G:G,"&lt;="&amp;DATE(YEAR(A514),MONTH(A514),DAY(EOMONTH(A514,0))),发射纪录!N:N,"=成功",发射纪录!N:N,"&lt;&gt;")</f>
        <v>1</v>
      </c>
      <c r="D514" s="1">
        <f t="shared" si="430"/>
        <v>1</v>
      </c>
      <c r="E514" s="10">
        <f t="shared" si="431"/>
        <v>166</v>
      </c>
      <c r="F514" s="10">
        <f t="shared" si="432"/>
        <v>157</v>
      </c>
      <c r="G514" s="2">
        <f t="shared" si="433"/>
        <v>0.94578313253012047</v>
      </c>
      <c r="H514" s="10">
        <f>COUNTIFS(发射纪录!C:C,"&lt;&gt;-",发射纪录!G:G,"&gt;="&amp;DATE(YEAR(A514),MONTH(A514),1),发射纪录!G:G,"&lt;="&amp;DATE(YEAR(A514),MONTH(A514),DAY(EOMONTH(A514,0))),发射纪录!N:N,"&lt;&gt;")</f>
        <v>0</v>
      </c>
      <c r="I514" s="10">
        <f>COUNTIFS(发射纪录!C:C,"&lt;&gt;-",发射纪录!G:G,"&gt;="&amp;DATE(YEAR(A514),MONTH(A514),1),发射纪录!G:G,"&lt;="&amp;DATE(YEAR(A514),MONTH(A514),DAY(EOMONTH(A514,0))),发射纪录!N:N,"=成功",发射纪录!N:N,"&lt;&gt;")</f>
        <v>0</v>
      </c>
      <c r="J514" s="1" t="str">
        <f t="shared" si="434"/>
        <v>-</v>
      </c>
      <c r="K514" s="10">
        <f t="shared" ca="1" si="435"/>
        <v>11</v>
      </c>
      <c r="L514" s="10">
        <f t="shared" ca="1" si="436"/>
        <v>4</v>
      </c>
      <c r="M514" s="2">
        <f t="shared" ca="1" si="437"/>
        <v>0.36363636363636365</v>
      </c>
      <c r="N514" s="10">
        <f t="shared" si="438"/>
        <v>1</v>
      </c>
      <c r="O514" s="10">
        <f t="shared" si="439"/>
        <v>1</v>
      </c>
      <c r="P514" s="3">
        <f t="shared" si="440"/>
        <v>1</v>
      </c>
      <c r="Q514" s="10">
        <f t="shared" ca="1" si="441"/>
        <v>177</v>
      </c>
      <c r="R514" s="10">
        <f t="shared" ca="1" si="442"/>
        <v>161</v>
      </c>
      <c r="S514" s="4">
        <f t="shared" ca="1" si="443"/>
        <v>0.90960451977401124</v>
      </c>
      <c r="T514" s="478"/>
    </row>
    <row r="515" spans="1:20" x14ac:dyDescent="0.45">
      <c r="A515" s="64">
        <v>41122</v>
      </c>
      <c r="B515" s="14">
        <f>COUNTIFS(发射纪录!B:B,"&lt;&gt;-",发射纪录!G:G,"&gt;="&amp;DATE(YEAR(A515),MONTH(A515),1),发射纪录!G:G,"&lt;="&amp;DATE(YEAR(A515),MONTH(A515),DAY(EOMONTH(A515,0))),发射纪录!N:N,"&lt;&gt;")</f>
        <v>0</v>
      </c>
      <c r="C515" s="10">
        <f>COUNTIFS(发射纪录!B:B,"&lt;&gt;-",发射纪录!G:G,"&gt;="&amp;DATE(YEAR(A515),MONTH(A515),1),发射纪录!G:G,"&lt;="&amp;DATE(YEAR(A515),MONTH(A515),DAY(EOMONTH(A515,0))),发射纪录!N:N,"=成功",发射纪录!N:N,"&lt;&gt;")</f>
        <v>0</v>
      </c>
      <c r="D515" s="1" t="str">
        <f t="shared" si="430"/>
        <v>-</v>
      </c>
      <c r="E515" s="10">
        <f t="shared" si="431"/>
        <v>166</v>
      </c>
      <c r="F515" s="10">
        <f t="shared" si="432"/>
        <v>157</v>
      </c>
      <c r="G515" s="2">
        <f t="shared" si="433"/>
        <v>0.94578313253012047</v>
      </c>
      <c r="H515" s="10">
        <f>COUNTIFS(发射纪录!C:C,"&lt;&gt;-",发射纪录!G:G,"&gt;="&amp;DATE(YEAR(A515),MONTH(A515),1),发射纪录!G:G,"&lt;="&amp;DATE(YEAR(A515),MONTH(A515),DAY(EOMONTH(A515,0))),发射纪录!N:N,"&lt;&gt;")</f>
        <v>0</v>
      </c>
      <c r="I515" s="10">
        <f>COUNTIFS(发射纪录!C:C,"&lt;&gt;-",发射纪录!G:G,"&gt;="&amp;DATE(YEAR(A515),MONTH(A515),1),发射纪录!G:G,"&lt;="&amp;DATE(YEAR(A515),MONTH(A515),DAY(EOMONTH(A515,0))),发射纪录!N:N,"=成功",发射纪录!N:N,"&lt;&gt;")</f>
        <v>0</v>
      </c>
      <c r="J515" s="1" t="str">
        <f t="shared" si="434"/>
        <v>-</v>
      </c>
      <c r="K515" s="10">
        <f t="shared" ca="1" si="435"/>
        <v>11</v>
      </c>
      <c r="L515" s="10">
        <f t="shared" ca="1" si="436"/>
        <v>4</v>
      </c>
      <c r="M515" s="2">
        <f t="shared" ca="1" si="437"/>
        <v>0.36363636363636365</v>
      </c>
      <c r="N515" s="10">
        <f t="shared" si="438"/>
        <v>0</v>
      </c>
      <c r="O515" s="10">
        <f t="shared" si="439"/>
        <v>0</v>
      </c>
      <c r="P515" s="3" t="str">
        <f t="shared" si="440"/>
        <v>-</v>
      </c>
      <c r="Q515" s="10">
        <f t="shared" ca="1" si="441"/>
        <v>177</v>
      </c>
      <c r="R515" s="10">
        <f t="shared" ca="1" si="442"/>
        <v>161</v>
      </c>
      <c r="S515" s="4">
        <f t="shared" ca="1" si="443"/>
        <v>0.90960451977401124</v>
      </c>
      <c r="T515" s="478"/>
    </row>
    <row r="516" spans="1:20" x14ac:dyDescent="0.45">
      <c r="A516" s="64">
        <v>41153</v>
      </c>
      <c r="B516" s="14">
        <f>COUNTIFS(发射纪录!B:B,"&lt;&gt;-",发射纪录!G:G,"&gt;="&amp;DATE(YEAR(A516),MONTH(A516),1),发射纪录!G:G,"&lt;="&amp;DATE(YEAR(A516),MONTH(A516),DAY(EOMONTH(A516,0))),发射纪录!N:N,"&lt;&gt;")</f>
        <v>2</v>
      </c>
      <c r="C516" s="10">
        <f>COUNTIFS(发射纪录!B:B,"&lt;&gt;-",发射纪录!G:G,"&gt;="&amp;DATE(YEAR(A516),MONTH(A516),1),发射纪录!G:G,"&lt;="&amp;DATE(YEAR(A516),MONTH(A516),DAY(EOMONTH(A516,0))),发射纪录!N:N,"=成功",发射纪录!N:N,"&lt;&gt;")</f>
        <v>2</v>
      </c>
      <c r="D516" s="1">
        <f t="shared" si="430"/>
        <v>1</v>
      </c>
      <c r="E516" s="10">
        <f t="shared" si="431"/>
        <v>168</v>
      </c>
      <c r="F516" s="10">
        <f t="shared" si="432"/>
        <v>159</v>
      </c>
      <c r="G516" s="2">
        <f t="shared" si="433"/>
        <v>0.9464285714285714</v>
      </c>
      <c r="H516" s="10">
        <f>COUNTIFS(发射纪录!C:C,"&lt;&gt;-",发射纪录!G:G,"&gt;="&amp;DATE(YEAR(A516),MONTH(A516),1),发射纪录!G:G,"&lt;="&amp;DATE(YEAR(A516),MONTH(A516),DAY(EOMONTH(A516,0))),发射纪录!N:N,"&lt;&gt;")</f>
        <v>0</v>
      </c>
      <c r="I516" s="10">
        <f>COUNTIFS(发射纪录!C:C,"&lt;&gt;-",发射纪录!G:G,"&gt;="&amp;DATE(YEAR(A516),MONTH(A516),1),发射纪录!G:G,"&lt;="&amp;DATE(YEAR(A516),MONTH(A516),DAY(EOMONTH(A516,0))),发射纪录!N:N,"=成功",发射纪录!N:N,"&lt;&gt;")</f>
        <v>0</v>
      </c>
      <c r="J516" s="1" t="str">
        <f t="shared" si="434"/>
        <v>-</v>
      </c>
      <c r="K516" s="10">
        <f t="shared" ca="1" si="435"/>
        <v>11</v>
      </c>
      <c r="L516" s="10">
        <f t="shared" ca="1" si="436"/>
        <v>4</v>
      </c>
      <c r="M516" s="2">
        <f t="shared" ca="1" si="437"/>
        <v>0.36363636363636365</v>
      </c>
      <c r="N516" s="10">
        <f t="shared" si="438"/>
        <v>2</v>
      </c>
      <c r="O516" s="10">
        <f t="shared" si="439"/>
        <v>2</v>
      </c>
      <c r="P516" s="3">
        <f t="shared" si="440"/>
        <v>1</v>
      </c>
      <c r="Q516" s="10">
        <f t="shared" ca="1" si="441"/>
        <v>179</v>
      </c>
      <c r="R516" s="10">
        <f t="shared" ca="1" si="442"/>
        <v>163</v>
      </c>
      <c r="S516" s="4">
        <f t="shared" ca="1" si="443"/>
        <v>0.91061452513966479</v>
      </c>
      <c r="T516" s="478"/>
    </row>
    <row r="517" spans="1:20" x14ac:dyDescent="0.45">
      <c r="A517" s="64">
        <v>41183</v>
      </c>
      <c r="B517" s="14">
        <f>COUNTIFS(发射纪录!B:B,"&lt;&gt;-",发射纪录!G:G,"&gt;="&amp;DATE(YEAR(A517),MONTH(A517),1),发射纪录!G:G,"&lt;="&amp;DATE(YEAR(A517),MONTH(A517),DAY(EOMONTH(A517,0))),发射纪录!N:N,"&lt;&gt;")</f>
        <v>2</v>
      </c>
      <c r="C517" s="10">
        <f>COUNTIFS(发射纪录!B:B,"&lt;&gt;-",发射纪录!G:G,"&gt;="&amp;DATE(YEAR(A517),MONTH(A517),1),发射纪录!G:G,"&lt;="&amp;DATE(YEAR(A517),MONTH(A517),DAY(EOMONTH(A517,0))),发射纪录!N:N,"=成功",发射纪录!N:N,"&lt;&gt;")</f>
        <v>2</v>
      </c>
      <c r="D517" s="1">
        <f t="shared" si="430"/>
        <v>1</v>
      </c>
      <c r="E517" s="10">
        <f t="shared" si="431"/>
        <v>170</v>
      </c>
      <c r="F517" s="10">
        <f t="shared" si="432"/>
        <v>161</v>
      </c>
      <c r="G517" s="2">
        <f t="shared" si="433"/>
        <v>0.94705882352941173</v>
      </c>
      <c r="H517" s="10">
        <f>COUNTIFS(发射纪录!C:C,"&lt;&gt;-",发射纪录!G:G,"&gt;="&amp;DATE(YEAR(A517),MONTH(A517),1),发射纪录!G:G,"&lt;="&amp;DATE(YEAR(A517),MONTH(A517),DAY(EOMONTH(A517,0))),发射纪录!N:N,"&lt;&gt;")</f>
        <v>0</v>
      </c>
      <c r="I517" s="10">
        <f>COUNTIFS(发射纪录!C:C,"&lt;&gt;-",发射纪录!G:G,"&gt;="&amp;DATE(YEAR(A517),MONTH(A517),1),发射纪录!G:G,"&lt;="&amp;DATE(YEAR(A517),MONTH(A517),DAY(EOMONTH(A517,0))),发射纪录!N:N,"=成功",发射纪录!N:N,"&lt;&gt;")</f>
        <v>0</v>
      </c>
      <c r="J517" s="1" t="str">
        <f t="shared" si="434"/>
        <v>-</v>
      </c>
      <c r="K517" s="10">
        <f t="shared" ca="1" si="435"/>
        <v>11</v>
      </c>
      <c r="L517" s="10">
        <f t="shared" ca="1" si="436"/>
        <v>4</v>
      </c>
      <c r="M517" s="2">
        <f t="shared" ca="1" si="437"/>
        <v>0.36363636363636365</v>
      </c>
      <c r="N517" s="10">
        <f t="shared" si="438"/>
        <v>2</v>
      </c>
      <c r="O517" s="10">
        <f t="shared" si="439"/>
        <v>2</v>
      </c>
      <c r="P517" s="3">
        <f t="shared" si="440"/>
        <v>1</v>
      </c>
      <c r="Q517" s="10">
        <f t="shared" ca="1" si="441"/>
        <v>181</v>
      </c>
      <c r="R517" s="10">
        <f t="shared" ca="1" si="442"/>
        <v>165</v>
      </c>
      <c r="S517" s="4">
        <f t="shared" ca="1" si="443"/>
        <v>0.91160220994475138</v>
      </c>
      <c r="T517" s="478"/>
    </row>
    <row r="518" spans="1:20" x14ac:dyDescent="0.45">
      <c r="A518" s="64">
        <v>41214</v>
      </c>
      <c r="B518" s="14">
        <f>COUNTIFS(发射纪录!B:B,"&lt;&gt;-",发射纪录!G:G,"&gt;="&amp;DATE(YEAR(A518),MONTH(A518),1),发射纪录!G:G,"&lt;="&amp;DATE(YEAR(A518),MONTH(A518),DAY(EOMONTH(A518,0))),发射纪录!N:N,"&lt;&gt;")</f>
        <v>3</v>
      </c>
      <c r="C518" s="10">
        <f>COUNTIFS(发射纪录!B:B,"&lt;&gt;-",发射纪录!G:G,"&gt;="&amp;DATE(YEAR(A518),MONTH(A518),1),发射纪录!G:G,"&lt;="&amp;DATE(YEAR(A518),MONTH(A518),DAY(EOMONTH(A518,0))),发射纪录!N:N,"=成功",发射纪录!N:N,"&lt;&gt;")</f>
        <v>3</v>
      </c>
      <c r="D518" s="1">
        <f t="shared" si="430"/>
        <v>1</v>
      </c>
      <c r="E518" s="10">
        <f t="shared" si="431"/>
        <v>173</v>
      </c>
      <c r="F518" s="10">
        <f t="shared" si="432"/>
        <v>164</v>
      </c>
      <c r="G518" s="2">
        <f t="shared" si="433"/>
        <v>0.94797687861271673</v>
      </c>
      <c r="H518" s="10">
        <f>COUNTIFS(发射纪录!C:C,"&lt;&gt;-",发射纪录!G:G,"&gt;="&amp;DATE(YEAR(A518),MONTH(A518),1),发射纪录!G:G,"&lt;="&amp;DATE(YEAR(A518),MONTH(A518),DAY(EOMONTH(A518,0))),发射纪录!N:N,"&lt;&gt;")</f>
        <v>0</v>
      </c>
      <c r="I518" s="10">
        <f>COUNTIFS(发射纪录!C:C,"&lt;&gt;-",发射纪录!G:G,"&gt;="&amp;DATE(YEAR(A518),MONTH(A518),1),发射纪录!G:G,"&lt;="&amp;DATE(YEAR(A518),MONTH(A518),DAY(EOMONTH(A518,0))),发射纪录!N:N,"=成功",发射纪录!N:N,"&lt;&gt;")</f>
        <v>0</v>
      </c>
      <c r="J518" s="1" t="str">
        <f t="shared" si="434"/>
        <v>-</v>
      </c>
      <c r="K518" s="10">
        <f t="shared" ca="1" si="435"/>
        <v>11</v>
      </c>
      <c r="L518" s="10">
        <f t="shared" ca="1" si="436"/>
        <v>4</v>
      </c>
      <c r="M518" s="2">
        <f t="shared" ca="1" si="437"/>
        <v>0.36363636363636365</v>
      </c>
      <c r="N518" s="10">
        <f t="shared" si="438"/>
        <v>3</v>
      </c>
      <c r="O518" s="10">
        <f t="shared" si="439"/>
        <v>3</v>
      </c>
      <c r="P518" s="3">
        <f t="shared" si="440"/>
        <v>1</v>
      </c>
      <c r="Q518" s="10">
        <f t="shared" ca="1" si="441"/>
        <v>184</v>
      </c>
      <c r="R518" s="10">
        <f t="shared" ca="1" si="442"/>
        <v>168</v>
      </c>
      <c r="S518" s="4">
        <f t="shared" ca="1" si="443"/>
        <v>0.91304347826086951</v>
      </c>
      <c r="T518" s="478"/>
    </row>
    <row r="519" spans="1:20" ht="19.5" customHeight="1" thickBot="1" x14ac:dyDescent="0.5">
      <c r="A519" s="65">
        <v>41244</v>
      </c>
      <c r="B519" s="17">
        <f>COUNTIFS(发射纪录!B:B,"&lt;&gt;-",发射纪录!G:G,"&gt;="&amp;DATE(YEAR(A519),MONTH(A519),1),发射纪录!G:G,"&lt;="&amp;DATE(YEAR(A519),MONTH(A519),DAY(EOMONTH(A519,0))),发射纪录!N:N,"&lt;&gt;")</f>
        <v>1</v>
      </c>
      <c r="C519" s="18">
        <f>COUNTIFS(发射纪录!B:B,"&lt;&gt;-",发射纪录!G:G,"&gt;="&amp;DATE(YEAR(A519),MONTH(A519),1),发射纪录!G:G,"&lt;="&amp;DATE(YEAR(A519),MONTH(A519),DAY(EOMONTH(A519,0))),发射纪录!N:N,"=成功",发射纪录!N:N,"&lt;&gt;")</f>
        <v>1</v>
      </c>
      <c r="D519" s="12">
        <f>IF(B519=0,"-",C519/B519)</f>
        <v>1</v>
      </c>
      <c r="E519" s="18">
        <f>E518+B519</f>
        <v>174</v>
      </c>
      <c r="F519" s="18">
        <f>F518+C519</f>
        <v>165</v>
      </c>
      <c r="G519" s="13">
        <f>IF(E519=0,"-",F519/E519)</f>
        <v>0.94827586206896552</v>
      </c>
      <c r="H519" s="18">
        <f>COUNTIFS(发射纪录!C:C,"&lt;&gt;-",发射纪录!G:G,"&gt;="&amp;DATE(YEAR(A519),MONTH(A519),1),发射纪录!G:G,"&lt;="&amp;DATE(YEAR(A519),MONTH(A519),DAY(EOMONTH(A519,0))),发射纪录!N:N,"&lt;&gt;")</f>
        <v>0</v>
      </c>
      <c r="I519" s="18">
        <f>COUNTIFS(发射纪录!C:C,"&lt;&gt;-",发射纪录!G:G,"&gt;="&amp;DATE(YEAR(A519),MONTH(A519),1),发射纪录!G:G,"&lt;="&amp;DATE(YEAR(A519),MONTH(A519),DAY(EOMONTH(A519,0))),发射纪录!N:N,"=成功",发射纪录!N:N,"&lt;&gt;")</f>
        <v>0</v>
      </c>
      <c r="J519" s="12" t="str">
        <f>IF(H519=0,"-",I519/H519)</f>
        <v>-</v>
      </c>
      <c r="K519" s="18">
        <f ca="1">K518+H519</f>
        <v>11</v>
      </c>
      <c r="L519" s="18">
        <f ca="1">L518+I519</f>
        <v>4</v>
      </c>
      <c r="M519" s="13">
        <f ca="1">IF(K519=0,"-",L519/K519)</f>
        <v>0.36363636363636365</v>
      </c>
      <c r="N519" s="18">
        <f>B519+H519</f>
        <v>1</v>
      </c>
      <c r="O519" s="18">
        <f>C519+I519</f>
        <v>1</v>
      </c>
      <c r="P519" s="12">
        <f>IF(N519=0,"-",O519/N519)</f>
        <v>1</v>
      </c>
      <c r="Q519" s="18">
        <f ca="1">E519+K519</f>
        <v>185</v>
      </c>
      <c r="R519" s="18">
        <f ca="1">F519+L519</f>
        <v>169</v>
      </c>
      <c r="S519" s="13">
        <f ca="1">IF(Q519=0,"-",R519/Q519)</f>
        <v>0.91351351351351351</v>
      </c>
      <c r="T519" s="478"/>
    </row>
    <row r="520" spans="1:20" ht="19.5" customHeight="1" thickTop="1" x14ac:dyDescent="0.45">
      <c r="A520" s="63">
        <v>41275</v>
      </c>
      <c r="B520" s="14">
        <v>0</v>
      </c>
      <c r="C520" s="10">
        <v>0</v>
      </c>
      <c r="D520" s="3" t="s">
        <v>3</v>
      </c>
      <c r="E520" s="10">
        <v>174</v>
      </c>
      <c r="F520" s="10">
        <v>165</v>
      </c>
      <c r="G520" s="4">
        <v>0.94827586206896552</v>
      </c>
      <c r="H520" s="10">
        <f>COUNTIFS(发射纪录!C:C,"&lt;&gt;-",发射纪录!G:G,"&gt;="&amp;DATE(YEAR(A520),MONTH(A520),1),发射纪录!G:G,"&lt;="&amp;DATE(YEAR(A520),MONTH(A520),DAY(EOMONTH(A520,0))),发射纪录!N:N,"&lt;&gt;")</f>
        <v>0</v>
      </c>
      <c r="I520" s="10">
        <f>COUNTIFS(发射纪录!C:C,"&lt;&gt;-",发射纪录!G:G,"&gt;="&amp;DATE(YEAR(A520),MONTH(A520),1),发射纪录!G:G,"&lt;="&amp;DATE(YEAR(A520),MONTH(A520),DAY(EOMONTH(A520,0))),发射纪录!N:N,"=成功",发射纪录!N:N,"&lt;&gt;")</f>
        <v>0</v>
      </c>
      <c r="J520" s="3" t="str">
        <f t="shared" ref="J520:J530" si="444">IF(H520=0,"-",I520/H520)</f>
        <v>-</v>
      </c>
      <c r="K520" s="10">
        <f t="shared" ref="K520:K530" ca="1" si="445">K519+H520</f>
        <v>11</v>
      </c>
      <c r="L520" s="10">
        <f t="shared" ref="L520:L530" ca="1" si="446">L519+I520</f>
        <v>4</v>
      </c>
      <c r="M520" s="4">
        <f t="shared" ref="M520:M530" ca="1" si="447">IF(K520=0,"-",L520/K520)</f>
        <v>0.36363636363636365</v>
      </c>
      <c r="N520" s="10">
        <f t="shared" ref="N520:N530" si="448">B520+H520</f>
        <v>0</v>
      </c>
      <c r="O520" s="10">
        <f t="shared" ref="O520:O530" si="449">C520+I520</f>
        <v>0</v>
      </c>
      <c r="P520" s="3" t="str">
        <f t="shared" ref="P520:P530" si="450">IF(N520=0,"-",O520/N520)</f>
        <v>-</v>
      </c>
      <c r="Q520" s="10">
        <f t="shared" ref="Q520:Q530" ca="1" si="451">E520+K520</f>
        <v>185</v>
      </c>
      <c r="R520" s="10">
        <f t="shared" ref="R520:R530" ca="1" si="452">F520+L520</f>
        <v>169</v>
      </c>
      <c r="S520" s="4">
        <f t="shared" ref="S520:S530" ca="1" si="453">IF(Q520=0,"-",R520/Q520)</f>
        <v>0.91351351351351351</v>
      </c>
      <c r="T520" s="478"/>
    </row>
    <row r="521" spans="1:20" x14ac:dyDescent="0.45">
      <c r="A521" s="64">
        <v>41306</v>
      </c>
      <c r="B521" s="14">
        <v>0</v>
      </c>
      <c r="C521" s="10">
        <v>0</v>
      </c>
      <c r="D521" s="1" t="s">
        <v>3</v>
      </c>
      <c r="E521" s="10">
        <v>174</v>
      </c>
      <c r="F521" s="10">
        <v>165</v>
      </c>
      <c r="G521" s="2">
        <v>0.94827586206896552</v>
      </c>
      <c r="H521" s="10">
        <f>COUNTIFS(发射纪录!C:C,"&lt;&gt;-",发射纪录!G:G,"&gt;="&amp;DATE(YEAR(A521),MONTH(A521),1),发射纪录!G:G,"&lt;="&amp;DATE(YEAR(A521),MONTH(A521),DAY(EOMONTH(A521,0))),发射纪录!N:N,"&lt;&gt;")</f>
        <v>0</v>
      </c>
      <c r="I521" s="10">
        <f>COUNTIFS(发射纪录!C:C,"&lt;&gt;-",发射纪录!G:G,"&gt;="&amp;DATE(YEAR(A521),MONTH(A521),1),发射纪录!G:G,"&lt;="&amp;DATE(YEAR(A521),MONTH(A521),DAY(EOMONTH(A521,0))),发射纪录!N:N,"=成功",发射纪录!N:N,"&lt;&gt;")</f>
        <v>0</v>
      </c>
      <c r="J521" s="1" t="str">
        <f t="shared" si="444"/>
        <v>-</v>
      </c>
      <c r="K521" s="10">
        <f t="shared" ca="1" si="445"/>
        <v>11</v>
      </c>
      <c r="L521" s="10">
        <f t="shared" ca="1" si="446"/>
        <v>4</v>
      </c>
      <c r="M521" s="2">
        <f t="shared" ca="1" si="447"/>
        <v>0.36363636363636365</v>
      </c>
      <c r="N521" s="10">
        <f t="shared" si="448"/>
        <v>0</v>
      </c>
      <c r="O521" s="10">
        <f t="shared" si="449"/>
        <v>0</v>
      </c>
      <c r="P521" s="3" t="str">
        <f t="shared" si="450"/>
        <v>-</v>
      </c>
      <c r="Q521" s="10">
        <f t="shared" ca="1" si="451"/>
        <v>185</v>
      </c>
      <c r="R521" s="10">
        <f t="shared" ca="1" si="452"/>
        <v>169</v>
      </c>
      <c r="S521" s="4">
        <f t="shared" ca="1" si="453"/>
        <v>0.91351351351351351</v>
      </c>
      <c r="T521" s="478"/>
    </row>
    <row r="522" spans="1:20" x14ac:dyDescent="0.45">
      <c r="A522" s="64">
        <v>41334</v>
      </c>
      <c r="B522" s="14">
        <v>0</v>
      </c>
      <c r="C522" s="10">
        <v>0</v>
      </c>
      <c r="D522" s="1" t="s">
        <v>3</v>
      </c>
      <c r="E522" s="10">
        <v>174</v>
      </c>
      <c r="F522" s="10">
        <v>165</v>
      </c>
      <c r="G522" s="2">
        <v>0.94827586206896552</v>
      </c>
      <c r="H522" s="10">
        <f>COUNTIFS(发射纪录!C:C,"&lt;&gt;-",发射纪录!G:G,"&gt;="&amp;DATE(YEAR(A522),MONTH(A522),1),发射纪录!G:G,"&lt;="&amp;DATE(YEAR(A522),MONTH(A522),DAY(EOMONTH(A522,0))),发射纪录!N:N,"&lt;&gt;")</f>
        <v>0</v>
      </c>
      <c r="I522" s="10">
        <f>COUNTIFS(发射纪录!C:C,"&lt;&gt;-",发射纪录!G:G,"&gt;="&amp;DATE(YEAR(A522),MONTH(A522),1),发射纪录!G:G,"&lt;="&amp;DATE(YEAR(A522),MONTH(A522),DAY(EOMONTH(A522,0))),发射纪录!N:N,"=成功",发射纪录!N:N,"&lt;&gt;")</f>
        <v>0</v>
      </c>
      <c r="J522" s="1" t="str">
        <f t="shared" si="444"/>
        <v>-</v>
      </c>
      <c r="K522" s="10">
        <f t="shared" ca="1" si="445"/>
        <v>11</v>
      </c>
      <c r="L522" s="10">
        <f t="shared" ca="1" si="446"/>
        <v>4</v>
      </c>
      <c r="M522" s="2">
        <f t="shared" ca="1" si="447"/>
        <v>0.36363636363636365</v>
      </c>
      <c r="N522" s="10">
        <f t="shared" si="448"/>
        <v>0</v>
      </c>
      <c r="O522" s="10">
        <f t="shared" si="449"/>
        <v>0</v>
      </c>
      <c r="P522" s="3" t="str">
        <f t="shared" si="450"/>
        <v>-</v>
      </c>
      <c r="Q522" s="10">
        <f t="shared" ca="1" si="451"/>
        <v>185</v>
      </c>
      <c r="R522" s="10">
        <f t="shared" ca="1" si="452"/>
        <v>169</v>
      </c>
      <c r="S522" s="4">
        <f t="shared" ca="1" si="453"/>
        <v>0.91351351351351351</v>
      </c>
      <c r="T522" s="478"/>
    </row>
    <row r="523" spans="1:20" x14ac:dyDescent="0.45">
      <c r="A523" s="64">
        <v>41365</v>
      </c>
      <c r="B523" s="14">
        <v>1</v>
      </c>
      <c r="C523" s="10">
        <v>1</v>
      </c>
      <c r="D523" s="1">
        <v>1</v>
      </c>
      <c r="E523" s="10">
        <v>175</v>
      </c>
      <c r="F523" s="10">
        <v>166</v>
      </c>
      <c r="G523" s="2">
        <v>0.94857142857142862</v>
      </c>
      <c r="H523" s="10">
        <f>COUNTIFS(发射纪录!C:C,"&lt;&gt;-",发射纪录!G:G,"&gt;="&amp;DATE(YEAR(A523),MONTH(A523),1),发射纪录!G:G,"&lt;="&amp;DATE(YEAR(A523),MONTH(A523),DAY(EOMONTH(A523,0))),发射纪录!N:N,"&lt;&gt;")</f>
        <v>0</v>
      </c>
      <c r="I523" s="10">
        <f>COUNTIFS(发射纪录!C:C,"&lt;&gt;-",发射纪录!G:G,"&gt;="&amp;DATE(YEAR(A523),MONTH(A523),1),发射纪录!G:G,"&lt;="&amp;DATE(YEAR(A523),MONTH(A523),DAY(EOMONTH(A523,0))),发射纪录!N:N,"=成功",发射纪录!N:N,"&lt;&gt;")</f>
        <v>0</v>
      </c>
      <c r="J523" s="1" t="str">
        <f t="shared" si="444"/>
        <v>-</v>
      </c>
      <c r="K523" s="10">
        <f t="shared" ca="1" si="445"/>
        <v>11</v>
      </c>
      <c r="L523" s="10">
        <f t="shared" ca="1" si="446"/>
        <v>4</v>
      </c>
      <c r="M523" s="2">
        <f t="shared" ca="1" si="447"/>
        <v>0.36363636363636365</v>
      </c>
      <c r="N523" s="10">
        <f t="shared" si="448"/>
        <v>1</v>
      </c>
      <c r="O523" s="10">
        <f t="shared" si="449"/>
        <v>1</v>
      </c>
      <c r="P523" s="3">
        <f t="shared" si="450"/>
        <v>1</v>
      </c>
      <c r="Q523" s="10">
        <f t="shared" ca="1" si="451"/>
        <v>186</v>
      </c>
      <c r="R523" s="10">
        <f t="shared" ca="1" si="452"/>
        <v>170</v>
      </c>
      <c r="S523" s="4">
        <f t="shared" ca="1" si="453"/>
        <v>0.91397849462365588</v>
      </c>
      <c r="T523" s="478"/>
    </row>
    <row r="524" spans="1:20" x14ac:dyDescent="0.45">
      <c r="A524" s="64">
        <v>41395</v>
      </c>
      <c r="B524" s="14">
        <v>1</v>
      </c>
      <c r="C524" s="10">
        <v>1</v>
      </c>
      <c r="D524" s="1">
        <v>1</v>
      </c>
      <c r="E524" s="10">
        <v>176</v>
      </c>
      <c r="F524" s="10">
        <v>167</v>
      </c>
      <c r="G524" s="2">
        <v>0.94886363636363635</v>
      </c>
      <c r="H524" s="10">
        <f>COUNTIFS(发射纪录!C:C,"&lt;&gt;-",发射纪录!G:G,"&gt;="&amp;DATE(YEAR(A524),MONTH(A524),1),发射纪录!G:G,"&lt;="&amp;DATE(YEAR(A524),MONTH(A524),DAY(EOMONTH(A524,0))),发射纪录!N:N,"&lt;&gt;")</f>
        <v>0</v>
      </c>
      <c r="I524" s="10">
        <f>COUNTIFS(发射纪录!C:C,"&lt;&gt;-",发射纪录!G:G,"&gt;="&amp;DATE(YEAR(A524),MONTH(A524),1),发射纪录!G:G,"&lt;="&amp;DATE(YEAR(A524),MONTH(A524),DAY(EOMONTH(A524,0))),发射纪录!N:N,"=成功",发射纪录!N:N,"&lt;&gt;")</f>
        <v>0</v>
      </c>
      <c r="J524" s="1" t="str">
        <f t="shared" si="444"/>
        <v>-</v>
      </c>
      <c r="K524" s="10">
        <f t="shared" ca="1" si="445"/>
        <v>11</v>
      </c>
      <c r="L524" s="10">
        <f t="shared" ca="1" si="446"/>
        <v>4</v>
      </c>
      <c r="M524" s="2">
        <f t="shared" ca="1" si="447"/>
        <v>0.36363636363636365</v>
      </c>
      <c r="N524" s="10">
        <f t="shared" si="448"/>
        <v>1</v>
      </c>
      <c r="O524" s="10">
        <f t="shared" si="449"/>
        <v>1</v>
      </c>
      <c r="P524" s="3">
        <f t="shared" si="450"/>
        <v>1</v>
      </c>
      <c r="Q524" s="10">
        <f t="shared" ca="1" si="451"/>
        <v>187</v>
      </c>
      <c r="R524" s="10">
        <f t="shared" ca="1" si="452"/>
        <v>171</v>
      </c>
      <c r="S524" s="4">
        <f t="shared" ca="1" si="453"/>
        <v>0.91443850267379678</v>
      </c>
      <c r="T524" s="478"/>
    </row>
    <row r="525" spans="1:20" x14ac:dyDescent="0.45">
      <c r="A525" s="64">
        <v>41426</v>
      </c>
      <c r="B525" s="14">
        <v>1</v>
      </c>
      <c r="C525" s="10">
        <v>1</v>
      </c>
      <c r="D525" s="1">
        <v>1</v>
      </c>
      <c r="E525" s="10">
        <v>177</v>
      </c>
      <c r="F525" s="10">
        <v>168</v>
      </c>
      <c r="G525" s="2">
        <v>0.94915254237288138</v>
      </c>
      <c r="H525" s="10">
        <f>COUNTIFS(发射纪录!C:C,"&lt;&gt;-",发射纪录!G:G,"&gt;="&amp;DATE(YEAR(A525),MONTH(A525),1),发射纪录!G:G,"&lt;="&amp;DATE(YEAR(A525),MONTH(A525),DAY(EOMONTH(A525,0))),发射纪录!N:N,"&lt;&gt;")</f>
        <v>0</v>
      </c>
      <c r="I525" s="10">
        <f>COUNTIFS(发射纪录!C:C,"&lt;&gt;-",发射纪录!G:G,"&gt;="&amp;DATE(YEAR(A525),MONTH(A525),1),发射纪录!G:G,"&lt;="&amp;DATE(YEAR(A525),MONTH(A525),DAY(EOMONTH(A525,0))),发射纪录!N:N,"=成功",发射纪录!N:N,"&lt;&gt;")</f>
        <v>0</v>
      </c>
      <c r="J525" s="1" t="str">
        <f t="shared" si="444"/>
        <v>-</v>
      </c>
      <c r="K525" s="10">
        <f t="shared" ca="1" si="445"/>
        <v>11</v>
      </c>
      <c r="L525" s="10">
        <f t="shared" ca="1" si="446"/>
        <v>4</v>
      </c>
      <c r="M525" s="2">
        <f t="shared" ca="1" si="447"/>
        <v>0.36363636363636365</v>
      </c>
      <c r="N525" s="10">
        <f t="shared" si="448"/>
        <v>1</v>
      </c>
      <c r="O525" s="10">
        <f t="shared" si="449"/>
        <v>1</v>
      </c>
      <c r="P525" s="3">
        <f t="shared" si="450"/>
        <v>1</v>
      </c>
      <c r="Q525" s="10">
        <f t="shared" ca="1" si="451"/>
        <v>188</v>
      </c>
      <c r="R525" s="10">
        <f t="shared" ca="1" si="452"/>
        <v>172</v>
      </c>
      <c r="S525" s="4">
        <f t="shared" ca="1" si="453"/>
        <v>0.91489361702127658</v>
      </c>
      <c r="T525" s="478"/>
    </row>
    <row r="526" spans="1:20" x14ac:dyDescent="0.45">
      <c r="A526" s="64">
        <v>41456</v>
      </c>
      <c r="B526" s="14">
        <v>2</v>
      </c>
      <c r="C526" s="10">
        <v>2</v>
      </c>
      <c r="D526" s="1">
        <v>1</v>
      </c>
      <c r="E526" s="10">
        <v>179</v>
      </c>
      <c r="F526" s="10">
        <v>170</v>
      </c>
      <c r="G526" s="2">
        <v>0.94972067039106145</v>
      </c>
      <c r="H526" s="10">
        <f>COUNTIFS(发射纪录!C:C,"&lt;&gt;-",发射纪录!G:G,"&gt;="&amp;DATE(YEAR(A526),MONTH(A526),1),发射纪录!G:G,"&lt;="&amp;DATE(YEAR(A526),MONTH(A526),DAY(EOMONTH(A526,0))),发射纪录!N:N,"&lt;&gt;")</f>
        <v>0</v>
      </c>
      <c r="I526" s="10">
        <f>COUNTIFS(发射纪录!C:C,"&lt;&gt;-",发射纪录!G:G,"&gt;="&amp;DATE(YEAR(A526),MONTH(A526),1),发射纪录!G:G,"&lt;="&amp;DATE(YEAR(A526),MONTH(A526),DAY(EOMONTH(A526,0))),发射纪录!N:N,"=成功",发射纪录!N:N,"&lt;&gt;")</f>
        <v>0</v>
      </c>
      <c r="J526" s="1" t="str">
        <f t="shared" si="444"/>
        <v>-</v>
      </c>
      <c r="K526" s="10">
        <f t="shared" ca="1" si="445"/>
        <v>11</v>
      </c>
      <c r="L526" s="10">
        <f t="shared" ca="1" si="446"/>
        <v>4</v>
      </c>
      <c r="M526" s="2">
        <f t="shared" ca="1" si="447"/>
        <v>0.36363636363636365</v>
      </c>
      <c r="N526" s="10">
        <f t="shared" si="448"/>
        <v>2</v>
      </c>
      <c r="O526" s="10">
        <f t="shared" si="449"/>
        <v>2</v>
      </c>
      <c r="P526" s="3">
        <f t="shared" si="450"/>
        <v>1</v>
      </c>
      <c r="Q526" s="10">
        <f t="shared" ca="1" si="451"/>
        <v>190</v>
      </c>
      <c r="R526" s="10">
        <f t="shared" ca="1" si="452"/>
        <v>174</v>
      </c>
      <c r="S526" s="4">
        <f t="shared" ca="1" si="453"/>
        <v>0.91578947368421049</v>
      </c>
      <c r="T526" s="478"/>
    </row>
    <row r="527" spans="1:20" x14ac:dyDescent="0.45">
      <c r="A527" s="64">
        <v>41487</v>
      </c>
      <c r="B527" s="14">
        <v>0</v>
      </c>
      <c r="C527" s="10">
        <v>0</v>
      </c>
      <c r="D527" s="1" t="s">
        <v>3</v>
      </c>
      <c r="E527" s="10">
        <v>179</v>
      </c>
      <c r="F527" s="10">
        <v>170</v>
      </c>
      <c r="G527" s="2">
        <v>0.94972067039106145</v>
      </c>
      <c r="H527" s="10">
        <f>COUNTIFS(发射纪录!C:C,"&lt;&gt;-",发射纪录!G:G,"&gt;="&amp;DATE(YEAR(A527),MONTH(A527),1),发射纪录!G:G,"&lt;="&amp;DATE(YEAR(A527),MONTH(A527),DAY(EOMONTH(A527,0))),发射纪录!N:N,"&lt;&gt;")</f>
        <v>0</v>
      </c>
      <c r="I527" s="10">
        <f>COUNTIFS(发射纪录!C:C,"&lt;&gt;-",发射纪录!G:G,"&gt;="&amp;DATE(YEAR(A527),MONTH(A527),1),发射纪录!G:G,"&lt;="&amp;DATE(YEAR(A527),MONTH(A527),DAY(EOMONTH(A527,0))),发射纪录!N:N,"=成功",发射纪录!N:N,"&lt;&gt;")</f>
        <v>0</v>
      </c>
      <c r="J527" s="1" t="str">
        <f t="shared" si="444"/>
        <v>-</v>
      </c>
      <c r="K527" s="10">
        <f t="shared" ca="1" si="445"/>
        <v>11</v>
      </c>
      <c r="L527" s="10">
        <f t="shared" ca="1" si="446"/>
        <v>4</v>
      </c>
      <c r="M527" s="2">
        <f t="shared" ca="1" si="447"/>
        <v>0.36363636363636365</v>
      </c>
      <c r="N527" s="10">
        <f t="shared" si="448"/>
        <v>0</v>
      </c>
      <c r="O527" s="10">
        <f t="shared" si="449"/>
        <v>0</v>
      </c>
      <c r="P527" s="3" t="str">
        <f t="shared" si="450"/>
        <v>-</v>
      </c>
      <c r="Q527" s="10">
        <f t="shared" ca="1" si="451"/>
        <v>190</v>
      </c>
      <c r="R527" s="10">
        <f t="shared" ca="1" si="452"/>
        <v>174</v>
      </c>
      <c r="S527" s="4">
        <f t="shared" ca="1" si="453"/>
        <v>0.91578947368421049</v>
      </c>
      <c r="T527" s="478"/>
    </row>
    <row r="528" spans="1:20" x14ac:dyDescent="0.45">
      <c r="A528" s="64">
        <v>41518</v>
      </c>
      <c r="B528" s="14">
        <v>2</v>
      </c>
      <c r="C528" s="10">
        <v>2</v>
      </c>
      <c r="D528" s="1">
        <v>1</v>
      </c>
      <c r="E528" s="10">
        <v>181</v>
      </c>
      <c r="F528" s="10">
        <v>172</v>
      </c>
      <c r="G528" s="2">
        <v>0.95027624309392267</v>
      </c>
      <c r="H528" s="10">
        <f>COUNTIFS(发射纪录!C:C,"&lt;&gt;-",发射纪录!G:G,"&gt;="&amp;DATE(YEAR(A528),MONTH(A528),1),发射纪录!G:G,"&lt;="&amp;DATE(YEAR(A528),MONTH(A528),DAY(EOMONTH(A528,0))),发射纪录!N:N,"&lt;&gt;")</f>
        <v>1</v>
      </c>
      <c r="I528" s="10">
        <f>COUNTIFS(发射纪录!C:C,"&lt;&gt;-",发射纪录!G:G,"&gt;="&amp;DATE(YEAR(A528),MONTH(A528),1),发射纪录!G:G,"&lt;="&amp;DATE(YEAR(A528),MONTH(A528),DAY(EOMONTH(A528,0))),发射纪录!N:N,"=成功",发射纪录!N:N,"&lt;&gt;")</f>
        <v>1</v>
      </c>
      <c r="J528" s="1">
        <f t="shared" si="444"/>
        <v>1</v>
      </c>
      <c r="K528" s="10">
        <f t="shared" ca="1" si="445"/>
        <v>12</v>
      </c>
      <c r="L528" s="10">
        <f t="shared" ca="1" si="446"/>
        <v>5</v>
      </c>
      <c r="M528" s="2">
        <f t="shared" ca="1" si="447"/>
        <v>0.41666666666666669</v>
      </c>
      <c r="N528" s="10">
        <f t="shared" si="448"/>
        <v>3</v>
      </c>
      <c r="O528" s="10">
        <f t="shared" si="449"/>
        <v>3</v>
      </c>
      <c r="P528" s="3">
        <f t="shared" si="450"/>
        <v>1</v>
      </c>
      <c r="Q528" s="10">
        <f t="shared" ca="1" si="451"/>
        <v>193</v>
      </c>
      <c r="R528" s="10">
        <f t="shared" ca="1" si="452"/>
        <v>177</v>
      </c>
      <c r="S528" s="4">
        <f t="shared" ca="1" si="453"/>
        <v>0.91709844559585496</v>
      </c>
      <c r="T528" s="478"/>
    </row>
    <row r="529" spans="1:20" x14ac:dyDescent="0.45">
      <c r="A529" s="64">
        <v>41548</v>
      </c>
      <c r="B529" s="14">
        <v>2</v>
      </c>
      <c r="C529" s="10">
        <v>2</v>
      </c>
      <c r="D529" s="1">
        <v>1</v>
      </c>
      <c r="E529" s="10">
        <v>183</v>
      </c>
      <c r="F529" s="10">
        <v>174</v>
      </c>
      <c r="G529" s="2">
        <v>0.95081967213114749</v>
      </c>
      <c r="H529" s="10">
        <f>COUNTIFS(发射纪录!C:C,"&lt;&gt;-",发射纪录!G:G,"&gt;="&amp;DATE(YEAR(A529),MONTH(A529),1),发射纪录!G:G,"&lt;="&amp;DATE(YEAR(A529),MONTH(A529),DAY(EOMONTH(A529,0))),发射纪录!N:N,"&lt;&gt;")</f>
        <v>0</v>
      </c>
      <c r="I529" s="10">
        <f>COUNTIFS(发射纪录!C:C,"&lt;&gt;-",发射纪录!G:G,"&gt;="&amp;DATE(YEAR(A529),MONTH(A529),1),发射纪录!G:G,"&lt;="&amp;DATE(YEAR(A529),MONTH(A529),DAY(EOMONTH(A529,0))),发射纪录!N:N,"=成功",发射纪录!N:N,"&lt;&gt;")</f>
        <v>0</v>
      </c>
      <c r="J529" s="1" t="str">
        <f t="shared" si="444"/>
        <v>-</v>
      </c>
      <c r="K529" s="10">
        <f t="shared" ca="1" si="445"/>
        <v>12</v>
      </c>
      <c r="L529" s="10">
        <f t="shared" ca="1" si="446"/>
        <v>5</v>
      </c>
      <c r="M529" s="2">
        <f t="shared" ca="1" si="447"/>
        <v>0.41666666666666669</v>
      </c>
      <c r="N529" s="10">
        <f t="shared" si="448"/>
        <v>2</v>
      </c>
      <c r="O529" s="10">
        <f t="shared" si="449"/>
        <v>2</v>
      </c>
      <c r="P529" s="3">
        <f t="shared" si="450"/>
        <v>1</v>
      </c>
      <c r="Q529" s="10">
        <f t="shared" ca="1" si="451"/>
        <v>195</v>
      </c>
      <c r="R529" s="10">
        <f t="shared" ca="1" si="452"/>
        <v>179</v>
      </c>
      <c r="S529" s="4">
        <f t="shared" ca="1" si="453"/>
        <v>0.91794871794871791</v>
      </c>
      <c r="T529" s="478"/>
    </row>
    <row r="530" spans="1:20" x14ac:dyDescent="0.45">
      <c r="A530" s="64">
        <v>41579</v>
      </c>
      <c r="B530" s="14">
        <v>2</v>
      </c>
      <c r="C530" s="10">
        <v>2</v>
      </c>
      <c r="D530" s="1">
        <v>1</v>
      </c>
      <c r="E530" s="10">
        <v>185</v>
      </c>
      <c r="F530" s="10">
        <v>176</v>
      </c>
      <c r="G530" s="2">
        <v>0.9513513513513514</v>
      </c>
      <c r="H530" s="10">
        <f>COUNTIFS(发射纪录!C:C,"&lt;&gt;-",发射纪录!G:G,"&gt;="&amp;DATE(YEAR(A530),MONTH(A530),1),发射纪录!G:G,"&lt;="&amp;DATE(YEAR(A530),MONTH(A530),DAY(EOMONTH(A530,0))),发射纪录!N:N,"&lt;&gt;")</f>
        <v>0</v>
      </c>
      <c r="I530" s="10">
        <f>COUNTIFS(发射纪录!C:C,"&lt;&gt;-",发射纪录!G:G,"&gt;="&amp;DATE(YEAR(A530),MONTH(A530),1),发射纪录!G:G,"&lt;="&amp;DATE(YEAR(A530),MONTH(A530),DAY(EOMONTH(A530,0))),发射纪录!N:N,"=成功",发射纪录!N:N,"&lt;&gt;")</f>
        <v>0</v>
      </c>
      <c r="J530" s="1" t="str">
        <f t="shared" si="444"/>
        <v>-</v>
      </c>
      <c r="K530" s="10">
        <f t="shared" ca="1" si="445"/>
        <v>12</v>
      </c>
      <c r="L530" s="10">
        <f t="shared" ca="1" si="446"/>
        <v>5</v>
      </c>
      <c r="M530" s="2">
        <f t="shared" ca="1" si="447"/>
        <v>0.41666666666666669</v>
      </c>
      <c r="N530" s="10">
        <f t="shared" si="448"/>
        <v>2</v>
      </c>
      <c r="O530" s="10">
        <f t="shared" si="449"/>
        <v>2</v>
      </c>
      <c r="P530" s="3">
        <f t="shared" si="450"/>
        <v>1</v>
      </c>
      <c r="Q530" s="10">
        <f t="shared" ca="1" si="451"/>
        <v>197</v>
      </c>
      <c r="R530" s="10">
        <f t="shared" ca="1" si="452"/>
        <v>181</v>
      </c>
      <c r="S530" s="4">
        <f t="shared" ca="1" si="453"/>
        <v>0.91878172588832485</v>
      </c>
      <c r="T530" s="478"/>
    </row>
    <row r="531" spans="1:20" ht="19.5" customHeight="1" thickBot="1" x14ac:dyDescent="0.5">
      <c r="A531" s="65">
        <v>41609</v>
      </c>
      <c r="B531" s="17">
        <v>3</v>
      </c>
      <c r="C531" s="18">
        <v>2</v>
      </c>
      <c r="D531" s="12">
        <v>0.66666666666666663</v>
      </c>
      <c r="E531" s="18">
        <v>188</v>
      </c>
      <c r="F531" s="18">
        <v>178</v>
      </c>
      <c r="G531" s="13">
        <v>0.94680851063829785</v>
      </c>
      <c r="H531" s="18">
        <f>COUNTIFS(发射纪录!C:C,"&lt;&gt;-",发射纪录!G:G,"&gt;="&amp;DATE(YEAR(A531),MONTH(A531),1),发射纪录!G:G,"&lt;="&amp;DATE(YEAR(A531),MONTH(A531),DAY(EOMONTH(A531,0))),发射纪录!N:N,"&lt;&gt;")</f>
        <v>0</v>
      </c>
      <c r="I531" s="18">
        <f>COUNTIFS(发射纪录!C:C,"&lt;&gt;-",发射纪录!G:G,"&gt;="&amp;DATE(YEAR(A531),MONTH(A531),1),发射纪录!G:G,"&lt;="&amp;DATE(YEAR(A531),MONTH(A531),DAY(EOMONTH(A531,0))),发射纪录!N:N,"=成功",发射纪录!N:N,"&lt;&gt;")</f>
        <v>0</v>
      </c>
      <c r="J531" s="12" t="str">
        <f>IF(H531=0,"-",I531/H531)</f>
        <v>-</v>
      </c>
      <c r="K531" s="18">
        <f ca="1">K530+H531</f>
        <v>12</v>
      </c>
      <c r="L531" s="18">
        <f ca="1">L530+I531</f>
        <v>5</v>
      </c>
      <c r="M531" s="13">
        <f ca="1">IF(K531=0,"-",L531/K531)</f>
        <v>0.41666666666666669</v>
      </c>
      <c r="N531" s="18">
        <f>B531+H531</f>
        <v>3</v>
      </c>
      <c r="O531" s="18">
        <f>C531+I531</f>
        <v>2</v>
      </c>
      <c r="P531" s="12">
        <f>IF(N531=0,"-",O531/N531)</f>
        <v>0.66666666666666663</v>
      </c>
      <c r="Q531" s="18">
        <f ca="1">E531+K531</f>
        <v>200</v>
      </c>
      <c r="R531" s="18">
        <f ca="1">F531+L531</f>
        <v>183</v>
      </c>
      <c r="S531" s="13">
        <f ca="1">IF(Q531=0,"-",R531/Q531)</f>
        <v>0.91500000000000004</v>
      </c>
      <c r="T531" s="478"/>
    </row>
    <row r="532" spans="1:20" ht="19.5" customHeight="1" thickTop="1" x14ac:dyDescent="0.45">
      <c r="A532" s="63">
        <v>41640</v>
      </c>
      <c r="B532" s="14">
        <v>0</v>
      </c>
      <c r="C532" s="10">
        <v>0</v>
      </c>
      <c r="D532" s="3" t="s">
        <v>3</v>
      </c>
      <c r="E532" s="10">
        <v>188</v>
      </c>
      <c r="F532" s="10">
        <v>178</v>
      </c>
      <c r="G532" s="4">
        <v>0.94680851063829785</v>
      </c>
      <c r="H532" s="10">
        <f>COUNTIFS(发射纪录!C:C,"&lt;&gt;-",发射纪录!G:G,"&gt;="&amp;DATE(YEAR(A532),MONTH(A532),1),发射纪录!G:G,"&lt;="&amp;DATE(YEAR(A532),MONTH(A532),DAY(EOMONTH(A532,0))),发射纪录!N:N,"&lt;&gt;")</f>
        <v>0</v>
      </c>
      <c r="I532" s="10">
        <f>COUNTIFS(发射纪录!C:C,"&lt;&gt;-",发射纪录!G:G,"&gt;="&amp;DATE(YEAR(A532),MONTH(A532),1),发射纪录!G:G,"&lt;="&amp;DATE(YEAR(A532),MONTH(A532),DAY(EOMONTH(A532,0))),发射纪录!N:N,"=成功",发射纪录!N:N,"&lt;&gt;")</f>
        <v>0</v>
      </c>
      <c r="J532" s="3" t="str">
        <f t="shared" ref="J532:J542" si="454">IF(H532=0,"-",I532/H532)</f>
        <v>-</v>
      </c>
      <c r="K532" s="10">
        <f t="shared" ref="K532:K542" ca="1" si="455">K531+H532</f>
        <v>12</v>
      </c>
      <c r="L532" s="10">
        <f t="shared" ref="L532:L542" ca="1" si="456">L531+I532</f>
        <v>5</v>
      </c>
      <c r="M532" s="4">
        <f t="shared" ref="M532:M542" ca="1" si="457">IF(K532=0,"-",L532/K532)</f>
        <v>0.41666666666666669</v>
      </c>
      <c r="N532" s="10">
        <f t="shared" ref="N532:N542" si="458">B532+H532</f>
        <v>0</v>
      </c>
      <c r="O532" s="10">
        <f t="shared" ref="O532:O542" si="459">C532+I532</f>
        <v>0</v>
      </c>
      <c r="P532" s="3" t="str">
        <f t="shared" ref="P532:P542" si="460">IF(N532=0,"-",O532/N532)</f>
        <v>-</v>
      </c>
      <c r="Q532" s="10">
        <f t="shared" ref="Q532:Q542" ca="1" si="461">E532+K532</f>
        <v>200</v>
      </c>
      <c r="R532" s="10">
        <f t="shared" ref="R532:R583" ca="1" si="462">F532+L532</f>
        <v>183</v>
      </c>
      <c r="S532" s="4">
        <f t="shared" ref="S532:S542" ca="1" si="463">IF(Q532=0,"-",R532/Q532)</f>
        <v>0.91500000000000004</v>
      </c>
      <c r="T532" s="478"/>
    </row>
    <row r="533" spans="1:20" x14ac:dyDescent="0.45">
      <c r="A533" s="64">
        <v>41671</v>
      </c>
      <c r="B533" s="14">
        <v>0</v>
      </c>
      <c r="C533" s="10">
        <v>0</v>
      </c>
      <c r="D533" s="1" t="s">
        <v>3</v>
      </c>
      <c r="E533" s="10">
        <v>188</v>
      </c>
      <c r="F533" s="10">
        <v>178</v>
      </c>
      <c r="G533" s="2">
        <v>0.94680851063829785</v>
      </c>
      <c r="H533" s="10">
        <f>COUNTIFS(发射纪录!C:C,"&lt;&gt;-",发射纪录!G:G,"&gt;="&amp;DATE(YEAR(A533),MONTH(A533),1),发射纪录!G:G,"&lt;="&amp;DATE(YEAR(A533),MONTH(A533),DAY(EOMONTH(A533,0))),发射纪录!N:N,"&lt;&gt;")</f>
        <v>0</v>
      </c>
      <c r="I533" s="10">
        <f>COUNTIFS(发射纪录!C:C,"&lt;&gt;-",发射纪录!G:G,"&gt;="&amp;DATE(YEAR(A533),MONTH(A533),1),发射纪录!G:G,"&lt;="&amp;DATE(YEAR(A533),MONTH(A533),DAY(EOMONTH(A533,0))),发射纪录!N:N,"=成功",发射纪录!N:N,"&lt;&gt;")</f>
        <v>0</v>
      </c>
      <c r="J533" s="1" t="str">
        <f t="shared" si="454"/>
        <v>-</v>
      </c>
      <c r="K533" s="10">
        <f t="shared" ca="1" si="455"/>
        <v>12</v>
      </c>
      <c r="L533" s="10">
        <f t="shared" ca="1" si="456"/>
        <v>5</v>
      </c>
      <c r="M533" s="2">
        <f t="shared" ca="1" si="457"/>
        <v>0.41666666666666669</v>
      </c>
      <c r="N533" s="10">
        <f t="shared" si="458"/>
        <v>0</v>
      </c>
      <c r="O533" s="10">
        <f t="shared" si="459"/>
        <v>0</v>
      </c>
      <c r="P533" s="3" t="str">
        <f t="shared" si="460"/>
        <v>-</v>
      </c>
      <c r="Q533" s="10">
        <f t="shared" ca="1" si="461"/>
        <v>200</v>
      </c>
      <c r="R533" s="10">
        <f t="shared" ca="1" si="462"/>
        <v>183</v>
      </c>
      <c r="S533" s="4">
        <f t="shared" ca="1" si="463"/>
        <v>0.91500000000000004</v>
      </c>
      <c r="T533" s="478"/>
    </row>
    <row r="534" spans="1:20" x14ac:dyDescent="0.45">
      <c r="A534" s="64">
        <v>41699</v>
      </c>
      <c r="B534" s="14">
        <v>1</v>
      </c>
      <c r="C534" s="10">
        <v>1</v>
      </c>
      <c r="D534" s="1">
        <v>1</v>
      </c>
      <c r="E534" s="10">
        <v>189</v>
      </c>
      <c r="F534" s="10">
        <v>179</v>
      </c>
      <c r="G534" s="2">
        <v>0.94708994708994709</v>
      </c>
      <c r="H534" s="10">
        <f>COUNTIFS(发射纪录!C:C,"&lt;&gt;-",发射纪录!G:G,"&gt;="&amp;DATE(YEAR(A534),MONTH(A534),1),发射纪录!G:G,"&lt;="&amp;DATE(YEAR(A534),MONTH(A534),DAY(EOMONTH(A534,0))),发射纪录!N:N,"&lt;&gt;")</f>
        <v>0</v>
      </c>
      <c r="I534" s="10">
        <f>COUNTIFS(发射纪录!C:C,"&lt;&gt;-",发射纪录!G:G,"&gt;="&amp;DATE(YEAR(A534),MONTH(A534),1),发射纪录!G:G,"&lt;="&amp;DATE(YEAR(A534),MONTH(A534),DAY(EOMONTH(A534,0))),发射纪录!N:N,"=成功",发射纪录!N:N,"&lt;&gt;")</f>
        <v>0</v>
      </c>
      <c r="J534" s="1" t="str">
        <f t="shared" si="454"/>
        <v>-</v>
      </c>
      <c r="K534" s="10">
        <f t="shared" ca="1" si="455"/>
        <v>12</v>
      </c>
      <c r="L534" s="10">
        <f t="shared" ca="1" si="456"/>
        <v>5</v>
      </c>
      <c r="M534" s="2">
        <f t="shared" ca="1" si="457"/>
        <v>0.41666666666666669</v>
      </c>
      <c r="N534" s="10">
        <f t="shared" si="458"/>
        <v>1</v>
      </c>
      <c r="O534" s="10">
        <f t="shared" si="459"/>
        <v>1</v>
      </c>
      <c r="P534" s="3">
        <f t="shared" si="460"/>
        <v>1</v>
      </c>
      <c r="Q534" s="10">
        <f t="shared" ca="1" si="461"/>
        <v>201</v>
      </c>
      <c r="R534" s="10">
        <f t="shared" ca="1" si="462"/>
        <v>184</v>
      </c>
      <c r="S534" s="4">
        <f t="shared" ca="1" si="463"/>
        <v>0.91542288557213936</v>
      </c>
      <c r="T534" s="478"/>
    </row>
    <row r="535" spans="1:20" x14ac:dyDescent="0.45">
      <c r="A535" s="64">
        <v>41730</v>
      </c>
      <c r="B535" s="14">
        <v>0</v>
      </c>
      <c r="C535" s="10">
        <v>0</v>
      </c>
      <c r="D535" s="1" t="s">
        <v>3</v>
      </c>
      <c r="E535" s="10">
        <v>189</v>
      </c>
      <c r="F535" s="10">
        <v>179</v>
      </c>
      <c r="G535" s="2">
        <v>0.94708994708994709</v>
      </c>
      <c r="H535" s="10">
        <f>COUNTIFS(发射纪录!C:C,"&lt;&gt;-",发射纪录!G:G,"&gt;="&amp;DATE(YEAR(A535),MONTH(A535),1),发射纪录!G:G,"&lt;="&amp;DATE(YEAR(A535),MONTH(A535),DAY(EOMONTH(A535,0))),发射纪录!N:N,"&lt;&gt;")</f>
        <v>0</v>
      </c>
      <c r="I535" s="10">
        <f>COUNTIFS(发射纪录!C:C,"&lt;&gt;-",发射纪录!G:G,"&gt;="&amp;DATE(YEAR(A535),MONTH(A535),1),发射纪录!G:G,"&lt;="&amp;DATE(YEAR(A535),MONTH(A535),DAY(EOMONTH(A535,0))),发射纪录!N:N,"=成功",发射纪录!N:N,"&lt;&gt;")</f>
        <v>0</v>
      </c>
      <c r="J535" s="1" t="str">
        <f t="shared" si="454"/>
        <v>-</v>
      </c>
      <c r="K535" s="10">
        <f t="shared" ca="1" si="455"/>
        <v>12</v>
      </c>
      <c r="L535" s="10">
        <f t="shared" ca="1" si="456"/>
        <v>5</v>
      </c>
      <c r="M535" s="2">
        <f t="shared" ca="1" si="457"/>
        <v>0.41666666666666669</v>
      </c>
      <c r="N535" s="10">
        <f t="shared" si="458"/>
        <v>0</v>
      </c>
      <c r="O535" s="10">
        <f t="shared" si="459"/>
        <v>0</v>
      </c>
      <c r="P535" s="3" t="str">
        <f t="shared" si="460"/>
        <v>-</v>
      </c>
      <c r="Q535" s="10">
        <f t="shared" ca="1" si="461"/>
        <v>201</v>
      </c>
      <c r="R535" s="10">
        <f t="shared" ca="1" si="462"/>
        <v>184</v>
      </c>
      <c r="S535" s="4">
        <f t="shared" ca="1" si="463"/>
        <v>0.91542288557213936</v>
      </c>
      <c r="T535" s="478"/>
    </row>
    <row r="536" spans="1:20" x14ac:dyDescent="0.45">
      <c r="A536" s="64">
        <v>41760</v>
      </c>
      <c r="B536" s="14">
        <v>0</v>
      </c>
      <c r="C536" s="10">
        <v>0</v>
      </c>
      <c r="D536" s="1" t="s">
        <v>3</v>
      </c>
      <c r="E536" s="10">
        <v>189</v>
      </c>
      <c r="F536" s="10">
        <v>179</v>
      </c>
      <c r="G536" s="2">
        <v>0.94708994708994709</v>
      </c>
      <c r="H536" s="10">
        <f>COUNTIFS(发射纪录!C:C,"&lt;&gt;-",发射纪录!G:G,"&gt;="&amp;DATE(YEAR(A536),MONTH(A536),1),发射纪录!G:G,"&lt;="&amp;DATE(YEAR(A536),MONTH(A536),DAY(EOMONTH(A536,0))),发射纪录!N:N,"&lt;&gt;")</f>
        <v>0</v>
      </c>
      <c r="I536" s="10">
        <f>COUNTIFS(发射纪录!C:C,"&lt;&gt;-",发射纪录!G:G,"&gt;="&amp;DATE(YEAR(A536),MONTH(A536),1),发射纪录!G:G,"&lt;="&amp;DATE(YEAR(A536),MONTH(A536),DAY(EOMONTH(A536,0))),发射纪录!N:N,"=成功",发射纪录!N:N,"&lt;&gt;")</f>
        <v>0</v>
      </c>
      <c r="J536" s="1" t="str">
        <f t="shared" si="454"/>
        <v>-</v>
      </c>
      <c r="K536" s="10">
        <f t="shared" ca="1" si="455"/>
        <v>12</v>
      </c>
      <c r="L536" s="10">
        <f t="shared" ca="1" si="456"/>
        <v>5</v>
      </c>
      <c r="M536" s="2">
        <f t="shared" ca="1" si="457"/>
        <v>0.41666666666666669</v>
      </c>
      <c r="N536" s="10">
        <f t="shared" si="458"/>
        <v>0</v>
      </c>
      <c r="O536" s="10">
        <f t="shared" si="459"/>
        <v>0</v>
      </c>
      <c r="P536" s="3" t="str">
        <f t="shared" si="460"/>
        <v>-</v>
      </c>
      <c r="Q536" s="10">
        <f t="shared" ca="1" si="461"/>
        <v>201</v>
      </c>
      <c r="R536" s="10">
        <f t="shared" ca="1" si="462"/>
        <v>184</v>
      </c>
      <c r="S536" s="4">
        <f t="shared" ca="1" si="463"/>
        <v>0.91542288557213936</v>
      </c>
      <c r="T536" s="478"/>
    </row>
    <row r="537" spans="1:20" x14ac:dyDescent="0.45">
      <c r="A537" s="64">
        <v>41791</v>
      </c>
      <c r="B537" s="14">
        <v>0</v>
      </c>
      <c r="C537" s="10">
        <v>0</v>
      </c>
      <c r="D537" s="1" t="s">
        <v>3</v>
      </c>
      <c r="E537" s="10">
        <v>189</v>
      </c>
      <c r="F537" s="10">
        <v>179</v>
      </c>
      <c r="G537" s="2">
        <v>0.94708994708994709</v>
      </c>
      <c r="H537" s="10">
        <f>COUNTIFS(发射纪录!C:C,"&lt;&gt;-",发射纪录!G:G,"&gt;="&amp;DATE(YEAR(A537),MONTH(A537),1),发射纪录!G:G,"&lt;="&amp;DATE(YEAR(A537),MONTH(A537),DAY(EOMONTH(A537,0))),发射纪录!N:N,"&lt;&gt;")</f>
        <v>0</v>
      </c>
      <c r="I537" s="10">
        <f>COUNTIFS(发射纪录!C:C,"&lt;&gt;-",发射纪录!G:G,"&gt;="&amp;DATE(YEAR(A537),MONTH(A537),1),发射纪录!G:G,"&lt;="&amp;DATE(YEAR(A537),MONTH(A537),DAY(EOMONTH(A537,0))),发射纪录!N:N,"=成功",发射纪录!N:N,"&lt;&gt;")</f>
        <v>0</v>
      </c>
      <c r="J537" s="1" t="str">
        <f t="shared" si="454"/>
        <v>-</v>
      </c>
      <c r="K537" s="10">
        <f t="shared" ca="1" si="455"/>
        <v>12</v>
      </c>
      <c r="L537" s="10">
        <f t="shared" ca="1" si="456"/>
        <v>5</v>
      </c>
      <c r="M537" s="2">
        <f t="shared" ca="1" si="457"/>
        <v>0.41666666666666669</v>
      </c>
      <c r="N537" s="10">
        <f t="shared" si="458"/>
        <v>0</v>
      </c>
      <c r="O537" s="10">
        <f t="shared" si="459"/>
        <v>0</v>
      </c>
      <c r="P537" s="3" t="str">
        <f t="shared" si="460"/>
        <v>-</v>
      </c>
      <c r="Q537" s="10">
        <f t="shared" ca="1" si="461"/>
        <v>201</v>
      </c>
      <c r="R537" s="10">
        <f t="shared" ca="1" si="462"/>
        <v>184</v>
      </c>
      <c r="S537" s="4">
        <f t="shared" ca="1" si="463"/>
        <v>0.91542288557213936</v>
      </c>
      <c r="T537" s="478"/>
    </row>
    <row r="538" spans="1:20" x14ac:dyDescent="0.45">
      <c r="A538" s="64">
        <v>41821</v>
      </c>
      <c r="B538" s="14">
        <v>0</v>
      </c>
      <c r="C538" s="10">
        <v>0</v>
      </c>
      <c r="D538" s="1" t="s">
        <v>3</v>
      </c>
      <c r="E538" s="10">
        <v>189</v>
      </c>
      <c r="F538" s="10">
        <v>179</v>
      </c>
      <c r="G538" s="2">
        <v>0.94708994708994709</v>
      </c>
      <c r="H538" s="10">
        <f>COUNTIFS(发射纪录!C:C,"&lt;&gt;-",发射纪录!G:G,"&gt;="&amp;DATE(YEAR(A538),MONTH(A538),1),发射纪录!G:G,"&lt;="&amp;DATE(YEAR(A538),MONTH(A538),DAY(EOMONTH(A538,0))),发射纪录!N:N,"&lt;&gt;")</f>
        <v>0</v>
      </c>
      <c r="I538" s="10">
        <f>COUNTIFS(发射纪录!C:C,"&lt;&gt;-",发射纪录!G:G,"&gt;="&amp;DATE(YEAR(A538),MONTH(A538),1),发射纪录!G:G,"&lt;="&amp;DATE(YEAR(A538),MONTH(A538),DAY(EOMONTH(A538,0))),发射纪录!N:N,"=成功",发射纪录!N:N,"&lt;&gt;")</f>
        <v>0</v>
      </c>
      <c r="J538" s="1" t="str">
        <f t="shared" si="454"/>
        <v>-</v>
      </c>
      <c r="K538" s="10">
        <f t="shared" ca="1" si="455"/>
        <v>12</v>
      </c>
      <c r="L538" s="10">
        <f t="shared" ca="1" si="456"/>
        <v>5</v>
      </c>
      <c r="M538" s="2">
        <f t="shared" ca="1" si="457"/>
        <v>0.41666666666666669</v>
      </c>
      <c r="N538" s="10">
        <f t="shared" si="458"/>
        <v>0</v>
      </c>
      <c r="O538" s="10">
        <f t="shared" si="459"/>
        <v>0</v>
      </c>
      <c r="P538" s="3" t="str">
        <f t="shared" si="460"/>
        <v>-</v>
      </c>
      <c r="Q538" s="10">
        <f t="shared" ca="1" si="461"/>
        <v>201</v>
      </c>
      <c r="R538" s="10">
        <f t="shared" ca="1" si="462"/>
        <v>184</v>
      </c>
      <c r="S538" s="4">
        <f t="shared" ca="1" si="463"/>
        <v>0.91542288557213936</v>
      </c>
      <c r="T538" s="478"/>
    </row>
    <row r="539" spans="1:20" x14ac:dyDescent="0.45">
      <c r="A539" s="64">
        <v>41852</v>
      </c>
      <c r="B539" s="14">
        <v>2</v>
      </c>
      <c r="C539" s="10">
        <v>2</v>
      </c>
      <c r="D539" s="1">
        <v>1</v>
      </c>
      <c r="E539" s="10">
        <v>191</v>
      </c>
      <c r="F539" s="10">
        <v>181</v>
      </c>
      <c r="G539" s="2">
        <v>0.94764397905759157</v>
      </c>
      <c r="H539" s="10">
        <f>COUNTIFS(发射纪录!C:C,"&lt;&gt;-",发射纪录!G:G,"&gt;="&amp;DATE(YEAR(A539),MONTH(A539),1),发射纪录!G:G,"&lt;="&amp;DATE(YEAR(A539),MONTH(A539),DAY(EOMONTH(A539,0))),发射纪录!N:N,"&lt;&gt;")</f>
        <v>0</v>
      </c>
      <c r="I539" s="10">
        <f>COUNTIFS(发射纪录!C:C,"&lt;&gt;-",发射纪录!G:G,"&gt;="&amp;DATE(YEAR(A539),MONTH(A539),1),发射纪录!G:G,"&lt;="&amp;DATE(YEAR(A539),MONTH(A539),DAY(EOMONTH(A539,0))),发射纪录!N:N,"=成功",发射纪录!N:N,"&lt;&gt;")</f>
        <v>0</v>
      </c>
      <c r="J539" s="1" t="str">
        <f t="shared" si="454"/>
        <v>-</v>
      </c>
      <c r="K539" s="10">
        <f t="shared" ca="1" si="455"/>
        <v>12</v>
      </c>
      <c r="L539" s="10">
        <f t="shared" ca="1" si="456"/>
        <v>5</v>
      </c>
      <c r="M539" s="2">
        <f t="shared" ca="1" si="457"/>
        <v>0.41666666666666669</v>
      </c>
      <c r="N539" s="10">
        <f t="shared" si="458"/>
        <v>2</v>
      </c>
      <c r="O539" s="10">
        <f t="shared" si="459"/>
        <v>2</v>
      </c>
      <c r="P539" s="3">
        <f t="shared" si="460"/>
        <v>1</v>
      </c>
      <c r="Q539" s="10">
        <f t="shared" ca="1" si="461"/>
        <v>203</v>
      </c>
      <c r="R539" s="10">
        <f t="shared" ca="1" si="462"/>
        <v>186</v>
      </c>
      <c r="S539" s="4">
        <f t="shared" ca="1" si="463"/>
        <v>0.91625615763546797</v>
      </c>
      <c r="T539" s="478"/>
    </row>
    <row r="540" spans="1:20" x14ac:dyDescent="0.45">
      <c r="A540" s="64">
        <v>41883</v>
      </c>
      <c r="B540" s="14">
        <v>3</v>
      </c>
      <c r="C540" s="10">
        <v>3</v>
      </c>
      <c r="D540" s="1">
        <v>1</v>
      </c>
      <c r="E540" s="10">
        <v>194</v>
      </c>
      <c r="F540" s="10">
        <v>184</v>
      </c>
      <c r="G540" s="2">
        <v>0.94845360824742264</v>
      </c>
      <c r="H540" s="10">
        <f>COUNTIFS(发射纪录!C:C,"&lt;&gt;-",发射纪录!G:G,"&gt;="&amp;DATE(YEAR(A540),MONTH(A540),1),发射纪录!G:G,"&lt;="&amp;DATE(YEAR(A540),MONTH(A540),DAY(EOMONTH(A540,0))),发射纪录!N:N,"&lt;&gt;")</f>
        <v>0</v>
      </c>
      <c r="I540" s="10">
        <f>COUNTIFS(发射纪录!C:C,"&lt;&gt;-",发射纪录!G:G,"&gt;="&amp;DATE(YEAR(A540),MONTH(A540),1),发射纪录!G:G,"&lt;="&amp;DATE(YEAR(A540),MONTH(A540),DAY(EOMONTH(A540,0))),发射纪录!N:N,"=成功",发射纪录!N:N,"&lt;&gt;")</f>
        <v>0</v>
      </c>
      <c r="J540" s="1" t="str">
        <f t="shared" si="454"/>
        <v>-</v>
      </c>
      <c r="K540" s="10">
        <f t="shared" ca="1" si="455"/>
        <v>12</v>
      </c>
      <c r="L540" s="10">
        <f t="shared" ca="1" si="456"/>
        <v>5</v>
      </c>
      <c r="M540" s="2">
        <f t="shared" ca="1" si="457"/>
        <v>0.41666666666666669</v>
      </c>
      <c r="N540" s="10">
        <f t="shared" si="458"/>
        <v>3</v>
      </c>
      <c r="O540" s="10">
        <f t="shared" si="459"/>
        <v>3</v>
      </c>
      <c r="P540" s="3">
        <f t="shared" si="460"/>
        <v>1</v>
      </c>
      <c r="Q540" s="10">
        <f t="shared" ca="1" si="461"/>
        <v>206</v>
      </c>
      <c r="R540" s="10">
        <f t="shared" ca="1" si="462"/>
        <v>189</v>
      </c>
      <c r="S540" s="4">
        <f t="shared" ca="1" si="463"/>
        <v>0.91747572815533984</v>
      </c>
      <c r="T540" s="478"/>
    </row>
    <row r="541" spans="1:20" x14ac:dyDescent="0.45">
      <c r="A541" s="64">
        <v>41913</v>
      </c>
      <c r="B541" s="14">
        <v>3</v>
      </c>
      <c r="C541" s="10">
        <v>3</v>
      </c>
      <c r="D541" s="1">
        <v>1</v>
      </c>
      <c r="E541" s="10">
        <v>197</v>
      </c>
      <c r="F541" s="10">
        <v>187</v>
      </c>
      <c r="G541" s="2">
        <v>0.949238578680203</v>
      </c>
      <c r="H541" s="10">
        <f>COUNTIFS(发射纪录!C:C,"&lt;&gt;-",发射纪录!G:G,"&gt;="&amp;DATE(YEAR(A541),MONTH(A541),1),发射纪录!G:G,"&lt;="&amp;DATE(YEAR(A541),MONTH(A541),DAY(EOMONTH(A541,0))),发射纪录!N:N,"&lt;&gt;")</f>
        <v>0</v>
      </c>
      <c r="I541" s="10">
        <f>COUNTIFS(发射纪录!C:C,"&lt;&gt;-",发射纪录!G:G,"&gt;="&amp;DATE(YEAR(A541),MONTH(A541),1),发射纪录!G:G,"&lt;="&amp;DATE(YEAR(A541),MONTH(A541),DAY(EOMONTH(A541,0))),发射纪录!N:N,"=成功",发射纪录!N:N,"&lt;&gt;")</f>
        <v>0</v>
      </c>
      <c r="J541" s="1" t="str">
        <f t="shared" si="454"/>
        <v>-</v>
      </c>
      <c r="K541" s="10">
        <f t="shared" ca="1" si="455"/>
        <v>12</v>
      </c>
      <c r="L541" s="10">
        <f t="shared" ca="1" si="456"/>
        <v>5</v>
      </c>
      <c r="M541" s="2">
        <f t="shared" ca="1" si="457"/>
        <v>0.41666666666666669</v>
      </c>
      <c r="N541" s="10">
        <f t="shared" si="458"/>
        <v>3</v>
      </c>
      <c r="O541" s="10">
        <f t="shared" si="459"/>
        <v>3</v>
      </c>
      <c r="P541" s="3">
        <f t="shared" si="460"/>
        <v>1</v>
      </c>
      <c r="Q541" s="10">
        <f t="shared" ca="1" si="461"/>
        <v>209</v>
      </c>
      <c r="R541" s="10">
        <f t="shared" ca="1" si="462"/>
        <v>192</v>
      </c>
      <c r="S541" s="4">
        <f t="shared" ca="1" si="463"/>
        <v>0.91866028708133973</v>
      </c>
      <c r="T541" s="478"/>
    </row>
    <row r="542" spans="1:20" x14ac:dyDescent="0.45">
      <c r="A542" s="64">
        <v>41944</v>
      </c>
      <c r="B542" s="14">
        <v>2</v>
      </c>
      <c r="C542" s="10">
        <v>2</v>
      </c>
      <c r="D542" s="1">
        <v>1</v>
      </c>
      <c r="E542" s="10">
        <v>199</v>
      </c>
      <c r="F542" s="10">
        <v>189</v>
      </c>
      <c r="G542" s="2">
        <v>0.94974874371859297</v>
      </c>
      <c r="H542" s="10">
        <f>COUNTIFS(发射纪录!C:C,"&lt;&gt;-",发射纪录!G:G,"&gt;="&amp;DATE(YEAR(A542),MONTH(A542),1),发射纪录!G:G,"&lt;="&amp;DATE(YEAR(A542),MONTH(A542),DAY(EOMONTH(A542,0))),发射纪录!N:N,"&lt;&gt;")</f>
        <v>1</v>
      </c>
      <c r="I542" s="10">
        <f>COUNTIFS(发射纪录!C:C,"&lt;&gt;-",发射纪录!G:G,"&gt;="&amp;DATE(YEAR(A542),MONTH(A542),1),发射纪录!G:G,"&lt;="&amp;DATE(YEAR(A542),MONTH(A542),DAY(EOMONTH(A542,0))),发射纪录!N:N,"=成功",发射纪录!N:N,"&lt;&gt;")</f>
        <v>1</v>
      </c>
      <c r="J542" s="1">
        <f t="shared" si="454"/>
        <v>1</v>
      </c>
      <c r="K542" s="10">
        <f t="shared" ca="1" si="455"/>
        <v>13</v>
      </c>
      <c r="L542" s="10">
        <f t="shared" ca="1" si="456"/>
        <v>6</v>
      </c>
      <c r="M542" s="2">
        <f t="shared" ca="1" si="457"/>
        <v>0.46153846153846156</v>
      </c>
      <c r="N542" s="10">
        <f t="shared" si="458"/>
        <v>3</v>
      </c>
      <c r="O542" s="10">
        <f t="shared" si="459"/>
        <v>3</v>
      </c>
      <c r="P542" s="3">
        <f t="shared" si="460"/>
        <v>1</v>
      </c>
      <c r="Q542" s="10">
        <f t="shared" ca="1" si="461"/>
        <v>212</v>
      </c>
      <c r="R542" s="10">
        <f t="shared" ca="1" si="462"/>
        <v>195</v>
      </c>
      <c r="S542" s="4">
        <f t="shared" ca="1" si="463"/>
        <v>0.91981132075471694</v>
      </c>
      <c r="T542" s="478"/>
    </row>
    <row r="543" spans="1:20" ht="19.5" customHeight="1" thickBot="1" x14ac:dyDescent="0.5">
      <c r="A543" s="65">
        <v>41974</v>
      </c>
      <c r="B543" s="17">
        <v>4</v>
      </c>
      <c r="C543" s="18">
        <v>4</v>
      </c>
      <c r="D543" s="12">
        <v>1</v>
      </c>
      <c r="E543" s="18">
        <v>203</v>
      </c>
      <c r="F543" s="18">
        <v>193</v>
      </c>
      <c r="G543" s="13">
        <v>0.95073891625615758</v>
      </c>
      <c r="H543" s="18">
        <f>COUNTIFS(发射纪录!C:C,"&lt;&gt;-",发射纪录!G:G,"&gt;="&amp;DATE(YEAR(A543),MONTH(A543),1),发射纪录!G:G,"&lt;="&amp;DATE(YEAR(A543),MONTH(A543),DAY(EOMONTH(A543,0))),发射纪录!N:N,"&lt;&gt;")</f>
        <v>0</v>
      </c>
      <c r="I543" s="18">
        <f>COUNTIFS(发射纪录!C:C,"&lt;&gt;-",发射纪录!G:G,"&gt;="&amp;DATE(YEAR(A543),MONTH(A543),1),发射纪录!G:G,"&lt;="&amp;DATE(YEAR(A543),MONTH(A543),DAY(EOMONTH(A543,0))),发射纪录!N:N,"=成功",发射纪录!N:N,"&lt;&gt;")</f>
        <v>0</v>
      </c>
      <c r="J543" s="12" t="str">
        <f>IF(H543=0,"-",I543/H543)</f>
        <v>-</v>
      </c>
      <c r="K543" s="18">
        <f ca="1">K542+H543</f>
        <v>13</v>
      </c>
      <c r="L543" s="18">
        <f ca="1">L542+I543</f>
        <v>6</v>
      </c>
      <c r="M543" s="13">
        <f ca="1">IF(K543=0,"-",L543/K543)</f>
        <v>0.46153846153846156</v>
      </c>
      <c r="N543" s="18">
        <f>B543+H543</f>
        <v>4</v>
      </c>
      <c r="O543" s="18">
        <f>C543+I543</f>
        <v>4</v>
      </c>
      <c r="P543" s="12">
        <f>IF(N543=0,"-",O543/N543)</f>
        <v>1</v>
      </c>
      <c r="Q543" s="18">
        <f ca="1">E543+K543</f>
        <v>216</v>
      </c>
      <c r="R543" s="18">
        <f ca="1">F543+L543</f>
        <v>199</v>
      </c>
      <c r="S543" s="13">
        <f ca="1">IF(Q543=0,"-",R543/Q543)</f>
        <v>0.92129629629629628</v>
      </c>
      <c r="T543" s="478"/>
    </row>
    <row r="544" spans="1:20" ht="19.5" customHeight="1" thickTop="1" x14ac:dyDescent="0.45">
      <c r="A544" s="63">
        <v>42005</v>
      </c>
      <c r="B544" s="14">
        <v>0</v>
      </c>
      <c r="C544" s="10">
        <v>0</v>
      </c>
      <c r="D544" s="3" t="s">
        <v>3</v>
      </c>
      <c r="E544" s="10">
        <v>203</v>
      </c>
      <c r="F544" s="10">
        <v>193</v>
      </c>
      <c r="G544" s="4">
        <v>0.95073891625615758</v>
      </c>
      <c r="H544" s="10">
        <f>COUNTIFS(发射纪录!C:C,"&lt;&gt;-",发射纪录!G:G,"&gt;="&amp;DATE(YEAR(A544),MONTH(A544),1),发射纪录!G:G,"&lt;="&amp;DATE(YEAR(A544),MONTH(A544),DAY(EOMONTH(A544,0))),发射纪录!N:N,"&lt;&gt;")</f>
        <v>0</v>
      </c>
      <c r="I544" s="10">
        <f>COUNTIFS(发射纪录!C:C,"&lt;&gt;-",发射纪录!G:G,"&gt;="&amp;DATE(YEAR(A544),MONTH(A544),1),发射纪录!G:G,"&lt;="&amp;DATE(YEAR(A544),MONTH(A544),DAY(EOMONTH(A544,0))),发射纪录!N:N,"=成功",发射纪录!N:N,"&lt;&gt;")</f>
        <v>0</v>
      </c>
      <c r="J544" s="3" t="str">
        <f t="shared" ref="J544:J554" si="464">IF(H544=0,"-",I544/H544)</f>
        <v>-</v>
      </c>
      <c r="K544" s="10">
        <f t="shared" ref="K544:K554" ca="1" si="465">K543+H544</f>
        <v>13</v>
      </c>
      <c r="L544" s="10">
        <f t="shared" ref="L544:L554" ca="1" si="466">L543+I544</f>
        <v>6</v>
      </c>
      <c r="M544" s="4">
        <f t="shared" ref="M544:M554" ca="1" si="467">IF(K544=0,"-",L544/K544)</f>
        <v>0.46153846153846156</v>
      </c>
      <c r="N544" s="10">
        <f t="shared" ref="N544:N554" si="468">B544+H544</f>
        <v>0</v>
      </c>
      <c r="O544" s="10">
        <f t="shared" ref="O544:O554" si="469">C544+I544</f>
        <v>0</v>
      </c>
      <c r="P544" s="3" t="str">
        <f t="shared" ref="P544:P554" si="470">IF(N544=0,"-",O544/N544)</f>
        <v>-</v>
      </c>
      <c r="Q544" s="10">
        <f t="shared" ref="Q544:Q554" ca="1" si="471">E544+K544</f>
        <v>216</v>
      </c>
      <c r="R544" s="10">
        <f t="shared" ca="1" si="462"/>
        <v>199</v>
      </c>
      <c r="S544" s="4">
        <f t="shared" ref="S544:S554" ca="1" si="472">IF(Q544=0,"-",R544/Q544)</f>
        <v>0.92129629629629628</v>
      </c>
      <c r="T544" s="478"/>
    </row>
    <row r="545" spans="1:20" x14ac:dyDescent="0.45">
      <c r="A545" s="64">
        <v>42036</v>
      </c>
      <c r="B545" s="14">
        <v>0</v>
      </c>
      <c r="C545" s="10">
        <v>0</v>
      </c>
      <c r="D545" s="1" t="s">
        <v>3</v>
      </c>
      <c r="E545" s="10">
        <v>203</v>
      </c>
      <c r="F545" s="10">
        <v>193</v>
      </c>
      <c r="G545" s="2">
        <v>0.95073891625615758</v>
      </c>
      <c r="H545" s="10">
        <f>COUNTIFS(发射纪录!C:C,"&lt;&gt;-",发射纪录!G:G,"&gt;="&amp;DATE(YEAR(A545),MONTH(A545),1),发射纪录!G:G,"&lt;="&amp;DATE(YEAR(A545),MONTH(A545),DAY(EOMONTH(A545,0))),发射纪录!N:N,"&lt;&gt;")</f>
        <v>0</v>
      </c>
      <c r="I545" s="10">
        <f>COUNTIFS(发射纪录!C:C,"&lt;&gt;-",发射纪录!G:G,"&gt;="&amp;DATE(YEAR(A545),MONTH(A545),1),发射纪录!G:G,"&lt;="&amp;DATE(YEAR(A545),MONTH(A545),DAY(EOMONTH(A545,0))),发射纪录!N:N,"=成功",发射纪录!N:N,"&lt;&gt;")</f>
        <v>0</v>
      </c>
      <c r="J545" s="1" t="str">
        <f t="shared" si="464"/>
        <v>-</v>
      </c>
      <c r="K545" s="10">
        <f t="shared" ca="1" si="465"/>
        <v>13</v>
      </c>
      <c r="L545" s="10">
        <f t="shared" ca="1" si="466"/>
        <v>6</v>
      </c>
      <c r="M545" s="2">
        <f t="shared" ca="1" si="467"/>
        <v>0.46153846153846156</v>
      </c>
      <c r="N545" s="10">
        <f t="shared" si="468"/>
        <v>0</v>
      </c>
      <c r="O545" s="10">
        <f t="shared" si="469"/>
        <v>0</v>
      </c>
      <c r="P545" s="3" t="str">
        <f t="shared" si="470"/>
        <v>-</v>
      </c>
      <c r="Q545" s="10">
        <f t="shared" ca="1" si="471"/>
        <v>216</v>
      </c>
      <c r="R545" s="10">
        <f t="shared" ca="1" si="462"/>
        <v>199</v>
      </c>
      <c r="S545" s="4">
        <f t="shared" ca="1" si="472"/>
        <v>0.92129629629629628</v>
      </c>
      <c r="T545" s="478"/>
    </row>
    <row r="546" spans="1:20" x14ac:dyDescent="0.45">
      <c r="A546" s="64">
        <v>42064</v>
      </c>
      <c r="B546" s="14">
        <v>1</v>
      </c>
      <c r="C546" s="10">
        <v>1</v>
      </c>
      <c r="D546" s="1">
        <v>1</v>
      </c>
      <c r="E546" s="10">
        <v>204</v>
      </c>
      <c r="F546" s="10">
        <v>194</v>
      </c>
      <c r="G546" s="2">
        <v>0.9509803921568627</v>
      </c>
      <c r="H546" s="10">
        <f>COUNTIFS(发射纪录!C:C,"&lt;&gt;-",发射纪录!G:G,"&gt;="&amp;DATE(YEAR(A546),MONTH(A546),1),发射纪录!G:G,"&lt;="&amp;DATE(YEAR(A546),MONTH(A546),DAY(EOMONTH(A546,0))),发射纪录!N:N,"&lt;&gt;")</f>
        <v>0</v>
      </c>
      <c r="I546" s="10">
        <f>COUNTIFS(发射纪录!C:C,"&lt;&gt;-",发射纪录!G:G,"&gt;="&amp;DATE(YEAR(A546),MONTH(A546),1),发射纪录!G:G,"&lt;="&amp;DATE(YEAR(A546),MONTH(A546),DAY(EOMONTH(A546,0))),发射纪录!N:N,"=成功",发射纪录!N:N,"&lt;&gt;")</f>
        <v>0</v>
      </c>
      <c r="J546" s="1" t="str">
        <f t="shared" si="464"/>
        <v>-</v>
      </c>
      <c r="K546" s="10">
        <f t="shared" ca="1" si="465"/>
        <v>13</v>
      </c>
      <c r="L546" s="10">
        <f t="shared" ca="1" si="466"/>
        <v>6</v>
      </c>
      <c r="M546" s="2">
        <f t="shared" ca="1" si="467"/>
        <v>0.46153846153846156</v>
      </c>
      <c r="N546" s="10">
        <f t="shared" si="468"/>
        <v>1</v>
      </c>
      <c r="O546" s="10">
        <f t="shared" si="469"/>
        <v>1</v>
      </c>
      <c r="P546" s="3">
        <f t="shared" si="470"/>
        <v>1</v>
      </c>
      <c r="Q546" s="10">
        <f t="shared" ca="1" si="471"/>
        <v>217</v>
      </c>
      <c r="R546" s="10">
        <f t="shared" ca="1" si="462"/>
        <v>200</v>
      </c>
      <c r="S546" s="4">
        <f t="shared" ca="1" si="472"/>
        <v>0.92165898617511521</v>
      </c>
      <c r="T546" s="478"/>
    </row>
    <row r="547" spans="1:20" x14ac:dyDescent="0.45">
      <c r="A547" s="64">
        <v>42095</v>
      </c>
      <c r="B547" s="14">
        <v>0</v>
      </c>
      <c r="C547" s="10">
        <v>0</v>
      </c>
      <c r="D547" s="1" t="s">
        <v>3</v>
      </c>
      <c r="E547" s="10">
        <v>204</v>
      </c>
      <c r="F547" s="10">
        <v>194</v>
      </c>
      <c r="G547" s="2">
        <v>0.9509803921568627</v>
      </c>
      <c r="H547" s="10">
        <f>COUNTIFS(发射纪录!C:C,"&lt;&gt;-",发射纪录!G:G,"&gt;="&amp;DATE(YEAR(A547),MONTH(A547),1),发射纪录!G:G,"&lt;="&amp;DATE(YEAR(A547),MONTH(A547),DAY(EOMONTH(A547,0))),发射纪录!N:N,"&lt;&gt;")</f>
        <v>0</v>
      </c>
      <c r="I547" s="10">
        <f>COUNTIFS(发射纪录!C:C,"&lt;&gt;-",发射纪录!G:G,"&gt;="&amp;DATE(YEAR(A547),MONTH(A547),1),发射纪录!G:G,"&lt;="&amp;DATE(YEAR(A547),MONTH(A547),DAY(EOMONTH(A547,0))),发射纪录!N:N,"=成功",发射纪录!N:N,"&lt;&gt;")</f>
        <v>0</v>
      </c>
      <c r="J547" s="1" t="str">
        <f t="shared" si="464"/>
        <v>-</v>
      </c>
      <c r="K547" s="10">
        <f t="shared" ca="1" si="465"/>
        <v>13</v>
      </c>
      <c r="L547" s="10">
        <f t="shared" ca="1" si="466"/>
        <v>6</v>
      </c>
      <c r="M547" s="2">
        <f t="shared" ca="1" si="467"/>
        <v>0.46153846153846156</v>
      </c>
      <c r="N547" s="10">
        <f t="shared" si="468"/>
        <v>0</v>
      </c>
      <c r="O547" s="10">
        <f t="shared" si="469"/>
        <v>0</v>
      </c>
      <c r="P547" s="3" t="str">
        <f t="shared" si="470"/>
        <v>-</v>
      </c>
      <c r="Q547" s="10">
        <f t="shared" ca="1" si="471"/>
        <v>217</v>
      </c>
      <c r="R547" s="10">
        <f t="shared" ca="1" si="462"/>
        <v>200</v>
      </c>
      <c r="S547" s="4">
        <f t="shared" ca="1" si="472"/>
        <v>0.92165898617511521</v>
      </c>
      <c r="T547" s="478"/>
    </row>
    <row r="548" spans="1:20" x14ac:dyDescent="0.45">
      <c r="A548" s="64">
        <v>42125</v>
      </c>
      <c r="B548" s="14">
        <v>0</v>
      </c>
      <c r="C548" s="10">
        <v>0</v>
      </c>
      <c r="D548" s="1" t="s">
        <v>3</v>
      </c>
      <c r="E548" s="10">
        <v>204</v>
      </c>
      <c r="F548" s="10">
        <v>194</v>
      </c>
      <c r="G548" s="2">
        <v>0.9509803921568627</v>
      </c>
      <c r="H548" s="10">
        <f>COUNTIFS(发射纪录!C:C,"&lt;&gt;-",发射纪录!G:G,"&gt;="&amp;DATE(YEAR(A548),MONTH(A548),1),发射纪录!G:G,"&lt;="&amp;DATE(YEAR(A548),MONTH(A548),DAY(EOMONTH(A548,0))),发射纪录!N:N,"&lt;&gt;")</f>
        <v>0</v>
      </c>
      <c r="I548" s="10">
        <f>COUNTIFS(发射纪录!C:C,"&lt;&gt;-",发射纪录!G:G,"&gt;="&amp;DATE(YEAR(A548),MONTH(A548),1),发射纪录!G:G,"&lt;="&amp;DATE(YEAR(A548),MONTH(A548),DAY(EOMONTH(A548,0))),发射纪录!N:N,"=成功",发射纪录!N:N,"&lt;&gt;")</f>
        <v>0</v>
      </c>
      <c r="J548" s="1" t="str">
        <f t="shared" si="464"/>
        <v>-</v>
      </c>
      <c r="K548" s="10">
        <f t="shared" ca="1" si="465"/>
        <v>13</v>
      </c>
      <c r="L548" s="10">
        <f t="shared" ca="1" si="466"/>
        <v>6</v>
      </c>
      <c r="M548" s="2">
        <f t="shared" ca="1" si="467"/>
        <v>0.46153846153846156</v>
      </c>
      <c r="N548" s="10">
        <f t="shared" si="468"/>
        <v>0</v>
      </c>
      <c r="O548" s="10">
        <f t="shared" si="469"/>
        <v>0</v>
      </c>
      <c r="P548" s="3" t="str">
        <f t="shared" si="470"/>
        <v>-</v>
      </c>
      <c r="Q548" s="10">
        <f t="shared" ca="1" si="471"/>
        <v>217</v>
      </c>
      <c r="R548" s="10">
        <f t="shared" ca="1" si="462"/>
        <v>200</v>
      </c>
      <c r="S548" s="4">
        <f t="shared" ca="1" si="472"/>
        <v>0.92165898617511521</v>
      </c>
      <c r="T548" s="478"/>
    </row>
    <row r="549" spans="1:20" x14ac:dyDescent="0.45">
      <c r="A549" s="64">
        <v>42156</v>
      </c>
      <c r="B549" s="14">
        <v>1</v>
      </c>
      <c r="C549" s="10">
        <v>1</v>
      </c>
      <c r="D549" s="1">
        <v>1</v>
      </c>
      <c r="E549" s="10">
        <v>205</v>
      </c>
      <c r="F549" s="10">
        <v>195</v>
      </c>
      <c r="G549" s="2">
        <v>0.95121951219512191</v>
      </c>
      <c r="H549" s="10">
        <f>COUNTIFS(发射纪录!C:C,"&lt;&gt;-",发射纪录!G:G,"&gt;="&amp;DATE(YEAR(A549),MONTH(A549),1),发射纪录!G:G,"&lt;="&amp;DATE(YEAR(A549),MONTH(A549),DAY(EOMONTH(A549,0))),发射纪录!N:N,"&lt;&gt;")</f>
        <v>0</v>
      </c>
      <c r="I549" s="10">
        <f>COUNTIFS(发射纪录!C:C,"&lt;&gt;-",发射纪录!G:G,"&gt;="&amp;DATE(YEAR(A549),MONTH(A549),1),发射纪录!G:G,"&lt;="&amp;DATE(YEAR(A549),MONTH(A549),DAY(EOMONTH(A549,0))),发射纪录!N:N,"=成功",发射纪录!N:N,"&lt;&gt;")</f>
        <v>0</v>
      </c>
      <c r="J549" s="1" t="str">
        <f t="shared" si="464"/>
        <v>-</v>
      </c>
      <c r="K549" s="10">
        <f t="shared" ca="1" si="465"/>
        <v>13</v>
      </c>
      <c r="L549" s="10">
        <f t="shared" ca="1" si="466"/>
        <v>6</v>
      </c>
      <c r="M549" s="2">
        <f t="shared" ca="1" si="467"/>
        <v>0.46153846153846156</v>
      </c>
      <c r="N549" s="10">
        <f t="shared" si="468"/>
        <v>1</v>
      </c>
      <c r="O549" s="10">
        <f t="shared" si="469"/>
        <v>1</v>
      </c>
      <c r="P549" s="3">
        <f t="shared" si="470"/>
        <v>1</v>
      </c>
      <c r="Q549" s="10">
        <f t="shared" ca="1" si="471"/>
        <v>218</v>
      </c>
      <c r="R549" s="10">
        <f t="shared" ca="1" si="462"/>
        <v>201</v>
      </c>
      <c r="S549" s="4">
        <f t="shared" ca="1" si="472"/>
        <v>0.92201834862385323</v>
      </c>
      <c r="T549" s="478"/>
    </row>
    <row r="550" spans="1:20" x14ac:dyDescent="0.45">
      <c r="A550" s="64">
        <v>42186</v>
      </c>
      <c r="B550" s="14">
        <v>1</v>
      </c>
      <c r="C550" s="10">
        <v>1</v>
      </c>
      <c r="D550" s="1">
        <v>1</v>
      </c>
      <c r="E550" s="10">
        <v>206</v>
      </c>
      <c r="F550" s="10">
        <v>196</v>
      </c>
      <c r="G550" s="2">
        <v>0.95145631067961167</v>
      </c>
      <c r="H550" s="10">
        <f>COUNTIFS(发射纪录!C:C,"&lt;&gt;-",发射纪录!G:G,"&gt;="&amp;DATE(YEAR(A550),MONTH(A550),1),发射纪录!G:G,"&lt;="&amp;DATE(YEAR(A550),MONTH(A550),DAY(EOMONTH(A550,0))),发射纪录!N:N,"&lt;&gt;")</f>
        <v>0</v>
      </c>
      <c r="I550" s="10">
        <f>COUNTIFS(发射纪录!C:C,"&lt;&gt;-",发射纪录!G:G,"&gt;="&amp;DATE(YEAR(A550),MONTH(A550),1),发射纪录!G:G,"&lt;="&amp;DATE(YEAR(A550),MONTH(A550),DAY(EOMONTH(A550,0))),发射纪录!N:N,"=成功",发射纪录!N:N,"&lt;&gt;")</f>
        <v>0</v>
      </c>
      <c r="J550" s="1" t="str">
        <f t="shared" si="464"/>
        <v>-</v>
      </c>
      <c r="K550" s="10">
        <f t="shared" ca="1" si="465"/>
        <v>13</v>
      </c>
      <c r="L550" s="10">
        <f t="shared" ca="1" si="466"/>
        <v>6</v>
      </c>
      <c r="M550" s="2">
        <f t="shared" ca="1" si="467"/>
        <v>0.46153846153846156</v>
      </c>
      <c r="N550" s="10">
        <f t="shared" si="468"/>
        <v>1</v>
      </c>
      <c r="O550" s="10">
        <f t="shared" si="469"/>
        <v>1</v>
      </c>
      <c r="P550" s="3">
        <f t="shared" si="470"/>
        <v>1</v>
      </c>
      <c r="Q550" s="10">
        <f t="shared" ca="1" si="471"/>
        <v>219</v>
      </c>
      <c r="R550" s="10">
        <f t="shared" ca="1" si="462"/>
        <v>202</v>
      </c>
      <c r="S550" s="4">
        <f t="shared" ca="1" si="472"/>
        <v>0.92237442922374424</v>
      </c>
      <c r="T550" s="478"/>
    </row>
    <row r="551" spans="1:20" x14ac:dyDescent="0.45">
      <c r="A551" s="64">
        <v>42217</v>
      </c>
      <c r="B551" s="14">
        <v>1</v>
      </c>
      <c r="C551" s="10">
        <v>1</v>
      </c>
      <c r="D551" s="1">
        <v>1</v>
      </c>
      <c r="E551" s="10">
        <v>207</v>
      </c>
      <c r="F551" s="10">
        <v>197</v>
      </c>
      <c r="G551" s="2">
        <v>0.95169082125603865</v>
      </c>
      <c r="H551" s="10">
        <f>COUNTIFS(发射纪录!C:C,"&lt;&gt;-",发射纪录!G:G,"&gt;="&amp;DATE(YEAR(A551),MONTH(A551),1),发射纪录!G:G,"&lt;="&amp;DATE(YEAR(A551),MONTH(A551),DAY(EOMONTH(A551,0))),发射纪录!N:N,"&lt;&gt;")</f>
        <v>0</v>
      </c>
      <c r="I551" s="10">
        <f>COUNTIFS(发射纪录!C:C,"&lt;&gt;-",发射纪录!G:G,"&gt;="&amp;DATE(YEAR(A551),MONTH(A551),1),发射纪录!G:G,"&lt;="&amp;DATE(YEAR(A551),MONTH(A551),DAY(EOMONTH(A551,0))),发射纪录!N:N,"=成功",发射纪录!N:N,"&lt;&gt;")</f>
        <v>0</v>
      </c>
      <c r="J551" s="1" t="str">
        <f t="shared" si="464"/>
        <v>-</v>
      </c>
      <c r="K551" s="10">
        <f t="shared" ca="1" si="465"/>
        <v>13</v>
      </c>
      <c r="L551" s="10">
        <f t="shared" ca="1" si="466"/>
        <v>6</v>
      </c>
      <c r="M551" s="2">
        <f t="shared" ca="1" si="467"/>
        <v>0.46153846153846156</v>
      </c>
      <c r="N551" s="10">
        <f t="shared" si="468"/>
        <v>1</v>
      </c>
      <c r="O551" s="10">
        <f t="shared" si="469"/>
        <v>1</v>
      </c>
      <c r="P551" s="3">
        <f t="shared" si="470"/>
        <v>1</v>
      </c>
      <c r="Q551" s="10">
        <f t="shared" ca="1" si="471"/>
        <v>220</v>
      </c>
      <c r="R551" s="10">
        <f t="shared" ca="1" si="462"/>
        <v>203</v>
      </c>
      <c r="S551" s="4">
        <f t="shared" ca="1" si="472"/>
        <v>0.92272727272727273</v>
      </c>
      <c r="T551" s="478"/>
    </row>
    <row r="552" spans="1:20" x14ac:dyDescent="0.45">
      <c r="A552" s="64">
        <v>42248</v>
      </c>
      <c r="B552" s="14">
        <v>5</v>
      </c>
      <c r="C552" s="10">
        <v>5</v>
      </c>
      <c r="D552" s="1">
        <v>1</v>
      </c>
      <c r="E552" s="10">
        <v>212</v>
      </c>
      <c r="F552" s="10">
        <v>202</v>
      </c>
      <c r="G552" s="2">
        <v>0.95283018867924529</v>
      </c>
      <c r="H552" s="10">
        <f>COUNTIFS(发射纪录!C:C,"&lt;&gt;-",发射纪录!G:G,"&gt;="&amp;DATE(YEAR(A552),MONTH(A552),1),发射纪录!G:G,"&lt;="&amp;DATE(YEAR(A552),MONTH(A552),DAY(EOMONTH(A552,0))),发射纪录!N:N,"&lt;&gt;")</f>
        <v>0</v>
      </c>
      <c r="I552" s="10">
        <f>COUNTIFS(发射纪录!C:C,"&lt;&gt;-",发射纪录!G:G,"&gt;="&amp;DATE(YEAR(A552),MONTH(A552),1),发射纪录!G:G,"&lt;="&amp;DATE(YEAR(A552),MONTH(A552),DAY(EOMONTH(A552,0))),发射纪录!N:N,"=成功",发射纪录!N:N,"&lt;&gt;")</f>
        <v>0</v>
      </c>
      <c r="J552" s="1" t="str">
        <f t="shared" si="464"/>
        <v>-</v>
      </c>
      <c r="K552" s="10">
        <f t="shared" ca="1" si="465"/>
        <v>13</v>
      </c>
      <c r="L552" s="10">
        <f t="shared" ca="1" si="466"/>
        <v>6</v>
      </c>
      <c r="M552" s="2">
        <f t="shared" ca="1" si="467"/>
        <v>0.46153846153846156</v>
      </c>
      <c r="N552" s="10">
        <f t="shared" si="468"/>
        <v>5</v>
      </c>
      <c r="O552" s="10">
        <f t="shared" si="469"/>
        <v>5</v>
      </c>
      <c r="P552" s="3">
        <f t="shared" si="470"/>
        <v>1</v>
      </c>
      <c r="Q552" s="10">
        <f t="shared" ca="1" si="471"/>
        <v>225</v>
      </c>
      <c r="R552" s="10">
        <f t="shared" ca="1" si="462"/>
        <v>208</v>
      </c>
      <c r="S552" s="4">
        <f t="shared" ca="1" si="472"/>
        <v>0.9244444444444444</v>
      </c>
      <c r="T552" s="478"/>
    </row>
    <row r="553" spans="1:20" x14ac:dyDescent="0.45">
      <c r="A553" s="64">
        <v>42278</v>
      </c>
      <c r="B553" s="14">
        <v>3</v>
      </c>
      <c r="C553" s="10">
        <v>3</v>
      </c>
      <c r="D553" s="1">
        <v>1</v>
      </c>
      <c r="E553" s="10">
        <v>215</v>
      </c>
      <c r="F553" s="10">
        <v>205</v>
      </c>
      <c r="G553" s="2">
        <v>0.95348837209302328</v>
      </c>
      <c r="H553" s="10">
        <f>COUNTIFS(发射纪录!C:C,"&lt;&gt;-",发射纪录!G:G,"&gt;="&amp;DATE(YEAR(A553),MONTH(A553),1),发射纪录!G:G,"&lt;="&amp;DATE(YEAR(A553),MONTH(A553),DAY(EOMONTH(A553,0))),发射纪录!N:N,"&lt;&gt;")</f>
        <v>0</v>
      </c>
      <c r="I553" s="10">
        <f>COUNTIFS(发射纪录!C:C,"&lt;&gt;-",发射纪录!G:G,"&gt;="&amp;DATE(YEAR(A553),MONTH(A553),1),发射纪录!G:G,"&lt;="&amp;DATE(YEAR(A553),MONTH(A553),DAY(EOMONTH(A553,0))),发射纪录!N:N,"=成功",发射纪录!N:N,"&lt;&gt;")</f>
        <v>0</v>
      </c>
      <c r="J553" s="1" t="str">
        <f t="shared" si="464"/>
        <v>-</v>
      </c>
      <c r="K553" s="10">
        <f t="shared" ca="1" si="465"/>
        <v>13</v>
      </c>
      <c r="L553" s="10">
        <f t="shared" ca="1" si="466"/>
        <v>6</v>
      </c>
      <c r="M553" s="2">
        <f t="shared" ca="1" si="467"/>
        <v>0.46153846153846156</v>
      </c>
      <c r="N553" s="10">
        <f t="shared" si="468"/>
        <v>3</v>
      </c>
      <c r="O553" s="10">
        <f t="shared" si="469"/>
        <v>3</v>
      </c>
      <c r="P553" s="3">
        <f t="shared" si="470"/>
        <v>1</v>
      </c>
      <c r="Q553" s="10">
        <f t="shared" ca="1" si="471"/>
        <v>228</v>
      </c>
      <c r="R553" s="10">
        <f t="shared" ca="1" si="462"/>
        <v>211</v>
      </c>
      <c r="S553" s="4">
        <f t="shared" ca="1" si="472"/>
        <v>0.92543859649122806</v>
      </c>
      <c r="T553" s="478"/>
    </row>
    <row r="554" spans="1:20" x14ac:dyDescent="0.45">
      <c r="A554" s="64">
        <v>42309</v>
      </c>
      <c r="B554" s="14">
        <v>4</v>
      </c>
      <c r="C554" s="10">
        <v>4</v>
      </c>
      <c r="D554" s="1">
        <v>1</v>
      </c>
      <c r="E554" s="10">
        <v>219</v>
      </c>
      <c r="F554" s="10">
        <v>209</v>
      </c>
      <c r="G554" s="2">
        <v>0.954337899543379</v>
      </c>
      <c r="H554" s="10">
        <f>COUNTIFS(发射纪录!C:C,"&lt;&gt;-",发射纪录!G:G,"&gt;="&amp;DATE(YEAR(A554),MONTH(A554),1),发射纪录!G:G,"&lt;="&amp;DATE(YEAR(A554),MONTH(A554),DAY(EOMONTH(A554,0))),发射纪录!N:N,"&lt;&gt;")</f>
        <v>0</v>
      </c>
      <c r="I554" s="10">
        <f>COUNTIFS(发射纪录!C:C,"&lt;&gt;-",发射纪录!G:G,"&gt;="&amp;DATE(YEAR(A554),MONTH(A554),1),发射纪录!G:G,"&lt;="&amp;DATE(YEAR(A554),MONTH(A554),DAY(EOMONTH(A554,0))),发射纪录!N:N,"=成功",发射纪录!N:N,"&lt;&gt;")</f>
        <v>0</v>
      </c>
      <c r="J554" s="1" t="str">
        <f t="shared" si="464"/>
        <v>-</v>
      </c>
      <c r="K554" s="10">
        <f t="shared" ca="1" si="465"/>
        <v>13</v>
      </c>
      <c r="L554" s="10">
        <f t="shared" ca="1" si="466"/>
        <v>6</v>
      </c>
      <c r="M554" s="2">
        <f t="shared" ca="1" si="467"/>
        <v>0.46153846153846156</v>
      </c>
      <c r="N554" s="10">
        <f t="shared" si="468"/>
        <v>4</v>
      </c>
      <c r="O554" s="10">
        <f t="shared" si="469"/>
        <v>4</v>
      </c>
      <c r="P554" s="3">
        <f t="shared" si="470"/>
        <v>1</v>
      </c>
      <c r="Q554" s="10">
        <f t="shared" ca="1" si="471"/>
        <v>232</v>
      </c>
      <c r="R554" s="10">
        <f t="shared" ca="1" si="462"/>
        <v>215</v>
      </c>
      <c r="S554" s="4">
        <f t="shared" ca="1" si="472"/>
        <v>0.92672413793103448</v>
      </c>
      <c r="T554" s="478"/>
    </row>
    <row r="555" spans="1:20" ht="19.5" customHeight="1" thickBot="1" x14ac:dyDescent="0.5">
      <c r="A555" s="65">
        <v>42339</v>
      </c>
      <c r="B555" s="17">
        <v>3</v>
      </c>
      <c r="C555" s="18">
        <v>3</v>
      </c>
      <c r="D555" s="12">
        <v>1</v>
      </c>
      <c r="E555" s="18">
        <v>222</v>
      </c>
      <c r="F555" s="18">
        <v>212</v>
      </c>
      <c r="G555" s="13">
        <v>0.95495495495495497</v>
      </c>
      <c r="H555" s="18">
        <f>COUNTIFS(发射纪录!C:C,"&lt;&gt;-",发射纪录!G:G,"&gt;="&amp;DATE(YEAR(A555),MONTH(A555),1),发射纪录!G:G,"&lt;="&amp;DATE(YEAR(A555),MONTH(A555),DAY(EOMONTH(A555,0))),发射纪录!N:N,"&lt;&gt;")</f>
        <v>0</v>
      </c>
      <c r="I555" s="18">
        <f>COUNTIFS(发射纪录!C:C,"&lt;&gt;-",发射纪录!G:G,"&gt;="&amp;DATE(YEAR(A555),MONTH(A555),1),发射纪录!G:G,"&lt;="&amp;DATE(YEAR(A555),MONTH(A555),DAY(EOMONTH(A555,0))),发射纪录!N:N,"=成功",发射纪录!N:N,"&lt;&gt;")</f>
        <v>0</v>
      </c>
      <c r="J555" s="12" t="str">
        <f>IF(H555=0,"-",I555/H555)</f>
        <v>-</v>
      </c>
      <c r="K555" s="18">
        <f ca="1">K554+H555</f>
        <v>13</v>
      </c>
      <c r="L555" s="18">
        <f ca="1">L554+I555</f>
        <v>6</v>
      </c>
      <c r="M555" s="13">
        <f ca="1">IF(K555=0,"-",L555/K555)</f>
        <v>0.46153846153846156</v>
      </c>
      <c r="N555" s="18">
        <f>B555+H555</f>
        <v>3</v>
      </c>
      <c r="O555" s="18">
        <f>C555+I555</f>
        <v>3</v>
      </c>
      <c r="P555" s="12">
        <f>IF(N555=0,"-",O555/N555)</f>
        <v>1</v>
      </c>
      <c r="Q555" s="18">
        <f ca="1">E555+K555</f>
        <v>235</v>
      </c>
      <c r="R555" s="18">
        <f ca="1">F555+L555</f>
        <v>218</v>
      </c>
      <c r="S555" s="13">
        <f ca="1">IF(Q555=0,"-",R555/Q555)</f>
        <v>0.92765957446808511</v>
      </c>
      <c r="T555" s="478"/>
    </row>
    <row r="556" spans="1:20" ht="19.5" customHeight="1" thickTop="1" x14ac:dyDescent="0.45">
      <c r="A556" s="63">
        <v>42370</v>
      </c>
      <c r="B556" s="14">
        <v>1</v>
      </c>
      <c r="C556" s="10">
        <v>1</v>
      </c>
      <c r="D556" s="3">
        <v>1</v>
      </c>
      <c r="E556" s="10">
        <v>223</v>
      </c>
      <c r="F556" s="10">
        <v>213</v>
      </c>
      <c r="G556" s="4">
        <v>0.95515695067264572</v>
      </c>
      <c r="H556" s="10">
        <f>COUNTIFS(发射纪录!C:C,"&lt;&gt;-",发射纪录!G:G,"&gt;="&amp;DATE(YEAR(A556),MONTH(A556),1),发射纪录!G:G,"&lt;="&amp;DATE(YEAR(A556),MONTH(A556),DAY(EOMONTH(A556,0))),发射纪录!N:N,"&lt;&gt;")</f>
        <v>0</v>
      </c>
      <c r="I556" s="10">
        <f>COUNTIFS(发射纪录!C:C,"&lt;&gt;-",发射纪录!G:G,"&gt;="&amp;DATE(YEAR(A556),MONTH(A556),1),发射纪录!G:G,"&lt;="&amp;DATE(YEAR(A556),MONTH(A556),DAY(EOMONTH(A556,0))),发射纪录!N:N,"=成功",发射纪录!N:N,"&lt;&gt;")</f>
        <v>0</v>
      </c>
      <c r="J556" s="3" t="str">
        <f t="shared" ref="J556:J566" si="473">IF(H556=0,"-",I556/H556)</f>
        <v>-</v>
      </c>
      <c r="K556" s="10">
        <f t="shared" ref="K556:K566" ca="1" si="474">K555+H556</f>
        <v>13</v>
      </c>
      <c r="L556" s="10">
        <f t="shared" ref="L556:L566" ca="1" si="475">L555+I556</f>
        <v>6</v>
      </c>
      <c r="M556" s="4">
        <f t="shared" ref="M556:M566" ca="1" si="476">IF(K556=0,"-",L556/K556)</f>
        <v>0.46153846153846156</v>
      </c>
      <c r="N556" s="10">
        <f t="shared" ref="N556:N566" si="477">B556+H556</f>
        <v>1</v>
      </c>
      <c r="O556" s="10">
        <f t="shared" ref="O556:O566" si="478">C556+I556</f>
        <v>1</v>
      </c>
      <c r="P556" s="3">
        <f t="shared" ref="P556:P566" si="479">IF(N556=0,"-",O556/N556)</f>
        <v>1</v>
      </c>
      <c r="Q556" s="10">
        <f t="shared" ref="Q556:Q566" ca="1" si="480">E556+K556</f>
        <v>236</v>
      </c>
      <c r="R556" s="10">
        <f t="shared" ca="1" si="462"/>
        <v>219</v>
      </c>
      <c r="S556" s="4">
        <f t="shared" ref="S556:S566" ca="1" si="481">IF(Q556=0,"-",R556/Q556)</f>
        <v>0.92796610169491522</v>
      </c>
      <c r="T556" s="478"/>
    </row>
    <row r="557" spans="1:20" x14ac:dyDescent="0.45">
      <c r="A557" s="64">
        <v>42401</v>
      </c>
      <c r="B557" s="14">
        <v>1</v>
      </c>
      <c r="C557" s="10">
        <v>1</v>
      </c>
      <c r="D557" s="1">
        <v>1</v>
      </c>
      <c r="E557" s="10">
        <v>224</v>
      </c>
      <c r="F557" s="10">
        <v>214</v>
      </c>
      <c r="G557" s="2">
        <v>0.9553571428571429</v>
      </c>
      <c r="H557" s="10">
        <f>COUNTIFS(发射纪录!C:C,"&lt;&gt;-",发射纪录!G:G,"&gt;="&amp;DATE(YEAR(A557),MONTH(A557),1),发射纪录!G:G,"&lt;="&amp;DATE(YEAR(A557),MONTH(A557),DAY(EOMONTH(A557,0))),发射纪录!N:N,"&lt;&gt;")</f>
        <v>0</v>
      </c>
      <c r="I557" s="10">
        <f>COUNTIFS(发射纪录!C:C,"&lt;&gt;-",发射纪录!G:G,"&gt;="&amp;DATE(YEAR(A557),MONTH(A557),1),发射纪录!G:G,"&lt;="&amp;DATE(YEAR(A557),MONTH(A557),DAY(EOMONTH(A557,0))),发射纪录!N:N,"=成功",发射纪录!N:N,"&lt;&gt;")</f>
        <v>0</v>
      </c>
      <c r="J557" s="1" t="str">
        <f t="shared" si="473"/>
        <v>-</v>
      </c>
      <c r="K557" s="10">
        <f t="shared" ca="1" si="474"/>
        <v>13</v>
      </c>
      <c r="L557" s="10">
        <f t="shared" ca="1" si="475"/>
        <v>6</v>
      </c>
      <c r="M557" s="2">
        <f t="shared" ca="1" si="476"/>
        <v>0.46153846153846156</v>
      </c>
      <c r="N557" s="10">
        <f t="shared" si="477"/>
        <v>1</v>
      </c>
      <c r="O557" s="10">
        <f t="shared" si="478"/>
        <v>1</v>
      </c>
      <c r="P557" s="3">
        <f t="shared" si="479"/>
        <v>1</v>
      </c>
      <c r="Q557" s="10">
        <f t="shared" ca="1" si="480"/>
        <v>237</v>
      </c>
      <c r="R557" s="10">
        <f t="shared" ca="1" si="462"/>
        <v>220</v>
      </c>
      <c r="S557" s="4">
        <f t="shared" ca="1" si="481"/>
        <v>0.92827004219409281</v>
      </c>
      <c r="T557" s="478"/>
    </row>
    <row r="558" spans="1:20" x14ac:dyDescent="0.45">
      <c r="A558" s="64">
        <v>42430</v>
      </c>
      <c r="B558" s="14">
        <v>1</v>
      </c>
      <c r="C558" s="10">
        <v>1</v>
      </c>
      <c r="D558" s="1">
        <v>1</v>
      </c>
      <c r="E558" s="10">
        <v>225</v>
      </c>
      <c r="F558" s="10">
        <v>215</v>
      </c>
      <c r="G558" s="2">
        <v>0.9555555555555556</v>
      </c>
      <c r="H558" s="10">
        <f>COUNTIFS(发射纪录!C:C,"&lt;&gt;-",发射纪录!G:G,"&gt;="&amp;DATE(YEAR(A558),MONTH(A558),1),发射纪录!G:G,"&lt;="&amp;DATE(YEAR(A558),MONTH(A558),DAY(EOMONTH(A558,0))),发射纪录!N:N,"&lt;&gt;")</f>
        <v>0</v>
      </c>
      <c r="I558" s="10">
        <f>COUNTIFS(发射纪录!C:C,"&lt;&gt;-",发射纪录!G:G,"&gt;="&amp;DATE(YEAR(A558),MONTH(A558),1),发射纪录!G:G,"&lt;="&amp;DATE(YEAR(A558),MONTH(A558),DAY(EOMONTH(A558,0))),发射纪录!N:N,"=成功",发射纪录!N:N,"&lt;&gt;")</f>
        <v>0</v>
      </c>
      <c r="J558" s="1" t="str">
        <f t="shared" si="473"/>
        <v>-</v>
      </c>
      <c r="K558" s="10">
        <f t="shared" ca="1" si="474"/>
        <v>13</v>
      </c>
      <c r="L558" s="10">
        <f t="shared" ca="1" si="475"/>
        <v>6</v>
      </c>
      <c r="M558" s="2">
        <f t="shared" ca="1" si="476"/>
        <v>0.46153846153846156</v>
      </c>
      <c r="N558" s="10">
        <f t="shared" si="477"/>
        <v>1</v>
      </c>
      <c r="O558" s="10">
        <f t="shared" si="478"/>
        <v>1</v>
      </c>
      <c r="P558" s="3">
        <f t="shared" si="479"/>
        <v>1</v>
      </c>
      <c r="Q558" s="10">
        <f t="shared" ca="1" si="480"/>
        <v>238</v>
      </c>
      <c r="R558" s="10">
        <f t="shared" ca="1" si="462"/>
        <v>221</v>
      </c>
      <c r="S558" s="4">
        <f t="shared" ca="1" si="481"/>
        <v>0.9285714285714286</v>
      </c>
      <c r="T558" s="478"/>
    </row>
    <row r="559" spans="1:20" x14ac:dyDescent="0.45">
      <c r="A559" s="64">
        <v>42461</v>
      </c>
      <c r="B559" s="14">
        <v>1</v>
      </c>
      <c r="C559" s="10">
        <v>1</v>
      </c>
      <c r="D559" s="1">
        <v>1</v>
      </c>
      <c r="E559" s="10">
        <v>226</v>
      </c>
      <c r="F559" s="10">
        <v>216</v>
      </c>
      <c r="G559" s="2">
        <v>0.95575221238938057</v>
      </c>
      <c r="H559" s="10">
        <f>COUNTIFS(发射纪录!C:C,"&lt;&gt;-",发射纪录!G:G,"&gt;="&amp;DATE(YEAR(A559),MONTH(A559),1),发射纪录!G:G,"&lt;="&amp;DATE(YEAR(A559),MONTH(A559),DAY(EOMONTH(A559,0))),发射纪录!N:N,"&lt;&gt;")</f>
        <v>0</v>
      </c>
      <c r="I559" s="10">
        <f>COUNTIFS(发射纪录!C:C,"&lt;&gt;-",发射纪录!G:G,"&gt;="&amp;DATE(YEAR(A559),MONTH(A559),1),发射纪录!G:G,"&lt;="&amp;DATE(YEAR(A559),MONTH(A559),DAY(EOMONTH(A559,0))),发射纪录!N:N,"=成功",发射纪录!N:N,"&lt;&gt;")</f>
        <v>0</v>
      </c>
      <c r="J559" s="1" t="str">
        <f t="shared" si="473"/>
        <v>-</v>
      </c>
      <c r="K559" s="10">
        <f t="shared" ca="1" si="474"/>
        <v>13</v>
      </c>
      <c r="L559" s="10">
        <f t="shared" ca="1" si="475"/>
        <v>6</v>
      </c>
      <c r="M559" s="2">
        <f t="shared" ca="1" si="476"/>
        <v>0.46153846153846156</v>
      </c>
      <c r="N559" s="10">
        <f t="shared" si="477"/>
        <v>1</v>
      </c>
      <c r="O559" s="10">
        <f t="shared" si="478"/>
        <v>1</v>
      </c>
      <c r="P559" s="3">
        <f t="shared" si="479"/>
        <v>1</v>
      </c>
      <c r="Q559" s="10">
        <f t="shared" ca="1" si="480"/>
        <v>239</v>
      </c>
      <c r="R559" s="10">
        <f t="shared" ca="1" si="462"/>
        <v>222</v>
      </c>
      <c r="S559" s="4">
        <f t="shared" ca="1" si="481"/>
        <v>0.92887029288702927</v>
      </c>
      <c r="T559" s="478"/>
    </row>
    <row r="560" spans="1:20" x14ac:dyDescent="0.45">
      <c r="A560" s="64">
        <v>42491</v>
      </c>
      <c r="B560" s="14">
        <v>2</v>
      </c>
      <c r="C560" s="10">
        <v>2</v>
      </c>
      <c r="D560" s="1">
        <v>1</v>
      </c>
      <c r="E560" s="10">
        <v>228</v>
      </c>
      <c r="F560" s="10">
        <v>218</v>
      </c>
      <c r="G560" s="2">
        <v>0.95614035087719296</v>
      </c>
      <c r="H560" s="10">
        <f>COUNTIFS(发射纪录!C:C,"&lt;&gt;-",发射纪录!G:G,"&gt;="&amp;DATE(YEAR(A560),MONTH(A560),1),发射纪录!G:G,"&lt;="&amp;DATE(YEAR(A560),MONTH(A560),DAY(EOMONTH(A560,0))),发射纪录!N:N,"&lt;&gt;")</f>
        <v>0</v>
      </c>
      <c r="I560" s="10">
        <f>COUNTIFS(发射纪录!C:C,"&lt;&gt;-",发射纪录!G:G,"&gt;="&amp;DATE(YEAR(A560),MONTH(A560),1),发射纪录!G:G,"&lt;="&amp;DATE(YEAR(A560),MONTH(A560),DAY(EOMONTH(A560,0))),发射纪录!N:N,"=成功",发射纪录!N:N,"&lt;&gt;")</f>
        <v>0</v>
      </c>
      <c r="J560" s="1" t="str">
        <f t="shared" si="473"/>
        <v>-</v>
      </c>
      <c r="K560" s="10">
        <f t="shared" ca="1" si="474"/>
        <v>13</v>
      </c>
      <c r="L560" s="10">
        <f t="shared" ca="1" si="475"/>
        <v>6</v>
      </c>
      <c r="M560" s="2">
        <f t="shared" ca="1" si="476"/>
        <v>0.46153846153846156</v>
      </c>
      <c r="N560" s="10">
        <f t="shared" si="477"/>
        <v>2</v>
      </c>
      <c r="O560" s="10">
        <f t="shared" si="478"/>
        <v>2</v>
      </c>
      <c r="P560" s="3">
        <f t="shared" si="479"/>
        <v>1</v>
      </c>
      <c r="Q560" s="10">
        <f t="shared" ca="1" si="480"/>
        <v>241</v>
      </c>
      <c r="R560" s="10">
        <f t="shared" ca="1" si="462"/>
        <v>224</v>
      </c>
      <c r="S560" s="4">
        <f t="shared" ca="1" si="481"/>
        <v>0.9294605809128631</v>
      </c>
      <c r="T560" s="478"/>
    </row>
    <row r="561" spans="1:20" x14ac:dyDescent="0.45">
      <c r="A561" s="64">
        <v>42522</v>
      </c>
      <c r="B561" s="14">
        <v>3</v>
      </c>
      <c r="C561" s="10">
        <v>3</v>
      </c>
      <c r="D561" s="1">
        <v>1</v>
      </c>
      <c r="E561" s="10">
        <v>231</v>
      </c>
      <c r="F561" s="10">
        <v>221</v>
      </c>
      <c r="G561" s="2">
        <v>0.95670995670995673</v>
      </c>
      <c r="H561" s="10">
        <f>COUNTIFS(发射纪录!C:C,"&lt;&gt;-",发射纪录!G:G,"&gt;="&amp;DATE(YEAR(A561),MONTH(A561),1),发射纪录!G:G,"&lt;="&amp;DATE(YEAR(A561),MONTH(A561),DAY(EOMONTH(A561,0))),发射纪录!N:N,"&lt;&gt;")</f>
        <v>0</v>
      </c>
      <c r="I561" s="10">
        <f>COUNTIFS(发射纪录!C:C,"&lt;&gt;-",发射纪录!G:G,"&gt;="&amp;DATE(YEAR(A561),MONTH(A561),1),发射纪录!G:G,"&lt;="&amp;DATE(YEAR(A561),MONTH(A561),DAY(EOMONTH(A561,0))),发射纪录!N:N,"=成功",发射纪录!N:N,"&lt;&gt;")</f>
        <v>0</v>
      </c>
      <c r="J561" s="1" t="str">
        <f t="shared" si="473"/>
        <v>-</v>
      </c>
      <c r="K561" s="10">
        <f t="shared" ca="1" si="474"/>
        <v>13</v>
      </c>
      <c r="L561" s="10">
        <f t="shared" ca="1" si="475"/>
        <v>6</v>
      </c>
      <c r="M561" s="2">
        <f t="shared" ca="1" si="476"/>
        <v>0.46153846153846156</v>
      </c>
      <c r="N561" s="10">
        <f t="shared" si="477"/>
        <v>3</v>
      </c>
      <c r="O561" s="10">
        <f t="shared" si="478"/>
        <v>3</v>
      </c>
      <c r="P561" s="3">
        <f t="shared" si="479"/>
        <v>1</v>
      </c>
      <c r="Q561" s="10">
        <f t="shared" ca="1" si="480"/>
        <v>244</v>
      </c>
      <c r="R561" s="10">
        <f t="shared" ca="1" si="462"/>
        <v>227</v>
      </c>
      <c r="S561" s="4">
        <f t="shared" ca="1" si="481"/>
        <v>0.93032786885245899</v>
      </c>
      <c r="T561" s="478"/>
    </row>
    <row r="562" spans="1:20" x14ac:dyDescent="0.45">
      <c r="A562" s="64">
        <v>42552</v>
      </c>
      <c r="B562" s="14">
        <v>0</v>
      </c>
      <c r="C562" s="10">
        <v>0</v>
      </c>
      <c r="D562" s="1" t="s">
        <v>3</v>
      </c>
      <c r="E562" s="10">
        <v>231</v>
      </c>
      <c r="F562" s="10">
        <v>221</v>
      </c>
      <c r="G562" s="2">
        <v>0.95670995670995673</v>
      </c>
      <c r="H562" s="10">
        <f>COUNTIFS(发射纪录!C:C,"&lt;&gt;-",发射纪录!G:G,"&gt;="&amp;DATE(YEAR(A562),MONTH(A562),1),发射纪录!G:G,"&lt;="&amp;DATE(YEAR(A562),MONTH(A562),DAY(EOMONTH(A562,0))),发射纪录!N:N,"&lt;&gt;")</f>
        <v>0</v>
      </c>
      <c r="I562" s="10">
        <f>COUNTIFS(发射纪录!C:C,"&lt;&gt;-",发射纪录!G:G,"&gt;="&amp;DATE(YEAR(A562),MONTH(A562),1),发射纪录!G:G,"&lt;="&amp;DATE(YEAR(A562),MONTH(A562),DAY(EOMONTH(A562,0))),发射纪录!N:N,"=成功",发射纪录!N:N,"&lt;&gt;")</f>
        <v>0</v>
      </c>
      <c r="J562" s="1" t="str">
        <f t="shared" si="473"/>
        <v>-</v>
      </c>
      <c r="K562" s="10">
        <f t="shared" ca="1" si="474"/>
        <v>13</v>
      </c>
      <c r="L562" s="10">
        <f t="shared" ca="1" si="475"/>
        <v>6</v>
      </c>
      <c r="M562" s="2">
        <f t="shared" ca="1" si="476"/>
        <v>0.46153846153846156</v>
      </c>
      <c r="N562" s="10">
        <f t="shared" si="477"/>
        <v>0</v>
      </c>
      <c r="O562" s="10">
        <f t="shared" si="478"/>
        <v>0</v>
      </c>
      <c r="P562" s="3" t="str">
        <f t="shared" si="479"/>
        <v>-</v>
      </c>
      <c r="Q562" s="10">
        <f t="shared" ca="1" si="480"/>
        <v>244</v>
      </c>
      <c r="R562" s="10">
        <f t="shared" ca="1" si="462"/>
        <v>227</v>
      </c>
      <c r="S562" s="4">
        <f t="shared" ca="1" si="481"/>
        <v>0.93032786885245899</v>
      </c>
      <c r="T562" s="478"/>
    </row>
    <row r="563" spans="1:20" x14ac:dyDescent="0.45">
      <c r="A563" s="64">
        <v>42583</v>
      </c>
      <c r="B563" s="14">
        <v>3</v>
      </c>
      <c r="C563" s="10">
        <v>3</v>
      </c>
      <c r="D563" s="1">
        <v>1</v>
      </c>
      <c r="E563" s="10">
        <v>234</v>
      </c>
      <c r="F563" s="10">
        <v>224</v>
      </c>
      <c r="G563" s="2">
        <v>0.95726495726495731</v>
      </c>
      <c r="H563" s="10">
        <f ca="1">COUNTIFS(发射纪录!C:C,"&lt;&gt;-",发射纪录!G:G,"&gt;="&amp;DATE(YEAR(A563),MONTH(A563),1),发射纪录!G:G,"&lt;="&amp;DATE(YEAR(A563),MONTH(A563),DAY(EOMONTH(A563,0))),发射纪录!N:N,"&lt;&gt;")</f>
        <v>0</v>
      </c>
      <c r="I563" s="10">
        <f>COUNTIFS(发射纪录!C:C,"&lt;&gt;-",发射纪录!G:G,"&gt;="&amp;DATE(YEAR(A563),MONTH(A563),1),发射纪录!G:G,"&lt;="&amp;DATE(YEAR(A563),MONTH(A563),DAY(EOMONTH(A563,0))),发射纪录!N:N,"=成功",发射纪录!N:N,"&lt;&gt;")</f>
        <v>0</v>
      </c>
      <c r="J563" s="1" t="str">
        <f t="shared" ca="1" si="473"/>
        <v>-</v>
      </c>
      <c r="K563" s="10">
        <f t="shared" ca="1" si="474"/>
        <v>13</v>
      </c>
      <c r="L563" s="10">
        <f t="shared" ca="1" si="475"/>
        <v>6</v>
      </c>
      <c r="M563" s="2">
        <f t="shared" ca="1" si="476"/>
        <v>0.46153846153846156</v>
      </c>
      <c r="N563" s="10">
        <f t="shared" ca="1" si="477"/>
        <v>3</v>
      </c>
      <c r="O563" s="10">
        <f t="shared" si="478"/>
        <v>3</v>
      </c>
      <c r="P563" s="3">
        <f t="shared" ca="1" si="479"/>
        <v>1</v>
      </c>
      <c r="Q563" s="10">
        <f t="shared" ca="1" si="480"/>
        <v>247</v>
      </c>
      <c r="R563" s="10">
        <f t="shared" ca="1" si="462"/>
        <v>230</v>
      </c>
      <c r="S563" s="4">
        <f t="shared" ca="1" si="481"/>
        <v>0.93117408906882593</v>
      </c>
      <c r="T563" s="478"/>
    </row>
    <row r="564" spans="1:20" x14ac:dyDescent="0.45">
      <c r="A564" s="64">
        <v>42614</v>
      </c>
      <c r="B564" s="14">
        <v>2</v>
      </c>
      <c r="C564" s="10">
        <v>1</v>
      </c>
      <c r="D564" s="1">
        <v>0.5</v>
      </c>
      <c r="E564" s="10">
        <v>236</v>
      </c>
      <c r="F564" s="10">
        <v>225</v>
      </c>
      <c r="G564" s="2">
        <v>0.95338983050847459</v>
      </c>
      <c r="H564" s="10">
        <f>COUNTIFS(发射纪录!C:C,"&lt;&gt;-",发射纪录!G:G,"&gt;="&amp;DATE(YEAR(A564),MONTH(A564),1),发射纪录!G:G,"&lt;="&amp;DATE(YEAR(A564),MONTH(A564),DAY(EOMONTH(A564,0))),发射纪录!N:N,"&lt;&gt;")</f>
        <v>0</v>
      </c>
      <c r="I564" s="10">
        <f>COUNTIFS(发射纪录!C:C,"&lt;&gt;-",发射纪录!G:G,"&gt;="&amp;DATE(YEAR(A564),MONTH(A564),1),发射纪录!G:G,"&lt;="&amp;DATE(YEAR(A564),MONTH(A564),DAY(EOMONTH(A564,0))),发射纪录!N:N,"=成功",发射纪录!N:N,"&lt;&gt;")</f>
        <v>0</v>
      </c>
      <c r="J564" s="1" t="str">
        <f t="shared" si="473"/>
        <v>-</v>
      </c>
      <c r="K564" s="10">
        <f t="shared" ca="1" si="474"/>
        <v>13</v>
      </c>
      <c r="L564" s="10">
        <f t="shared" ca="1" si="475"/>
        <v>6</v>
      </c>
      <c r="M564" s="2">
        <f t="shared" ca="1" si="476"/>
        <v>0.46153846153846156</v>
      </c>
      <c r="N564" s="10">
        <f t="shared" si="477"/>
        <v>2</v>
      </c>
      <c r="O564" s="10">
        <f t="shared" si="478"/>
        <v>1</v>
      </c>
      <c r="P564" s="3">
        <f t="shared" si="479"/>
        <v>0.5</v>
      </c>
      <c r="Q564" s="10">
        <f t="shared" ca="1" si="480"/>
        <v>249</v>
      </c>
      <c r="R564" s="10">
        <f t="shared" ca="1" si="462"/>
        <v>231</v>
      </c>
      <c r="S564" s="4">
        <f t="shared" ca="1" si="481"/>
        <v>0.92771084337349397</v>
      </c>
      <c r="T564" s="478"/>
    </row>
    <row r="565" spans="1:20" x14ac:dyDescent="0.45">
      <c r="A565" s="64">
        <v>42644</v>
      </c>
      <c r="B565" s="14">
        <v>1</v>
      </c>
      <c r="C565" s="10">
        <v>1</v>
      </c>
      <c r="D565" s="1">
        <v>1</v>
      </c>
      <c r="E565" s="10">
        <v>237</v>
      </c>
      <c r="F565" s="10">
        <v>226</v>
      </c>
      <c r="G565" s="2">
        <v>0.95358649789029537</v>
      </c>
      <c r="H565" s="10">
        <f>COUNTIFS(发射纪录!C:C,"&lt;&gt;-",发射纪录!G:G,"&gt;="&amp;DATE(YEAR(A565),MONTH(A565),1),发射纪录!G:G,"&lt;="&amp;DATE(YEAR(A565),MONTH(A565),DAY(EOMONTH(A565,0))),发射纪录!N:N,"&lt;&gt;")</f>
        <v>0</v>
      </c>
      <c r="I565" s="10">
        <f>COUNTIFS(发射纪录!C:C,"&lt;&gt;-",发射纪录!G:G,"&gt;="&amp;DATE(YEAR(A565),MONTH(A565),1),发射纪录!G:G,"&lt;="&amp;DATE(YEAR(A565),MONTH(A565),DAY(EOMONTH(A565,0))),发射纪录!N:N,"=成功",发射纪录!N:N,"&lt;&gt;")</f>
        <v>0</v>
      </c>
      <c r="J565" s="1" t="str">
        <f t="shared" si="473"/>
        <v>-</v>
      </c>
      <c r="K565" s="10">
        <f t="shared" ca="1" si="474"/>
        <v>13</v>
      </c>
      <c r="L565" s="10">
        <f t="shared" ca="1" si="475"/>
        <v>6</v>
      </c>
      <c r="M565" s="2">
        <f t="shared" ca="1" si="476"/>
        <v>0.46153846153846156</v>
      </c>
      <c r="N565" s="10">
        <f t="shared" si="477"/>
        <v>1</v>
      </c>
      <c r="O565" s="10">
        <f t="shared" si="478"/>
        <v>1</v>
      </c>
      <c r="P565" s="3">
        <f t="shared" si="479"/>
        <v>1</v>
      </c>
      <c r="Q565" s="10">
        <f t="shared" ca="1" si="480"/>
        <v>250</v>
      </c>
      <c r="R565" s="10">
        <f t="shared" ca="1" si="462"/>
        <v>232</v>
      </c>
      <c r="S565" s="4">
        <f t="shared" ca="1" si="481"/>
        <v>0.92800000000000005</v>
      </c>
      <c r="T565" s="478"/>
    </row>
    <row r="566" spans="1:20" x14ac:dyDescent="0.45">
      <c r="A566" s="64">
        <v>42675</v>
      </c>
      <c r="B566" s="14">
        <v>4</v>
      </c>
      <c r="C566" s="10">
        <v>4</v>
      </c>
      <c r="D566" s="1">
        <v>1</v>
      </c>
      <c r="E566" s="10">
        <v>241</v>
      </c>
      <c r="F566" s="10">
        <v>230</v>
      </c>
      <c r="G566" s="2">
        <v>0.9543568464730291</v>
      </c>
      <c r="H566" s="10">
        <f>COUNTIFS(发射纪录!C:C,"&lt;&gt;-",发射纪录!G:G,"&gt;="&amp;DATE(YEAR(A566),MONTH(A566),1),发射纪录!G:G,"&lt;="&amp;DATE(YEAR(A566),MONTH(A566),DAY(EOMONTH(A566,0))),发射纪录!N:N,"&lt;&gt;")</f>
        <v>0</v>
      </c>
      <c r="I566" s="10">
        <f>COUNTIFS(发射纪录!C:C,"&lt;&gt;-",发射纪录!G:G,"&gt;="&amp;DATE(YEAR(A566),MONTH(A566),1),发射纪录!G:G,"&lt;="&amp;DATE(YEAR(A566),MONTH(A566),DAY(EOMONTH(A566,0))),发射纪录!N:N,"=成功",发射纪录!N:N,"&lt;&gt;")</f>
        <v>0</v>
      </c>
      <c r="J566" s="1" t="str">
        <f t="shared" si="473"/>
        <v>-</v>
      </c>
      <c r="K566" s="10">
        <f t="shared" ca="1" si="474"/>
        <v>13</v>
      </c>
      <c r="L566" s="10">
        <f t="shared" ca="1" si="475"/>
        <v>6</v>
      </c>
      <c r="M566" s="2">
        <f t="shared" ca="1" si="476"/>
        <v>0.46153846153846156</v>
      </c>
      <c r="N566" s="10">
        <f t="shared" si="477"/>
        <v>4</v>
      </c>
      <c r="O566" s="10">
        <f t="shared" si="478"/>
        <v>4</v>
      </c>
      <c r="P566" s="3">
        <f t="shared" si="479"/>
        <v>1</v>
      </c>
      <c r="Q566" s="10">
        <f t="shared" ca="1" si="480"/>
        <v>254</v>
      </c>
      <c r="R566" s="10">
        <f t="shared" ca="1" si="462"/>
        <v>236</v>
      </c>
      <c r="S566" s="4">
        <f t="shared" ca="1" si="481"/>
        <v>0.92913385826771655</v>
      </c>
      <c r="T566" s="478"/>
    </row>
    <row r="567" spans="1:20" ht="19.5" customHeight="1" thickBot="1" x14ac:dyDescent="0.5">
      <c r="A567" s="65">
        <v>42705</v>
      </c>
      <c r="B567" s="17">
        <v>3</v>
      </c>
      <c r="C567" s="18">
        <v>2</v>
      </c>
      <c r="D567" s="12">
        <v>0.66666666666666663</v>
      </c>
      <c r="E567" s="18">
        <v>244</v>
      </c>
      <c r="F567" s="18">
        <v>232</v>
      </c>
      <c r="G567" s="13">
        <v>0.95081967213114749</v>
      </c>
      <c r="H567" s="18">
        <f>COUNTIFS(发射纪录!C:C,"&lt;&gt;-",发射纪录!G:G,"&gt;="&amp;DATE(YEAR(A567),MONTH(A567),1),发射纪录!G:G,"&lt;="&amp;DATE(YEAR(A567),MONTH(A567),DAY(EOMONTH(A567,0))),发射纪录!N:N,"&lt;&gt;")</f>
        <v>0</v>
      </c>
      <c r="I567" s="18">
        <f>COUNTIFS(发射纪录!C:C,"&lt;&gt;-",发射纪录!G:G,"&gt;="&amp;DATE(YEAR(A567),MONTH(A567),1),发射纪录!G:G,"&lt;="&amp;DATE(YEAR(A567),MONTH(A567),DAY(EOMONTH(A567,0))),发射纪录!N:N,"=成功",发射纪录!N:N,"&lt;&gt;")</f>
        <v>0</v>
      </c>
      <c r="J567" s="12" t="str">
        <f>IF(H567=0,"-",I567/H567)</f>
        <v>-</v>
      </c>
      <c r="K567" s="18">
        <f ca="1">K566+H567</f>
        <v>13</v>
      </c>
      <c r="L567" s="18">
        <f ca="1">L566+I567</f>
        <v>6</v>
      </c>
      <c r="M567" s="13">
        <f ca="1">IF(K567=0,"-",L567/K567)</f>
        <v>0.46153846153846156</v>
      </c>
      <c r="N567" s="18">
        <f>B567+H567</f>
        <v>3</v>
      </c>
      <c r="O567" s="18">
        <f>C567+I567</f>
        <v>2</v>
      </c>
      <c r="P567" s="12">
        <f>IF(N567=0,"-",O567/N567)</f>
        <v>0.66666666666666663</v>
      </c>
      <c r="Q567" s="18">
        <f ca="1">E567+K567</f>
        <v>257</v>
      </c>
      <c r="R567" s="18">
        <f ca="1">F567+L567</f>
        <v>238</v>
      </c>
      <c r="S567" s="13">
        <f ca="1">IF(Q567=0,"-",R567/Q567)</f>
        <v>0.92607003891050588</v>
      </c>
      <c r="T567" s="478"/>
    </row>
    <row r="568" spans="1:20" ht="19.5" customHeight="1" thickTop="1" x14ac:dyDescent="0.45">
      <c r="A568" s="63">
        <v>42736</v>
      </c>
      <c r="B568" s="14">
        <v>1</v>
      </c>
      <c r="C568" s="10">
        <v>1</v>
      </c>
      <c r="D568" s="3">
        <v>1</v>
      </c>
      <c r="E568" s="10">
        <v>245</v>
      </c>
      <c r="F568" s="10">
        <v>233</v>
      </c>
      <c r="G568" s="4">
        <v>0.95102040816326527</v>
      </c>
      <c r="H568" s="10">
        <f>COUNTIFS(发射纪录!C:C,"&lt;&gt;-",发射纪录!G:G,"&gt;="&amp;DATE(YEAR(A568),MONTH(A568),1),发射纪录!G:G,"&lt;="&amp;DATE(YEAR(A568),MONTH(A568),DAY(EOMONTH(A568,0))),发射纪录!N:N,"&lt;&gt;")</f>
        <v>1</v>
      </c>
      <c r="I568" s="10">
        <f>COUNTIFS(发射纪录!C:C,"&lt;&gt;-",发射纪录!G:G,"&gt;="&amp;DATE(YEAR(A568),MONTH(A568),1),发射纪录!G:G,"&lt;="&amp;DATE(YEAR(A568),MONTH(A568),DAY(EOMONTH(A568,0))),发射纪录!N:N,"=成功",发射纪录!N:N,"&lt;&gt;")</f>
        <v>1</v>
      </c>
      <c r="J568" s="3">
        <f t="shared" ref="J568:J578" si="482">IF(H568=0,"-",I568/H568)</f>
        <v>1</v>
      </c>
      <c r="K568" s="10">
        <f t="shared" ref="K568:K578" ca="1" si="483">K567+H568</f>
        <v>14</v>
      </c>
      <c r="L568" s="10">
        <f t="shared" ref="L568:L578" ca="1" si="484">L567+I568</f>
        <v>7</v>
      </c>
      <c r="M568" s="4">
        <f t="shared" ref="M568:M578" ca="1" si="485">IF(K568=0,"-",L568/K568)</f>
        <v>0.5</v>
      </c>
      <c r="N568" s="10">
        <f t="shared" ref="N568:N578" si="486">B568+H568</f>
        <v>2</v>
      </c>
      <c r="O568" s="10">
        <f t="shared" ref="O568:O578" si="487">C568+I568</f>
        <v>2</v>
      </c>
      <c r="P568" s="3">
        <f t="shared" ref="P568:P578" si="488">IF(N568=0,"-",O568/N568)</f>
        <v>1</v>
      </c>
      <c r="Q568" s="10">
        <f t="shared" ref="Q568:Q578" ca="1" si="489">E568+K568</f>
        <v>259</v>
      </c>
      <c r="R568" s="10">
        <f t="shared" ca="1" si="462"/>
        <v>240</v>
      </c>
      <c r="S568" s="4">
        <f t="shared" ref="S568:S578" ca="1" si="490">IF(Q568=0,"-",R568/Q568)</f>
        <v>0.92664092664092668</v>
      </c>
      <c r="T568" s="478"/>
    </row>
    <row r="569" spans="1:20" x14ac:dyDescent="0.45">
      <c r="A569" s="64">
        <v>42767</v>
      </c>
      <c r="B569" s="14">
        <v>0</v>
      </c>
      <c r="C569" s="10">
        <v>0</v>
      </c>
      <c r="D569" s="1" t="s">
        <v>3</v>
      </c>
      <c r="E569" s="10">
        <v>245</v>
      </c>
      <c r="F569" s="10">
        <v>233</v>
      </c>
      <c r="G569" s="2">
        <v>0.95102040816326527</v>
      </c>
      <c r="H569" s="10">
        <f>COUNTIFS(发射纪录!C:C,"&lt;&gt;-",发射纪录!G:G,"&gt;="&amp;DATE(YEAR(A569),MONTH(A569),1),发射纪录!G:G,"&lt;="&amp;DATE(YEAR(A569),MONTH(A569),DAY(EOMONTH(A569,0))),发射纪录!N:N,"&lt;&gt;")</f>
        <v>0</v>
      </c>
      <c r="I569" s="10">
        <f>COUNTIFS(发射纪录!C:C,"&lt;&gt;-",发射纪录!G:G,"&gt;="&amp;DATE(YEAR(A569),MONTH(A569),1),发射纪录!G:G,"&lt;="&amp;DATE(YEAR(A569),MONTH(A569),DAY(EOMONTH(A569,0))),发射纪录!N:N,"=成功",发射纪录!N:N,"&lt;&gt;")</f>
        <v>0</v>
      </c>
      <c r="J569" s="1" t="str">
        <f t="shared" si="482"/>
        <v>-</v>
      </c>
      <c r="K569" s="10">
        <f t="shared" ca="1" si="483"/>
        <v>14</v>
      </c>
      <c r="L569" s="10">
        <f t="shared" ca="1" si="484"/>
        <v>7</v>
      </c>
      <c r="M569" s="2">
        <f t="shared" ca="1" si="485"/>
        <v>0.5</v>
      </c>
      <c r="N569" s="10">
        <f t="shared" si="486"/>
        <v>0</v>
      </c>
      <c r="O569" s="10">
        <f t="shared" si="487"/>
        <v>0</v>
      </c>
      <c r="P569" s="3" t="str">
        <f t="shared" si="488"/>
        <v>-</v>
      </c>
      <c r="Q569" s="10">
        <f t="shared" ca="1" si="489"/>
        <v>259</v>
      </c>
      <c r="R569" s="10">
        <f t="shared" ca="1" si="462"/>
        <v>240</v>
      </c>
      <c r="S569" s="4">
        <f t="shared" ca="1" si="490"/>
        <v>0.92664092664092668</v>
      </c>
      <c r="T569" s="478"/>
    </row>
    <row r="570" spans="1:20" x14ac:dyDescent="0.45">
      <c r="A570" s="64">
        <v>42795</v>
      </c>
      <c r="B570" s="14">
        <v>0</v>
      </c>
      <c r="C570" s="10">
        <v>0</v>
      </c>
      <c r="D570" s="1" t="s">
        <v>3</v>
      </c>
      <c r="E570" s="10">
        <v>245</v>
      </c>
      <c r="F570" s="10">
        <v>233</v>
      </c>
      <c r="G570" s="2">
        <v>0.95102040816326527</v>
      </c>
      <c r="H570" s="10">
        <f>COUNTIFS(发射纪录!C:C,"&lt;&gt;-",发射纪录!G:G,"&gt;="&amp;DATE(YEAR(A570),MONTH(A570),1),发射纪录!G:G,"&lt;="&amp;DATE(YEAR(A570),MONTH(A570),DAY(EOMONTH(A570,0))),发射纪录!N:N,"&lt;&gt;")</f>
        <v>1</v>
      </c>
      <c r="I570" s="10">
        <f>COUNTIFS(发射纪录!C:C,"&lt;&gt;-",发射纪录!G:G,"&gt;="&amp;DATE(YEAR(A570),MONTH(A570),1),发射纪录!G:G,"&lt;="&amp;DATE(YEAR(A570),MONTH(A570),DAY(EOMONTH(A570,0))),发射纪录!N:N,"=成功",发射纪录!N:N,"&lt;&gt;")</f>
        <v>1</v>
      </c>
      <c r="J570" s="1">
        <f t="shared" si="482"/>
        <v>1</v>
      </c>
      <c r="K570" s="10">
        <f t="shared" ca="1" si="483"/>
        <v>15</v>
      </c>
      <c r="L570" s="10">
        <f t="shared" ca="1" si="484"/>
        <v>8</v>
      </c>
      <c r="M570" s="2">
        <f t="shared" ca="1" si="485"/>
        <v>0.53333333333333333</v>
      </c>
      <c r="N570" s="10">
        <f t="shared" si="486"/>
        <v>1</v>
      </c>
      <c r="O570" s="10">
        <f t="shared" si="487"/>
        <v>1</v>
      </c>
      <c r="P570" s="3">
        <f t="shared" si="488"/>
        <v>1</v>
      </c>
      <c r="Q570" s="10">
        <f t="shared" ca="1" si="489"/>
        <v>260</v>
      </c>
      <c r="R570" s="10">
        <f t="shared" ca="1" si="462"/>
        <v>241</v>
      </c>
      <c r="S570" s="4">
        <f t="shared" ca="1" si="490"/>
        <v>0.92692307692307696</v>
      </c>
      <c r="T570" s="478"/>
    </row>
    <row r="571" spans="1:20" x14ac:dyDescent="0.45">
      <c r="A571" s="64">
        <v>42826</v>
      </c>
      <c r="B571" s="14">
        <v>2</v>
      </c>
      <c r="C571" s="10">
        <v>2</v>
      </c>
      <c r="D571" s="1">
        <v>1</v>
      </c>
      <c r="E571" s="10">
        <v>247</v>
      </c>
      <c r="F571" s="10">
        <v>235</v>
      </c>
      <c r="G571" s="2">
        <v>0.95141700404858298</v>
      </c>
      <c r="H571" s="10">
        <f ca="1">COUNTIFS(发射纪录!C:C,"&lt;&gt;-",发射纪录!G:G,"&gt;="&amp;DATE(YEAR(A571),MONTH(A571),1),发射纪录!G:G,"&lt;="&amp;DATE(YEAR(A571),MONTH(A571),DAY(EOMONTH(A571,0))),发射纪录!N:N,"&lt;&gt;")</f>
        <v>0</v>
      </c>
      <c r="I571" s="10">
        <f>COUNTIFS(发射纪录!C:C,"&lt;&gt;-",发射纪录!G:G,"&gt;="&amp;DATE(YEAR(A571),MONTH(A571),1),发射纪录!G:G,"&lt;="&amp;DATE(YEAR(A571),MONTH(A571),DAY(EOMONTH(A571,0))),发射纪录!N:N,"=成功",发射纪录!N:N,"&lt;&gt;")</f>
        <v>0</v>
      </c>
      <c r="J571" s="1" t="str">
        <f t="shared" ca="1" si="482"/>
        <v>-</v>
      </c>
      <c r="K571" s="10">
        <f t="shared" ca="1" si="483"/>
        <v>15</v>
      </c>
      <c r="L571" s="10">
        <f t="shared" ca="1" si="484"/>
        <v>8</v>
      </c>
      <c r="M571" s="2">
        <f t="shared" ca="1" si="485"/>
        <v>0.53333333333333333</v>
      </c>
      <c r="N571" s="10">
        <f t="shared" ca="1" si="486"/>
        <v>2</v>
      </c>
      <c r="O571" s="10">
        <f t="shared" si="487"/>
        <v>2</v>
      </c>
      <c r="P571" s="3">
        <f t="shared" ca="1" si="488"/>
        <v>1</v>
      </c>
      <c r="Q571" s="10">
        <f t="shared" ca="1" si="489"/>
        <v>262</v>
      </c>
      <c r="R571" s="10">
        <f t="shared" ca="1" si="462"/>
        <v>243</v>
      </c>
      <c r="S571" s="4">
        <f t="shared" ca="1" si="490"/>
        <v>0.9274809160305344</v>
      </c>
      <c r="T571" s="478"/>
    </row>
    <row r="572" spans="1:20" x14ac:dyDescent="0.45">
      <c r="A572" s="64">
        <v>42856</v>
      </c>
      <c r="B572" s="14">
        <v>0</v>
      </c>
      <c r="C572" s="10">
        <v>0</v>
      </c>
      <c r="D572" s="1" t="s">
        <v>3</v>
      </c>
      <c r="E572" s="10">
        <v>247</v>
      </c>
      <c r="F572" s="10">
        <v>235</v>
      </c>
      <c r="G572" s="2">
        <v>0.95141700404858298</v>
      </c>
      <c r="H572" s="10">
        <f>COUNTIFS(发射纪录!C:C,"&lt;&gt;-",发射纪录!G:G,"&gt;="&amp;DATE(YEAR(A572),MONTH(A572),1),发射纪录!G:G,"&lt;="&amp;DATE(YEAR(A572),MONTH(A572),DAY(EOMONTH(A572,0))),发射纪录!N:N,"&lt;&gt;")</f>
        <v>0</v>
      </c>
      <c r="I572" s="10">
        <f>COUNTIFS(发射纪录!C:C,"&lt;&gt;-",发射纪录!G:G,"&gt;="&amp;DATE(YEAR(A572),MONTH(A572),1),发射纪录!G:G,"&lt;="&amp;DATE(YEAR(A572),MONTH(A572),DAY(EOMONTH(A572,0))),发射纪录!N:N,"=成功",发射纪录!N:N,"&lt;&gt;")</f>
        <v>0</v>
      </c>
      <c r="J572" s="1" t="str">
        <f t="shared" si="482"/>
        <v>-</v>
      </c>
      <c r="K572" s="10">
        <f t="shared" ca="1" si="483"/>
        <v>15</v>
      </c>
      <c r="L572" s="10">
        <f t="shared" ca="1" si="484"/>
        <v>8</v>
      </c>
      <c r="M572" s="2">
        <f t="shared" ca="1" si="485"/>
        <v>0.53333333333333333</v>
      </c>
      <c r="N572" s="10">
        <f t="shared" si="486"/>
        <v>0</v>
      </c>
      <c r="O572" s="10">
        <f t="shared" si="487"/>
        <v>0</v>
      </c>
      <c r="P572" s="3" t="str">
        <f t="shared" si="488"/>
        <v>-</v>
      </c>
      <c r="Q572" s="10">
        <f t="shared" ca="1" si="489"/>
        <v>262</v>
      </c>
      <c r="R572" s="10">
        <f t="shared" ca="1" si="462"/>
        <v>243</v>
      </c>
      <c r="S572" s="4">
        <f t="shared" ca="1" si="490"/>
        <v>0.9274809160305344</v>
      </c>
      <c r="T572" s="478"/>
    </row>
    <row r="573" spans="1:20" x14ac:dyDescent="0.45">
      <c r="A573" s="64">
        <v>42887</v>
      </c>
      <c r="B573" s="14">
        <v>2</v>
      </c>
      <c r="C573" s="10">
        <v>1</v>
      </c>
      <c r="D573" s="1">
        <v>0.5</v>
      </c>
      <c r="E573" s="10">
        <v>249</v>
      </c>
      <c r="F573" s="10">
        <v>236</v>
      </c>
      <c r="G573" s="2">
        <v>0.94779116465863456</v>
      </c>
      <c r="H573" s="10">
        <f>COUNTIFS(发射纪录!C:C,"&lt;&gt;-",发射纪录!G:G,"&gt;="&amp;DATE(YEAR(A573),MONTH(A573),1),发射纪录!G:G,"&lt;="&amp;DATE(YEAR(A573),MONTH(A573),DAY(EOMONTH(A573,0))),发射纪录!N:N,"&lt;&gt;")</f>
        <v>0</v>
      </c>
      <c r="I573" s="10">
        <f>COUNTIFS(发射纪录!C:C,"&lt;&gt;-",发射纪录!G:G,"&gt;="&amp;DATE(YEAR(A573),MONTH(A573),1),发射纪录!G:G,"&lt;="&amp;DATE(YEAR(A573),MONTH(A573),DAY(EOMONTH(A573,0))),发射纪录!N:N,"=成功",发射纪录!N:N,"&lt;&gt;")</f>
        <v>0</v>
      </c>
      <c r="J573" s="1" t="str">
        <f t="shared" si="482"/>
        <v>-</v>
      </c>
      <c r="K573" s="10">
        <f t="shared" ca="1" si="483"/>
        <v>15</v>
      </c>
      <c r="L573" s="10">
        <f t="shared" ca="1" si="484"/>
        <v>8</v>
      </c>
      <c r="M573" s="2">
        <f t="shared" ca="1" si="485"/>
        <v>0.53333333333333333</v>
      </c>
      <c r="N573" s="10">
        <f t="shared" si="486"/>
        <v>2</v>
      </c>
      <c r="O573" s="10">
        <f t="shared" si="487"/>
        <v>1</v>
      </c>
      <c r="P573" s="3">
        <f t="shared" si="488"/>
        <v>0.5</v>
      </c>
      <c r="Q573" s="10">
        <f t="shared" ca="1" si="489"/>
        <v>264</v>
      </c>
      <c r="R573" s="10">
        <f t="shared" ca="1" si="462"/>
        <v>244</v>
      </c>
      <c r="S573" s="4">
        <f t="shared" ca="1" si="490"/>
        <v>0.9242424242424242</v>
      </c>
      <c r="T573" s="478"/>
    </row>
    <row r="574" spans="1:20" x14ac:dyDescent="0.45">
      <c r="A574" s="64">
        <v>42917</v>
      </c>
      <c r="B574" s="14">
        <v>1</v>
      </c>
      <c r="C574" s="10">
        <v>0</v>
      </c>
      <c r="D574" s="1">
        <v>0</v>
      </c>
      <c r="E574" s="10">
        <v>250</v>
      </c>
      <c r="F574" s="10">
        <v>236</v>
      </c>
      <c r="G574" s="2">
        <v>0.94399999999999995</v>
      </c>
      <c r="H574" s="10">
        <f>COUNTIFS(发射纪录!C:C,"&lt;&gt;-",发射纪录!G:G,"&gt;="&amp;DATE(YEAR(A574),MONTH(A574),1),发射纪录!G:G,"&lt;="&amp;DATE(YEAR(A574),MONTH(A574),DAY(EOMONTH(A574,0))),发射纪录!N:N,"&lt;&gt;")</f>
        <v>0</v>
      </c>
      <c r="I574" s="10">
        <f>COUNTIFS(发射纪录!C:C,"&lt;&gt;-",发射纪录!G:G,"&gt;="&amp;DATE(YEAR(A574),MONTH(A574),1),发射纪录!G:G,"&lt;="&amp;DATE(YEAR(A574),MONTH(A574),DAY(EOMONTH(A574,0))),发射纪录!N:N,"=成功",发射纪录!N:N,"&lt;&gt;")</f>
        <v>0</v>
      </c>
      <c r="J574" s="1" t="str">
        <f t="shared" si="482"/>
        <v>-</v>
      </c>
      <c r="K574" s="10">
        <f t="shared" ca="1" si="483"/>
        <v>15</v>
      </c>
      <c r="L574" s="10">
        <f t="shared" ca="1" si="484"/>
        <v>8</v>
      </c>
      <c r="M574" s="2">
        <f t="shared" ca="1" si="485"/>
        <v>0.53333333333333333</v>
      </c>
      <c r="N574" s="10">
        <f t="shared" si="486"/>
        <v>1</v>
      </c>
      <c r="O574" s="10">
        <f t="shared" si="487"/>
        <v>0</v>
      </c>
      <c r="P574" s="3">
        <f t="shared" si="488"/>
        <v>0</v>
      </c>
      <c r="Q574" s="10">
        <f t="shared" ca="1" si="489"/>
        <v>265</v>
      </c>
      <c r="R574" s="10">
        <f t="shared" ca="1" si="462"/>
        <v>244</v>
      </c>
      <c r="S574" s="4">
        <f t="shared" ca="1" si="490"/>
        <v>0.92075471698113209</v>
      </c>
      <c r="T574" s="478"/>
    </row>
    <row r="575" spans="1:20" x14ac:dyDescent="0.45">
      <c r="A575" s="64">
        <v>42948</v>
      </c>
      <c r="B575" s="14">
        <v>0</v>
      </c>
      <c r="C575" s="10">
        <v>0</v>
      </c>
      <c r="D575" s="1" t="s">
        <v>3</v>
      </c>
      <c r="E575" s="10">
        <v>250</v>
      </c>
      <c r="F575" s="10">
        <v>236</v>
      </c>
      <c r="G575" s="2">
        <v>0.94399999999999995</v>
      </c>
      <c r="H575" s="10">
        <f>COUNTIFS(发射纪录!C:C,"&lt;&gt;-",发射纪录!G:G,"&gt;="&amp;DATE(YEAR(A575),MONTH(A575),1),发射纪录!G:G,"&lt;="&amp;DATE(YEAR(A575),MONTH(A575),DAY(EOMONTH(A575,0))),发射纪录!N:N,"&lt;&gt;")</f>
        <v>0</v>
      </c>
      <c r="I575" s="10">
        <f>COUNTIFS(发射纪录!C:C,"&lt;&gt;-",发射纪录!G:G,"&gt;="&amp;DATE(YEAR(A575),MONTH(A575),1),发射纪录!G:G,"&lt;="&amp;DATE(YEAR(A575),MONTH(A575),DAY(EOMONTH(A575,0))),发射纪录!N:N,"=成功",发射纪录!N:N,"&lt;&gt;")</f>
        <v>0</v>
      </c>
      <c r="J575" s="1" t="str">
        <f t="shared" si="482"/>
        <v>-</v>
      </c>
      <c r="K575" s="10">
        <f t="shared" ca="1" si="483"/>
        <v>15</v>
      </c>
      <c r="L575" s="10">
        <f t="shared" ca="1" si="484"/>
        <v>8</v>
      </c>
      <c r="M575" s="2">
        <f t="shared" ca="1" si="485"/>
        <v>0.53333333333333333</v>
      </c>
      <c r="N575" s="10">
        <f t="shared" si="486"/>
        <v>0</v>
      </c>
      <c r="O575" s="10">
        <f t="shared" si="487"/>
        <v>0</v>
      </c>
      <c r="P575" s="3" t="str">
        <f t="shared" si="488"/>
        <v>-</v>
      </c>
      <c r="Q575" s="10">
        <f t="shared" ca="1" si="489"/>
        <v>265</v>
      </c>
      <c r="R575" s="10">
        <f t="shared" ca="1" si="462"/>
        <v>244</v>
      </c>
      <c r="S575" s="4">
        <f t="shared" ca="1" si="490"/>
        <v>0.92075471698113209</v>
      </c>
      <c r="T575" s="478"/>
    </row>
    <row r="576" spans="1:20" x14ac:dyDescent="0.45">
      <c r="A576" s="64">
        <v>42979</v>
      </c>
      <c r="B576" s="14">
        <v>1</v>
      </c>
      <c r="C576" s="10">
        <v>1</v>
      </c>
      <c r="D576" s="1">
        <v>1</v>
      </c>
      <c r="E576" s="10">
        <v>251</v>
      </c>
      <c r="F576" s="10">
        <v>237</v>
      </c>
      <c r="G576" s="2">
        <v>0.94422310756972117</v>
      </c>
      <c r="H576" s="10">
        <f>COUNTIFS(发射纪录!C:C,"&lt;&gt;-",发射纪录!G:G,"&gt;="&amp;DATE(YEAR(A576),MONTH(A576),1),发射纪录!G:G,"&lt;="&amp;DATE(YEAR(A576),MONTH(A576),DAY(EOMONTH(A576,0))),发射纪录!N:N,"&lt;&gt;")</f>
        <v>0</v>
      </c>
      <c r="I576" s="10">
        <f>COUNTIFS(发射纪录!C:C,"&lt;&gt;-",发射纪录!G:G,"&gt;="&amp;DATE(YEAR(A576),MONTH(A576),1),发射纪录!G:G,"&lt;="&amp;DATE(YEAR(A576),MONTH(A576),DAY(EOMONTH(A576,0))),发射纪录!N:N,"=成功",发射纪录!N:N,"&lt;&gt;")</f>
        <v>0</v>
      </c>
      <c r="J576" s="1" t="str">
        <f t="shared" si="482"/>
        <v>-</v>
      </c>
      <c r="K576" s="10">
        <f t="shared" ca="1" si="483"/>
        <v>15</v>
      </c>
      <c r="L576" s="10">
        <f t="shared" ca="1" si="484"/>
        <v>8</v>
      </c>
      <c r="M576" s="2">
        <f t="shared" ca="1" si="485"/>
        <v>0.53333333333333333</v>
      </c>
      <c r="N576" s="10">
        <f t="shared" si="486"/>
        <v>1</v>
      </c>
      <c r="O576" s="10">
        <f t="shared" si="487"/>
        <v>1</v>
      </c>
      <c r="P576" s="3">
        <f t="shared" si="488"/>
        <v>1</v>
      </c>
      <c r="Q576" s="10">
        <f t="shared" ca="1" si="489"/>
        <v>266</v>
      </c>
      <c r="R576" s="10">
        <f t="shared" ca="1" si="462"/>
        <v>245</v>
      </c>
      <c r="S576" s="4">
        <f t="shared" ca="1" si="490"/>
        <v>0.92105263157894735</v>
      </c>
      <c r="T576" s="478"/>
    </row>
    <row r="577" spans="1:20" x14ac:dyDescent="0.45">
      <c r="A577" s="64">
        <v>43009</v>
      </c>
      <c r="B577" s="14">
        <v>1</v>
      </c>
      <c r="C577" s="10">
        <v>1</v>
      </c>
      <c r="D577" s="1">
        <v>1</v>
      </c>
      <c r="E577" s="10">
        <v>252</v>
      </c>
      <c r="F577" s="10">
        <v>238</v>
      </c>
      <c r="G577" s="2">
        <v>0.94444444444444442</v>
      </c>
      <c r="H577" s="10">
        <f>COUNTIFS(发射纪录!C:C,"&lt;&gt;-",发射纪录!G:G,"&gt;="&amp;DATE(YEAR(A577),MONTH(A577),1),发射纪录!G:G,"&lt;="&amp;DATE(YEAR(A577),MONTH(A577),DAY(EOMONTH(A577,0))),发射纪录!N:N,"&lt;&gt;")</f>
        <v>0</v>
      </c>
      <c r="I577" s="10">
        <f>COUNTIFS(发射纪录!C:C,"&lt;&gt;-",发射纪录!G:G,"&gt;="&amp;DATE(YEAR(A577),MONTH(A577),1),发射纪录!G:G,"&lt;="&amp;DATE(YEAR(A577),MONTH(A577),DAY(EOMONTH(A577,0))),发射纪录!N:N,"=成功",发射纪录!N:N,"&lt;&gt;")</f>
        <v>0</v>
      </c>
      <c r="J577" s="1" t="str">
        <f t="shared" si="482"/>
        <v>-</v>
      </c>
      <c r="K577" s="10">
        <f t="shared" ca="1" si="483"/>
        <v>15</v>
      </c>
      <c r="L577" s="10">
        <f t="shared" ca="1" si="484"/>
        <v>8</v>
      </c>
      <c r="M577" s="2">
        <f t="shared" ca="1" si="485"/>
        <v>0.53333333333333333</v>
      </c>
      <c r="N577" s="10">
        <f t="shared" si="486"/>
        <v>1</v>
      </c>
      <c r="O577" s="10">
        <f t="shared" si="487"/>
        <v>1</v>
      </c>
      <c r="P577" s="3">
        <f t="shared" si="488"/>
        <v>1</v>
      </c>
      <c r="Q577" s="10">
        <f t="shared" ca="1" si="489"/>
        <v>267</v>
      </c>
      <c r="R577" s="10">
        <f t="shared" ca="1" si="462"/>
        <v>246</v>
      </c>
      <c r="S577" s="4">
        <f t="shared" ca="1" si="490"/>
        <v>0.9213483146067416</v>
      </c>
      <c r="T577" s="478"/>
    </row>
    <row r="578" spans="1:20" x14ac:dyDescent="0.45">
      <c r="A578" s="64">
        <v>43040</v>
      </c>
      <c r="B578" s="14">
        <v>4</v>
      </c>
      <c r="C578" s="10">
        <v>4</v>
      </c>
      <c r="D578" s="1">
        <v>1</v>
      </c>
      <c r="E578" s="10">
        <v>256</v>
      </c>
      <c r="F578" s="10">
        <v>242</v>
      </c>
      <c r="G578" s="2">
        <v>0.9453125</v>
      </c>
      <c r="H578" s="10">
        <f>COUNTIFS(发射纪录!C:C,"&lt;&gt;-",发射纪录!G:G,"&gt;="&amp;DATE(YEAR(A578),MONTH(A578),1),发射纪录!G:G,"&lt;="&amp;DATE(YEAR(A578),MONTH(A578),DAY(EOMONTH(A578,0))),发射纪录!N:N,"&lt;&gt;")</f>
        <v>0</v>
      </c>
      <c r="I578" s="10">
        <f>COUNTIFS(发射纪录!C:C,"&lt;&gt;-",发射纪录!G:G,"&gt;="&amp;DATE(YEAR(A578),MONTH(A578),1),发射纪录!G:G,"&lt;="&amp;DATE(YEAR(A578),MONTH(A578),DAY(EOMONTH(A578,0))),发射纪录!N:N,"=成功",发射纪录!N:N,"&lt;&gt;")</f>
        <v>0</v>
      </c>
      <c r="J578" s="1" t="str">
        <f t="shared" si="482"/>
        <v>-</v>
      </c>
      <c r="K578" s="10">
        <f t="shared" ca="1" si="483"/>
        <v>15</v>
      </c>
      <c r="L578" s="10">
        <f t="shared" ca="1" si="484"/>
        <v>8</v>
      </c>
      <c r="M578" s="2">
        <f t="shared" ca="1" si="485"/>
        <v>0.53333333333333333</v>
      </c>
      <c r="N578" s="10">
        <f t="shared" si="486"/>
        <v>4</v>
      </c>
      <c r="O578" s="10">
        <f t="shared" si="487"/>
        <v>4</v>
      </c>
      <c r="P578" s="3">
        <f t="shared" si="488"/>
        <v>1</v>
      </c>
      <c r="Q578" s="10">
        <f t="shared" ca="1" si="489"/>
        <v>271</v>
      </c>
      <c r="R578" s="10">
        <f t="shared" ca="1" si="462"/>
        <v>250</v>
      </c>
      <c r="S578" s="4">
        <f t="shared" ca="1" si="490"/>
        <v>0.92250922509225097</v>
      </c>
      <c r="T578" s="478"/>
    </row>
    <row r="579" spans="1:20" ht="19.5" customHeight="1" thickBot="1" x14ac:dyDescent="0.5">
      <c r="A579" s="65">
        <v>43070</v>
      </c>
      <c r="B579" s="17">
        <v>4</v>
      </c>
      <c r="C579" s="18">
        <v>4</v>
      </c>
      <c r="D579" s="12">
        <v>1</v>
      </c>
      <c r="E579" s="18">
        <v>260</v>
      </c>
      <c r="F579" s="18">
        <v>246</v>
      </c>
      <c r="G579" s="13">
        <v>0.94615384615384612</v>
      </c>
      <c r="H579" s="18">
        <f>COUNTIFS(发射纪录!C:C,"&lt;&gt;-",发射纪录!G:G,"&gt;="&amp;DATE(YEAR(A579),MONTH(A579),1),发射纪录!G:G,"&lt;="&amp;DATE(YEAR(A579),MONTH(A579),DAY(EOMONTH(A579,0))),发射纪录!N:N,"&lt;&gt;")</f>
        <v>0</v>
      </c>
      <c r="I579" s="18">
        <f>COUNTIFS(发射纪录!C:C,"&lt;&gt;-",发射纪录!G:G,"&gt;="&amp;DATE(YEAR(A579),MONTH(A579),1),发射纪录!G:G,"&lt;="&amp;DATE(YEAR(A579),MONTH(A579),DAY(EOMONTH(A579,0))),发射纪录!N:N,"=成功",发射纪录!N:N,"&lt;&gt;")</f>
        <v>0</v>
      </c>
      <c r="J579" s="12" t="str">
        <f>IF(H579=0,"-",I579/H579)</f>
        <v>-</v>
      </c>
      <c r="K579" s="18">
        <f ca="1">K578+H579</f>
        <v>15</v>
      </c>
      <c r="L579" s="18">
        <f ca="1">L578+I579</f>
        <v>8</v>
      </c>
      <c r="M579" s="13">
        <f ca="1">IF(K579=0,"-",L579/K579)</f>
        <v>0.53333333333333333</v>
      </c>
      <c r="N579" s="18">
        <f>B579+H579</f>
        <v>4</v>
      </c>
      <c r="O579" s="18">
        <f>C579+I579</f>
        <v>4</v>
      </c>
      <c r="P579" s="12">
        <f>IF(N579=0,"-",O579/N579)</f>
        <v>1</v>
      </c>
      <c r="Q579" s="18">
        <f ca="1">E579+K579</f>
        <v>275</v>
      </c>
      <c r="R579" s="18">
        <f ca="1">F579+L579</f>
        <v>254</v>
      </c>
      <c r="S579" s="13">
        <f ca="1">IF(Q579=0,"-",R579/Q579)</f>
        <v>0.92363636363636359</v>
      </c>
      <c r="T579" s="478"/>
    </row>
    <row r="580" spans="1:20" ht="19.5" customHeight="1" thickTop="1" x14ac:dyDescent="0.45">
      <c r="A580" s="63">
        <v>43101</v>
      </c>
      <c r="B580" s="14">
        <v>5</v>
      </c>
      <c r="C580" s="10">
        <v>5</v>
      </c>
      <c r="D580" s="3">
        <v>1</v>
      </c>
      <c r="E580" s="10">
        <v>265</v>
      </c>
      <c r="F580" s="10">
        <v>251</v>
      </c>
      <c r="G580" s="4">
        <v>0.94716981132075473</v>
      </c>
      <c r="H580" s="10">
        <f>COUNTIFS(发射纪录!C:C,"&lt;&gt;-",发射纪录!G:G,"&gt;="&amp;DATE(YEAR(A580),MONTH(A580),1),发射纪录!G:G,"&lt;="&amp;DATE(YEAR(A580),MONTH(A580),DAY(EOMONTH(A580,0))),发射纪录!N:N,"&lt;&gt;")</f>
        <v>0</v>
      </c>
      <c r="I580" s="10">
        <f>COUNTIFS(发射纪录!C:C,"&lt;&gt;-",发射纪录!G:G,"&gt;="&amp;DATE(YEAR(A580),MONTH(A580),1),发射纪录!G:G,"&lt;="&amp;DATE(YEAR(A580),MONTH(A580),DAY(EOMONTH(A580,0))),发射纪录!N:N,"=成功",发射纪录!N:N,"&lt;&gt;")</f>
        <v>0</v>
      </c>
      <c r="J580" s="3" t="str">
        <f t="shared" ref="J580:J590" si="491">IF(H580=0,"-",I580/H580)</f>
        <v>-</v>
      </c>
      <c r="K580" s="10">
        <f t="shared" ref="K580:K590" ca="1" si="492">K579+H580</f>
        <v>15</v>
      </c>
      <c r="L580" s="10">
        <f t="shared" ref="L580:L590" ca="1" si="493">L579+I580</f>
        <v>8</v>
      </c>
      <c r="M580" s="4">
        <f t="shared" ref="M580:M590" ca="1" si="494">IF(K580=0,"-",L580/K580)</f>
        <v>0.53333333333333333</v>
      </c>
      <c r="N580" s="10">
        <f t="shared" ref="N580:N590" si="495">B580+H580</f>
        <v>5</v>
      </c>
      <c r="O580" s="10">
        <f t="shared" ref="O580:O590" si="496">C580+I580</f>
        <v>5</v>
      </c>
      <c r="P580" s="3">
        <f t="shared" ref="P580:P590" si="497">IF(N580=0,"-",O580/N580)</f>
        <v>1</v>
      </c>
      <c r="Q580" s="10">
        <f t="shared" ref="Q580:Q590" ca="1" si="498">E580+K580</f>
        <v>280</v>
      </c>
      <c r="R580" s="10">
        <f t="shared" ca="1" si="462"/>
        <v>259</v>
      </c>
      <c r="S580" s="4">
        <f t="shared" ref="S580:S590" ca="1" si="499">IF(Q580=0,"-",R580/Q580)</f>
        <v>0.92500000000000004</v>
      </c>
      <c r="T580" s="478"/>
    </row>
    <row r="581" spans="1:20" x14ac:dyDescent="0.45">
      <c r="A581" s="64">
        <v>43132</v>
      </c>
      <c r="B581" s="14">
        <v>2</v>
      </c>
      <c r="C581" s="10">
        <v>2</v>
      </c>
      <c r="D581" s="1">
        <v>1</v>
      </c>
      <c r="E581" s="10">
        <v>267</v>
      </c>
      <c r="F581" s="10">
        <v>253</v>
      </c>
      <c r="G581" s="2">
        <v>0.94756554307116103</v>
      </c>
      <c r="H581" s="10">
        <f>COUNTIFS(发射纪录!C:C,"&lt;&gt;-",发射纪录!G:G,"&gt;="&amp;DATE(YEAR(A581),MONTH(A581),1),发射纪录!G:G,"&lt;="&amp;DATE(YEAR(A581),MONTH(A581),DAY(EOMONTH(A581,0))),发射纪录!N:N,"&lt;&gt;")</f>
        <v>0</v>
      </c>
      <c r="I581" s="10">
        <f ca="1">COUNTIFS(发射纪录!C:C,"&lt;&gt;-",发射纪录!G:G,"&gt;="&amp;DATE(YEAR(A581),MONTH(A581),1),发射纪录!G:G,"&lt;="&amp;DATE(YEAR(A581),MONTH(A581),DAY(EOMONTH(A581,0))),发射纪录!N:N,"=成功",发射纪录!N:N,"&lt;&gt;")</f>
        <v>0</v>
      </c>
      <c r="J581" s="1" t="str">
        <f t="shared" si="491"/>
        <v>-</v>
      </c>
      <c r="K581" s="10">
        <f t="shared" ca="1" si="492"/>
        <v>15</v>
      </c>
      <c r="L581" s="10">
        <f t="shared" ca="1" si="493"/>
        <v>8</v>
      </c>
      <c r="M581" s="2">
        <f t="shared" ca="1" si="494"/>
        <v>0.53333333333333333</v>
      </c>
      <c r="N581" s="10">
        <f t="shared" si="495"/>
        <v>2</v>
      </c>
      <c r="O581" s="10">
        <f t="shared" ca="1" si="496"/>
        <v>2</v>
      </c>
      <c r="P581" s="3">
        <f t="shared" ca="1" si="497"/>
        <v>1</v>
      </c>
      <c r="Q581" s="10">
        <f t="shared" ca="1" si="498"/>
        <v>282</v>
      </c>
      <c r="R581" s="10">
        <f t="shared" ca="1" si="462"/>
        <v>261</v>
      </c>
      <c r="S581" s="4">
        <f t="shared" ca="1" si="499"/>
        <v>0.92553191489361697</v>
      </c>
      <c r="T581" s="478"/>
    </row>
    <row r="582" spans="1:20" x14ac:dyDescent="0.45">
      <c r="A582" s="64">
        <v>43160</v>
      </c>
      <c r="B582" s="14">
        <v>3</v>
      </c>
      <c r="C582" s="10">
        <v>3</v>
      </c>
      <c r="D582" s="1">
        <v>1</v>
      </c>
      <c r="E582" s="10">
        <v>270</v>
      </c>
      <c r="F582" s="10">
        <v>256</v>
      </c>
      <c r="G582" s="2">
        <v>0.94814814814814818</v>
      </c>
      <c r="H582" s="10">
        <f>COUNTIFS(发射纪录!C:C,"&lt;&gt;-",发射纪录!G:G,"&gt;="&amp;DATE(YEAR(A582),MONTH(A582),1),发射纪录!G:G,"&lt;="&amp;DATE(YEAR(A582),MONTH(A582),DAY(EOMONTH(A582,0))),发射纪录!N:N,"&lt;&gt;")</f>
        <v>0</v>
      </c>
      <c r="I582" s="10">
        <f>COUNTIFS(发射纪录!C:C,"&lt;&gt;-",发射纪录!G:G,"&gt;="&amp;DATE(YEAR(A582),MONTH(A582),1),发射纪录!G:G,"&lt;="&amp;DATE(YEAR(A582),MONTH(A582),DAY(EOMONTH(A582,0))),发射纪录!N:N,"=成功",发射纪录!N:N,"&lt;&gt;")</f>
        <v>0</v>
      </c>
      <c r="J582" s="1" t="str">
        <f t="shared" si="491"/>
        <v>-</v>
      </c>
      <c r="K582" s="10">
        <f t="shared" ca="1" si="492"/>
        <v>15</v>
      </c>
      <c r="L582" s="10">
        <f t="shared" ca="1" si="493"/>
        <v>8</v>
      </c>
      <c r="M582" s="2">
        <f t="shared" ca="1" si="494"/>
        <v>0.53333333333333333</v>
      </c>
      <c r="N582" s="10">
        <f t="shared" si="495"/>
        <v>3</v>
      </c>
      <c r="O582" s="10">
        <f t="shared" si="496"/>
        <v>3</v>
      </c>
      <c r="P582" s="3">
        <f t="shared" si="497"/>
        <v>1</v>
      </c>
      <c r="Q582" s="10">
        <f t="shared" ca="1" si="498"/>
        <v>285</v>
      </c>
      <c r="R582" s="10">
        <f t="shared" ca="1" si="462"/>
        <v>264</v>
      </c>
      <c r="S582" s="4">
        <f t="shared" ca="1" si="499"/>
        <v>0.9263157894736842</v>
      </c>
      <c r="T582" s="478"/>
    </row>
    <row r="583" spans="1:20" x14ac:dyDescent="0.45">
      <c r="A583" s="64">
        <v>43191</v>
      </c>
      <c r="B583" s="14">
        <v>2</v>
      </c>
      <c r="C583" s="10">
        <v>2</v>
      </c>
      <c r="D583" s="1">
        <v>1</v>
      </c>
      <c r="E583" s="10">
        <v>272</v>
      </c>
      <c r="F583" s="10">
        <v>258</v>
      </c>
      <c r="G583" s="2">
        <v>0.94852941176470584</v>
      </c>
      <c r="H583" s="10">
        <f>COUNTIFS(发射纪录!C:C,"&lt;&gt;-",发射纪录!G:G,"&gt;="&amp;DATE(YEAR(A583),MONTH(A583),1),发射纪录!G:G,"&lt;="&amp;DATE(YEAR(A583),MONTH(A583),DAY(EOMONTH(A583,0))),发射纪录!N:N,"&lt;&gt;")</f>
        <v>0</v>
      </c>
      <c r="I583" s="10">
        <f>COUNTIFS(发射纪录!C:C,"&lt;&gt;-",发射纪录!G:G,"&gt;="&amp;DATE(YEAR(A583),MONTH(A583),1),发射纪录!G:G,"&lt;="&amp;DATE(YEAR(A583),MONTH(A583),DAY(EOMONTH(A583,0))),发射纪录!N:N,"=成功",发射纪录!N:N,"&lt;&gt;")</f>
        <v>0</v>
      </c>
      <c r="J583" s="1" t="str">
        <f t="shared" si="491"/>
        <v>-</v>
      </c>
      <c r="K583" s="10">
        <f t="shared" ca="1" si="492"/>
        <v>15</v>
      </c>
      <c r="L583" s="10">
        <f t="shared" ca="1" si="493"/>
        <v>8</v>
      </c>
      <c r="M583" s="2">
        <f t="shared" ca="1" si="494"/>
        <v>0.53333333333333333</v>
      </c>
      <c r="N583" s="10">
        <f t="shared" si="495"/>
        <v>2</v>
      </c>
      <c r="O583" s="10">
        <f t="shared" si="496"/>
        <v>2</v>
      </c>
      <c r="P583" s="3">
        <f t="shared" si="497"/>
        <v>1</v>
      </c>
      <c r="Q583" s="10">
        <f t="shared" ca="1" si="498"/>
        <v>287</v>
      </c>
      <c r="R583" s="10">
        <f t="shared" ca="1" si="462"/>
        <v>266</v>
      </c>
      <c r="S583" s="4">
        <f t="shared" ca="1" si="499"/>
        <v>0.92682926829268297</v>
      </c>
      <c r="T583" s="478"/>
    </row>
    <row r="584" spans="1:20" x14ac:dyDescent="0.45">
      <c r="A584" s="64">
        <v>43221</v>
      </c>
      <c r="B584" s="14">
        <v>3</v>
      </c>
      <c r="C584" s="10">
        <v>3</v>
      </c>
      <c r="D584" s="1">
        <v>1</v>
      </c>
      <c r="E584" s="10">
        <v>275</v>
      </c>
      <c r="F584" s="10">
        <v>261</v>
      </c>
      <c r="G584" s="2">
        <v>0.9490909090909091</v>
      </c>
      <c r="H584" s="10">
        <f>COUNTIFS(发射纪录!C:C,"&lt;&gt;-",发射纪录!G:G,"&gt;="&amp;DATE(YEAR(A584),MONTH(A584),1),发射纪录!G:G,"&lt;="&amp;DATE(YEAR(A584),MONTH(A584),DAY(EOMONTH(A584,0))),发射纪录!N:N,"&lt;&gt;")</f>
        <v>0</v>
      </c>
      <c r="I584" s="10">
        <f>COUNTIFS(发射纪录!C:C,"&lt;&gt;-",发射纪录!G:G,"&gt;="&amp;DATE(YEAR(A584),MONTH(A584),1),发射纪录!G:G,"&lt;="&amp;DATE(YEAR(A584),MONTH(A584),DAY(EOMONTH(A584,0))),发射纪录!N:N,"=成功",发射纪录!N:N,"&lt;&gt;")</f>
        <v>0</v>
      </c>
      <c r="J584" s="1" t="str">
        <f t="shared" si="491"/>
        <v>-</v>
      </c>
      <c r="K584" s="10">
        <f t="shared" ca="1" si="492"/>
        <v>15</v>
      </c>
      <c r="L584" s="10">
        <f t="shared" ca="1" si="493"/>
        <v>8</v>
      </c>
      <c r="M584" s="2">
        <f t="shared" ca="1" si="494"/>
        <v>0.53333333333333333</v>
      </c>
      <c r="N584" s="10">
        <f t="shared" si="495"/>
        <v>3</v>
      </c>
      <c r="O584" s="10">
        <f t="shared" si="496"/>
        <v>3</v>
      </c>
      <c r="P584" s="3">
        <f t="shared" si="497"/>
        <v>1</v>
      </c>
      <c r="Q584" s="10">
        <f t="shared" ca="1" si="498"/>
        <v>290</v>
      </c>
      <c r="R584" s="10">
        <f t="shared" ref="R584:R590" ca="1" si="500">F584+L584</f>
        <v>269</v>
      </c>
      <c r="S584" s="4">
        <f t="shared" ca="1" si="499"/>
        <v>0.92758620689655169</v>
      </c>
      <c r="T584" s="478"/>
    </row>
    <row r="585" spans="1:20" x14ac:dyDescent="0.45">
      <c r="A585" s="64">
        <v>43252</v>
      </c>
      <c r="B585" s="14">
        <v>3</v>
      </c>
      <c r="C585" s="10">
        <v>3</v>
      </c>
      <c r="D585" s="1">
        <v>1</v>
      </c>
      <c r="E585" s="10">
        <v>278</v>
      </c>
      <c r="F585" s="10">
        <v>264</v>
      </c>
      <c r="G585" s="2">
        <v>0.94964028776978415</v>
      </c>
      <c r="H585" s="10">
        <f>COUNTIFS(发射纪录!C:C,"&lt;&gt;-",发射纪录!G:G,"&gt;="&amp;DATE(YEAR(A585),MONTH(A585),1),发射纪录!G:G,"&lt;="&amp;DATE(YEAR(A585),MONTH(A585),DAY(EOMONTH(A585,0))),发射纪录!N:N,"&lt;&gt;")</f>
        <v>0</v>
      </c>
      <c r="I585" s="10">
        <f>COUNTIFS(发射纪录!C:C,"&lt;&gt;-",发射纪录!G:G,"&gt;="&amp;DATE(YEAR(A585),MONTH(A585),1),发射纪录!G:G,"&lt;="&amp;DATE(YEAR(A585),MONTH(A585),DAY(EOMONTH(A585,0))),发射纪录!N:N,"=成功",发射纪录!N:N,"&lt;&gt;")</f>
        <v>0</v>
      </c>
      <c r="J585" s="1" t="str">
        <f t="shared" si="491"/>
        <v>-</v>
      </c>
      <c r="K585" s="10">
        <f t="shared" ca="1" si="492"/>
        <v>15</v>
      </c>
      <c r="L585" s="10">
        <f t="shared" ca="1" si="493"/>
        <v>8</v>
      </c>
      <c r="M585" s="2">
        <f t="shared" ca="1" si="494"/>
        <v>0.53333333333333333</v>
      </c>
      <c r="N585" s="10">
        <f t="shared" si="495"/>
        <v>3</v>
      </c>
      <c r="O585" s="10">
        <f t="shared" si="496"/>
        <v>3</v>
      </c>
      <c r="P585" s="3">
        <f t="shared" si="497"/>
        <v>1</v>
      </c>
      <c r="Q585" s="10">
        <f t="shared" ca="1" si="498"/>
        <v>293</v>
      </c>
      <c r="R585" s="10">
        <f t="shared" ca="1" si="500"/>
        <v>272</v>
      </c>
      <c r="S585" s="4">
        <f t="shared" ca="1" si="499"/>
        <v>0.92832764505119458</v>
      </c>
      <c r="T585" s="478"/>
    </row>
    <row r="586" spans="1:20" x14ac:dyDescent="0.45">
      <c r="A586" s="64">
        <v>43282</v>
      </c>
      <c r="B586" s="14">
        <v>4</v>
      </c>
      <c r="C586" s="10">
        <v>4</v>
      </c>
      <c r="D586" s="1">
        <v>1</v>
      </c>
      <c r="E586" s="10">
        <v>282</v>
      </c>
      <c r="F586" s="10">
        <v>268</v>
      </c>
      <c r="G586" s="2">
        <v>0.95035460992907805</v>
      </c>
      <c r="H586" s="10">
        <f>COUNTIFS(发射纪录!C:C,"&lt;&gt;-",发射纪录!G:G,"&gt;="&amp;DATE(YEAR(A586),MONTH(A586),1),发射纪录!G:G,"&lt;="&amp;DATE(YEAR(A586),MONTH(A586),DAY(EOMONTH(A586,0))),发射纪录!N:N,"&lt;&gt;")</f>
        <v>0</v>
      </c>
      <c r="I586" s="10">
        <f>COUNTIFS(发射纪录!C:C,"&lt;&gt;-",发射纪录!G:G,"&gt;="&amp;DATE(YEAR(A586),MONTH(A586),1),发射纪录!G:G,"&lt;="&amp;DATE(YEAR(A586),MONTH(A586),DAY(EOMONTH(A586,0))),发射纪录!N:N,"=成功",发射纪录!N:N,"&lt;&gt;")</f>
        <v>0</v>
      </c>
      <c r="J586" s="1" t="str">
        <f t="shared" si="491"/>
        <v>-</v>
      </c>
      <c r="K586" s="10">
        <f t="shared" ca="1" si="492"/>
        <v>15</v>
      </c>
      <c r="L586" s="10">
        <f t="shared" ca="1" si="493"/>
        <v>8</v>
      </c>
      <c r="M586" s="2">
        <f t="shared" ca="1" si="494"/>
        <v>0.53333333333333333</v>
      </c>
      <c r="N586" s="10">
        <f t="shared" si="495"/>
        <v>4</v>
      </c>
      <c r="O586" s="10">
        <f t="shared" si="496"/>
        <v>4</v>
      </c>
      <c r="P586" s="3">
        <f t="shared" si="497"/>
        <v>1</v>
      </c>
      <c r="Q586" s="10">
        <f t="shared" ca="1" si="498"/>
        <v>297</v>
      </c>
      <c r="R586" s="10">
        <f t="shared" ca="1" si="500"/>
        <v>276</v>
      </c>
      <c r="S586" s="4">
        <f t="shared" ca="1" si="499"/>
        <v>0.92929292929292928</v>
      </c>
      <c r="T586" s="478"/>
    </row>
    <row r="587" spans="1:20" x14ac:dyDescent="0.45">
      <c r="A587" s="64">
        <v>43313</v>
      </c>
      <c r="B587" s="14">
        <v>1</v>
      </c>
      <c r="C587" s="10">
        <v>1</v>
      </c>
      <c r="D587" s="1">
        <v>1</v>
      </c>
      <c r="E587" s="10">
        <v>283</v>
      </c>
      <c r="F587" s="10">
        <v>269</v>
      </c>
      <c r="G587" s="2">
        <v>0.95053003533568903</v>
      </c>
      <c r="H587" s="10">
        <f>COUNTIFS(发射纪录!C:C,"&lt;&gt;-",发射纪录!G:G,"&gt;="&amp;DATE(YEAR(A587),MONTH(A587),1),发射纪录!G:G,"&lt;="&amp;DATE(YEAR(A587),MONTH(A587),DAY(EOMONTH(A587,0))),发射纪录!N:N,"&lt;&gt;")</f>
        <v>0</v>
      </c>
      <c r="I587" s="10">
        <f>COUNTIFS(发射纪录!C:C,"&lt;&gt;-",发射纪录!G:G,"&gt;="&amp;DATE(YEAR(A587),MONTH(A587),1),发射纪录!G:G,"&lt;="&amp;DATE(YEAR(A587),MONTH(A587),DAY(EOMONTH(A587,0))),发射纪录!N:N,"=成功",发射纪录!N:N,"&lt;&gt;")</f>
        <v>0</v>
      </c>
      <c r="J587" s="1" t="str">
        <f t="shared" si="491"/>
        <v>-</v>
      </c>
      <c r="K587" s="10">
        <f t="shared" ca="1" si="492"/>
        <v>15</v>
      </c>
      <c r="L587" s="10">
        <f t="shared" ca="1" si="493"/>
        <v>8</v>
      </c>
      <c r="M587" s="2">
        <f t="shared" ca="1" si="494"/>
        <v>0.53333333333333333</v>
      </c>
      <c r="N587" s="10">
        <f t="shared" si="495"/>
        <v>1</v>
      </c>
      <c r="O587" s="10">
        <f t="shared" si="496"/>
        <v>1</v>
      </c>
      <c r="P587" s="3">
        <f t="shared" si="497"/>
        <v>1</v>
      </c>
      <c r="Q587" s="10">
        <f t="shared" ca="1" si="498"/>
        <v>298</v>
      </c>
      <c r="R587" s="10">
        <f t="shared" ca="1" si="500"/>
        <v>277</v>
      </c>
      <c r="S587" s="4">
        <f t="shared" ca="1" si="499"/>
        <v>0.92953020134228193</v>
      </c>
      <c r="T587" s="478"/>
    </row>
    <row r="588" spans="1:20" x14ac:dyDescent="0.45">
      <c r="A588" s="64">
        <v>43344</v>
      </c>
      <c r="B588" s="14">
        <v>2</v>
      </c>
      <c r="C588" s="10">
        <v>2</v>
      </c>
      <c r="D588" s="1">
        <v>1</v>
      </c>
      <c r="E588" s="10">
        <v>285</v>
      </c>
      <c r="F588" s="10">
        <v>271</v>
      </c>
      <c r="G588" s="2">
        <v>0.9508771929824561</v>
      </c>
      <c r="H588" s="10">
        <f>COUNTIFS(发射纪录!C:C,"&lt;&gt;-",发射纪录!G:G,"&gt;="&amp;DATE(YEAR(A588),MONTH(A588),1),发射纪录!G:G,"&lt;="&amp;DATE(YEAR(A588),MONTH(A588),DAY(EOMONTH(A588,0))),发射纪录!N:N,"&lt;&gt;")</f>
        <v>1</v>
      </c>
      <c r="I588" s="10">
        <f>COUNTIFS(发射纪录!C:C,"&lt;&gt;-",发射纪录!G:G,"&gt;="&amp;DATE(YEAR(A588),MONTH(A588),1),发射纪录!G:G,"&lt;="&amp;DATE(YEAR(A588),MONTH(A588),DAY(EOMONTH(A588,0))),发射纪录!N:N,"=成功",发射纪录!N:N,"&lt;&gt;")</f>
        <v>1</v>
      </c>
      <c r="J588" s="1">
        <f t="shared" si="491"/>
        <v>1</v>
      </c>
      <c r="K588" s="10">
        <f t="shared" ca="1" si="492"/>
        <v>16</v>
      </c>
      <c r="L588" s="10">
        <f t="shared" ca="1" si="493"/>
        <v>9</v>
      </c>
      <c r="M588" s="2">
        <f t="shared" ca="1" si="494"/>
        <v>0.5625</v>
      </c>
      <c r="N588" s="10">
        <f t="shared" si="495"/>
        <v>3</v>
      </c>
      <c r="O588" s="10">
        <f t="shared" si="496"/>
        <v>3</v>
      </c>
      <c r="P588" s="3">
        <f t="shared" si="497"/>
        <v>1</v>
      </c>
      <c r="Q588" s="10">
        <f t="shared" ca="1" si="498"/>
        <v>301</v>
      </c>
      <c r="R588" s="10">
        <f t="shared" ca="1" si="500"/>
        <v>280</v>
      </c>
      <c r="S588" s="4">
        <f t="shared" ca="1" si="499"/>
        <v>0.93023255813953487</v>
      </c>
      <c r="T588" s="478"/>
    </row>
    <row r="589" spans="1:20" x14ac:dyDescent="0.45">
      <c r="A589" s="64">
        <v>43374</v>
      </c>
      <c r="B589" s="14">
        <v>4</v>
      </c>
      <c r="C589" s="10">
        <v>4</v>
      </c>
      <c r="D589" s="1">
        <v>1</v>
      </c>
      <c r="E589" s="10">
        <v>289</v>
      </c>
      <c r="F589" s="10">
        <v>275</v>
      </c>
      <c r="G589" s="2">
        <v>0.95155709342560557</v>
      </c>
      <c r="H589" s="10">
        <f>COUNTIFS(发射纪录!C:C,"&lt;&gt;-",发射纪录!G:G,"&gt;="&amp;DATE(YEAR(A589),MONTH(A589),1),发射纪录!G:G,"&lt;="&amp;DATE(YEAR(A589),MONTH(A589),DAY(EOMONTH(A589,0))),发射纪录!N:N,"&lt;&gt;")</f>
        <v>1</v>
      </c>
      <c r="I589" s="10">
        <f>COUNTIFS(发射纪录!C:C,"&lt;&gt;-",发射纪录!G:G,"&gt;="&amp;DATE(YEAR(A589),MONTH(A589),1),发射纪录!G:G,"&lt;="&amp;DATE(YEAR(A589),MONTH(A589),DAY(EOMONTH(A589,0))),发射纪录!N:N,"=成功",发射纪录!N:N,"&lt;&gt;")</f>
        <v>0</v>
      </c>
      <c r="J589" s="1">
        <f t="shared" si="491"/>
        <v>0</v>
      </c>
      <c r="K589" s="10">
        <f t="shared" ca="1" si="492"/>
        <v>17</v>
      </c>
      <c r="L589" s="10">
        <f t="shared" ca="1" si="493"/>
        <v>9</v>
      </c>
      <c r="M589" s="2">
        <f t="shared" ca="1" si="494"/>
        <v>0.52941176470588236</v>
      </c>
      <c r="N589" s="10">
        <f t="shared" si="495"/>
        <v>5</v>
      </c>
      <c r="O589" s="10">
        <f t="shared" si="496"/>
        <v>4</v>
      </c>
      <c r="P589" s="3">
        <f t="shared" si="497"/>
        <v>0.8</v>
      </c>
      <c r="Q589" s="10">
        <f t="shared" ca="1" si="498"/>
        <v>306</v>
      </c>
      <c r="R589" s="10">
        <f t="shared" ca="1" si="500"/>
        <v>284</v>
      </c>
      <c r="S589" s="4">
        <f t="shared" ca="1" si="499"/>
        <v>0.92810457516339873</v>
      </c>
      <c r="T589" s="478"/>
    </row>
    <row r="590" spans="1:20" x14ac:dyDescent="0.45">
      <c r="A590" s="64">
        <v>43405</v>
      </c>
      <c r="B590" s="14">
        <v>3</v>
      </c>
      <c r="C590" s="10">
        <v>3</v>
      </c>
      <c r="D590" s="1">
        <v>1</v>
      </c>
      <c r="E590" s="10">
        <v>292</v>
      </c>
      <c r="F590" s="10">
        <v>278</v>
      </c>
      <c r="G590" s="2">
        <v>0.95205479452054798</v>
      </c>
      <c r="H590" s="10">
        <f>COUNTIFS(发射纪录!C:C,"&lt;&gt;-",发射纪录!G:G,"&gt;="&amp;DATE(YEAR(A590),MONTH(A590),1),发射纪录!G:G,"&lt;="&amp;DATE(YEAR(A590),MONTH(A590),DAY(EOMONTH(A590,0))),发射纪录!N:N,"&lt;&gt;")</f>
        <v>0</v>
      </c>
      <c r="I590" s="10">
        <f>COUNTIFS(发射纪录!C:C,"&lt;&gt;-",发射纪录!G:G,"&gt;="&amp;DATE(YEAR(A590),MONTH(A590),1),发射纪录!G:G,"&lt;="&amp;DATE(YEAR(A590),MONTH(A590),DAY(EOMONTH(A590,0))),发射纪录!N:N,"=成功",发射纪录!N:N,"&lt;&gt;")</f>
        <v>0</v>
      </c>
      <c r="J590" s="1" t="str">
        <f t="shared" si="491"/>
        <v>-</v>
      </c>
      <c r="K590" s="10">
        <f t="shared" ca="1" si="492"/>
        <v>17</v>
      </c>
      <c r="L590" s="10">
        <f t="shared" ca="1" si="493"/>
        <v>9</v>
      </c>
      <c r="M590" s="2">
        <f t="shared" ca="1" si="494"/>
        <v>0.52941176470588236</v>
      </c>
      <c r="N590" s="10">
        <f t="shared" si="495"/>
        <v>3</v>
      </c>
      <c r="O590" s="10">
        <f t="shared" si="496"/>
        <v>3</v>
      </c>
      <c r="P590" s="3">
        <f t="shared" si="497"/>
        <v>1</v>
      </c>
      <c r="Q590" s="10">
        <f t="shared" ca="1" si="498"/>
        <v>309</v>
      </c>
      <c r="R590" s="10">
        <f t="shared" ca="1" si="500"/>
        <v>287</v>
      </c>
      <c r="S590" s="4">
        <f t="shared" ca="1" si="499"/>
        <v>0.92880258899676371</v>
      </c>
      <c r="T590" s="478"/>
    </row>
    <row r="591" spans="1:20" ht="19.5" customHeight="1" thickBot="1" x14ac:dyDescent="0.5">
      <c r="A591" s="65">
        <v>43435</v>
      </c>
      <c r="B591" s="17">
        <v>5</v>
      </c>
      <c r="C591" s="18">
        <v>5</v>
      </c>
      <c r="D591" s="12">
        <v>1</v>
      </c>
      <c r="E591" s="18">
        <v>297</v>
      </c>
      <c r="F591" s="18">
        <v>283</v>
      </c>
      <c r="G591" s="13">
        <v>0.95286195286195285</v>
      </c>
      <c r="H591" s="18">
        <f>COUNTIFS(发射纪录!C:C,"&lt;&gt;-",发射纪录!G:G,"&gt;="&amp;DATE(YEAR(A591),MONTH(A591),1),发射纪录!G:G,"&lt;="&amp;DATE(YEAR(A591),MONTH(A591),DAY(EOMONTH(A591,0))),发射纪录!N:N,"&lt;&gt;")</f>
        <v>0</v>
      </c>
      <c r="I591" s="18">
        <f>COUNTIFS(发射纪录!C:C,"&lt;&gt;-",发射纪录!G:G,"&gt;="&amp;DATE(YEAR(A591),MONTH(A591),1),发射纪录!G:G,"&lt;="&amp;DATE(YEAR(A591),MONTH(A591),DAY(EOMONTH(A591,0))),发射纪录!N:N,"=成功",发射纪录!N:N,"&lt;&gt;")</f>
        <v>0</v>
      </c>
      <c r="J591" s="12" t="str">
        <f>IF(H591=0,"-",I591/H591)</f>
        <v>-</v>
      </c>
      <c r="K591" s="18">
        <f ca="1">K590+H591</f>
        <v>17</v>
      </c>
      <c r="L591" s="18">
        <f ca="1">L590+I591</f>
        <v>9</v>
      </c>
      <c r="M591" s="13">
        <f ca="1">IF(K591=0,"-",L591/K591)</f>
        <v>0.52941176470588236</v>
      </c>
      <c r="N591" s="18">
        <f>B591+H591</f>
        <v>5</v>
      </c>
      <c r="O591" s="18">
        <f>C591+I591</f>
        <v>5</v>
      </c>
      <c r="P591" s="12">
        <f>IF(N591=0,"-",O591/N591)</f>
        <v>1</v>
      </c>
      <c r="Q591" s="18">
        <f ca="1">E591+K591</f>
        <v>314</v>
      </c>
      <c r="R591" s="18">
        <f ca="1">F591+L591</f>
        <v>292</v>
      </c>
      <c r="S591" s="13">
        <f ca="1">IF(Q591=0,"-",R591/Q591)</f>
        <v>0.92993630573248409</v>
      </c>
      <c r="T591" s="478"/>
    </row>
    <row r="592" spans="1:20" ht="19.5" customHeight="1" thickTop="1" x14ac:dyDescent="0.45">
      <c r="A592" s="63">
        <v>43466</v>
      </c>
      <c r="B592" s="14">
        <v>2</v>
      </c>
      <c r="C592" s="10">
        <v>2</v>
      </c>
      <c r="D592" s="3">
        <v>1</v>
      </c>
      <c r="E592" s="10">
        <v>299</v>
      </c>
      <c r="F592" s="10">
        <v>285</v>
      </c>
      <c r="G592" s="4">
        <v>0.95317725752508364</v>
      </c>
      <c r="H592" s="10">
        <f>COUNTIFS(发射纪录!C:C,"&lt;&gt;-",发射纪录!G:G,"&gt;="&amp;DATE(YEAR(A592),MONTH(A592),1),发射纪录!G:G,"&lt;="&amp;DATE(YEAR(A592),MONTH(A592),DAY(EOMONTH(A592,0))),发射纪录!N:N,"&lt;&gt;")</f>
        <v>0</v>
      </c>
      <c r="I592" s="10">
        <f>COUNTIFS(发射纪录!C:C,"&lt;&gt;-",发射纪录!G:G,"&gt;="&amp;DATE(YEAR(A592),MONTH(A592),1),发射纪录!G:G,"&lt;="&amp;DATE(YEAR(A592),MONTH(A592),DAY(EOMONTH(A592,0))),发射纪录!N:N,"=成功",发射纪录!N:N,"&lt;&gt;")</f>
        <v>0</v>
      </c>
      <c r="J592" s="3" t="str">
        <f t="shared" ref="J592:J602" si="501">IF(H592=0,"-",I592/H592)</f>
        <v>-</v>
      </c>
      <c r="K592" s="10">
        <f t="shared" ref="K592:K602" ca="1" si="502">K591+H592</f>
        <v>17</v>
      </c>
      <c r="L592" s="10">
        <f t="shared" ref="L592:L602" ca="1" si="503">L591+I592</f>
        <v>9</v>
      </c>
      <c r="M592" s="4">
        <f t="shared" ref="M592:M602" ca="1" si="504">IF(K592=0,"-",L592/K592)</f>
        <v>0.52941176470588236</v>
      </c>
      <c r="N592" s="10">
        <f t="shared" ref="N592:N602" si="505">B592+H592</f>
        <v>2</v>
      </c>
      <c r="O592" s="10">
        <f t="shared" ref="O592:O602" si="506">C592+I592</f>
        <v>2</v>
      </c>
      <c r="P592" s="3">
        <f t="shared" ref="P592:P602" si="507">IF(N592=0,"-",O592/N592)</f>
        <v>1</v>
      </c>
      <c r="Q592" s="10">
        <f t="shared" ref="Q592:Q602" ca="1" si="508">E592+K592</f>
        <v>316</v>
      </c>
      <c r="R592" s="10">
        <f t="shared" ref="R592:R626" ca="1" si="509">F592+L592</f>
        <v>294</v>
      </c>
      <c r="S592" s="4">
        <f t="shared" ref="S592:S602" ca="1" si="510">IF(Q592=0,"-",R592/Q592)</f>
        <v>0.930379746835443</v>
      </c>
      <c r="T592" s="478"/>
    </row>
    <row r="593" spans="1:22" x14ac:dyDescent="0.45">
      <c r="A593" s="64">
        <v>43497</v>
      </c>
      <c r="B593" s="14">
        <v>0</v>
      </c>
      <c r="C593" s="10">
        <v>0</v>
      </c>
      <c r="D593" s="1" t="s">
        <v>3</v>
      </c>
      <c r="E593" s="10">
        <v>299</v>
      </c>
      <c r="F593" s="10">
        <v>285</v>
      </c>
      <c r="G593" s="2">
        <v>0.95317725752508364</v>
      </c>
      <c r="H593" s="10">
        <f>COUNTIFS(发射纪录!C:C,"&lt;&gt;-",发射纪录!G:G,"&gt;="&amp;DATE(YEAR(A593),MONTH(A593),1),发射纪录!G:G,"&lt;="&amp;DATE(YEAR(A593),MONTH(A593),DAY(EOMONTH(A593,0))),发射纪录!N:N,"&lt;&gt;")</f>
        <v>0</v>
      </c>
      <c r="I593" s="10">
        <f>COUNTIFS(发射纪录!C:C,"&lt;&gt;-",发射纪录!G:G,"&gt;="&amp;DATE(YEAR(A593),MONTH(A593),1),发射纪录!G:G,"&lt;="&amp;DATE(YEAR(A593),MONTH(A593),DAY(EOMONTH(A593,0))),发射纪录!N:N,"=成功",发射纪录!N:N,"&lt;&gt;")</f>
        <v>0</v>
      </c>
      <c r="J593" s="1" t="str">
        <f t="shared" si="501"/>
        <v>-</v>
      </c>
      <c r="K593" s="10">
        <f t="shared" ca="1" si="502"/>
        <v>17</v>
      </c>
      <c r="L593" s="10">
        <f t="shared" ca="1" si="503"/>
        <v>9</v>
      </c>
      <c r="M593" s="2">
        <f t="shared" ca="1" si="504"/>
        <v>0.52941176470588236</v>
      </c>
      <c r="N593" s="10">
        <f t="shared" si="505"/>
        <v>0</v>
      </c>
      <c r="O593" s="10">
        <f t="shared" si="506"/>
        <v>0</v>
      </c>
      <c r="P593" s="3" t="str">
        <f t="shared" si="507"/>
        <v>-</v>
      </c>
      <c r="Q593" s="10">
        <f t="shared" ca="1" si="508"/>
        <v>316</v>
      </c>
      <c r="R593" s="10">
        <f t="shared" ca="1" si="509"/>
        <v>294</v>
      </c>
      <c r="S593" s="4">
        <f t="shared" ca="1" si="510"/>
        <v>0.930379746835443</v>
      </c>
      <c r="T593" s="478"/>
    </row>
    <row r="594" spans="1:22" x14ac:dyDescent="0.45">
      <c r="A594" s="64">
        <v>43525</v>
      </c>
      <c r="B594" s="14">
        <v>2</v>
      </c>
      <c r="C594" s="10">
        <v>2</v>
      </c>
      <c r="D594" s="1">
        <v>1</v>
      </c>
      <c r="E594" s="10">
        <v>301</v>
      </c>
      <c r="F594" s="10">
        <v>287</v>
      </c>
      <c r="G594" s="2">
        <v>0.95348837209302328</v>
      </c>
      <c r="H594" s="10">
        <f>COUNTIFS(发射纪录!C:C,"&lt;&gt;-",发射纪录!G:G,"&gt;="&amp;DATE(YEAR(A594),MONTH(A594),1),发射纪录!G:G,"&lt;="&amp;DATE(YEAR(A594),MONTH(A594),DAY(EOMONTH(A594,0))),发射纪录!N:N,"&lt;&gt;")</f>
        <v>1</v>
      </c>
      <c r="I594" s="10">
        <f>COUNTIFS(发射纪录!C:C,"&lt;&gt;-",发射纪录!G:G,"&gt;="&amp;DATE(YEAR(A594),MONTH(A594),1),发射纪录!G:G,"&lt;="&amp;DATE(YEAR(A594),MONTH(A594),DAY(EOMONTH(A594,0))),发射纪录!N:N,"=成功",发射纪录!N:N,"&lt;&gt;")</f>
        <v>0</v>
      </c>
      <c r="J594" s="1">
        <f t="shared" si="501"/>
        <v>0</v>
      </c>
      <c r="K594" s="10">
        <f t="shared" ca="1" si="502"/>
        <v>18</v>
      </c>
      <c r="L594" s="10">
        <f t="shared" ca="1" si="503"/>
        <v>9</v>
      </c>
      <c r="M594" s="2">
        <f t="shared" ca="1" si="504"/>
        <v>0.5</v>
      </c>
      <c r="N594" s="10">
        <f t="shared" si="505"/>
        <v>3</v>
      </c>
      <c r="O594" s="10">
        <f t="shared" si="506"/>
        <v>2</v>
      </c>
      <c r="P594" s="3">
        <f t="shared" si="507"/>
        <v>0.66666666666666663</v>
      </c>
      <c r="Q594" s="10">
        <f t="shared" ca="1" si="508"/>
        <v>319</v>
      </c>
      <c r="R594" s="10">
        <f t="shared" ca="1" si="509"/>
        <v>296</v>
      </c>
      <c r="S594" s="4">
        <f t="shared" ca="1" si="510"/>
        <v>0.92789968652037613</v>
      </c>
      <c r="T594" s="478"/>
    </row>
    <row r="595" spans="1:22" x14ac:dyDescent="0.45">
      <c r="A595" s="64">
        <v>43556</v>
      </c>
      <c r="B595" s="14">
        <v>2</v>
      </c>
      <c r="C595" s="10">
        <v>2</v>
      </c>
      <c r="D595" s="1">
        <v>1</v>
      </c>
      <c r="E595" s="10">
        <v>303</v>
      </c>
      <c r="F595" s="10">
        <v>289</v>
      </c>
      <c r="G595" s="2">
        <v>0.95379537953795379</v>
      </c>
      <c r="H595" s="10">
        <f>COUNTIFS(发射纪录!C:C,"&lt;&gt;-",发射纪录!G:G,"&gt;="&amp;DATE(YEAR(A595),MONTH(A595),1),发射纪录!G:G,"&lt;="&amp;DATE(YEAR(A595),MONTH(A595),DAY(EOMONTH(A595,0))),发射纪录!N:N,"&lt;&gt;")</f>
        <v>0</v>
      </c>
      <c r="I595" s="10">
        <f>COUNTIFS(发射纪录!C:C,"&lt;&gt;-",发射纪录!G:G,"&gt;="&amp;DATE(YEAR(A595),MONTH(A595),1),发射纪录!G:G,"&lt;="&amp;DATE(YEAR(A595),MONTH(A595),DAY(EOMONTH(A595,0))),发射纪录!N:N,"=成功",发射纪录!N:N,"&lt;&gt;")</f>
        <v>0</v>
      </c>
      <c r="J595" s="1" t="str">
        <f t="shared" si="501"/>
        <v>-</v>
      </c>
      <c r="K595" s="10">
        <f t="shared" ca="1" si="502"/>
        <v>18</v>
      </c>
      <c r="L595" s="10">
        <f t="shared" ca="1" si="503"/>
        <v>9</v>
      </c>
      <c r="M595" s="2">
        <f t="shared" ca="1" si="504"/>
        <v>0.5</v>
      </c>
      <c r="N595" s="10">
        <f t="shared" si="505"/>
        <v>2</v>
      </c>
      <c r="O595" s="10">
        <f t="shared" si="506"/>
        <v>2</v>
      </c>
      <c r="P595" s="3">
        <f t="shared" si="507"/>
        <v>1</v>
      </c>
      <c r="Q595" s="10">
        <f t="shared" ca="1" si="508"/>
        <v>321</v>
      </c>
      <c r="R595" s="10">
        <f t="shared" ca="1" si="509"/>
        <v>298</v>
      </c>
      <c r="S595" s="4">
        <f t="shared" ca="1" si="510"/>
        <v>0.92834890965732086</v>
      </c>
      <c r="T595" s="478"/>
    </row>
    <row r="596" spans="1:22" x14ac:dyDescent="0.45">
      <c r="A596" s="64">
        <v>43586</v>
      </c>
      <c r="B596" s="14">
        <v>2</v>
      </c>
      <c r="C596" s="10">
        <v>1</v>
      </c>
      <c r="D596" s="1">
        <v>0.5</v>
      </c>
      <c r="E596" s="10">
        <v>305</v>
      </c>
      <c r="F596" s="10">
        <v>290</v>
      </c>
      <c r="G596" s="2">
        <v>0.95081967213114749</v>
      </c>
      <c r="H596" s="10">
        <f>COUNTIFS(发射纪录!C:C,"&lt;&gt;-",发射纪录!G:G,"&gt;="&amp;DATE(YEAR(A596),MONTH(A596),1),发射纪录!G:G,"&lt;="&amp;DATE(YEAR(A596),MONTH(A596),DAY(EOMONTH(A596,0))),发射纪录!N:N,"&lt;&gt;")</f>
        <v>0</v>
      </c>
      <c r="I596" s="10">
        <f>COUNTIFS(发射纪录!C:C,"&lt;&gt;-",发射纪录!G:G,"&gt;="&amp;DATE(YEAR(A596),MONTH(A596),1),发射纪录!G:G,"&lt;="&amp;DATE(YEAR(A596),MONTH(A596),DAY(EOMONTH(A596,0))),发射纪录!N:N,"=成功",发射纪录!N:N,"&lt;&gt;")</f>
        <v>0</v>
      </c>
      <c r="J596" s="1" t="str">
        <f t="shared" si="501"/>
        <v>-</v>
      </c>
      <c r="K596" s="10">
        <f t="shared" ca="1" si="502"/>
        <v>18</v>
      </c>
      <c r="L596" s="10">
        <f t="shared" ca="1" si="503"/>
        <v>9</v>
      </c>
      <c r="M596" s="2">
        <f t="shared" ca="1" si="504"/>
        <v>0.5</v>
      </c>
      <c r="N596" s="10">
        <f t="shared" si="505"/>
        <v>2</v>
      </c>
      <c r="O596" s="10">
        <f t="shared" si="506"/>
        <v>1</v>
      </c>
      <c r="P596" s="3">
        <f t="shared" si="507"/>
        <v>0.5</v>
      </c>
      <c r="Q596" s="10">
        <f t="shared" ca="1" si="508"/>
        <v>323</v>
      </c>
      <c r="R596" s="10">
        <f t="shared" ca="1" si="509"/>
        <v>299</v>
      </c>
      <c r="S596" s="4">
        <f t="shared" ca="1" si="510"/>
        <v>0.92569659442724461</v>
      </c>
      <c r="T596" s="478"/>
    </row>
    <row r="597" spans="1:22" x14ac:dyDescent="0.45">
      <c r="A597" s="64">
        <v>43617</v>
      </c>
      <c r="B597" s="14">
        <v>2</v>
      </c>
      <c r="C597" s="10">
        <v>2</v>
      </c>
      <c r="D597" s="1">
        <v>1</v>
      </c>
      <c r="E597" s="10">
        <v>307</v>
      </c>
      <c r="F597" s="10">
        <v>292</v>
      </c>
      <c r="G597" s="2">
        <v>0.95114006514657978</v>
      </c>
      <c r="H597" s="10">
        <f>COUNTIFS(发射纪录!C:C,"&lt;&gt;-",发射纪录!G:G,"&gt;="&amp;DATE(YEAR(A597),MONTH(A597),1),发射纪录!G:G,"&lt;="&amp;DATE(YEAR(A597),MONTH(A597),DAY(EOMONTH(A597,0))),发射纪录!N:N,"&lt;&gt;")</f>
        <v>0</v>
      </c>
      <c r="I597" s="10">
        <f>COUNTIFS(发射纪录!C:C,"&lt;&gt;-",发射纪录!G:G,"&gt;="&amp;DATE(YEAR(A597),MONTH(A597),1),发射纪录!G:G,"&lt;="&amp;DATE(YEAR(A597),MONTH(A597),DAY(EOMONTH(A597,0))),发射纪录!N:N,"=成功",发射纪录!N:N,"&lt;&gt;")</f>
        <v>0</v>
      </c>
      <c r="J597" s="1" t="str">
        <f t="shared" si="501"/>
        <v>-</v>
      </c>
      <c r="K597" s="10">
        <f t="shared" ca="1" si="502"/>
        <v>18</v>
      </c>
      <c r="L597" s="10">
        <f t="shared" ca="1" si="503"/>
        <v>9</v>
      </c>
      <c r="M597" s="2">
        <f t="shared" ca="1" si="504"/>
        <v>0.5</v>
      </c>
      <c r="N597" s="10">
        <f t="shared" si="505"/>
        <v>2</v>
      </c>
      <c r="O597" s="10">
        <f t="shared" si="506"/>
        <v>2</v>
      </c>
      <c r="P597" s="3">
        <f t="shared" si="507"/>
        <v>1</v>
      </c>
      <c r="Q597" s="10">
        <f t="shared" ca="1" si="508"/>
        <v>325</v>
      </c>
      <c r="R597" s="10">
        <f t="shared" ca="1" si="509"/>
        <v>301</v>
      </c>
      <c r="S597" s="4">
        <f t="shared" ca="1" si="510"/>
        <v>0.92615384615384611</v>
      </c>
      <c r="T597" s="478">
        <f>SUM(N592:N597)</f>
        <v>11</v>
      </c>
    </row>
    <row r="598" spans="1:22" x14ac:dyDescent="0.45">
      <c r="A598" s="64">
        <v>43647</v>
      </c>
      <c r="B598" s="14">
        <v>1</v>
      </c>
      <c r="C598" s="10">
        <v>1</v>
      </c>
      <c r="D598" s="1">
        <v>1</v>
      </c>
      <c r="E598" s="10">
        <v>308</v>
      </c>
      <c r="F598" s="10">
        <v>293</v>
      </c>
      <c r="G598" s="2">
        <v>0.95129870129870131</v>
      </c>
      <c r="H598" s="10">
        <f>COUNTIFS(发射纪录!C:C,"&lt;&gt;-",发射纪录!G:G,"&gt;="&amp;DATE(YEAR(A598),MONTH(A598),1),发射纪录!G:G,"&lt;="&amp;DATE(YEAR(A598),MONTH(A598),DAY(EOMONTH(A598,0))),发射纪录!N:N,"&lt;&gt;")</f>
        <v>1</v>
      </c>
      <c r="I598" s="10">
        <f>COUNTIFS(发射纪录!C:C,"&lt;&gt;-",发射纪录!G:G,"&gt;="&amp;DATE(YEAR(A598),MONTH(A598),1),发射纪录!G:G,"&lt;="&amp;DATE(YEAR(A598),MONTH(A598),DAY(EOMONTH(A598,0))),发射纪录!N:N,"=成功",发射纪录!N:N,"&lt;&gt;")</f>
        <v>1</v>
      </c>
      <c r="J598" s="1">
        <f t="shared" si="501"/>
        <v>1</v>
      </c>
      <c r="K598" s="10">
        <f t="shared" ca="1" si="502"/>
        <v>19</v>
      </c>
      <c r="L598" s="10">
        <f t="shared" ca="1" si="503"/>
        <v>10</v>
      </c>
      <c r="M598" s="2">
        <f t="shared" ca="1" si="504"/>
        <v>0.52631578947368418</v>
      </c>
      <c r="N598" s="10">
        <f t="shared" si="505"/>
        <v>2</v>
      </c>
      <c r="O598" s="10">
        <f t="shared" si="506"/>
        <v>2</v>
      </c>
      <c r="P598" s="3">
        <f t="shared" si="507"/>
        <v>1</v>
      </c>
      <c r="Q598" s="10">
        <f t="shared" ca="1" si="508"/>
        <v>327</v>
      </c>
      <c r="R598" s="10">
        <f t="shared" ca="1" si="509"/>
        <v>303</v>
      </c>
      <c r="S598" s="4">
        <f t="shared" ca="1" si="510"/>
        <v>0.92660550458715596</v>
      </c>
      <c r="T598" s="478"/>
    </row>
    <row r="599" spans="1:22" x14ac:dyDescent="0.45">
      <c r="A599" s="64">
        <v>43678</v>
      </c>
      <c r="B599" s="14">
        <v>1</v>
      </c>
      <c r="C599" s="10">
        <v>1</v>
      </c>
      <c r="D599" s="1">
        <v>1</v>
      </c>
      <c r="E599" s="10">
        <v>309</v>
      </c>
      <c r="F599" s="10">
        <v>294</v>
      </c>
      <c r="G599" s="2">
        <v>0.95145631067961167</v>
      </c>
      <c r="H599" s="10">
        <f>COUNTIFS(发射纪录!C:C,"&lt;&gt;-",发射纪录!G:G,"&gt;="&amp;DATE(YEAR(A599),MONTH(A599),1),发射纪录!G:G,"&lt;="&amp;DATE(YEAR(A599),MONTH(A599),DAY(EOMONTH(A599,0))),发射纪录!N:N,"&lt;&gt;")</f>
        <v>2</v>
      </c>
      <c r="I599" s="10">
        <f>COUNTIFS(发射纪录!C:C,"&lt;&gt;-",发射纪录!G:G,"&gt;="&amp;DATE(YEAR(A599),MONTH(A599),1),发射纪录!G:G,"&lt;="&amp;DATE(YEAR(A599),MONTH(A599),DAY(EOMONTH(A599,0))),发射纪录!N:N,"=成功",发射纪录!N:N,"&lt;&gt;")</f>
        <v>2</v>
      </c>
      <c r="J599" s="1">
        <f t="shared" si="501"/>
        <v>1</v>
      </c>
      <c r="K599" s="10">
        <f t="shared" ca="1" si="502"/>
        <v>21</v>
      </c>
      <c r="L599" s="10">
        <f t="shared" ca="1" si="503"/>
        <v>12</v>
      </c>
      <c r="M599" s="2">
        <f t="shared" ca="1" si="504"/>
        <v>0.5714285714285714</v>
      </c>
      <c r="N599" s="10">
        <f t="shared" si="505"/>
        <v>3</v>
      </c>
      <c r="O599" s="10">
        <f t="shared" si="506"/>
        <v>3</v>
      </c>
      <c r="P599" s="3">
        <f t="shared" si="507"/>
        <v>1</v>
      </c>
      <c r="Q599" s="10">
        <f t="shared" ca="1" si="508"/>
        <v>330</v>
      </c>
      <c r="R599" s="10">
        <f t="shared" ca="1" si="509"/>
        <v>306</v>
      </c>
      <c r="S599" s="4">
        <f t="shared" ca="1" si="510"/>
        <v>0.92727272727272725</v>
      </c>
      <c r="T599" s="478"/>
    </row>
    <row r="600" spans="1:22" x14ac:dyDescent="0.45">
      <c r="A600" s="64">
        <v>43709</v>
      </c>
      <c r="B600" s="14">
        <v>4</v>
      </c>
      <c r="C600" s="10">
        <v>4</v>
      </c>
      <c r="D600" s="1">
        <v>1</v>
      </c>
      <c r="E600" s="10">
        <v>313</v>
      </c>
      <c r="F600" s="10">
        <v>298</v>
      </c>
      <c r="G600" s="2">
        <v>0.95207667731629397</v>
      </c>
      <c r="H600" s="10">
        <f>COUNTIFS(发射纪录!C:C,"&lt;&gt;-",发射纪录!G:G,"&gt;="&amp;DATE(YEAR(A600),MONTH(A600),1),发射纪录!G:G,"&lt;="&amp;DATE(YEAR(A600),MONTH(A600),DAY(EOMONTH(A600,0))),发射纪录!N:N,"&lt;&gt;")</f>
        <v>0</v>
      </c>
      <c r="I600" s="10">
        <f>COUNTIFS(发射纪录!C:C,"&lt;&gt;-",发射纪录!G:G,"&gt;="&amp;DATE(YEAR(A600),MONTH(A600),1),发射纪录!G:G,"&lt;="&amp;DATE(YEAR(A600),MONTH(A600),DAY(EOMONTH(A600,0))),发射纪录!N:N,"=成功",发射纪录!N:N,"&lt;&gt;")</f>
        <v>0</v>
      </c>
      <c r="J600" s="1" t="str">
        <f t="shared" si="501"/>
        <v>-</v>
      </c>
      <c r="K600" s="10">
        <f t="shared" ca="1" si="502"/>
        <v>21</v>
      </c>
      <c r="L600" s="10">
        <f t="shared" ca="1" si="503"/>
        <v>12</v>
      </c>
      <c r="M600" s="2">
        <f t="shared" ca="1" si="504"/>
        <v>0.5714285714285714</v>
      </c>
      <c r="N600" s="10">
        <f t="shared" si="505"/>
        <v>4</v>
      </c>
      <c r="O600" s="10">
        <f t="shared" si="506"/>
        <v>4</v>
      </c>
      <c r="P600" s="3">
        <f t="shared" si="507"/>
        <v>1</v>
      </c>
      <c r="Q600" s="10">
        <f t="shared" ca="1" si="508"/>
        <v>334</v>
      </c>
      <c r="R600" s="10">
        <f t="shared" ca="1" si="509"/>
        <v>310</v>
      </c>
      <c r="S600" s="4">
        <f t="shared" ca="1" si="510"/>
        <v>0.92814371257485029</v>
      </c>
      <c r="T600" s="478"/>
    </row>
    <row r="601" spans="1:22" x14ac:dyDescent="0.45">
      <c r="A601" s="64">
        <v>43739</v>
      </c>
      <c r="B601" s="14">
        <v>2</v>
      </c>
      <c r="C601" s="10">
        <v>2</v>
      </c>
      <c r="D601" s="1">
        <v>1</v>
      </c>
      <c r="E601" s="10">
        <v>315</v>
      </c>
      <c r="F601" s="10">
        <v>300</v>
      </c>
      <c r="G601" s="2">
        <v>0.95238095238095233</v>
      </c>
      <c r="H601" s="10">
        <f>COUNTIFS(发射纪录!C:C,"&lt;&gt;-",发射纪录!G:G,"&gt;="&amp;DATE(YEAR(A601),MONTH(A601),1),发射纪录!G:G,"&lt;="&amp;DATE(YEAR(A601),MONTH(A601),DAY(EOMONTH(A601,0))),发射纪录!N:N,"&lt;&gt;")</f>
        <v>0</v>
      </c>
      <c r="I601" s="10">
        <f>COUNTIFS(发射纪录!C:C,"&lt;&gt;-",发射纪录!G:G,"&gt;="&amp;DATE(YEAR(A601),MONTH(A601),1),发射纪录!G:G,"&lt;="&amp;DATE(YEAR(A601),MONTH(A601),DAY(EOMONTH(A601,0))),发射纪录!N:N,"=成功",发射纪录!N:N,"&lt;&gt;")</f>
        <v>0</v>
      </c>
      <c r="J601" s="1" t="str">
        <f t="shared" si="501"/>
        <v>-</v>
      </c>
      <c r="K601" s="10">
        <f t="shared" ca="1" si="502"/>
        <v>21</v>
      </c>
      <c r="L601" s="10">
        <f t="shared" ca="1" si="503"/>
        <v>12</v>
      </c>
      <c r="M601" s="2">
        <f t="shared" ca="1" si="504"/>
        <v>0.5714285714285714</v>
      </c>
      <c r="N601" s="10">
        <f t="shared" si="505"/>
        <v>2</v>
      </c>
      <c r="O601" s="10">
        <f t="shared" si="506"/>
        <v>2</v>
      </c>
      <c r="P601" s="3">
        <f t="shared" si="507"/>
        <v>1</v>
      </c>
      <c r="Q601" s="10">
        <f t="shared" ca="1" si="508"/>
        <v>336</v>
      </c>
      <c r="R601" s="10">
        <f t="shared" ca="1" si="509"/>
        <v>312</v>
      </c>
      <c r="S601" s="4">
        <f t="shared" ca="1" si="510"/>
        <v>0.9285714285714286</v>
      </c>
      <c r="T601" s="478"/>
    </row>
    <row r="602" spans="1:22" x14ac:dyDescent="0.45">
      <c r="A602" s="64">
        <v>43770</v>
      </c>
      <c r="B602" s="14">
        <v>5</v>
      </c>
      <c r="C602" s="10">
        <v>5</v>
      </c>
      <c r="D602" s="1">
        <v>1</v>
      </c>
      <c r="E602" s="10">
        <v>320</v>
      </c>
      <c r="F602" s="10">
        <v>305</v>
      </c>
      <c r="G602" s="2">
        <v>0.953125</v>
      </c>
      <c r="H602" s="10">
        <f>COUNTIFS(发射纪录!C:C,"&lt;&gt;-",发射纪录!G:G,"&gt;="&amp;DATE(YEAR(A602),MONTH(A602),1),发射纪录!G:G,"&lt;="&amp;DATE(YEAR(A602),MONTH(A602),DAY(EOMONTH(A602,0))),发射纪录!N:N,"&lt;&gt;")</f>
        <v>2</v>
      </c>
      <c r="I602" s="10">
        <f>COUNTIFS(发射纪录!C:C,"&lt;&gt;-",发射纪录!G:G,"&gt;="&amp;DATE(YEAR(A602),MONTH(A602),1),发射纪录!G:G,"&lt;="&amp;DATE(YEAR(A602),MONTH(A602),DAY(EOMONTH(A602,0))),发射纪录!N:N,"=成功",发射纪录!N:N,"&lt;&gt;")</f>
        <v>2</v>
      </c>
      <c r="J602" s="1">
        <f t="shared" si="501"/>
        <v>1</v>
      </c>
      <c r="K602" s="10">
        <f t="shared" ca="1" si="502"/>
        <v>23</v>
      </c>
      <c r="L602" s="10">
        <f t="shared" ca="1" si="503"/>
        <v>14</v>
      </c>
      <c r="M602" s="2">
        <f t="shared" ca="1" si="504"/>
        <v>0.60869565217391308</v>
      </c>
      <c r="N602" s="10">
        <f t="shared" si="505"/>
        <v>7</v>
      </c>
      <c r="O602" s="10">
        <f t="shared" si="506"/>
        <v>7</v>
      </c>
      <c r="P602" s="3">
        <f t="shared" si="507"/>
        <v>1</v>
      </c>
      <c r="Q602" s="10">
        <f t="shared" ca="1" si="508"/>
        <v>343</v>
      </c>
      <c r="R602" s="10">
        <f t="shared" ca="1" si="509"/>
        <v>319</v>
      </c>
      <c r="S602" s="4">
        <f t="shared" ca="1" si="510"/>
        <v>0.93002915451895041</v>
      </c>
      <c r="T602" s="478"/>
    </row>
    <row r="603" spans="1:22" ht="19.5" customHeight="1" thickBot="1" x14ac:dyDescent="0.5">
      <c r="A603" s="65">
        <v>43800</v>
      </c>
      <c r="B603" s="17">
        <v>3</v>
      </c>
      <c r="C603" s="18">
        <v>3</v>
      </c>
      <c r="D603" s="12">
        <v>1</v>
      </c>
      <c r="E603" s="18">
        <v>323</v>
      </c>
      <c r="F603" s="18">
        <v>308</v>
      </c>
      <c r="G603" s="13">
        <v>0.95356037151702788</v>
      </c>
      <c r="H603" s="18">
        <f>COUNTIFS(发射纪录!C:C,"&lt;&gt;-",发射纪录!G:G,"&gt;="&amp;DATE(YEAR(A603),MONTH(A603),1),发射纪录!G:G,"&lt;="&amp;DATE(YEAR(A603),MONTH(A603),DAY(EOMONTH(A603,0))),发射纪录!N:N,"&lt;&gt;")</f>
        <v>2</v>
      </c>
      <c r="I603" s="18">
        <f>COUNTIFS(发射纪录!C:C,"&lt;&gt;-",发射纪录!G:G,"&gt;="&amp;DATE(YEAR(A603),MONTH(A603),1),发射纪录!G:G,"&lt;="&amp;DATE(YEAR(A603),MONTH(A603),DAY(EOMONTH(A603,0))),发射纪录!N:N,"=成功",发射纪录!N:N,"&lt;&gt;")</f>
        <v>2</v>
      </c>
      <c r="J603" s="12">
        <f>IF(H603=0,"-",I603/H603)</f>
        <v>1</v>
      </c>
      <c r="K603" s="18">
        <f ca="1">K602+H603</f>
        <v>25</v>
      </c>
      <c r="L603" s="18">
        <f ca="1">L602+I603</f>
        <v>16</v>
      </c>
      <c r="M603" s="13">
        <f ca="1">IF(K603=0,"-",L603/K603)</f>
        <v>0.64</v>
      </c>
      <c r="N603" s="18">
        <f>B603+H603</f>
        <v>5</v>
      </c>
      <c r="O603" s="18">
        <f>C603+I603</f>
        <v>5</v>
      </c>
      <c r="P603" s="12">
        <f>IF(N603=0,"-",O603/N603)</f>
        <v>1</v>
      </c>
      <c r="Q603" s="18">
        <f ca="1">E603+K603</f>
        <v>348</v>
      </c>
      <c r="R603" s="18">
        <f ca="1">F603+L603</f>
        <v>324</v>
      </c>
      <c r="S603" s="13">
        <f ca="1">IF(Q603=0,"-",R603/Q603)</f>
        <v>0.93103448275862066</v>
      </c>
      <c r="T603" s="478">
        <f>SUM(N598:N603)</f>
        <v>23</v>
      </c>
      <c r="U603" s="310">
        <f>T603/T597</f>
        <v>2.0909090909090908</v>
      </c>
      <c r="V603" s="308">
        <f ca="1">$T$657*U603</f>
        <v>62.727272727272727</v>
      </c>
    </row>
    <row r="604" spans="1:22" ht="19.5" customHeight="1" thickTop="1" x14ac:dyDescent="0.45">
      <c r="A604" s="63">
        <v>43831</v>
      </c>
      <c r="B604" s="14">
        <v>2</v>
      </c>
      <c r="C604" s="10">
        <v>2</v>
      </c>
      <c r="D604" s="3">
        <v>1</v>
      </c>
      <c r="E604" s="10">
        <v>325</v>
      </c>
      <c r="F604" s="10">
        <v>310</v>
      </c>
      <c r="G604" s="4">
        <v>0.9538461538461539</v>
      </c>
      <c r="H604" s="10">
        <f>COUNTIFS(发射纪录!C:C,"&lt;&gt;-",发射纪录!G:G,"&gt;="&amp;DATE(YEAR(A604),MONTH(A604),1),发射纪录!G:G,"&lt;="&amp;DATE(YEAR(A604),MONTH(A604),DAY(EOMONTH(A604,0))),发射纪录!N:N,"&lt;&gt;")</f>
        <v>1</v>
      </c>
      <c r="I604" s="10">
        <f>COUNTIFS(发射纪录!C:C,"&lt;&gt;-",发射纪录!G:G,"&gt;="&amp;DATE(YEAR(A604),MONTH(A604),1),发射纪录!G:G,"&lt;="&amp;DATE(YEAR(A604),MONTH(A604),DAY(EOMONTH(A604,0))),发射纪录!N:N,"=成功",发射纪录!N:N,"&lt;&gt;")</f>
        <v>1</v>
      </c>
      <c r="J604" s="3">
        <f t="shared" ref="J604:J614" si="511">IF(H604=0,"-",I604/H604)</f>
        <v>1</v>
      </c>
      <c r="K604" s="10">
        <f t="shared" ref="K604:K614" ca="1" si="512">K603+H604</f>
        <v>26</v>
      </c>
      <c r="L604" s="10">
        <f t="shared" ref="L604:L614" ca="1" si="513">L603+I604</f>
        <v>17</v>
      </c>
      <c r="M604" s="4">
        <f t="shared" ref="M604:M614" ca="1" si="514">IF(K604=0,"-",L604/K604)</f>
        <v>0.65384615384615385</v>
      </c>
      <c r="N604" s="10">
        <f t="shared" ref="N604:N614" si="515">B604+H604</f>
        <v>3</v>
      </c>
      <c r="O604" s="10">
        <f t="shared" ref="O604:O614" si="516">C604+I604</f>
        <v>3</v>
      </c>
      <c r="P604" s="3">
        <f t="shared" ref="P604:P614" si="517">IF(N604=0,"-",O604/N604)</f>
        <v>1</v>
      </c>
      <c r="Q604" s="10">
        <f t="shared" ref="Q604:Q614" ca="1" si="518">E604+K604</f>
        <v>351</v>
      </c>
      <c r="R604" s="10">
        <f t="shared" ca="1" si="509"/>
        <v>327</v>
      </c>
      <c r="S604" s="4">
        <f t="shared" ref="S604:S614" ca="1" si="519">IF(Q604=0,"-",R604/Q604)</f>
        <v>0.93162393162393164</v>
      </c>
      <c r="T604" s="478"/>
    </row>
    <row r="605" spans="1:22" x14ac:dyDescent="0.45">
      <c r="A605" s="64">
        <v>43862</v>
      </c>
      <c r="B605" s="14">
        <v>1</v>
      </c>
      <c r="C605" s="10">
        <v>1</v>
      </c>
      <c r="D605" s="1">
        <v>1</v>
      </c>
      <c r="E605" s="10">
        <v>326</v>
      </c>
      <c r="F605" s="10">
        <v>311</v>
      </c>
      <c r="G605" s="2">
        <v>0.95398773006134974</v>
      </c>
      <c r="H605" s="10">
        <f>COUNTIFS(发射纪录!C:C,"&lt;&gt;-",发射纪录!G:G,"&gt;="&amp;DATE(YEAR(A605),MONTH(A605),1),发射纪录!G:G,"&lt;="&amp;DATE(YEAR(A605),MONTH(A605),DAY(EOMONTH(A605,0))),发射纪录!N:N,"&lt;&gt;")</f>
        <v>0</v>
      </c>
      <c r="I605" s="10">
        <f>COUNTIFS(发射纪录!C:C,"&lt;&gt;-",发射纪录!G:G,"&gt;="&amp;DATE(YEAR(A605),MONTH(A605),1),发射纪录!G:G,"&lt;="&amp;DATE(YEAR(A605),MONTH(A605),DAY(EOMONTH(A605,0))),发射纪录!N:N,"=成功",发射纪录!N:N,"&lt;&gt;")</f>
        <v>0</v>
      </c>
      <c r="J605" s="1" t="str">
        <f t="shared" si="511"/>
        <v>-</v>
      </c>
      <c r="K605" s="10">
        <f t="shared" ca="1" si="512"/>
        <v>26</v>
      </c>
      <c r="L605" s="10">
        <f t="shared" ca="1" si="513"/>
        <v>17</v>
      </c>
      <c r="M605" s="2">
        <f t="shared" ca="1" si="514"/>
        <v>0.65384615384615385</v>
      </c>
      <c r="N605" s="10">
        <f t="shared" si="515"/>
        <v>1</v>
      </c>
      <c r="O605" s="10">
        <f t="shared" si="516"/>
        <v>1</v>
      </c>
      <c r="P605" s="3">
        <f t="shared" si="517"/>
        <v>1</v>
      </c>
      <c r="Q605" s="10">
        <f t="shared" ca="1" si="518"/>
        <v>352</v>
      </c>
      <c r="R605" s="10">
        <f t="shared" ca="1" si="509"/>
        <v>328</v>
      </c>
      <c r="S605" s="4">
        <f t="shared" ca="1" si="519"/>
        <v>0.93181818181818177</v>
      </c>
      <c r="T605" s="478"/>
    </row>
    <row r="606" spans="1:22" x14ac:dyDescent="0.45">
      <c r="A606" s="64">
        <v>43891</v>
      </c>
      <c r="B606" s="14">
        <v>3</v>
      </c>
      <c r="C606" s="10">
        <v>2</v>
      </c>
      <c r="D606" s="1">
        <v>0.66666666666666663</v>
      </c>
      <c r="E606" s="10">
        <v>329</v>
      </c>
      <c r="F606" s="10">
        <v>313</v>
      </c>
      <c r="G606" s="2">
        <v>0.95136778115501519</v>
      </c>
      <c r="H606" s="10">
        <f>COUNTIFS(发射纪录!C:C,"&lt;&gt;-",发射纪录!G:G,"&gt;="&amp;DATE(YEAR(A606),MONTH(A606),1),发射纪录!G:G,"&lt;="&amp;DATE(YEAR(A606),MONTH(A606),DAY(EOMONTH(A606,0))),发射纪录!N:N,"&lt;&gt;")</f>
        <v>0</v>
      </c>
      <c r="I606" s="10">
        <f>COUNTIFS(发射纪录!C:C,"&lt;&gt;-",发射纪录!G:G,"&gt;="&amp;DATE(YEAR(A606),MONTH(A606),1),发射纪录!G:G,"&lt;="&amp;DATE(YEAR(A606),MONTH(A606),DAY(EOMONTH(A606,0))),发射纪录!N:N,"=成功",发射纪录!N:N,"&lt;&gt;")</f>
        <v>0</v>
      </c>
      <c r="J606" s="1" t="str">
        <f t="shared" si="511"/>
        <v>-</v>
      </c>
      <c r="K606" s="10">
        <f t="shared" ca="1" si="512"/>
        <v>26</v>
      </c>
      <c r="L606" s="10">
        <f t="shared" ca="1" si="513"/>
        <v>17</v>
      </c>
      <c r="M606" s="2">
        <f t="shared" ca="1" si="514"/>
        <v>0.65384615384615385</v>
      </c>
      <c r="N606" s="10">
        <f t="shared" si="515"/>
        <v>3</v>
      </c>
      <c r="O606" s="10">
        <f t="shared" si="516"/>
        <v>2</v>
      </c>
      <c r="P606" s="3">
        <f t="shared" si="517"/>
        <v>0.66666666666666663</v>
      </c>
      <c r="Q606" s="10">
        <f t="shared" ca="1" si="518"/>
        <v>355</v>
      </c>
      <c r="R606" s="10">
        <f t="shared" ca="1" si="509"/>
        <v>330</v>
      </c>
      <c r="S606" s="4">
        <f t="shared" ca="1" si="519"/>
        <v>0.92957746478873238</v>
      </c>
      <c r="T606" s="478"/>
    </row>
    <row r="607" spans="1:22" x14ac:dyDescent="0.45">
      <c r="A607" s="64">
        <v>43922</v>
      </c>
      <c r="B607" s="14">
        <v>1</v>
      </c>
      <c r="C607" s="10">
        <v>0</v>
      </c>
      <c r="D607" s="1">
        <v>0</v>
      </c>
      <c r="E607" s="10">
        <v>330</v>
      </c>
      <c r="F607" s="10">
        <v>313</v>
      </c>
      <c r="G607" s="2">
        <v>0.94848484848484849</v>
      </c>
      <c r="H607" s="10">
        <f>COUNTIFS(发射纪录!C:C,"&lt;&gt;-",发射纪录!G:G,"&gt;="&amp;DATE(YEAR(A607),MONTH(A607),1),发射纪录!G:G,"&lt;="&amp;DATE(YEAR(A607),MONTH(A607),DAY(EOMONTH(A607,0))),发射纪录!N:N,"&lt;&gt;")</f>
        <v>0</v>
      </c>
      <c r="I607" s="10">
        <f>COUNTIFS(发射纪录!C:C,"&lt;&gt;-",发射纪录!G:G,"&gt;="&amp;DATE(YEAR(A607),MONTH(A607),1),发射纪录!G:G,"&lt;="&amp;DATE(YEAR(A607),MONTH(A607),DAY(EOMONTH(A607,0))),发射纪录!N:N,"=成功",发射纪录!N:N,"&lt;&gt;")</f>
        <v>0</v>
      </c>
      <c r="J607" s="1" t="str">
        <f t="shared" si="511"/>
        <v>-</v>
      </c>
      <c r="K607" s="10">
        <f t="shared" ca="1" si="512"/>
        <v>26</v>
      </c>
      <c r="L607" s="10">
        <f t="shared" ca="1" si="513"/>
        <v>17</v>
      </c>
      <c r="M607" s="2">
        <f t="shared" ca="1" si="514"/>
        <v>0.65384615384615385</v>
      </c>
      <c r="N607" s="10">
        <f t="shared" si="515"/>
        <v>1</v>
      </c>
      <c r="O607" s="10">
        <f t="shared" si="516"/>
        <v>0</v>
      </c>
      <c r="P607" s="3">
        <f t="shared" si="517"/>
        <v>0</v>
      </c>
      <c r="Q607" s="10">
        <f t="shared" ca="1" si="518"/>
        <v>356</v>
      </c>
      <c r="R607" s="10">
        <f t="shared" ca="1" si="509"/>
        <v>330</v>
      </c>
      <c r="S607" s="4">
        <f t="shared" ca="1" si="519"/>
        <v>0.9269662921348315</v>
      </c>
      <c r="T607" s="478"/>
    </row>
    <row r="608" spans="1:22" x14ac:dyDescent="0.45">
      <c r="A608" s="64">
        <v>43952</v>
      </c>
      <c r="B608" s="14">
        <v>3</v>
      </c>
      <c r="C608" s="10">
        <v>3</v>
      </c>
      <c r="D608" s="1">
        <v>1</v>
      </c>
      <c r="E608" s="10">
        <v>333</v>
      </c>
      <c r="F608" s="10">
        <v>316</v>
      </c>
      <c r="G608" s="2">
        <v>0.94894894894894899</v>
      </c>
      <c r="H608" s="10">
        <f>COUNTIFS(发射纪录!C:C,"&lt;&gt;-",发射纪录!G:G,"&gt;="&amp;DATE(YEAR(A608),MONTH(A608),1),发射纪录!G:G,"&lt;="&amp;DATE(YEAR(A608),MONTH(A608),DAY(EOMONTH(A608,0))),发射纪录!N:N,"&lt;&gt;")</f>
        <v>1</v>
      </c>
      <c r="I608" s="10">
        <f>COUNTIFS(发射纪录!C:C,"&lt;&gt;-",发射纪录!G:G,"&gt;="&amp;DATE(YEAR(A608),MONTH(A608),1),发射纪录!G:G,"&lt;="&amp;DATE(YEAR(A608),MONTH(A608),DAY(EOMONTH(A608,0))),发射纪录!N:N,"=成功",发射纪录!N:N,"&lt;&gt;")</f>
        <v>1</v>
      </c>
      <c r="J608" s="1">
        <f t="shared" si="511"/>
        <v>1</v>
      </c>
      <c r="K608" s="10">
        <f t="shared" ca="1" si="512"/>
        <v>27</v>
      </c>
      <c r="L608" s="10">
        <f t="shared" ca="1" si="513"/>
        <v>18</v>
      </c>
      <c r="M608" s="2">
        <f t="shared" ca="1" si="514"/>
        <v>0.66666666666666663</v>
      </c>
      <c r="N608" s="10">
        <f t="shared" si="515"/>
        <v>4</v>
      </c>
      <c r="O608" s="10">
        <f t="shared" si="516"/>
        <v>4</v>
      </c>
      <c r="P608" s="3">
        <f t="shared" si="517"/>
        <v>1</v>
      </c>
      <c r="Q608" s="10">
        <f t="shared" ca="1" si="518"/>
        <v>360</v>
      </c>
      <c r="R608" s="10">
        <f t="shared" ca="1" si="509"/>
        <v>334</v>
      </c>
      <c r="S608" s="4">
        <f t="shared" ca="1" si="519"/>
        <v>0.92777777777777781</v>
      </c>
      <c r="T608" s="478"/>
    </row>
    <row r="609" spans="1:22" x14ac:dyDescent="0.45">
      <c r="A609" s="64">
        <v>43983</v>
      </c>
      <c r="B609" s="14">
        <v>3</v>
      </c>
      <c r="C609" s="10">
        <v>3</v>
      </c>
      <c r="D609" s="1">
        <v>1</v>
      </c>
      <c r="E609" s="10">
        <v>336</v>
      </c>
      <c r="F609" s="10">
        <v>319</v>
      </c>
      <c r="G609" s="2">
        <v>0.94940476190476186</v>
      </c>
      <c r="H609" s="10">
        <f>COUNTIFS(发射纪录!C:C,"&lt;&gt;-",发射纪录!G:G,"&gt;="&amp;DATE(YEAR(A609),MONTH(A609),1),发射纪录!G:G,"&lt;="&amp;DATE(YEAR(A609),MONTH(A609),DAY(EOMONTH(A609,0))),发射纪录!N:N,"&lt;&gt;")</f>
        <v>0</v>
      </c>
      <c r="I609" s="10">
        <f>COUNTIFS(发射纪录!C:C,"&lt;&gt;-",发射纪录!G:G,"&gt;="&amp;DATE(YEAR(A609),MONTH(A609),1),发射纪录!G:G,"&lt;="&amp;DATE(YEAR(A609),MONTH(A609),DAY(EOMONTH(A609,0))),发射纪录!N:N,"=成功",发射纪录!N:N,"&lt;&gt;")</f>
        <v>0</v>
      </c>
      <c r="J609" s="1" t="str">
        <f t="shared" si="511"/>
        <v>-</v>
      </c>
      <c r="K609" s="10">
        <f t="shared" ca="1" si="512"/>
        <v>27</v>
      </c>
      <c r="L609" s="10">
        <f t="shared" ca="1" si="513"/>
        <v>18</v>
      </c>
      <c r="M609" s="2">
        <f t="shared" ca="1" si="514"/>
        <v>0.66666666666666663</v>
      </c>
      <c r="N609" s="10">
        <f t="shared" si="515"/>
        <v>3</v>
      </c>
      <c r="O609" s="10">
        <f t="shared" si="516"/>
        <v>3</v>
      </c>
      <c r="P609" s="3">
        <f t="shared" si="517"/>
        <v>1</v>
      </c>
      <c r="Q609" s="10">
        <f t="shared" ca="1" si="518"/>
        <v>363</v>
      </c>
      <c r="R609" s="10">
        <f t="shared" ca="1" si="509"/>
        <v>337</v>
      </c>
      <c r="S609" s="4">
        <f t="shared" ca="1" si="519"/>
        <v>0.92837465564738297</v>
      </c>
      <c r="T609" s="478">
        <f>SUM(N604:N609)</f>
        <v>15</v>
      </c>
    </row>
    <row r="610" spans="1:22" x14ac:dyDescent="0.45">
      <c r="A610" s="64">
        <v>44013</v>
      </c>
      <c r="B610" s="14">
        <v>5</v>
      </c>
      <c r="C610" s="10">
        <v>5</v>
      </c>
      <c r="D610" s="1">
        <v>1</v>
      </c>
      <c r="E610" s="10">
        <v>341</v>
      </c>
      <c r="F610" s="10">
        <v>324</v>
      </c>
      <c r="G610" s="2">
        <v>0.95014662756598245</v>
      </c>
      <c r="H610" s="10">
        <f>COUNTIFS(发射纪录!C:C,"&lt;&gt;-",发射纪录!G:G,"&gt;="&amp;DATE(YEAR(A610),MONTH(A610),1),发射纪录!G:G,"&lt;="&amp;DATE(YEAR(A610),MONTH(A610),DAY(EOMONTH(A610,0))),发射纪录!N:N,"&lt;&gt;")</f>
        <v>1</v>
      </c>
      <c r="I610" s="10">
        <f>COUNTIFS(发射纪录!C:C,"&lt;&gt;-",发射纪录!G:G,"&gt;="&amp;DATE(YEAR(A610),MONTH(A610),1),发射纪录!G:G,"&lt;="&amp;DATE(YEAR(A610),MONTH(A610),DAY(EOMONTH(A610,0))),发射纪录!N:N,"=成功",发射纪录!N:N,"&lt;&gt;")</f>
        <v>0</v>
      </c>
      <c r="J610" s="1">
        <f t="shared" si="511"/>
        <v>0</v>
      </c>
      <c r="K610" s="10">
        <f t="shared" ca="1" si="512"/>
        <v>28</v>
      </c>
      <c r="L610" s="10">
        <f t="shared" ca="1" si="513"/>
        <v>18</v>
      </c>
      <c r="M610" s="2">
        <f t="shared" ca="1" si="514"/>
        <v>0.6428571428571429</v>
      </c>
      <c r="N610" s="10">
        <f t="shared" si="515"/>
        <v>6</v>
      </c>
      <c r="O610" s="10">
        <f t="shared" si="516"/>
        <v>5</v>
      </c>
      <c r="P610" s="3">
        <f t="shared" si="517"/>
        <v>0.83333333333333337</v>
      </c>
      <c r="Q610" s="10">
        <f t="shared" ca="1" si="518"/>
        <v>369</v>
      </c>
      <c r="R610" s="10">
        <f t="shared" ca="1" si="509"/>
        <v>342</v>
      </c>
      <c r="S610" s="4">
        <f t="shared" ca="1" si="519"/>
        <v>0.92682926829268297</v>
      </c>
      <c r="T610" s="478"/>
    </row>
    <row r="611" spans="1:22" x14ac:dyDescent="0.45">
      <c r="A611" s="64">
        <v>44044</v>
      </c>
      <c r="B611" s="14">
        <v>2</v>
      </c>
      <c r="C611" s="10">
        <v>2</v>
      </c>
      <c r="D611" s="1">
        <v>1</v>
      </c>
      <c r="E611" s="10">
        <v>343</v>
      </c>
      <c r="F611" s="10">
        <v>326</v>
      </c>
      <c r="G611" s="2">
        <v>0.95043731778425655</v>
      </c>
      <c r="H611" s="10">
        <f>COUNTIFS(发射纪录!C:C,"&lt;&gt;-",发射纪录!G:G,"&gt;="&amp;DATE(YEAR(A611),MONTH(A611),1),发射纪录!G:G,"&lt;="&amp;DATE(YEAR(A611),MONTH(A611),DAY(EOMONTH(A611,0))),发射纪录!N:N,"&lt;&gt;")</f>
        <v>0</v>
      </c>
      <c r="I611" s="10">
        <f>COUNTIFS(发射纪录!C:C,"&lt;&gt;-",发射纪录!G:G,"&gt;="&amp;DATE(YEAR(A611),MONTH(A611),1),发射纪录!G:G,"&lt;="&amp;DATE(YEAR(A611),MONTH(A611),DAY(EOMONTH(A611,0))),发射纪录!N:N,"=成功",发射纪录!N:N,"&lt;&gt;")</f>
        <v>0</v>
      </c>
      <c r="J611" s="1" t="str">
        <f t="shared" si="511"/>
        <v>-</v>
      </c>
      <c r="K611" s="10">
        <f t="shared" ca="1" si="512"/>
        <v>28</v>
      </c>
      <c r="L611" s="10">
        <f t="shared" ca="1" si="513"/>
        <v>18</v>
      </c>
      <c r="M611" s="2">
        <f t="shared" ca="1" si="514"/>
        <v>0.6428571428571429</v>
      </c>
      <c r="N611" s="10">
        <f t="shared" si="515"/>
        <v>2</v>
      </c>
      <c r="O611" s="10">
        <f t="shared" si="516"/>
        <v>2</v>
      </c>
      <c r="P611" s="3">
        <f t="shared" si="517"/>
        <v>1</v>
      </c>
      <c r="Q611" s="10">
        <f t="shared" ca="1" si="518"/>
        <v>371</v>
      </c>
      <c r="R611" s="10">
        <f t="shared" ca="1" si="509"/>
        <v>344</v>
      </c>
      <c r="S611" s="4">
        <f t="shared" ca="1" si="519"/>
        <v>0.92722371967654982</v>
      </c>
      <c r="T611" s="478"/>
    </row>
    <row r="612" spans="1:22" x14ac:dyDescent="0.45">
      <c r="A612" s="64">
        <v>44075</v>
      </c>
      <c r="B612" s="14">
        <v>5</v>
      </c>
      <c r="C612" s="10">
        <v>5</v>
      </c>
      <c r="D612" s="1">
        <v>1</v>
      </c>
      <c r="E612" s="10">
        <v>348</v>
      </c>
      <c r="F612" s="10">
        <v>331</v>
      </c>
      <c r="G612" s="2">
        <v>0.95114942528735635</v>
      </c>
      <c r="H612" s="10">
        <f>COUNTIFS(发射纪录!C:C,"&lt;&gt;-",发射纪录!G:G,"&gt;="&amp;DATE(YEAR(A612),MONTH(A612),1),发射纪录!G:G,"&lt;="&amp;DATE(YEAR(A612),MONTH(A612),DAY(EOMONTH(A612,0))),发射纪录!N:N,"&lt;&gt;")</f>
        <v>1</v>
      </c>
      <c r="I612" s="10">
        <f>COUNTIFS(发射纪录!C:C,"&lt;&gt;-",发射纪录!G:G,"&gt;="&amp;DATE(YEAR(A612),MONTH(A612),1),发射纪录!G:G,"&lt;="&amp;DATE(YEAR(A612),MONTH(A612),DAY(EOMONTH(A612,0))),发射纪录!N:N,"=成功",发射纪录!N:N,"&lt;&gt;")</f>
        <v>0</v>
      </c>
      <c r="J612" s="1">
        <f t="shared" si="511"/>
        <v>0</v>
      </c>
      <c r="K612" s="10">
        <f t="shared" ca="1" si="512"/>
        <v>29</v>
      </c>
      <c r="L612" s="10">
        <f t="shared" ca="1" si="513"/>
        <v>18</v>
      </c>
      <c r="M612" s="2">
        <f t="shared" ca="1" si="514"/>
        <v>0.62068965517241381</v>
      </c>
      <c r="N612" s="10">
        <f t="shared" si="515"/>
        <v>6</v>
      </c>
      <c r="O612" s="10">
        <f t="shared" si="516"/>
        <v>5</v>
      </c>
      <c r="P612" s="3">
        <f t="shared" si="517"/>
        <v>0.83333333333333337</v>
      </c>
      <c r="Q612" s="10">
        <f t="shared" ca="1" si="518"/>
        <v>377</v>
      </c>
      <c r="R612" s="10">
        <f t="shared" ca="1" si="509"/>
        <v>349</v>
      </c>
      <c r="S612" s="4">
        <f t="shared" ca="1" si="519"/>
        <v>0.92572944297082227</v>
      </c>
      <c r="T612" s="478"/>
    </row>
    <row r="613" spans="1:22" x14ac:dyDescent="0.45">
      <c r="A613" s="64">
        <v>44105</v>
      </c>
      <c r="B613" s="14">
        <v>2</v>
      </c>
      <c r="C613" s="10">
        <v>2</v>
      </c>
      <c r="D613" s="1">
        <v>1</v>
      </c>
      <c r="E613" s="10">
        <v>350</v>
      </c>
      <c r="F613" s="10">
        <v>333</v>
      </c>
      <c r="G613" s="2">
        <v>0.9514285714285714</v>
      </c>
      <c r="H613" s="10">
        <f>COUNTIFS(发射纪录!C:C,"&lt;&gt;-",发射纪录!G:G,"&gt;="&amp;DATE(YEAR(A613),MONTH(A613),1),发射纪录!G:G,"&lt;="&amp;DATE(YEAR(A613),MONTH(A613),DAY(EOMONTH(A613,0))),发射纪录!N:N,"&lt;&gt;")</f>
        <v>0</v>
      </c>
      <c r="I613" s="10">
        <f>COUNTIFS(发射纪录!C:C,"&lt;&gt;-",发射纪录!G:G,"&gt;="&amp;DATE(YEAR(A613),MONTH(A613),1),发射纪录!G:G,"&lt;="&amp;DATE(YEAR(A613),MONTH(A613),DAY(EOMONTH(A613,0))),发射纪录!N:N,"=成功",发射纪录!N:N,"&lt;&gt;")</f>
        <v>0</v>
      </c>
      <c r="J613" s="1" t="str">
        <f t="shared" si="511"/>
        <v>-</v>
      </c>
      <c r="K613" s="10">
        <f t="shared" ca="1" si="512"/>
        <v>29</v>
      </c>
      <c r="L613" s="10">
        <f t="shared" ca="1" si="513"/>
        <v>18</v>
      </c>
      <c r="M613" s="2">
        <f t="shared" ca="1" si="514"/>
        <v>0.62068965517241381</v>
      </c>
      <c r="N613" s="10">
        <f t="shared" si="515"/>
        <v>2</v>
      </c>
      <c r="O613" s="10">
        <f t="shared" si="516"/>
        <v>2</v>
      </c>
      <c r="P613" s="3">
        <f t="shared" si="517"/>
        <v>1</v>
      </c>
      <c r="Q613" s="10">
        <f t="shared" ca="1" si="518"/>
        <v>379</v>
      </c>
      <c r="R613" s="10">
        <f t="shared" ca="1" si="509"/>
        <v>351</v>
      </c>
      <c r="S613" s="4">
        <f t="shared" ca="1" si="519"/>
        <v>0.92612137203166223</v>
      </c>
      <c r="T613" s="478"/>
    </row>
    <row r="614" spans="1:22" x14ac:dyDescent="0.45">
      <c r="A614" s="64">
        <v>44136</v>
      </c>
      <c r="B614" s="14">
        <v>3</v>
      </c>
      <c r="C614" s="10">
        <v>3</v>
      </c>
      <c r="D614" s="1">
        <v>1</v>
      </c>
      <c r="E614" s="10">
        <v>353</v>
      </c>
      <c r="F614" s="10">
        <v>336</v>
      </c>
      <c r="G614" s="2">
        <v>0.95184135977337114</v>
      </c>
      <c r="H614" s="10">
        <f>COUNTIFS(发射纪录!C:C,"&lt;&gt;-",发射纪录!G:G,"&gt;="&amp;DATE(YEAR(A614),MONTH(A614),1),发射纪录!G:G,"&lt;="&amp;DATE(YEAR(A614),MONTH(A614),DAY(EOMONTH(A614,0))),发射纪录!N:N,"&lt;&gt;")</f>
        <v>1</v>
      </c>
      <c r="I614" s="10">
        <f>COUNTIFS(发射纪录!C:C,"&lt;&gt;-",发射纪录!G:G,"&gt;="&amp;DATE(YEAR(A614),MONTH(A614),1),发射纪录!G:G,"&lt;="&amp;DATE(YEAR(A614),MONTH(A614),DAY(EOMONTH(A614,0))),发射纪录!N:N,"=成功",发射纪录!N:N,"&lt;&gt;")</f>
        <v>1</v>
      </c>
      <c r="J614" s="1">
        <f t="shared" si="511"/>
        <v>1</v>
      </c>
      <c r="K614" s="10">
        <f t="shared" ca="1" si="512"/>
        <v>30</v>
      </c>
      <c r="L614" s="10">
        <f t="shared" ca="1" si="513"/>
        <v>19</v>
      </c>
      <c r="M614" s="2">
        <f t="shared" ca="1" si="514"/>
        <v>0.6333333333333333</v>
      </c>
      <c r="N614" s="10">
        <f t="shared" si="515"/>
        <v>4</v>
      </c>
      <c r="O614" s="10">
        <f t="shared" si="516"/>
        <v>4</v>
      </c>
      <c r="P614" s="3">
        <f t="shared" si="517"/>
        <v>1</v>
      </c>
      <c r="Q614" s="10">
        <f t="shared" ca="1" si="518"/>
        <v>383</v>
      </c>
      <c r="R614" s="10">
        <f t="shared" ca="1" si="509"/>
        <v>355</v>
      </c>
      <c r="S614" s="4">
        <f t="shared" ca="1" si="519"/>
        <v>0.92689295039164488</v>
      </c>
      <c r="T614" s="478"/>
    </row>
    <row r="615" spans="1:22" ht="19.5" customHeight="1" thickBot="1" x14ac:dyDescent="0.5">
      <c r="A615" s="65">
        <v>44166</v>
      </c>
      <c r="B615" s="17">
        <v>4</v>
      </c>
      <c r="C615" s="18">
        <v>4</v>
      </c>
      <c r="D615" s="12">
        <v>1</v>
      </c>
      <c r="E615" s="18">
        <v>357</v>
      </c>
      <c r="F615" s="18">
        <v>340</v>
      </c>
      <c r="G615" s="13">
        <v>0.95238095238095233</v>
      </c>
      <c r="H615" s="18">
        <f>COUNTIFS(发射纪录!C:C,"&lt;&gt;-",发射纪录!G:G,"&gt;="&amp;DATE(YEAR(A615),MONTH(A615),1),发射纪录!G:G,"&lt;="&amp;DATE(YEAR(A615),MONTH(A615),DAY(EOMONTH(A615,0))),发射纪录!N:N,"&lt;&gt;")</f>
        <v>0</v>
      </c>
      <c r="I615" s="18">
        <f>COUNTIFS(发射纪录!C:C,"&lt;&gt;-",发射纪录!G:G,"&gt;="&amp;DATE(YEAR(A615),MONTH(A615),1),发射纪录!G:G,"&lt;="&amp;DATE(YEAR(A615),MONTH(A615),DAY(EOMONTH(A615,0))),发射纪录!N:N,"=成功",发射纪录!N:N,"&lt;&gt;")</f>
        <v>0</v>
      </c>
      <c r="J615" s="12" t="str">
        <f>IF(H615=0,"-",I615/H615)</f>
        <v>-</v>
      </c>
      <c r="K615" s="18">
        <f ca="1">K614+H615</f>
        <v>30</v>
      </c>
      <c r="L615" s="18">
        <f ca="1">L614+I615</f>
        <v>19</v>
      </c>
      <c r="M615" s="13">
        <f ca="1">IF(K615=0,"-",L615/K615)</f>
        <v>0.6333333333333333</v>
      </c>
      <c r="N615" s="18">
        <f>B615+H615</f>
        <v>4</v>
      </c>
      <c r="O615" s="18">
        <f>C615+I615</f>
        <v>4</v>
      </c>
      <c r="P615" s="12">
        <f>IF(N615=0,"-",O615/N615)</f>
        <v>1</v>
      </c>
      <c r="Q615" s="18">
        <f ca="1">E615+K615</f>
        <v>387</v>
      </c>
      <c r="R615" s="18">
        <f ca="1">F615+L615</f>
        <v>359</v>
      </c>
      <c r="S615" s="13">
        <f ca="1">IF(Q615=0,"-",R615/Q615)</f>
        <v>0.92764857881136953</v>
      </c>
      <c r="T615" s="478">
        <f>SUM(N610:N615)</f>
        <v>24</v>
      </c>
      <c r="U615" s="309">
        <f>T615/T609</f>
        <v>1.6</v>
      </c>
      <c r="V615" s="308">
        <f ca="1">$T$657*U615</f>
        <v>48</v>
      </c>
    </row>
    <row r="616" spans="1:22" ht="19.5" customHeight="1" thickTop="1" x14ac:dyDescent="0.45">
      <c r="A616" s="63">
        <v>44197</v>
      </c>
      <c r="B616" s="14">
        <v>2</v>
      </c>
      <c r="C616" s="10">
        <v>2</v>
      </c>
      <c r="D616" s="3">
        <v>1</v>
      </c>
      <c r="E616" s="10">
        <v>359</v>
      </c>
      <c r="F616" s="10">
        <v>342</v>
      </c>
      <c r="G616" s="4">
        <v>0.9526462395543176</v>
      </c>
      <c r="H616" s="10">
        <f>COUNTIFS(发射纪录!C:C,"&lt;&gt;-",发射纪录!G:G,"&gt;="&amp;DATE(YEAR(A616),MONTH(A616),1),发射纪录!G:G,"&lt;="&amp;DATE(YEAR(A616),MONTH(A616),DAY(EOMONTH(A616,0))),发射纪录!N:N,"&lt;&gt;")</f>
        <v>0</v>
      </c>
      <c r="I616" s="10">
        <f>COUNTIFS(发射纪录!C:C,"&lt;&gt;-",发射纪录!G:G,"&gt;="&amp;DATE(YEAR(A616),MONTH(A616),1),发射纪录!G:G,"&lt;="&amp;DATE(YEAR(A616),MONTH(A616),DAY(EOMONTH(A616,0))),发射纪录!N:N,"=成功",发射纪录!N:N,"&lt;&gt;")</f>
        <v>0</v>
      </c>
      <c r="J616" s="3" t="str">
        <f t="shared" ref="J616:J626" si="520">IF(H616=0,"-",I616/H616)</f>
        <v>-</v>
      </c>
      <c r="K616" s="10">
        <f t="shared" ref="K616:K626" ca="1" si="521">K615+H616</f>
        <v>30</v>
      </c>
      <c r="L616" s="10">
        <f t="shared" ref="L616:L626" ca="1" si="522">L615+I616</f>
        <v>19</v>
      </c>
      <c r="M616" s="4">
        <f t="shared" ref="M616:M626" ca="1" si="523">IF(K616=0,"-",L616/K616)</f>
        <v>0.6333333333333333</v>
      </c>
      <c r="N616" s="10">
        <f t="shared" ref="N616:N626" si="524">B616+H616</f>
        <v>2</v>
      </c>
      <c r="O616" s="10">
        <f t="shared" ref="O616:O626" si="525">C616+I616</f>
        <v>2</v>
      </c>
      <c r="P616" s="3">
        <f t="shared" ref="P616:P626" si="526">IF(N616=0,"-",O616/N616)</f>
        <v>1</v>
      </c>
      <c r="Q616" s="10">
        <f t="shared" ref="Q616:Q626" ca="1" si="527">E616+K616</f>
        <v>389</v>
      </c>
      <c r="R616" s="10">
        <f t="shared" ca="1" si="509"/>
        <v>361</v>
      </c>
      <c r="S616" s="4">
        <f t="shared" ref="S616:S626" ca="1" si="528">IF(Q616=0,"-",R616/Q616)</f>
        <v>0.92802056555269918</v>
      </c>
      <c r="T616" s="478"/>
    </row>
    <row r="617" spans="1:22" x14ac:dyDescent="0.45">
      <c r="A617" s="64">
        <v>44228</v>
      </c>
      <c r="B617" s="14">
        <v>2</v>
      </c>
      <c r="C617" s="10">
        <v>2</v>
      </c>
      <c r="D617" s="1">
        <v>1</v>
      </c>
      <c r="E617" s="10">
        <v>361</v>
      </c>
      <c r="F617" s="10">
        <v>344</v>
      </c>
      <c r="G617" s="2">
        <v>0.95290858725761773</v>
      </c>
      <c r="H617" s="10">
        <f>COUNTIFS(发射纪录!C:C,"&lt;&gt;-",发射纪录!G:G,"&gt;="&amp;DATE(YEAR(A617),MONTH(A617),1),发射纪录!G:G,"&lt;="&amp;DATE(YEAR(A617),MONTH(A617),DAY(EOMONTH(A617,0))),发射纪录!N:N,"&lt;&gt;")</f>
        <v>1</v>
      </c>
      <c r="I617" s="10">
        <f>COUNTIFS(发射纪录!C:C,"&lt;&gt;-",发射纪录!G:G,"&gt;="&amp;DATE(YEAR(A617),MONTH(A617),1),发射纪录!G:G,"&lt;="&amp;DATE(YEAR(A617),MONTH(A617),DAY(EOMONTH(A617,0))),发射纪录!N:N,"=成功",发射纪录!N:N,"&lt;&gt;")</f>
        <v>0</v>
      </c>
      <c r="J617" s="1">
        <f t="shared" si="520"/>
        <v>0</v>
      </c>
      <c r="K617" s="10">
        <f t="shared" ca="1" si="521"/>
        <v>31</v>
      </c>
      <c r="L617" s="10">
        <f t="shared" ca="1" si="522"/>
        <v>19</v>
      </c>
      <c r="M617" s="2">
        <f t="shared" ca="1" si="523"/>
        <v>0.61290322580645162</v>
      </c>
      <c r="N617" s="10">
        <f t="shared" si="524"/>
        <v>3</v>
      </c>
      <c r="O617" s="10">
        <f t="shared" si="525"/>
        <v>2</v>
      </c>
      <c r="P617" s="3">
        <f t="shared" si="526"/>
        <v>0.66666666666666663</v>
      </c>
      <c r="Q617" s="10">
        <f t="shared" ca="1" si="527"/>
        <v>392</v>
      </c>
      <c r="R617" s="10">
        <f t="shared" ca="1" si="509"/>
        <v>363</v>
      </c>
      <c r="S617" s="4">
        <f t="shared" ca="1" si="528"/>
        <v>0.92602040816326525</v>
      </c>
      <c r="T617" s="478"/>
    </row>
    <row r="618" spans="1:22" x14ac:dyDescent="0.45">
      <c r="A618" s="64">
        <v>44256</v>
      </c>
      <c r="B618" s="14">
        <v>3</v>
      </c>
      <c r="C618" s="10">
        <v>3</v>
      </c>
      <c r="D618" s="1">
        <v>1</v>
      </c>
      <c r="E618" s="10">
        <v>364</v>
      </c>
      <c r="F618" s="10">
        <v>347</v>
      </c>
      <c r="G618" s="2">
        <v>0.95329670329670335</v>
      </c>
      <c r="H618" s="10">
        <f ca="1">COUNTIFS(发射纪录!C:C,"&lt;&gt;-",发射纪录!G:G,"&gt;="&amp;DATE(YEAR(A618),MONTH(A618),1),发射纪录!G:G,"&lt;="&amp;DATE(YEAR(A618),MONTH(A618),DAY(EOMONTH(A618,0))),发射纪录!N:N,"&lt;&gt;")</f>
        <v>0</v>
      </c>
      <c r="I618" s="10">
        <f>COUNTIFS(发射纪录!C:C,"&lt;&gt;-",发射纪录!G:G,"&gt;="&amp;DATE(YEAR(A618),MONTH(A618),1),发射纪录!G:G,"&lt;="&amp;DATE(YEAR(A618),MONTH(A618),DAY(EOMONTH(A618,0))),发射纪录!N:N,"=成功",发射纪录!N:N,"&lt;&gt;")</f>
        <v>0</v>
      </c>
      <c r="J618" s="1" t="str">
        <f t="shared" ca="1" si="520"/>
        <v>-</v>
      </c>
      <c r="K618" s="10">
        <f t="shared" ca="1" si="521"/>
        <v>31</v>
      </c>
      <c r="L618" s="10">
        <f t="shared" ca="1" si="522"/>
        <v>19</v>
      </c>
      <c r="M618" s="2">
        <f t="shared" ca="1" si="523"/>
        <v>0.61290322580645162</v>
      </c>
      <c r="N618" s="10">
        <f t="shared" ca="1" si="524"/>
        <v>3</v>
      </c>
      <c r="O618" s="10">
        <f t="shared" si="525"/>
        <v>3</v>
      </c>
      <c r="P618" s="3">
        <f t="shared" ca="1" si="526"/>
        <v>1</v>
      </c>
      <c r="Q618" s="10">
        <f t="shared" ca="1" si="527"/>
        <v>395</v>
      </c>
      <c r="R618" s="10">
        <f t="shared" ca="1" si="509"/>
        <v>366</v>
      </c>
      <c r="S618" s="4">
        <f t="shared" ca="1" si="528"/>
        <v>0.92658227848101271</v>
      </c>
      <c r="T618" s="478"/>
    </row>
    <row r="619" spans="1:22" x14ac:dyDescent="0.45">
      <c r="A619" s="64">
        <v>44287</v>
      </c>
      <c r="B619" s="14">
        <v>4</v>
      </c>
      <c r="C619" s="10">
        <v>4</v>
      </c>
      <c r="D619" s="1">
        <v>1</v>
      </c>
      <c r="E619" s="10">
        <v>368</v>
      </c>
      <c r="F619" s="10">
        <v>351</v>
      </c>
      <c r="G619" s="2">
        <v>0.95380434782608692</v>
      </c>
      <c r="H619" s="10">
        <f>COUNTIFS(发射纪录!C:C,"&lt;&gt;-",发射纪录!G:G,"&gt;="&amp;DATE(YEAR(A619),MONTH(A619),1),发射纪录!G:G,"&lt;="&amp;DATE(YEAR(A619),MONTH(A619),DAY(EOMONTH(A619,0))),发射纪录!N:N,"&lt;&gt;")</f>
        <v>0</v>
      </c>
      <c r="I619" s="10">
        <f>COUNTIFS(发射纪录!C:C,"&lt;&gt;-",发射纪录!G:G,"&gt;="&amp;DATE(YEAR(A619),MONTH(A619),1),发射纪录!G:G,"&lt;="&amp;DATE(YEAR(A619),MONTH(A619),DAY(EOMONTH(A619,0))),发射纪录!N:N,"=成功",发射纪录!N:N,"&lt;&gt;")</f>
        <v>0</v>
      </c>
      <c r="J619" s="1" t="str">
        <f t="shared" si="520"/>
        <v>-</v>
      </c>
      <c r="K619" s="10">
        <f t="shared" ca="1" si="521"/>
        <v>31</v>
      </c>
      <c r="L619" s="10">
        <f t="shared" ca="1" si="522"/>
        <v>19</v>
      </c>
      <c r="M619" s="2">
        <f t="shared" ca="1" si="523"/>
        <v>0.61290322580645162</v>
      </c>
      <c r="N619" s="10">
        <f t="shared" si="524"/>
        <v>4</v>
      </c>
      <c r="O619" s="10">
        <f t="shared" si="525"/>
        <v>4</v>
      </c>
      <c r="P619" s="3">
        <f t="shared" si="526"/>
        <v>1</v>
      </c>
      <c r="Q619" s="10">
        <f t="shared" ca="1" si="527"/>
        <v>399</v>
      </c>
      <c r="R619" s="10">
        <f t="shared" ca="1" si="509"/>
        <v>370</v>
      </c>
      <c r="S619" s="4">
        <f t="shared" ca="1" si="528"/>
        <v>0.92731829573934832</v>
      </c>
      <c r="T619" s="478"/>
    </row>
    <row r="620" spans="1:22" x14ac:dyDescent="0.45">
      <c r="A620" s="64">
        <v>44317</v>
      </c>
      <c r="B620" s="14">
        <v>3</v>
      </c>
      <c r="C620" s="10">
        <v>3</v>
      </c>
      <c r="D620" s="1">
        <v>1</v>
      </c>
      <c r="E620" s="10">
        <v>371</v>
      </c>
      <c r="F620" s="10">
        <v>354</v>
      </c>
      <c r="G620" s="2">
        <v>0.95417789757412397</v>
      </c>
      <c r="H620" s="10">
        <f>COUNTIFS(发射纪录!C:C,"&lt;&gt;-",发射纪录!G:G,"&gt;="&amp;DATE(YEAR(A620),MONTH(A620),1),发射纪录!G:G,"&lt;="&amp;DATE(YEAR(A620),MONTH(A620),DAY(EOMONTH(A620,0))),发射纪录!N:N,"&lt;&gt;")</f>
        <v>0</v>
      </c>
      <c r="I620" s="10">
        <f>COUNTIFS(发射纪录!C:C,"&lt;&gt;-",发射纪录!G:G,"&gt;="&amp;DATE(YEAR(A620),MONTH(A620),1),发射纪录!G:G,"&lt;="&amp;DATE(YEAR(A620),MONTH(A620),DAY(EOMONTH(A620,0))),发射纪录!N:N,"=成功",发射纪录!N:N,"&lt;&gt;")</f>
        <v>0</v>
      </c>
      <c r="J620" s="1" t="str">
        <f t="shared" si="520"/>
        <v>-</v>
      </c>
      <c r="K620" s="10">
        <f t="shared" ca="1" si="521"/>
        <v>31</v>
      </c>
      <c r="L620" s="10">
        <f t="shared" ca="1" si="522"/>
        <v>19</v>
      </c>
      <c r="M620" s="2">
        <f t="shared" ca="1" si="523"/>
        <v>0.61290322580645162</v>
      </c>
      <c r="N620" s="10">
        <f t="shared" si="524"/>
        <v>3</v>
      </c>
      <c r="O620" s="10">
        <f t="shared" si="525"/>
        <v>3</v>
      </c>
      <c r="P620" s="3">
        <f t="shared" si="526"/>
        <v>1</v>
      </c>
      <c r="Q620" s="10">
        <f t="shared" ca="1" si="527"/>
        <v>402</v>
      </c>
      <c r="R620" s="10">
        <f t="shared" ca="1" si="509"/>
        <v>373</v>
      </c>
      <c r="S620" s="4">
        <f t="shared" ca="1" si="528"/>
        <v>0.92786069651741299</v>
      </c>
      <c r="T620" s="478"/>
    </row>
    <row r="621" spans="1:22" x14ac:dyDescent="0.45">
      <c r="A621" s="64">
        <v>44348</v>
      </c>
      <c r="B621" s="14">
        <v>4</v>
      </c>
      <c r="C621" s="10">
        <v>4</v>
      </c>
      <c r="D621" s="1">
        <v>1</v>
      </c>
      <c r="E621" s="10">
        <v>375</v>
      </c>
      <c r="F621" s="10">
        <v>358</v>
      </c>
      <c r="G621" s="2">
        <v>0.95466666666666666</v>
      </c>
      <c r="H621" s="10">
        <f>COUNTIFS(发射纪录!C:C,"&lt;&gt;-",发射纪录!G:G,"&gt;="&amp;DATE(YEAR(A621),MONTH(A621),1),发射纪录!G:G,"&lt;="&amp;DATE(YEAR(A621),MONTH(A621),DAY(EOMONTH(A621,0))),发射纪录!N:N,"&lt;&gt;")</f>
        <v>0</v>
      </c>
      <c r="I621" s="10">
        <f>COUNTIFS(发射纪录!C:C,"&lt;&gt;-",发射纪录!G:G,"&gt;="&amp;DATE(YEAR(A621),MONTH(A621),1),发射纪录!G:G,"&lt;="&amp;DATE(YEAR(A621),MONTH(A621),DAY(EOMONTH(A621,0))),发射纪录!N:N,"=成功",发射纪录!N:N,"&lt;&gt;")</f>
        <v>0</v>
      </c>
      <c r="J621" s="1" t="str">
        <f t="shared" si="520"/>
        <v>-</v>
      </c>
      <c r="K621" s="10">
        <f t="shared" ca="1" si="521"/>
        <v>31</v>
      </c>
      <c r="L621" s="10">
        <f t="shared" ca="1" si="522"/>
        <v>19</v>
      </c>
      <c r="M621" s="2">
        <f t="shared" ca="1" si="523"/>
        <v>0.61290322580645162</v>
      </c>
      <c r="N621" s="10">
        <f t="shared" si="524"/>
        <v>4</v>
      </c>
      <c r="O621" s="10">
        <f t="shared" si="525"/>
        <v>4</v>
      </c>
      <c r="P621" s="3">
        <f t="shared" si="526"/>
        <v>1</v>
      </c>
      <c r="Q621" s="10">
        <f t="shared" ca="1" si="527"/>
        <v>406</v>
      </c>
      <c r="R621" s="10">
        <f t="shared" ca="1" si="509"/>
        <v>377</v>
      </c>
      <c r="S621" s="4">
        <f t="shared" ca="1" si="528"/>
        <v>0.9285714285714286</v>
      </c>
      <c r="T621" s="478">
        <f ca="1">SUM(N616:N621)</f>
        <v>19</v>
      </c>
    </row>
    <row r="622" spans="1:22" x14ac:dyDescent="0.45">
      <c r="A622" s="64">
        <v>44378</v>
      </c>
      <c r="B622" s="14">
        <v>6</v>
      </c>
      <c r="C622" s="10">
        <v>6</v>
      </c>
      <c r="D622" s="1">
        <v>1</v>
      </c>
      <c r="E622" s="10">
        <v>381</v>
      </c>
      <c r="F622" s="10">
        <v>364</v>
      </c>
      <c r="G622" s="2">
        <v>0.95538057742782156</v>
      </c>
      <c r="H622" s="10">
        <f>COUNTIFS(发射纪录!C:C,"&lt;&gt;-",发射纪录!G:G,"&gt;="&amp;DATE(YEAR(A622),MONTH(A622),1),发射纪录!G:G,"&lt;="&amp;DATE(YEAR(A622),MONTH(A622),DAY(EOMONTH(A622,0))),发射纪录!N:N,"&lt;&gt;")</f>
        <v>0</v>
      </c>
      <c r="I622" s="10">
        <f>COUNTIFS(发射纪录!C:C,"&lt;&gt;-",发射纪录!G:G,"&gt;="&amp;DATE(YEAR(A622),MONTH(A622),1),发射纪录!G:G,"&lt;="&amp;DATE(YEAR(A622),MONTH(A622),DAY(EOMONTH(A622,0))),发射纪录!N:N,"=成功",发射纪录!N:N,"&lt;&gt;")</f>
        <v>0</v>
      </c>
      <c r="J622" s="1" t="str">
        <f t="shared" si="520"/>
        <v>-</v>
      </c>
      <c r="K622" s="10">
        <f t="shared" ca="1" si="521"/>
        <v>31</v>
      </c>
      <c r="L622" s="10">
        <f t="shared" ca="1" si="522"/>
        <v>19</v>
      </c>
      <c r="M622" s="2">
        <f t="shared" ca="1" si="523"/>
        <v>0.61290322580645162</v>
      </c>
      <c r="N622" s="10">
        <f t="shared" si="524"/>
        <v>6</v>
      </c>
      <c r="O622" s="10">
        <f t="shared" si="525"/>
        <v>6</v>
      </c>
      <c r="P622" s="3">
        <f t="shared" si="526"/>
        <v>1</v>
      </c>
      <c r="Q622" s="10">
        <f t="shared" ca="1" si="527"/>
        <v>412</v>
      </c>
      <c r="R622" s="10">
        <f t="shared" ca="1" si="509"/>
        <v>383</v>
      </c>
      <c r="S622" s="4">
        <f t="shared" ca="1" si="528"/>
        <v>0.92961165048543692</v>
      </c>
      <c r="T622" s="478"/>
    </row>
    <row r="623" spans="1:22" x14ac:dyDescent="0.45">
      <c r="A623" s="64">
        <v>44409</v>
      </c>
      <c r="B623" s="14">
        <v>5</v>
      </c>
      <c r="C623" s="10">
        <v>5</v>
      </c>
      <c r="D623" s="1">
        <v>1</v>
      </c>
      <c r="E623" s="10">
        <v>386</v>
      </c>
      <c r="F623" s="10">
        <v>369</v>
      </c>
      <c r="G623" s="2">
        <v>0.95595854922279788</v>
      </c>
      <c r="H623" s="10">
        <f>COUNTIFS(发射纪录!C:C,"&lt;&gt;-",发射纪录!G:G,"&gt;="&amp;DATE(YEAR(A623),MONTH(A623),1),发射纪录!G:G,"&lt;="&amp;DATE(YEAR(A623),MONTH(A623),DAY(EOMONTH(A623,0))),发射纪录!N:N,"&lt;&gt;")</f>
        <v>1</v>
      </c>
      <c r="I623" s="10">
        <f>COUNTIFS(发射纪录!C:C,"&lt;&gt;-",发射纪录!G:G,"&gt;="&amp;DATE(YEAR(A623),MONTH(A623),1),发射纪录!G:G,"&lt;="&amp;DATE(YEAR(A623),MONTH(A623),DAY(EOMONTH(A623,0))),发射纪录!N:N,"=成功",发射纪录!N:N,"&lt;&gt;")</f>
        <v>0</v>
      </c>
      <c r="J623" s="1">
        <f t="shared" si="520"/>
        <v>0</v>
      </c>
      <c r="K623" s="10">
        <f t="shared" ca="1" si="521"/>
        <v>32</v>
      </c>
      <c r="L623" s="10">
        <f t="shared" ca="1" si="522"/>
        <v>19</v>
      </c>
      <c r="M623" s="2">
        <f t="shared" ca="1" si="523"/>
        <v>0.59375</v>
      </c>
      <c r="N623" s="10">
        <f t="shared" si="524"/>
        <v>6</v>
      </c>
      <c r="O623" s="10">
        <f t="shared" si="525"/>
        <v>5</v>
      </c>
      <c r="P623" s="3">
        <f t="shared" si="526"/>
        <v>0.83333333333333337</v>
      </c>
      <c r="Q623" s="10">
        <f t="shared" ca="1" si="527"/>
        <v>418</v>
      </c>
      <c r="R623" s="10">
        <f t="shared" ca="1" si="509"/>
        <v>388</v>
      </c>
      <c r="S623" s="4">
        <f t="shared" ca="1" si="528"/>
        <v>0.92822966507177029</v>
      </c>
      <c r="T623" s="478"/>
    </row>
    <row r="624" spans="1:22" x14ac:dyDescent="0.45">
      <c r="A624" s="64">
        <v>44440</v>
      </c>
      <c r="B624" s="14">
        <v>4</v>
      </c>
      <c r="C624" s="10">
        <v>4</v>
      </c>
      <c r="D624" s="1">
        <v>1</v>
      </c>
      <c r="E624" s="10">
        <v>390</v>
      </c>
      <c r="F624" s="10">
        <v>373</v>
      </c>
      <c r="G624" s="2">
        <v>0.95641025641025645</v>
      </c>
      <c r="H624" s="10">
        <f>COUNTIFS(发射纪录!C:C,"&lt;&gt;-",发射纪录!G:G,"&gt;="&amp;DATE(YEAR(A624),MONTH(A624),1),发射纪录!G:G,"&lt;="&amp;DATE(YEAR(A624),MONTH(A624),DAY(EOMONTH(A624,0))),发射纪录!N:N,"&lt;&gt;")</f>
        <v>1</v>
      </c>
      <c r="I624" s="10">
        <f>COUNTIFS(发射纪录!C:C,"&lt;&gt;-",发射纪录!G:G,"&gt;="&amp;DATE(YEAR(A624),MONTH(A624),1),发射纪录!G:G,"&lt;="&amp;DATE(YEAR(A624),MONTH(A624),DAY(EOMONTH(A624,0))),发射纪录!N:N,"=成功",发射纪录!N:N,"&lt;&gt;")</f>
        <v>1</v>
      </c>
      <c r="J624" s="1">
        <f t="shared" si="520"/>
        <v>1</v>
      </c>
      <c r="K624" s="10">
        <f t="shared" ca="1" si="521"/>
        <v>33</v>
      </c>
      <c r="L624" s="10">
        <f t="shared" ca="1" si="522"/>
        <v>20</v>
      </c>
      <c r="M624" s="2">
        <f t="shared" ca="1" si="523"/>
        <v>0.60606060606060608</v>
      </c>
      <c r="N624" s="10">
        <f t="shared" si="524"/>
        <v>5</v>
      </c>
      <c r="O624" s="10">
        <f t="shared" si="525"/>
        <v>5</v>
      </c>
      <c r="P624" s="3">
        <f t="shared" si="526"/>
        <v>1</v>
      </c>
      <c r="Q624" s="10">
        <f t="shared" ca="1" si="527"/>
        <v>423</v>
      </c>
      <c r="R624" s="10">
        <f t="shared" ca="1" si="509"/>
        <v>393</v>
      </c>
      <c r="S624" s="4">
        <f t="shared" ca="1" si="528"/>
        <v>0.92907801418439717</v>
      </c>
      <c r="T624" s="478"/>
    </row>
    <row r="625" spans="1:22" x14ac:dyDescent="0.45">
      <c r="A625" s="64">
        <v>44470</v>
      </c>
      <c r="B625" s="14">
        <v>3</v>
      </c>
      <c r="C625" s="10">
        <v>3</v>
      </c>
      <c r="D625" s="1">
        <v>1</v>
      </c>
      <c r="E625" s="10">
        <v>393</v>
      </c>
      <c r="F625" s="10">
        <v>376</v>
      </c>
      <c r="G625" s="2">
        <v>0.95674300254452926</v>
      </c>
      <c r="H625" s="10">
        <f>COUNTIFS(发射纪录!C:C,"&lt;&gt;-",发射纪录!G:G,"&gt;="&amp;DATE(YEAR(A625),MONTH(A625),1),发射纪录!G:G,"&lt;="&amp;DATE(YEAR(A625),MONTH(A625),DAY(EOMONTH(A625,0))),发射纪录!N:N,"&lt;&gt;")</f>
        <v>1</v>
      </c>
      <c r="I625" s="10">
        <f>COUNTIFS(发射纪录!C:C,"&lt;&gt;-",发射纪录!G:G,"&gt;="&amp;DATE(YEAR(A625),MONTH(A625),1),发射纪录!G:G,"&lt;="&amp;DATE(YEAR(A625),MONTH(A625),DAY(EOMONTH(A625,0))),发射纪录!N:N,"=成功",发射纪录!N:N,"&lt;&gt;")</f>
        <v>1</v>
      </c>
      <c r="J625" s="1">
        <f t="shared" si="520"/>
        <v>1</v>
      </c>
      <c r="K625" s="10">
        <f t="shared" ca="1" si="521"/>
        <v>34</v>
      </c>
      <c r="L625" s="10">
        <f t="shared" ca="1" si="522"/>
        <v>21</v>
      </c>
      <c r="M625" s="2">
        <f t="shared" ca="1" si="523"/>
        <v>0.61764705882352944</v>
      </c>
      <c r="N625" s="10">
        <f t="shared" si="524"/>
        <v>4</v>
      </c>
      <c r="O625" s="10">
        <f t="shared" si="525"/>
        <v>4</v>
      </c>
      <c r="P625" s="3">
        <f t="shared" si="526"/>
        <v>1</v>
      </c>
      <c r="Q625" s="10">
        <f t="shared" ca="1" si="527"/>
        <v>427</v>
      </c>
      <c r="R625" s="10">
        <f t="shared" ca="1" si="509"/>
        <v>397</v>
      </c>
      <c r="S625" s="4">
        <f t="shared" ca="1" si="528"/>
        <v>0.92974238875878223</v>
      </c>
      <c r="T625" s="478"/>
    </row>
    <row r="626" spans="1:22" x14ac:dyDescent="0.45">
      <c r="A626" s="64">
        <v>44501</v>
      </c>
      <c r="B626" s="14">
        <v>6</v>
      </c>
      <c r="C626" s="10">
        <v>6</v>
      </c>
      <c r="D626" s="1">
        <v>1</v>
      </c>
      <c r="E626" s="10">
        <v>399</v>
      </c>
      <c r="F626" s="10">
        <v>382</v>
      </c>
      <c r="G626" s="2">
        <v>0.95739348370927313</v>
      </c>
      <c r="H626" s="10">
        <f>COUNTIFS(发射纪录!C:C,"&lt;&gt;-",发射纪录!G:G,"&gt;="&amp;DATE(YEAR(A626),MONTH(A626),1),发射纪录!G:G,"&lt;="&amp;DATE(YEAR(A626),MONTH(A626),DAY(EOMONTH(A626,0))),发射纪录!N:N,"&lt;&gt;")</f>
        <v>1</v>
      </c>
      <c r="I626" s="10">
        <f>COUNTIFS(发射纪录!C:C,"&lt;&gt;-",发射纪录!G:G,"&gt;="&amp;DATE(YEAR(A626),MONTH(A626),1),发射纪录!G:G,"&lt;="&amp;DATE(YEAR(A626),MONTH(A626),DAY(EOMONTH(A626,0))),发射纪录!N:N,"=成功",发射纪录!N:N,"&lt;&gt;")</f>
        <v>1</v>
      </c>
      <c r="J626" s="1">
        <f t="shared" si="520"/>
        <v>1</v>
      </c>
      <c r="K626" s="10">
        <f t="shared" ca="1" si="521"/>
        <v>35</v>
      </c>
      <c r="L626" s="10">
        <f t="shared" ca="1" si="522"/>
        <v>22</v>
      </c>
      <c r="M626" s="2">
        <f t="shared" ca="1" si="523"/>
        <v>0.62857142857142856</v>
      </c>
      <c r="N626" s="10">
        <f t="shared" si="524"/>
        <v>7</v>
      </c>
      <c r="O626" s="10">
        <f t="shared" si="525"/>
        <v>7</v>
      </c>
      <c r="P626" s="3">
        <f t="shared" si="526"/>
        <v>1</v>
      </c>
      <c r="Q626" s="10">
        <f t="shared" ca="1" si="527"/>
        <v>434</v>
      </c>
      <c r="R626" s="10">
        <f t="shared" ca="1" si="509"/>
        <v>404</v>
      </c>
      <c r="S626" s="4">
        <f t="shared" ca="1" si="528"/>
        <v>0.93087557603686633</v>
      </c>
      <c r="T626" s="478"/>
    </row>
    <row r="627" spans="1:22" ht="19.5" customHeight="1" thickBot="1" x14ac:dyDescent="0.5">
      <c r="A627" s="65">
        <v>44531</v>
      </c>
      <c r="B627" s="17">
        <v>6</v>
      </c>
      <c r="C627" s="18">
        <v>6</v>
      </c>
      <c r="D627" s="12">
        <v>1</v>
      </c>
      <c r="E627" s="18">
        <v>405</v>
      </c>
      <c r="F627" s="18">
        <v>388</v>
      </c>
      <c r="G627" s="13">
        <v>0.9580246913580247</v>
      </c>
      <c r="H627" s="18">
        <f ca="1">COUNTIFS(发射纪录!C:C,"&lt;&gt;-",发射纪录!G:G,"&gt;="&amp;DATE(YEAR(A627),MONTH(A627),1),发射纪录!G:G,"&lt;="&amp;DATE(YEAR(A627),MONTH(A627),DAY(EOMONTH(A627,0))),发射纪录!N:N,"&lt;&gt;")</f>
        <v>2</v>
      </c>
      <c r="I627" s="18">
        <f>COUNTIFS(发射纪录!C:C,"&lt;&gt;-",发射纪录!G:G,"&gt;="&amp;DATE(YEAR(A627),MONTH(A627),1),发射纪录!G:G,"&lt;="&amp;DATE(YEAR(A627),MONTH(A627),DAY(EOMONTH(A627,0))),发射纪录!N:N,"=成功",发射纪录!N:N,"&lt;&gt;")</f>
        <v>1</v>
      </c>
      <c r="J627" s="12">
        <f ca="1">IF(H627=0,"-",I627/H627)</f>
        <v>0.5</v>
      </c>
      <c r="K627" s="18">
        <f ca="1">K626+H627</f>
        <v>37</v>
      </c>
      <c r="L627" s="18">
        <f ca="1">L626+I627</f>
        <v>23</v>
      </c>
      <c r="M627" s="13">
        <f ca="1">IF(K627=0,"-",L627/K627)</f>
        <v>0.6216216216216216</v>
      </c>
      <c r="N627" s="18">
        <f ca="1">B627+H627</f>
        <v>8</v>
      </c>
      <c r="O627" s="18">
        <f>C627+I627</f>
        <v>7</v>
      </c>
      <c r="P627" s="12">
        <f ca="1">IF(N627=0,"-",O627/N627)</f>
        <v>0.875</v>
      </c>
      <c r="Q627" s="18">
        <f ca="1">E627+K627</f>
        <v>442</v>
      </c>
      <c r="R627" s="18">
        <f ca="1">F627+L627</f>
        <v>411</v>
      </c>
      <c r="S627" s="13">
        <f ca="1">IF(Q627=0,"-",R627/Q627)</f>
        <v>0.92986425339366519</v>
      </c>
      <c r="T627" s="478">
        <f ca="1">SUM(N622:N627)</f>
        <v>36</v>
      </c>
      <c r="U627" s="310">
        <f ca="1">T627/T621</f>
        <v>1.8947368421052631</v>
      </c>
      <c r="V627" s="308">
        <f ca="1">$T$657*U627</f>
        <v>56.84210526315789</v>
      </c>
    </row>
    <row r="628" spans="1:22" ht="18.600000000000001" thickTop="1" x14ac:dyDescent="0.45">
      <c r="A628" s="63">
        <v>44562</v>
      </c>
      <c r="B628" s="14">
        <v>2</v>
      </c>
      <c r="C628" s="10">
        <v>2</v>
      </c>
      <c r="D628" s="3">
        <v>1</v>
      </c>
      <c r="E628" s="10">
        <v>407</v>
      </c>
      <c r="F628" s="10">
        <v>390</v>
      </c>
      <c r="G628" s="4">
        <v>0.95823095823095827</v>
      </c>
      <c r="H628" s="10">
        <f>COUNTIFS(发射纪录!C:C,"&lt;&gt;-",发射纪录!G:G,"&gt;="&amp;DATE(YEAR(A628),MONTH(A628),1),发射纪录!G:G,"&lt;="&amp;DATE(YEAR(A628),MONTH(A628),DAY(EOMONTH(A628,0))),发射纪录!N:N,"&lt;&gt;")</f>
        <v>0</v>
      </c>
      <c r="I628" s="10">
        <f>COUNTIFS(发射纪录!C:C,"&lt;&gt;-",发射纪录!G:G,"&gt;="&amp;DATE(YEAR(A628),MONTH(A628),1),发射纪录!G:G,"&lt;="&amp;DATE(YEAR(A628),MONTH(A628),DAY(EOMONTH(A628,0))),发射纪录!N:N,"=成功",发射纪录!N:N,"&lt;&gt;")</f>
        <v>0</v>
      </c>
      <c r="J628" s="3" t="str">
        <f t="shared" ref="J628:J638" si="529">IF(H628=0,"-",I628/H628)</f>
        <v>-</v>
      </c>
      <c r="K628" s="10">
        <f t="shared" ref="K628:K638" ca="1" si="530">K627+H628</f>
        <v>37</v>
      </c>
      <c r="L628" s="10">
        <f t="shared" ref="L628:L638" ca="1" si="531">L627+I628</f>
        <v>23</v>
      </c>
      <c r="M628" s="4">
        <f t="shared" ref="M628:M638" ca="1" si="532">IF(K628=0,"-",L628/K628)</f>
        <v>0.6216216216216216</v>
      </c>
      <c r="N628" s="10">
        <f t="shared" ref="N628:N638" si="533">B628+H628</f>
        <v>2</v>
      </c>
      <c r="O628" s="10">
        <f t="shared" ref="O628:O638" si="534">C628+I628</f>
        <v>2</v>
      </c>
      <c r="P628" s="3">
        <f t="shared" ref="P628:P638" si="535">IF(N628=0,"-",O628/N628)</f>
        <v>1</v>
      </c>
      <c r="Q628" s="10">
        <f t="shared" ref="Q628:Q638" ca="1" si="536">E628+K628</f>
        <v>444</v>
      </c>
      <c r="R628" s="10">
        <f t="shared" ref="R628:R638" ca="1" si="537">F628+L628</f>
        <v>413</v>
      </c>
      <c r="S628" s="4">
        <f t="shared" ref="S628:S638" ca="1" si="538">IF(Q628=0,"-",R628/Q628)</f>
        <v>0.93018018018018023</v>
      </c>
      <c r="T628" s="478"/>
    </row>
    <row r="629" spans="1:22" x14ac:dyDescent="0.45">
      <c r="A629" s="64">
        <v>44593</v>
      </c>
      <c r="B629" s="14">
        <v>2</v>
      </c>
      <c r="C629" s="10">
        <v>2</v>
      </c>
      <c r="D629" s="1">
        <v>1</v>
      </c>
      <c r="E629" s="10">
        <v>409</v>
      </c>
      <c r="F629" s="10">
        <v>392</v>
      </c>
      <c r="G629" s="2">
        <v>0.95843520782396086</v>
      </c>
      <c r="H629" s="10">
        <f>COUNTIFS(发射纪录!C:C,"&lt;&gt;-",发射纪录!G:G,"&gt;="&amp;DATE(YEAR(A629),MONTH(A629),1),发射纪录!G:G,"&lt;="&amp;DATE(YEAR(A629),MONTH(A629),DAY(EOMONTH(A629,0))),发射纪录!N:N,"&lt;&gt;")</f>
        <v>0</v>
      </c>
      <c r="I629" s="10">
        <f>COUNTIFS(发射纪录!C:C,"&lt;&gt;-",发射纪录!G:G,"&gt;="&amp;DATE(YEAR(A629),MONTH(A629),1),发射纪录!G:G,"&lt;="&amp;DATE(YEAR(A629),MONTH(A629),DAY(EOMONTH(A629,0))),发射纪录!N:N,"=成功",发射纪录!N:N,"&lt;&gt;")</f>
        <v>0</v>
      </c>
      <c r="J629" s="1" t="str">
        <f t="shared" si="529"/>
        <v>-</v>
      </c>
      <c r="K629" s="10">
        <f t="shared" ca="1" si="530"/>
        <v>37</v>
      </c>
      <c r="L629" s="10">
        <f t="shared" ca="1" si="531"/>
        <v>23</v>
      </c>
      <c r="M629" s="2">
        <f t="shared" ca="1" si="532"/>
        <v>0.6216216216216216</v>
      </c>
      <c r="N629" s="10">
        <f t="shared" si="533"/>
        <v>2</v>
      </c>
      <c r="O629" s="10">
        <f t="shared" si="534"/>
        <v>2</v>
      </c>
      <c r="P629" s="3">
        <f t="shared" si="535"/>
        <v>1</v>
      </c>
      <c r="Q629" s="10">
        <f t="shared" ca="1" si="536"/>
        <v>446</v>
      </c>
      <c r="R629" s="10">
        <f t="shared" ca="1" si="537"/>
        <v>415</v>
      </c>
      <c r="S629" s="4">
        <f t="shared" ca="1" si="538"/>
        <v>0.93049327354260092</v>
      </c>
      <c r="T629" s="478"/>
    </row>
    <row r="630" spans="1:22" x14ac:dyDescent="0.45">
      <c r="A630" s="64">
        <v>44621</v>
      </c>
      <c r="B630" s="14">
        <v>4</v>
      </c>
      <c r="C630" s="10">
        <v>4</v>
      </c>
      <c r="D630" s="1">
        <v>1</v>
      </c>
      <c r="E630" s="10">
        <v>413</v>
      </c>
      <c r="F630" s="10">
        <v>396</v>
      </c>
      <c r="G630" s="2">
        <v>0.95883777239709445</v>
      </c>
      <c r="H630" s="10">
        <f>COUNTIFS(发射纪录!C:C,"&lt;&gt;-",发射纪录!G:G,"&gt;="&amp;DATE(YEAR(A630),MONTH(A630),1),发射纪录!G:G,"&lt;="&amp;DATE(YEAR(A630),MONTH(A630),DAY(EOMONTH(A630,0))),发射纪录!N:N,"&lt;&gt;")</f>
        <v>0</v>
      </c>
      <c r="I630" s="10">
        <f>COUNTIFS(发射纪录!C:C,"&lt;&gt;-",发射纪录!G:G,"&gt;="&amp;DATE(YEAR(A630),MONTH(A630),1),发射纪录!G:G,"&lt;="&amp;DATE(YEAR(A630),MONTH(A630),DAY(EOMONTH(A630,0))),发射纪录!N:N,"=成功",发射纪录!N:N,"&lt;&gt;")</f>
        <v>0</v>
      </c>
      <c r="J630" s="1" t="str">
        <f t="shared" si="529"/>
        <v>-</v>
      </c>
      <c r="K630" s="10">
        <f t="shared" ca="1" si="530"/>
        <v>37</v>
      </c>
      <c r="L630" s="10">
        <f t="shared" ca="1" si="531"/>
        <v>23</v>
      </c>
      <c r="M630" s="2">
        <f t="shared" ca="1" si="532"/>
        <v>0.6216216216216216</v>
      </c>
      <c r="N630" s="10">
        <f t="shared" si="533"/>
        <v>4</v>
      </c>
      <c r="O630" s="10">
        <f t="shared" si="534"/>
        <v>4</v>
      </c>
      <c r="P630" s="3">
        <f t="shared" si="535"/>
        <v>1</v>
      </c>
      <c r="Q630" s="10">
        <f t="shared" ca="1" si="536"/>
        <v>450</v>
      </c>
      <c r="R630" s="10">
        <f t="shared" ca="1" si="537"/>
        <v>419</v>
      </c>
      <c r="S630" s="4">
        <f t="shared" ca="1" si="538"/>
        <v>0.93111111111111111</v>
      </c>
      <c r="T630" s="478"/>
    </row>
    <row r="631" spans="1:22" x14ac:dyDescent="0.45">
      <c r="A631" s="64">
        <v>44652</v>
      </c>
      <c r="B631" s="14">
        <v>5</v>
      </c>
      <c r="C631" s="10">
        <v>5</v>
      </c>
      <c r="D631" s="1">
        <v>1</v>
      </c>
      <c r="E631" s="10">
        <v>418</v>
      </c>
      <c r="F631" s="10">
        <v>401</v>
      </c>
      <c r="G631" s="2">
        <v>0.95933014354066981</v>
      </c>
      <c r="H631" s="10">
        <f>COUNTIFS(发射纪录!C:C,"&lt;&gt;-",发射纪录!G:G,"&gt;="&amp;DATE(YEAR(A631),MONTH(A631),1),发射纪录!G:G,"&lt;="&amp;DATE(YEAR(A631),MONTH(A631),DAY(EOMONTH(A631,0))),发射纪录!N:N,"&lt;&gt;")</f>
        <v>0</v>
      </c>
      <c r="I631" s="10">
        <f>COUNTIFS(发射纪录!C:C,"&lt;&gt;-",发射纪录!G:G,"&gt;="&amp;DATE(YEAR(A631),MONTH(A631),1),发射纪录!G:G,"&lt;="&amp;DATE(YEAR(A631),MONTH(A631),DAY(EOMONTH(A631,0))),发射纪录!N:N,"=成功",发射纪录!N:N,"&lt;&gt;")</f>
        <v>0</v>
      </c>
      <c r="J631" s="1" t="str">
        <f t="shared" si="529"/>
        <v>-</v>
      </c>
      <c r="K631" s="10">
        <f t="shared" ca="1" si="530"/>
        <v>37</v>
      </c>
      <c r="L631" s="10">
        <f t="shared" ca="1" si="531"/>
        <v>23</v>
      </c>
      <c r="M631" s="2">
        <f t="shared" ca="1" si="532"/>
        <v>0.6216216216216216</v>
      </c>
      <c r="N631" s="10">
        <f t="shared" si="533"/>
        <v>5</v>
      </c>
      <c r="O631" s="10">
        <f t="shared" si="534"/>
        <v>5</v>
      </c>
      <c r="P631" s="3">
        <f t="shared" si="535"/>
        <v>1</v>
      </c>
      <c r="Q631" s="10">
        <f t="shared" ca="1" si="536"/>
        <v>455</v>
      </c>
      <c r="R631" s="10">
        <f t="shared" ca="1" si="537"/>
        <v>424</v>
      </c>
      <c r="S631" s="4">
        <f t="shared" ca="1" si="538"/>
        <v>0.93186813186813189</v>
      </c>
      <c r="T631" s="478"/>
    </row>
    <row r="632" spans="1:22" x14ac:dyDescent="0.45">
      <c r="A632" s="64">
        <v>44682</v>
      </c>
      <c r="B632" s="14">
        <v>3</v>
      </c>
      <c r="C632" s="10">
        <v>3</v>
      </c>
      <c r="D632" s="1">
        <v>1</v>
      </c>
      <c r="E632" s="10">
        <v>421</v>
      </c>
      <c r="F632" s="10">
        <v>404</v>
      </c>
      <c r="G632" s="2">
        <v>0.95961995249406173</v>
      </c>
      <c r="H632" s="10">
        <f>COUNTIFS(发射纪录!C:C,"&lt;&gt;-",发射纪录!G:G,"&gt;="&amp;DATE(YEAR(A632),MONTH(A632),1),发射纪录!G:G,"&lt;="&amp;DATE(YEAR(A632),MONTH(A632),DAY(EOMONTH(A632,0))),发射纪录!N:N,"&lt;&gt;")</f>
        <v>1</v>
      </c>
      <c r="I632" s="10">
        <f>COUNTIFS(发射纪录!C:C,"&lt;&gt;-",发射纪录!G:G,"&gt;="&amp;DATE(YEAR(A632),MONTH(A632),1),发射纪录!G:G,"&lt;="&amp;DATE(YEAR(A632),MONTH(A632),DAY(EOMONTH(A632,0))),发射纪录!N:N,"=成功",发射纪录!N:N,"&lt;&gt;")</f>
        <v>0</v>
      </c>
      <c r="J632" s="1">
        <f t="shared" si="529"/>
        <v>0</v>
      </c>
      <c r="K632" s="10">
        <f t="shared" ca="1" si="530"/>
        <v>38</v>
      </c>
      <c r="L632" s="10">
        <f t="shared" ca="1" si="531"/>
        <v>23</v>
      </c>
      <c r="M632" s="2">
        <f t="shared" ca="1" si="532"/>
        <v>0.60526315789473684</v>
      </c>
      <c r="N632" s="10">
        <f t="shared" si="533"/>
        <v>4</v>
      </c>
      <c r="O632" s="10">
        <f t="shared" si="534"/>
        <v>3</v>
      </c>
      <c r="P632" s="3">
        <f t="shared" si="535"/>
        <v>0.75</v>
      </c>
      <c r="Q632" s="10">
        <f t="shared" ca="1" si="536"/>
        <v>459</v>
      </c>
      <c r="R632" s="10">
        <f t="shared" ca="1" si="537"/>
        <v>427</v>
      </c>
      <c r="S632" s="4">
        <f t="shared" ca="1" si="538"/>
        <v>0.93028322440087141</v>
      </c>
      <c r="T632" s="478"/>
    </row>
    <row r="633" spans="1:22" x14ac:dyDescent="0.45">
      <c r="A633" s="64">
        <v>44713</v>
      </c>
      <c r="B633" s="14">
        <v>4</v>
      </c>
      <c r="C633" s="10">
        <v>4</v>
      </c>
      <c r="D633" s="1">
        <v>1</v>
      </c>
      <c r="E633" s="10">
        <v>425</v>
      </c>
      <c r="F633" s="10">
        <v>408</v>
      </c>
      <c r="G633" s="2">
        <v>0.96</v>
      </c>
      <c r="H633" s="10">
        <f>COUNTIFS(发射纪录!C:C,"&lt;&gt;-",发射纪录!G:G,"&gt;="&amp;DATE(YEAR(A633),MONTH(A633),1),发射纪录!G:G,"&lt;="&amp;DATE(YEAR(A633),MONTH(A633),DAY(EOMONTH(A633,0))),发射纪录!N:N,"&lt;&gt;")</f>
        <v>1</v>
      </c>
      <c r="I633" s="10">
        <f>COUNTIFS(发射纪录!C:C,"&lt;&gt;-",发射纪录!G:G,"&gt;="&amp;DATE(YEAR(A633),MONTH(A633),1),发射纪录!G:G,"&lt;="&amp;DATE(YEAR(A633),MONTH(A633),DAY(EOMONTH(A633,0))),发射纪录!N:N,"=成功",发射纪录!N:N,"&lt;&gt;")</f>
        <v>1</v>
      </c>
      <c r="J633" s="1">
        <f t="shared" si="529"/>
        <v>1</v>
      </c>
      <c r="K633" s="10">
        <f t="shared" ca="1" si="530"/>
        <v>39</v>
      </c>
      <c r="L633" s="10">
        <f t="shared" ca="1" si="531"/>
        <v>24</v>
      </c>
      <c r="M633" s="2">
        <f t="shared" ca="1" si="532"/>
        <v>0.61538461538461542</v>
      </c>
      <c r="N633" s="10">
        <f t="shared" si="533"/>
        <v>5</v>
      </c>
      <c r="O633" s="10">
        <f t="shared" si="534"/>
        <v>5</v>
      </c>
      <c r="P633" s="3">
        <f t="shared" si="535"/>
        <v>1</v>
      </c>
      <c r="Q633" s="10">
        <f t="shared" ca="1" si="536"/>
        <v>464</v>
      </c>
      <c r="R633" s="10">
        <f t="shared" ca="1" si="537"/>
        <v>432</v>
      </c>
      <c r="S633" s="4">
        <f t="shared" ca="1" si="538"/>
        <v>0.93103448275862066</v>
      </c>
      <c r="T633" s="478">
        <f>SUM(N628:N633)</f>
        <v>22</v>
      </c>
    </row>
    <row r="634" spans="1:22" x14ac:dyDescent="0.45">
      <c r="A634" s="64">
        <v>44743</v>
      </c>
      <c r="B634" s="14">
        <v>4</v>
      </c>
      <c r="C634" s="10">
        <v>4</v>
      </c>
      <c r="D634" s="1">
        <v>1</v>
      </c>
      <c r="E634" s="10">
        <v>429</v>
      </c>
      <c r="F634" s="10">
        <v>412</v>
      </c>
      <c r="G634" s="2">
        <v>0.96037296037296038</v>
      </c>
      <c r="H634" s="10">
        <f>COUNTIFS(发射纪录!C:C,"&lt;&gt;-",发射纪录!G:G,"&gt;="&amp;DATE(YEAR(A634),MONTH(A634),1),发射纪录!G:G,"&lt;="&amp;DATE(YEAR(A634),MONTH(A634),DAY(EOMONTH(A634,0))),发射纪录!N:N,"&lt;&gt;")</f>
        <v>1</v>
      </c>
      <c r="I634" s="10">
        <f>COUNTIFS(发射纪录!C:C,"&lt;&gt;-",发射纪录!G:G,"&gt;="&amp;DATE(YEAR(A634),MONTH(A634),1),发射纪录!G:G,"&lt;="&amp;DATE(YEAR(A634),MONTH(A634),DAY(EOMONTH(A634,0))),发射纪录!N:N,"=成功",发射纪录!N:N,"&lt;&gt;")</f>
        <v>1</v>
      </c>
      <c r="J634" s="1">
        <f t="shared" si="529"/>
        <v>1</v>
      </c>
      <c r="K634" s="10">
        <f t="shared" ca="1" si="530"/>
        <v>40</v>
      </c>
      <c r="L634" s="10">
        <f t="shared" ca="1" si="531"/>
        <v>25</v>
      </c>
      <c r="M634" s="2">
        <f t="shared" ca="1" si="532"/>
        <v>0.625</v>
      </c>
      <c r="N634" s="10">
        <f t="shared" si="533"/>
        <v>5</v>
      </c>
      <c r="O634" s="10">
        <f t="shared" si="534"/>
        <v>5</v>
      </c>
      <c r="P634" s="3">
        <f t="shared" si="535"/>
        <v>1</v>
      </c>
      <c r="Q634" s="10">
        <f t="shared" ca="1" si="536"/>
        <v>469</v>
      </c>
      <c r="R634" s="10">
        <f t="shared" ca="1" si="537"/>
        <v>437</v>
      </c>
      <c r="S634" s="4">
        <f t="shared" ca="1" si="538"/>
        <v>0.93176972281449888</v>
      </c>
      <c r="T634" s="478"/>
    </row>
    <row r="635" spans="1:22" x14ac:dyDescent="0.45">
      <c r="A635" s="64">
        <v>44774</v>
      </c>
      <c r="B635" s="14">
        <v>5</v>
      </c>
      <c r="C635" s="10">
        <v>5</v>
      </c>
      <c r="D635" s="1">
        <v>1</v>
      </c>
      <c r="E635" s="10">
        <v>434</v>
      </c>
      <c r="F635" s="10">
        <v>417</v>
      </c>
      <c r="G635" s="2">
        <v>0.96082949308755761</v>
      </c>
      <c r="H635" s="10">
        <f ca="1">COUNTIFS(发射纪录!C:C,"&lt;&gt;-",发射纪录!G:G,"&gt;="&amp;DATE(YEAR(A635),MONTH(A635),1),发射纪录!G:G,"&lt;="&amp;DATE(YEAR(A635),MONTH(A635),DAY(EOMONTH(A635,0))),发射纪录!N:N,"&lt;&gt;")</f>
        <v>2</v>
      </c>
      <c r="I635" s="10">
        <f ca="1">COUNTIFS(发射纪录!C:C,"&lt;&gt;-",发射纪录!G:G,"&gt;="&amp;DATE(YEAR(A635),MONTH(A635),1),发射纪录!G:G,"&lt;="&amp;DATE(YEAR(A635),MONTH(A635),DAY(EOMONTH(A635,0))),发射纪录!N:N,"=成功",发射纪录!N:N,"&lt;&gt;")</f>
        <v>2</v>
      </c>
      <c r="J635" s="1">
        <f t="shared" ca="1" si="529"/>
        <v>1</v>
      </c>
      <c r="K635" s="10">
        <f t="shared" ca="1" si="530"/>
        <v>42</v>
      </c>
      <c r="L635" s="10">
        <f t="shared" ca="1" si="531"/>
        <v>27</v>
      </c>
      <c r="M635" s="2">
        <f t="shared" ca="1" si="532"/>
        <v>0.6428571428571429</v>
      </c>
      <c r="N635" s="10">
        <f t="shared" ca="1" si="533"/>
        <v>7</v>
      </c>
      <c r="O635" s="10">
        <f t="shared" ca="1" si="534"/>
        <v>7</v>
      </c>
      <c r="P635" s="3">
        <f t="shared" ca="1" si="535"/>
        <v>1</v>
      </c>
      <c r="Q635" s="10">
        <f t="shared" ca="1" si="536"/>
        <v>476</v>
      </c>
      <c r="R635" s="10">
        <f t="shared" ca="1" si="537"/>
        <v>444</v>
      </c>
      <c r="S635" s="4">
        <f t="shared" ca="1" si="538"/>
        <v>0.9327731092436975</v>
      </c>
      <c r="T635" s="478"/>
    </row>
    <row r="636" spans="1:22" x14ac:dyDescent="0.45">
      <c r="A636" s="64">
        <v>44805</v>
      </c>
      <c r="B636" s="14">
        <v>6</v>
      </c>
      <c r="C636" s="10">
        <v>6</v>
      </c>
      <c r="D636" s="1">
        <v>1</v>
      </c>
      <c r="E636" s="10">
        <v>440</v>
      </c>
      <c r="F636" s="10">
        <v>423</v>
      </c>
      <c r="G636" s="2">
        <v>0.96136363636363631</v>
      </c>
      <c r="H636" s="10">
        <f>COUNTIFS(发射纪录!C:C,"&lt;&gt;-",发射纪录!G:G,"&gt;="&amp;DATE(YEAR(A636),MONTH(A636),1),发射纪录!G:G,"&lt;="&amp;DATE(YEAR(A636),MONTH(A636),DAY(EOMONTH(A636,0))),发射纪录!N:N,"&lt;&gt;")</f>
        <v>2</v>
      </c>
      <c r="I636" s="10">
        <f>COUNTIFS(发射纪录!C:C,"&lt;&gt;-",发射纪录!G:G,"&gt;="&amp;DATE(YEAR(A636),MONTH(A636),1),发射纪录!G:G,"&lt;="&amp;DATE(YEAR(A636),MONTH(A636),DAY(EOMONTH(A636,0))),发射纪录!N:N,"=成功",发射纪录!N:N,"&lt;&gt;")</f>
        <v>2</v>
      </c>
      <c r="J636" s="1">
        <f t="shared" si="529"/>
        <v>1</v>
      </c>
      <c r="K636" s="10">
        <f t="shared" ca="1" si="530"/>
        <v>44</v>
      </c>
      <c r="L636" s="10">
        <f t="shared" ca="1" si="531"/>
        <v>29</v>
      </c>
      <c r="M636" s="2">
        <f t="shared" ca="1" si="532"/>
        <v>0.65909090909090906</v>
      </c>
      <c r="N636" s="10">
        <f t="shared" si="533"/>
        <v>8</v>
      </c>
      <c r="O636" s="10">
        <f t="shared" si="534"/>
        <v>8</v>
      </c>
      <c r="P636" s="3">
        <f t="shared" si="535"/>
        <v>1</v>
      </c>
      <c r="Q636" s="10">
        <f t="shared" ca="1" si="536"/>
        <v>484</v>
      </c>
      <c r="R636" s="10">
        <f t="shared" ca="1" si="537"/>
        <v>452</v>
      </c>
      <c r="S636" s="4">
        <f t="shared" ca="1" si="538"/>
        <v>0.93388429752066116</v>
      </c>
      <c r="T636" s="478"/>
    </row>
    <row r="637" spans="1:22" x14ac:dyDescent="0.45">
      <c r="A637" s="64">
        <v>44835</v>
      </c>
      <c r="B637" s="14">
        <v>6</v>
      </c>
      <c r="C637" s="10">
        <v>6</v>
      </c>
      <c r="D637" s="1">
        <v>1</v>
      </c>
      <c r="E637" s="10">
        <v>446</v>
      </c>
      <c r="F637" s="10">
        <v>429</v>
      </c>
      <c r="G637" s="2">
        <v>0.96188340807174888</v>
      </c>
      <c r="H637" s="10">
        <f>COUNTIFS(发射纪录!C:C,"&lt;&gt;-",发射纪录!G:G,"&gt;="&amp;DATE(YEAR(A637),MONTH(A637),1),发射纪录!G:G,"&lt;="&amp;DATE(YEAR(A637),MONTH(A637),DAY(EOMONTH(A637,0))),发射纪录!N:N,"&lt;&gt;")</f>
        <v>0</v>
      </c>
      <c r="I637" s="10">
        <f>COUNTIFS(发射纪录!C:C,"&lt;&gt;-",发射纪录!G:G,"&gt;="&amp;DATE(YEAR(A637),MONTH(A637),1),发射纪录!G:G,"&lt;="&amp;DATE(YEAR(A637),MONTH(A637),DAY(EOMONTH(A637,0))),发射纪录!N:N,"=成功",发射纪录!N:N,"&lt;&gt;")</f>
        <v>0</v>
      </c>
      <c r="J637" s="1" t="str">
        <f t="shared" si="529"/>
        <v>-</v>
      </c>
      <c r="K637" s="10">
        <f t="shared" ca="1" si="530"/>
        <v>44</v>
      </c>
      <c r="L637" s="10">
        <f t="shared" ca="1" si="531"/>
        <v>29</v>
      </c>
      <c r="M637" s="2">
        <f t="shared" ca="1" si="532"/>
        <v>0.65909090909090906</v>
      </c>
      <c r="N637" s="10">
        <f t="shared" si="533"/>
        <v>6</v>
      </c>
      <c r="O637" s="10">
        <f t="shared" si="534"/>
        <v>6</v>
      </c>
      <c r="P637" s="3">
        <f t="shared" si="535"/>
        <v>1</v>
      </c>
      <c r="Q637" s="10">
        <f t="shared" ca="1" si="536"/>
        <v>490</v>
      </c>
      <c r="R637" s="10">
        <f t="shared" ca="1" si="537"/>
        <v>458</v>
      </c>
      <c r="S637" s="4">
        <f t="shared" ca="1" si="538"/>
        <v>0.9346938775510204</v>
      </c>
      <c r="T637" s="478"/>
    </row>
    <row r="638" spans="1:22" x14ac:dyDescent="0.45">
      <c r="A638" s="64">
        <v>44866</v>
      </c>
      <c r="B638" s="14">
        <v>6</v>
      </c>
      <c r="C638" s="10">
        <v>6</v>
      </c>
      <c r="D638" s="1">
        <v>1</v>
      </c>
      <c r="E638" s="10">
        <v>452</v>
      </c>
      <c r="F638" s="10">
        <v>435</v>
      </c>
      <c r="G638" s="2">
        <v>0.96238938053097345</v>
      </c>
      <c r="H638" s="10">
        <f>COUNTIFS(发射纪录!C:C,"&lt;&gt;-",发射纪录!G:G,"&gt;="&amp;DATE(YEAR(A638),MONTH(A638),1),发射纪录!G:G,"&lt;="&amp;DATE(YEAR(A638),MONTH(A638),DAY(EOMONTH(A638,0))),发射纪录!N:N,"&lt;&gt;")</f>
        <v>1</v>
      </c>
      <c r="I638" s="10">
        <f>COUNTIFS(发射纪录!C:C,"&lt;&gt;-",发射纪录!G:G,"&gt;="&amp;DATE(YEAR(A638),MONTH(A638),1),发射纪录!G:G,"&lt;="&amp;DATE(YEAR(A638),MONTH(A638),DAY(EOMONTH(A638,0))),发射纪录!N:N,"=成功",发射纪录!N:N,"&lt;&gt;")</f>
        <v>1</v>
      </c>
      <c r="J638" s="1">
        <f t="shared" si="529"/>
        <v>1</v>
      </c>
      <c r="K638" s="10">
        <f t="shared" ca="1" si="530"/>
        <v>45</v>
      </c>
      <c r="L638" s="10">
        <f t="shared" ca="1" si="531"/>
        <v>30</v>
      </c>
      <c r="M638" s="2">
        <f t="shared" ca="1" si="532"/>
        <v>0.66666666666666663</v>
      </c>
      <c r="N638" s="10">
        <f t="shared" si="533"/>
        <v>7</v>
      </c>
      <c r="O638" s="10">
        <f t="shared" si="534"/>
        <v>7</v>
      </c>
      <c r="P638" s="3">
        <f t="shared" si="535"/>
        <v>1</v>
      </c>
      <c r="Q638" s="10">
        <f t="shared" ca="1" si="536"/>
        <v>497</v>
      </c>
      <c r="R638" s="10">
        <f t="shared" ca="1" si="537"/>
        <v>465</v>
      </c>
      <c r="S638" s="4">
        <f t="shared" ca="1" si="538"/>
        <v>0.93561368209255535</v>
      </c>
      <c r="T638" s="478"/>
    </row>
    <row r="639" spans="1:22" ht="19.5" customHeight="1" thickBot="1" x14ac:dyDescent="0.5">
      <c r="A639" s="65">
        <v>44896</v>
      </c>
      <c r="B639" s="17">
        <v>6</v>
      </c>
      <c r="C639" s="18">
        <v>6</v>
      </c>
      <c r="D639" s="12">
        <v>1</v>
      </c>
      <c r="E639" s="18">
        <v>458</v>
      </c>
      <c r="F639" s="18">
        <v>441</v>
      </c>
      <c r="G639" s="13">
        <v>0.96288209606986896</v>
      </c>
      <c r="H639" s="18">
        <f>COUNTIFS(发射纪录!C:C,"&lt;&gt;-",发射纪录!G:G,"&gt;="&amp;DATE(YEAR(A639),MONTH(A639),1),发射纪录!G:G,"&lt;="&amp;DATE(YEAR(A639),MONTH(A639),DAY(EOMONTH(A639,0))),发射纪录!N:N,"&lt;&gt;")</f>
        <v>3</v>
      </c>
      <c r="I639" s="18">
        <f>COUNTIFS(发射纪录!C:C,"&lt;&gt;-",发射纪录!G:G,"&gt;="&amp;DATE(YEAR(A639),MONTH(A639),1),发射纪录!G:G,"&lt;="&amp;DATE(YEAR(A639),MONTH(A639),DAY(EOMONTH(A639,0))),发射纪录!N:N,"=成功",发射纪录!N:N,"&lt;&gt;")</f>
        <v>2</v>
      </c>
      <c r="J639" s="12">
        <f>IF(H639=0,"-",I639/H639)</f>
        <v>0.66666666666666663</v>
      </c>
      <c r="K639" s="18">
        <f ca="1">K638+H639</f>
        <v>48</v>
      </c>
      <c r="L639" s="18">
        <f ca="1">L638+I639</f>
        <v>32</v>
      </c>
      <c r="M639" s="13">
        <f ca="1">IF(K639=0,"-",L639/K639)</f>
        <v>0.66666666666666663</v>
      </c>
      <c r="N639" s="18">
        <f>B639+H639</f>
        <v>9</v>
      </c>
      <c r="O639" s="18">
        <f>C639+I639</f>
        <v>8</v>
      </c>
      <c r="P639" s="12">
        <f>IF(N639=0,"-",O639/N639)</f>
        <v>0.88888888888888884</v>
      </c>
      <c r="Q639" s="18">
        <f ca="1">E639+K639</f>
        <v>506</v>
      </c>
      <c r="R639" s="18">
        <f ca="1">F639+L639</f>
        <v>473</v>
      </c>
      <c r="S639" s="13">
        <f ca="1">IF(Q639=0,"-",R639/Q639)</f>
        <v>0.93478260869565222</v>
      </c>
      <c r="T639" s="478">
        <f ca="1">SUM(N634:N639)</f>
        <v>42</v>
      </c>
      <c r="U639" s="310"/>
      <c r="V639" s="308"/>
    </row>
    <row r="640" spans="1:22" ht="19.5" customHeight="1" thickTop="1" x14ac:dyDescent="0.45">
      <c r="A640" s="63">
        <v>44927</v>
      </c>
      <c r="B640" s="14">
        <v>4</v>
      </c>
      <c r="C640" s="10">
        <v>4</v>
      </c>
      <c r="D640" s="3">
        <v>1</v>
      </c>
      <c r="E640" s="10">
        <v>462</v>
      </c>
      <c r="F640" s="10">
        <v>445</v>
      </c>
      <c r="G640" s="4">
        <v>0.96320346320346317</v>
      </c>
      <c r="H640" s="10">
        <f>COUNTIFS(发射纪录!C:C,"&lt;&gt;-",发射纪录!G:G,"&gt;="&amp;DATE(YEAR(A640),MONTH(A640),1),发射纪录!G:G,"&lt;="&amp;DATE(YEAR(A640),MONTH(A640),DAY(EOMONTH(A640,0))),发射纪录!N:N,"&lt;&gt;")</f>
        <v>1</v>
      </c>
      <c r="I640" s="10">
        <f>COUNTIFS(发射纪录!C:C,"&lt;&gt;-",发射纪录!G:G,"&gt;="&amp;DATE(YEAR(A640),MONTH(A640),1),发射纪录!G:G,"&lt;="&amp;DATE(YEAR(A640),MONTH(A640),DAY(EOMONTH(A640,0))),发射纪录!N:N,"=成功",发射纪录!N:N,"&lt;&gt;")</f>
        <v>1</v>
      </c>
      <c r="J640" s="3">
        <f t="shared" ref="J640:J662" si="539">IF(H640=0,"-",I640/H640)</f>
        <v>1</v>
      </c>
      <c r="K640" s="10">
        <f t="shared" ref="K640:K662" ca="1" si="540">K639+H640</f>
        <v>49</v>
      </c>
      <c r="L640" s="10">
        <f t="shared" ref="L640:L662" ca="1" si="541">L639+I640</f>
        <v>33</v>
      </c>
      <c r="M640" s="4">
        <f t="shared" ref="M640:M662" ca="1" si="542">IF(K640=0,"-",L640/K640)</f>
        <v>0.67346938775510201</v>
      </c>
      <c r="N640" s="10">
        <f t="shared" ref="N640:N662" si="543">B640+H640</f>
        <v>5</v>
      </c>
      <c r="O640" s="10">
        <f t="shared" ref="O640:O662" si="544">C640+I640</f>
        <v>5</v>
      </c>
      <c r="P640" s="3">
        <f t="shared" ref="P640:P662" si="545">IF(N640=0,"-",O640/N640)</f>
        <v>1</v>
      </c>
      <c r="Q640" s="10">
        <f t="shared" ref="Q640:Q662" ca="1" si="546">E640+K640</f>
        <v>511</v>
      </c>
      <c r="R640" s="10">
        <f t="shared" ref="R640:R662" ca="1" si="547">F640+L640</f>
        <v>478</v>
      </c>
      <c r="S640" s="4">
        <f t="shared" ref="S640:S662" ca="1" si="548">IF(Q640=0,"-",R640/Q640)</f>
        <v>0.93542074363992167</v>
      </c>
      <c r="T640" s="478"/>
    </row>
    <row r="641" spans="1:22" x14ac:dyDescent="0.45">
      <c r="A641" s="64">
        <v>44958</v>
      </c>
      <c r="B641" s="14">
        <v>2</v>
      </c>
      <c r="C641" s="10">
        <v>2</v>
      </c>
      <c r="D641" s="1">
        <v>1</v>
      </c>
      <c r="E641" s="10">
        <v>464</v>
      </c>
      <c r="F641" s="10">
        <v>447</v>
      </c>
      <c r="G641" s="2">
        <v>0.96336206896551724</v>
      </c>
      <c r="H641" s="10">
        <f>COUNTIFS(发射纪录!C:C,"&lt;&gt;-",发射纪录!G:G,"&gt;="&amp;DATE(YEAR(A641),MONTH(A641),1),发射纪录!G:G,"&lt;="&amp;DATE(YEAR(A641),MONTH(A641),DAY(EOMONTH(A641,0))),发射纪录!N:N,"&lt;&gt;")</f>
        <v>0</v>
      </c>
      <c r="I641" s="10">
        <f>COUNTIFS(发射纪录!C:C,"&lt;&gt;-",发射纪录!G:G,"&gt;="&amp;DATE(YEAR(A641),MONTH(A641),1),发射纪录!G:G,"&lt;="&amp;DATE(YEAR(A641),MONTH(A641),DAY(EOMONTH(A641,0))),发射纪录!N:N,"=成功",发射纪录!N:N,"&lt;&gt;")</f>
        <v>0</v>
      </c>
      <c r="J641" s="1" t="str">
        <f t="shared" si="539"/>
        <v>-</v>
      </c>
      <c r="K641" s="10">
        <f t="shared" ca="1" si="540"/>
        <v>49</v>
      </c>
      <c r="L641" s="10">
        <f t="shared" ca="1" si="541"/>
        <v>33</v>
      </c>
      <c r="M641" s="2">
        <f t="shared" ca="1" si="542"/>
        <v>0.67346938775510201</v>
      </c>
      <c r="N641" s="10">
        <f t="shared" si="543"/>
        <v>2</v>
      </c>
      <c r="O641" s="10">
        <f t="shared" si="544"/>
        <v>2</v>
      </c>
      <c r="P641" s="3">
        <f t="shared" si="545"/>
        <v>1</v>
      </c>
      <c r="Q641" s="10">
        <f t="shared" ca="1" si="546"/>
        <v>513</v>
      </c>
      <c r="R641" s="10">
        <f t="shared" ca="1" si="547"/>
        <v>480</v>
      </c>
      <c r="S641" s="4">
        <f t="shared" ca="1" si="548"/>
        <v>0.93567251461988299</v>
      </c>
      <c r="T641" s="478"/>
    </row>
    <row r="642" spans="1:22" x14ac:dyDescent="0.45">
      <c r="A642" s="64">
        <v>44986</v>
      </c>
      <c r="B642" s="14">
        <v>6</v>
      </c>
      <c r="C642" s="10">
        <v>6</v>
      </c>
      <c r="D642" s="1">
        <v>1</v>
      </c>
      <c r="E642" s="10">
        <v>470</v>
      </c>
      <c r="F642" s="10">
        <v>453</v>
      </c>
      <c r="G642" s="2">
        <v>0.96382978723404256</v>
      </c>
      <c r="H642" s="10">
        <f>COUNTIFS(发射纪录!C:C,"&lt;&gt;-",发射纪录!G:G,"&gt;="&amp;DATE(YEAR(A642),MONTH(A642),1),发射纪录!G:G,"&lt;="&amp;DATE(YEAR(A642),MONTH(A642),DAY(EOMONTH(A642,0))),发射纪录!N:N,"&lt;&gt;")</f>
        <v>1</v>
      </c>
      <c r="I642" s="10">
        <f>COUNTIFS(发射纪录!C:C,"&lt;&gt;-",发射纪录!G:G,"&gt;="&amp;DATE(YEAR(A642),MONTH(A642),1),发射纪录!G:G,"&lt;="&amp;DATE(YEAR(A642),MONTH(A642),DAY(EOMONTH(A642,0))),发射纪录!N:N,"=成功",发射纪录!N:N,"&lt;&gt;")</f>
        <v>1</v>
      </c>
      <c r="J642" s="1">
        <f t="shared" si="539"/>
        <v>1</v>
      </c>
      <c r="K642" s="10">
        <f t="shared" ca="1" si="540"/>
        <v>50</v>
      </c>
      <c r="L642" s="10">
        <f t="shared" ca="1" si="541"/>
        <v>34</v>
      </c>
      <c r="M642" s="2">
        <f t="shared" ca="1" si="542"/>
        <v>0.68</v>
      </c>
      <c r="N642" s="10">
        <f t="shared" si="543"/>
        <v>7</v>
      </c>
      <c r="O642" s="10">
        <f t="shared" si="544"/>
        <v>7</v>
      </c>
      <c r="P642" s="3">
        <f t="shared" si="545"/>
        <v>1</v>
      </c>
      <c r="Q642" s="10">
        <f t="shared" ca="1" si="546"/>
        <v>520</v>
      </c>
      <c r="R642" s="10">
        <f t="shared" ca="1" si="547"/>
        <v>487</v>
      </c>
      <c r="S642" s="4">
        <f t="shared" ca="1" si="548"/>
        <v>0.93653846153846154</v>
      </c>
      <c r="T642" s="478"/>
    </row>
    <row r="643" spans="1:22" x14ac:dyDescent="0.45">
      <c r="A643" s="64">
        <v>45017</v>
      </c>
      <c r="B643" s="14">
        <v>1</v>
      </c>
      <c r="C643" s="10">
        <v>1</v>
      </c>
      <c r="D643" s="1">
        <v>1</v>
      </c>
      <c r="E643" s="10">
        <v>471</v>
      </c>
      <c r="F643" s="10">
        <v>454</v>
      </c>
      <c r="G643" s="2">
        <v>0.96390658174097665</v>
      </c>
      <c r="H643" s="10">
        <f>COUNTIFS(发射纪录!C:C,"&lt;&gt;-",发射纪录!G:G,"&gt;="&amp;DATE(YEAR(A643),MONTH(A643),1),发射纪录!G:G,"&lt;="&amp;DATE(YEAR(A643),MONTH(A643),DAY(EOMONTH(A643,0))),发射纪录!N:N,"&lt;&gt;")</f>
        <v>2</v>
      </c>
      <c r="I643" s="10">
        <f>COUNTIFS(发射纪录!C:C,"&lt;&gt;-",发射纪录!G:G,"&gt;="&amp;DATE(YEAR(A643),MONTH(A643),1),发射纪录!G:G,"&lt;="&amp;DATE(YEAR(A643),MONTH(A643),DAY(EOMONTH(A643,0))),发射纪录!N:N,"=成功",发射纪录!N:N,"&lt;&gt;")</f>
        <v>2</v>
      </c>
      <c r="J643" s="1">
        <f t="shared" si="539"/>
        <v>1</v>
      </c>
      <c r="K643" s="10">
        <f t="shared" ca="1" si="540"/>
        <v>52</v>
      </c>
      <c r="L643" s="10">
        <f t="shared" ca="1" si="541"/>
        <v>36</v>
      </c>
      <c r="M643" s="2">
        <f t="shared" ca="1" si="542"/>
        <v>0.69230769230769229</v>
      </c>
      <c r="N643" s="10">
        <f t="shared" si="543"/>
        <v>3</v>
      </c>
      <c r="O643" s="10">
        <f t="shared" si="544"/>
        <v>3</v>
      </c>
      <c r="P643" s="3">
        <f t="shared" si="545"/>
        <v>1</v>
      </c>
      <c r="Q643" s="10">
        <f t="shared" ca="1" si="546"/>
        <v>523</v>
      </c>
      <c r="R643" s="10">
        <f t="shared" ca="1" si="547"/>
        <v>490</v>
      </c>
      <c r="S643" s="4">
        <f t="shared" ca="1" si="548"/>
        <v>0.93690248565965584</v>
      </c>
      <c r="T643" s="478"/>
    </row>
    <row r="644" spans="1:22" x14ac:dyDescent="0.45">
      <c r="A644" s="64">
        <v>45047</v>
      </c>
      <c r="B644" s="14">
        <v>4</v>
      </c>
      <c r="C644" s="10">
        <v>4</v>
      </c>
      <c r="D644" s="1">
        <v>1</v>
      </c>
      <c r="E644" s="10">
        <v>475</v>
      </c>
      <c r="F644" s="10">
        <v>458</v>
      </c>
      <c r="G644" s="2">
        <v>0.96421052631578952</v>
      </c>
      <c r="H644" s="10">
        <f>COUNTIFS(发射纪录!C:C,"&lt;&gt;-",发射纪录!G:G,"&gt;="&amp;DATE(YEAR(A644),MONTH(A644),1),发射纪录!G:G,"&lt;="&amp;DATE(YEAR(A644),MONTH(A644),DAY(EOMONTH(A644,0))),发射纪录!N:N,"&lt;&gt;")</f>
        <v>0</v>
      </c>
      <c r="I644" s="10">
        <f>COUNTIFS(发射纪录!C:C,"&lt;&gt;-",发射纪录!G:G,"&gt;="&amp;DATE(YEAR(A644),MONTH(A644),1),发射纪录!G:G,"&lt;="&amp;DATE(YEAR(A644),MONTH(A644),DAY(EOMONTH(A644,0))),发射纪录!N:N,"=成功",发射纪录!N:N,"&lt;&gt;")</f>
        <v>0</v>
      </c>
      <c r="J644" s="1" t="str">
        <f t="shared" si="539"/>
        <v>-</v>
      </c>
      <c r="K644" s="10">
        <f t="shared" ca="1" si="540"/>
        <v>52</v>
      </c>
      <c r="L644" s="10">
        <f t="shared" ca="1" si="541"/>
        <v>36</v>
      </c>
      <c r="M644" s="2">
        <f t="shared" ca="1" si="542"/>
        <v>0.69230769230769229</v>
      </c>
      <c r="N644" s="10">
        <f t="shared" si="543"/>
        <v>4</v>
      </c>
      <c r="O644" s="10">
        <f t="shared" si="544"/>
        <v>4</v>
      </c>
      <c r="P644" s="3">
        <f t="shared" si="545"/>
        <v>1</v>
      </c>
      <c r="Q644" s="10">
        <f t="shared" ca="1" si="546"/>
        <v>527</v>
      </c>
      <c r="R644" s="10">
        <f t="shared" ca="1" si="547"/>
        <v>494</v>
      </c>
      <c r="S644" s="4">
        <f t="shared" ca="1" si="548"/>
        <v>0.93738140417457305</v>
      </c>
      <c r="T644" s="478"/>
    </row>
    <row r="645" spans="1:22" x14ac:dyDescent="0.45">
      <c r="A645" s="64">
        <v>45078</v>
      </c>
      <c r="B645" s="14">
        <v>2</v>
      </c>
      <c r="C645" s="10">
        <v>2</v>
      </c>
      <c r="D645" s="1">
        <v>1</v>
      </c>
      <c r="E645" s="10">
        <v>477</v>
      </c>
      <c r="F645" s="10">
        <v>460</v>
      </c>
      <c r="G645" s="2">
        <v>0.96436058700209648</v>
      </c>
      <c r="H645" s="10">
        <f>COUNTIFS(发射纪录!C:C,"&lt;&gt;-",发射纪录!G:G,"&gt;="&amp;DATE(YEAR(A645),MONTH(A645),1),发射纪录!G:G,"&lt;="&amp;DATE(YEAR(A645),MONTH(A645),DAY(EOMONTH(A645,0))),发射纪录!N:N,"&lt;&gt;")</f>
        <v>2</v>
      </c>
      <c r="I645" s="10">
        <f>COUNTIFS(发射纪录!C:C,"&lt;&gt;-",发射纪录!G:G,"&gt;="&amp;DATE(YEAR(A645),MONTH(A645),1),发射纪录!G:G,"&lt;="&amp;DATE(YEAR(A645),MONTH(A645),DAY(EOMONTH(A645,0))),发射纪录!N:N,"=成功",发射纪录!N:N,"&lt;&gt;")</f>
        <v>2</v>
      </c>
      <c r="J645" s="1">
        <f t="shared" si="539"/>
        <v>1</v>
      </c>
      <c r="K645" s="10">
        <f t="shared" ca="1" si="540"/>
        <v>54</v>
      </c>
      <c r="L645" s="10">
        <f t="shared" ca="1" si="541"/>
        <v>38</v>
      </c>
      <c r="M645" s="2">
        <f t="shared" ca="1" si="542"/>
        <v>0.70370370370370372</v>
      </c>
      <c r="N645" s="10">
        <f t="shared" si="543"/>
        <v>4</v>
      </c>
      <c r="O645" s="10">
        <f t="shared" si="544"/>
        <v>4</v>
      </c>
      <c r="P645" s="3">
        <f t="shared" si="545"/>
        <v>1</v>
      </c>
      <c r="Q645" s="10">
        <f t="shared" ca="1" si="546"/>
        <v>531</v>
      </c>
      <c r="R645" s="10">
        <f t="shared" ca="1" si="547"/>
        <v>498</v>
      </c>
      <c r="S645" s="4">
        <f t="shared" ca="1" si="548"/>
        <v>0.93785310734463279</v>
      </c>
      <c r="T645" s="478">
        <f>SUM(N640:N645)</f>
        <v>25</v>
      </c>
    </row>
    <row r="646" spans="1:22" x14ac:dyDescent="0.45">
      <c r="A646" s="64">
        <v>45108</v>
      </c>
      <c r="B646" s="14">
        <v>3</v>
      </c>
      <c r="C646" s="10">
        <v>3</v>
      </c>
      <c r="D646" s="1">
        <v>1</v>
      </c>
      <c r="E646" s="10">
        <v>480</v>
      </c>
      <c r="F646" s="10">
        <v>463</v>
      </c>
      <c r="G646" s="2">
        <v>0.96458333333333335</v>
      </c>
      <c r="H646" s="10">
        <f>COUNTIFS(发射纪录!C:C,"&lt;&gt;-",发射纪录!G:G,"&gt;="&amp;DATE(YEAR(A646),MONTH(A646),1),发射纪录!G:G,"&lt;="&amp;DATE(YEAR(A646),MONTH(A646),DAY(EOMONTH(A646,0))),发射纪录!N:N,"&lt;&gt;")</f>
        <v>3</v>
      </c>
      <c r="I646" s="10">
        <f>COUNTIFS(发射纪录!C:C,"&lt;&gt;-",发射纪录!G:G,"&gt;="&amp;DATE(YEAR(A646),MONTH(A646),1),发射纪录!G:G,"&lt;="&amp;DATE(YEAR(A646),MONTH(A646),DAY(EOMONTH(A646,0))),发射纪录!N:N,"=成功",发射纪录!N:N,"&lt;&gt;")</f>
        <v>3</v>
      </c>
      <c r="J646" s="1">
        <f t="shared" si="539"/>
        <v>1</v>
      </c>
      <c r="K646" s="10">
        <f t="shared" ca="1" si="540"/>
        <v>57</v>
      </c>
      <c r="L646" s="10">
        <f t="shared" ca="1" si="541"/>
        <v>41</v>
      </c>
      <c r="M646" s="2">
        <f t="shared" ca="1" si="542"/>
        <v>0.7192982456140351</v>
      </c>
      <c r="N646" s="10">
        <f t="shared" si="543"/>
        <v>6</v>
      </c>
      <c r="O646" s="10">
        <f t="shared" si="544"/>
        <v>6</v>
      </c>
      <c r="P646" s="3">
        <f t="shared" si="545"/>
        <v>1</v>
      </c>
      <c r="Q646" s="10">
        <f t="shared" ca="1" si="546"/>
        <v>537</v>
      </c>
      <c r="R646" s="10">
        <f t="shared" ca="1" si="547"/>
        <v>504</v>
      </c>
      <c r="S646" s="4">
        <f t="shared" ca="1" si="548"/>
        <v>0.93854748603351956</v>
      </c>
      <c r="T646" s="478"/>
    </row>
    <row r="647" spans="1:22" x14ac:dyDescent="0.45">
      <c r="A647" s="64">
        <v>45139</v>
      </c>
      <c r="B647" s="14">
        <v>5</v>
      </c>
      <c r="C647" s="10">
        <v>5</v>
      </c>
      <c r="D647" s="1">
        <v>1</v>
      </c>
      <c r="E647" s="10">
        <v>485</v>
      </c>
      <c r="F647" s="10">
        <v>468</v>
      </c>
      <c r="G647" s="2">
        <v>0.96494845360824744</v>
      </c>
      <c r="H647" s="10">
        <f>COUNTIFS(发射纪录!C:C,"&lt;&gt;-",发射纪录!G:G,"&gt;="&amp;DATE(YEAR(A647),MONTH(A647),1),发射纪录!G:G,"&lt;="&amp;DATE(YEAR(A647),MONTH(A647),DAY(EOMONTH(A647,0))),发射纪录!N:N,"&lt;&gt;")</f>
        <v>3</v>
      </c>
      <c r="I647" s="10">
        <f>COUNTIFS(发射纪录!C:C,"&lt;&gt;-",发射纪录!G:G,"&gt;="&amp;DATE(YEAR(A647),MONTH(A647),1),发射纪录!G:G,"&lt;="&amp;DATE(YEAR(A647),MONTH(A647),DAY(EOMONTH(A647,0))),发射纪录!N:N,"=成功",发射纪录!N:N,"&lt;&gt;")</f>
        <v>3</v>
      </c>
      <c r="J647" s="1">
        <f t="shared" si="539"/>
        <v>1</v>
      </c>
      <c r="K647" s="10">
        <f t="shared" ca="1" si="540"/>
        <v>60</v>
      </c>
      <c r="L647" s="10">
        <f t="shared" ca="1" si="541"/>
        <v>44</v>
      </c>
      <c r="M647" s="2">
        <f t="shared" ca="1" si="542"/>
        <v>0.73333333333333328</v>
      </c>
      <c r="N647" s="10">
        <f t="shared" si="543"/>
        <v>8</v>
      </c>
      <c r="O647" s="10">
        <f t="shared" si="544"/>
        <v>8</v>
      </c>
      <c r="P647" s="3">
        <f t="shared" si="545"/>
        <v>1</v>
      </c>
      <c r="Q647" s="10">
        <f t="shared" ca="1" si="546"/>
        <v>545</v>
      </c>
      <c r="R647" s="10">
        <f t="shared" ca="1" si="547"/>
        <v>512</v>
      </c>
      <c r="S647" s="4">
        <f t="shared" ca="1" si="548"/>
        <v>0.93944954128440372</v>
      </c>
      <c r="T647" s="478"/>
    </row>
    <row r="648" spans="1:22" x14ac:dyDescent="0.45">
      <c r="A648" s="64">
        <v>45170</v>
      </c>
      <c r="B648" s="14">
        <v>4</v>
      </c>
      <c r="C648" s="10">
        <v>4</v>
      </c>
      <c r="D648" s="1">
        <v>1</v>
      </c>
      <c r="E648" s="10">
        <v>489</v>
      </c>
      <c r="F648" s="10">
        <v>472</v>
      </c>
      <c r="G648" s="2">
        <v>0.96523517382413093</v>
      </c>
      <c r="H648" s="10">
        <f>COUNTIFS(发射纪录!C:C,"&lt;&gt;-",发射纪录!G:G,"&gt;="&amp;DATE(YEAR(A648),MONTH(A648),1),发射纪录!G:G,"&lt;="&amp;DATE(YEAR(A648),MONTH(A648),DAY(EOMONTH(A648,0))),发射纪录!N:N,"&lt;&gt;")</f>
        <v>2</v>
      </c>
      <c r="I648" s="10">
        <f>COUNTIFS(发射纪录!C:C,"&lt;&gt;-",发射纪录!G:G,"&gt;="&amp;DATE(YEAR(A648),MONTH(A648),1),发射纪录!G:G,"&lt;="&amp;DATE(YEAR(A648),MONTH(A648),DAY(EOMONTH(A648,0))),发射纪录!N:N,"=成功",发射纪录!N:N,"&lt;&gt;")</f>
        <v>1</v>
      </c>
      <c r="J648" s="1">
        <f t="shared" si="539"/>
        <v>0.5</v>
      </c>
      <c r="K648" s="10">
        <f t="shared" ca="1" si="540"/>
        <v>62</v>
      </c>
      <c r="L648" s="10">
        <f t="shared" ca="1" si="541"/>
        <v>45</v>
      </c>
      <c r="M648" s="2">
        <f t="shared" ca="1" si="542"/>
        <v>0.72580645161290325</v>
      </c>
      <c r="N648" s="10">
        <f t="shared" si="543"/>
        <v>6</v>
      </c>
      <c r="O648" s="10">
        <f t="shared" si="544"/>
        <v>5</v>
      </c>
      <c r="P648" s="3">
        <f t="shared" si="545"/>
        <v>0.83333333333333337</v>
      </c>
      <c r="Q648" s="10">
        <f t="shared" ca="1" si="546"/>
        <v>551</v>
      </c>
      <c r="R648" s="10">
        <f t="shared" ca="1" si="547"/>
        <v>517</v>
      </c>
      <c r="S648" s="4">
        <f t="shared" ca="1" si="548"/>
        <v>0.93829401088929221</v>
      </c>
      <c r="T648" s="478"/>
    </row>
    <row r="649" spans="1:22" x14ac:dyDescent="0.45">
      <c r="A649" s="64">
        <v>45200</v>
      </c>
      <c r="B649" s="14">
        <v>4</v>
      </c>
      <c r="C649" s="10">
        <v>4</v>
      </c>
      <c r="D649" s="1">
        <v>1</v>
      </c>
      <c r="E649" s="10">
        <v>493</v>
      </c>
      <c r="F649" s="10">
        <v>476</v>
      </c>
      <c r="G649" s="2">
        <v>0.96551724137931039</v>
      </c>
      <c r="H649" s="10">
        <f>COUNTIFS(发射纪录!C:C,"&lt;&gt;-",发射纪录!G:G,"&gt;="&amp;DATE(YEAR(A649),MONTH(A649),1),发射纪录!G:G,"&lt;="&amp;DATE(YEAR(A649),MONTH(A649),DAY(EOMONTH(A649,0))),发射纪录!N:N,"&lt;&gt;")</f>
        <v>0</v>
      </c>
      <c r="I649" s="10">
        <f>COUNTIFS(发射纪录!C:C,"&lt;&gt;-",发射纪录!G:G,"&gt;="&amp;DATE(YEAR(A649),MONTH(A649),1),发射纪录!G:G,"&lt;="&amp;DATE(YEAR(A649),MONTH(A649),DAY(EOMONTH(A649,0))),发射纪录!N:N,"=成功",发射纪录!N:N,"&lt;&gt;")</f>
        <v>0</v>
      </c>
      <c r="J649" s="1" t="str">
        <f t="shared" si="539"/>
        <v>-</v>
      </c>
      <c r="K649" s="10">
        <f t="shared" ca="1" si="540"/>
        <v>62</v>
      </c>
      <c r="L649" s="10">
        <f t="shared" ca="1" si="541"/>
        <v>45</v>
      </c>
      <c r="M649" s="2">
        <f t="shared" ca="1" si="542"/>
        <v>0.72580645161290325</v>
      </c>
      <c r="N649" s="10">
        <f t="shared" si="543"/>
        <v>4</v>
      </c>
      <c r="O649" s="10">
        <f t="shared" si="544"/>
        <v>4</v>
      </c>
      <c r="P649" s="3">
        <f t="shared" si="545"/>
        <v>1</v>
      </c>
      <c r="Q649" s="10">
        <f t="shared" ca="1" si="546"/>
        <v>555</v>
      </c>
      <c r="R649" s="10">
        <f t="shared" ca="1" si="547"/>
        <v>521</v>
      </c>
      <c r="S649" s="4">
        <f t="shared" ca="1" si="548"/>
        <v>0.9387387387387387</v>
      </c>
      <c r="T649" s="478"/>
    </row>
    <row r="650" spans="1:22" x14ac:dyDescent="0.45">
      <c r="A650" s="64">
        <v>45231</v>
      </c>
      <c r="B650" s="14">
        <v>5</v>
      </c>
      <c r="C650" s="10">
        <v>5</v>
      </c>
      <c r="D650" s="1">
        <v>1</v>
      </c>
      <c r="E650" s="10">
        <v>498</v>
      </c>
      <c r="F650" s="10">
        <v>481</v>
      </c>
      <c r="G650" s="2">
        <v>0.96586345381526106</v>
      </c>
      <c r="H650" s="10">
        <f>COUNTIFS(发射纪录!C:C,"&lt;&gt;-",发射纪录!G:G,"&gt;="&amp;DATE(YEAR(A650),MONTH(A650),1),发射纪录!G:G,"&lt;="&amp;DATE(YEAR(A650),MONTH(A650),DAY(EOMONTH(A650,0))),发射纪录!N:N,"&lt;&gt;")</f>
        <v>0</v>
      </c>
      <c r="I650" s="10">
        <f>COUNTIFS(发射纪录!C:C,"&lt;&gt;-",发射纪录!G:G,"&gt;="&amp;DATE(YEAR(A650),MONTH(A650),1),发射纪录!G:G,"&lt;="&amp;DATE(YEAR(A650),MONTH(A650),DAY(EOMONTH(A650,0))),发射纪录!N:N,"=成功",发射纪录!N:N,"&lt;&gt;")</f>
        <v>0</v>
      </c>
      <c r="J650" s="1" t="str">
        <f t="shared" si="539"/>
        <v>-</v>
      </c>
      <c r="K650" s="10">
        <f t="shared" ca="1" si="540"/>
        <v>62</v>
      </c>
      <c r="L650" s="10">
        <f t="shared" ca="1" si="541"/>
        <v>45</v>
      </c>
      <c r="M650" s="2">
        <f t="shared" ca="1" si="542"/>
        <v>0.72580645161290325</v>
      </c>
      <c r="N650" s="10">
        <f t="shared" si="543"/>
        <v>5</v>
      </c>
      <c r="O650" s="10">
        <f t="shared" si="544"/>
        <v>5</v>
      </c>
      <c r="P650" s="3">
        <f t="shared" si="545"/>
        <v>1</v>
      </c>
      <c r="Q650" s="10">
        <f t="shared" ca="1" si="546"/>
        <v>560</v>
      </c>
      <c r="R650" s="10">
        <f t="shared" ca="1" si="547"/>
        <v>526</v>
      </c>
      <c r="S650" s="4">
        <f t="shared" ca="1" si="548"/>
        <v>0.93928571428571428</v>
      </c>
      <c r="T650" s="478"/>
    </row>
    <row r="651" spans="1:22" ht="19.5" customHeight="1" thickBot="1" x14ac:dyDescent="0.5">
      <c r="A651" s="65">
        <v>45261</v>
      </c>
      <c r="B651" s="17">
        <f>COUNTIFS(发射纪录!B:B,"&lt;&gt;-",发射纪录!G:G,"&gt;="&amp;DATE(YEAR(A651),MONTH(A651),1),发射纪录!G:G,"&lt;="&amp;DATE(YEAR(A651),MONTH(A651),DAY(EOMONTH(A651,0))),发射纪录!N:N,"&lt;&gt;")</f>
        <v>7</v>
      </c>
      <c r="C651" s="18">
        <f>COUNTIFS(发射纪录!B:B,"&lt;&gt;-",发射纪录!G:G,"&gt;="&amp;DATE(YEAR(A651),MONTH(A651),1),发射纪录!G:G,"&lt;="&amp;DATE(YEAR(A651),MONTH(A651),DAY(EOMONTH(A651,0))),发射纪录!N:N,"=成功",发射纪录!N:N,"&lt;&gt;")</f>
        <v>7</v>
      </c>
      <c r="D651" s="12">
        <f t="shared" ref="D651:D662" si="549">IF(B651=0,"-",C651/B651)</f>
        <v>1</v>
      </c>
      <c r="E651" s="18">
        <f t="shared" ref="E651:E662" si="550">E650+B651</f>
        <v>505</v>
      </c>
      <c r="F651" s="18">
        <f>F650+C651</f>
        <v>488</v>
      </c>
      <c r="G651" s="13">
        <f t="shared" ref="G651:G662" si="551">IF(E651=0,"-",F651/E651)</f>
        <v>0.96633663366336631</v>
      </c>
      <c r="H651" s="18">
        <f>COUNTIFS(发射纪录!C:C,"&lt;&gt;-",发射纪录!G:G,"&gt;="&amp;DATE(YEAR(A651),MONTH(A651),1),发射纪录!G:G,"&lt;="&amp;DATE(YEAR(A651),MONTH(A651),DAY(EOMONTH(A651,0))),发射纪录!N:N,"&lt;&gt;")</f>
        <v>6</v>
      </c>
      <c r="I651" s="18">
        <f>COUNTIFS(发射纪录!C:C,"&lt;&gt;-",发射纪录!G:G,"&gt;="&amp;DATE(YEAR(A651),MONTH(A651),1),发射纪录!G:G,"&lt;="&amp;DATE(YEAR(A651),MONTH(A651),DAY(EOMONTH(A651,0))),发射纪录!N:N,"=成功",发射纪录!N:N,"&lt;&gt;")</f>
        <v>6</v>
      </c>
      <c r="J651" s="12">
        <f>IF(H651=0,"-",I651/H651)</f>
        <v>1</v>
      </c>
      <c r="K651" s="18">
        <f ca="1">K650+H651</f>
        <v>68</v>
      </c>
      <c r="L651" s="18">
        <f ca="1">L650+I651</f>
        <v>51</v>
      </c>
      <c r="M651" s="13">
        <f ca="1">IF(K651=0,"-",L651/K651)</f>
        <v>0.75</v>
      </c>
      <c r="N651" s="18">
        <f>B651+H651</f>
        <v>13</v>
      </c>
      <c r="O651" s="18">
        <f>C651+I651</f>
        <v>13</v>
      </c>
      <c r="P651" s="12">
        <f>IF(N651=0,"-",O651/N651)</f>
        <v>1</v>
      </c>
      <c r="Q651" s="18">
        <f ca="1">E651+K651</f>
        <v>573</v>
      </c>
      <c r="R651" s="18">
        <f ca="1">F651+L651</f>
        <v>539</v>
      </c>
      <c r="S651" s="13">
        <f ca="1">IF(Q651=0,"-",R651/Q651)</f>
        <v>0.94066317626527052</v>
      </c>
      <c r="T651" s="478">
        <f>SUM(N646:N651)</f>
        <v>42</v>
      </c>
      <c r="U651" s="310"/>
      <c r="V651" s="308"/>
    </row>
    <row r="652" spans="1:22" ht="19.5" customHeight="1" thickTop="1" x14ac:dyDescent="0.45">
      <c r="A652" s="63">
        <v>45292</v>
      </c>
      <c r="B652" s="14">
        <f>COUNTIFS(发射纪录!B:B,"&lt;&gt;-",发射纪录!G:G,"&gt;="&amp;DATE(YEAR(A652),MONTH(A652),1),发射纪录!G:G,"&lt;="&amp;DATE(YEAR(A652),MONTH(A652),DAY(EOMONTH(A652,0))),发射纪录!N:N,"&lt;&gt;")</f>
        <v>2</v>
      </c>
      <c r="C652" s="10">
        <f>COUNTIFS(发射纪录!B:B,"&lt;&gt;-",发射纪录!G:G,"&gt;="&amp;DATE(YEAR(A652),MONTH(A652),1),发射纪录!G:G,"&lt;="&amp;DATE(YEAR(A652),MONTH(A652),DAY(EOMONTH(A652,0))),发射纪录!N:N,"=成功",发射纪录!N:N,"&lt;&gt;")</f>
        <v>2</v>
      </c>
      <c r="D652" s="3">
        <f t="shared" si="549"/>
        <v>1</v>
      </c>
      <c r="E652" s="10">
        <f t="shared" si="550"/>
        <v>507</v>
      </c>
      <c r="F652" s="10">
        <f t="shared" ref="F652:F662" si="552">F651+C652</f>
        <v>490</v>
      </c>
      <c r="G652" s="4">
        <f t="shared" si="551"/>
        <v>0.9664694280078896</v>
      </c>
      <c r="H652" s="10">
        <f ca="1">COUNTIFS(发射纪录!C:C,"&lt;&gt;-",发射纪录!G:G,"&gt;="&amp;DATE(YEAR(A652),MONTH(A652),1),发射纪录!G:G,"&lt;="&amp;DATE(YEAR(A652),MONTH(A652),DAY(EOMONTH(A652,0))),发射纪录!N:N,"&lt;&gt;")</f>
        <v>4</v>
      </c>
      <c r="I652" s="10">
        <f>COUNTIFS(发射纪录!C:C,"&lt;&gt;-",发射纪录!G:G,"&gt;="&amp;DATE(YEAR(A652),MONTH(A652),1),发射纪录!G:G,"&lt;="&amp;DATE(YEAR(A652),MONTH(A652),DAY(EOMONTH(A652,0))),发射纪录!N:N,"=成功",发射纪录!N:N,"&lt;&gt;")</f>
        <v>4</v>
      </c>
      <c r="J652" s="3">
        <f t="shared" ca="1" si="539"/>
        <v>1</v>
      </c>
      <c r="K652" s="10">
        <f t="shared" ca="1" si="540"/>
        <v>72</v>
      </c>
      <c r="L652" s="10">
        <f t="shared" ca="1" si="541"/>
        <v>55</v>
      </c>
      <c r="M652" s="4">
        <f t="shared" ca="1" si="542"/>
        <v>0.76388888888888884</v>
      </c>
      <c r="N652" s="10">
        <f t="shared" ca="1" si="543"/>
        <v>6</v>
      </c>
      <c r="O652" s="10">
        <f t="shared" si="544"/>
        <v>6</v>
      </c>
      <c r="P652" s="3">
        <f t="shared" ca="1" si="545"/>
        <v>1</v>
      </c>
      <c r="Q652" s="10">
        <f t="shared" ca="1" si="546"/>
        <v>579</v>
      </c>
      <c r="R652" s="10">
        <f t="shared" ca="1" si="547"/>
        <v>545</v>
      </c>
      <c r="S652" s="4">
        <f t="shared" ca="1" si="548"/>
        <v>0.94127806563039729</v>
      </c>
      <c r="T652" s="478">
        <f ca="1">SUM($N$652:N652)</f>
        <v>6</v>
      </c>
    </row>
    <row r="653" spans="1:22" x14ac:dyDescent="0.45">
      <c r="A653" s="64">
        <v>45323</v>
      </c>
      <c r="B653" s="14">
        <f>COUNTIFS(发射纪录!B:B,"&lt;&gt;-",发射纪录!G:G,"&gt;="&amp;DATE(YEAR(A653),MONTH(A653),1),发射纪录!G:G,"&lt;="&amp;DATE(YEAR(A653),MONTH(A653),DAY(EOMONTH(A653,0))),发射纪录!N:N,"&lt;&gt;")</f>
        <v>3</v>
      </c>
      <c r="C653" s="10">
        <f>COUNTIFS(发射纪录!B:B,"&lt;&gt;-",发射纪录!G:G,"&gt;="&amp;DATE(YEAR(A653),MONTH(A653),1),发射纪录!G:G,"&lt;="&amp;DATE(YEAR(A653),MONTH(A653),DAY(EOMONTH(A653,0))),发射纪录!N:N,"=成功",发射纪录!N:N,"&lt;&gt;")</f>
        <v>3</v>
      </c>
      <c r="D653" s="1">
        <f t="shared" si="549"/>
        <v>1</v>
      </c>
      <c r="E653" s="10">
        <f t="shared" si="550"/>
        <v>510</v>
      </c>
      <c r="F653" s="10">
        <f t="shared" si="552"/>
        <v>493</v>
      </c>
      <c r="G653" s="2">
        <f t="shared" si="551"/>
        <v>0.96666666666666667</v>
      </c>
      <c r="H653" s="10">
        <f>COUNTIFS(发射纪录!C:C,"&lt;&gt;-",发射纪录!G:G,"&gt;="&amp;DATE(YEAR(A653),MONTH(A653),1),发射纪录!G:G,"&lt;="&amp;DATE(YEAR(A653),MONTH(A653),DAY(EOMONTH(A653,0))),发射纪录!N:N,"&lt;&gt;")</f>
        <v>1</v>
      </c>
      <c r="I653" s="10">
        <f>COUNTIFS(发射纪录!C:C,"&lt;&gt;-",发射纪录!G:G,"&gt;="&amp;DATE(YEAR(A653),MONTH(A653),1),发射纪录!G:G,"&lt;="&amp;DATE(YEAR(A653),MONTH(A653),DAY(EOMONTH(A653,0))),发射纪录!N:N,"=成功",发射纪录!N:N,"&lt;&gt;")</f>
        <v>1</v>
      </c>
      <c r="J653" s="1">
        <f t="shared" si="539"/>
        <v>1</v>
      </c>
      <c r="K653" s="10">
        <f t="shared" ca="1" si="540"/>
        <v>73</v>
      </c>
      <c r="L653" s="10">
        <f t="shared" ca="1" si="541"/>
        <v>56</v>
      </c>
      <c r="M653" s="2">
        <f t="shared" ca="1" si="542"/>
        <v>0.76712328767123283</v>
      </c>
      <c r="N653" s="10">
        <f t="shared" si="543"/>
        <v>4</v>
      </c>
      <c r="O653" s="10">
        <f t="shared" si="544"/>
        <v>4</v>
      </c>
      <c r="P653" s="3">
        <f t="shared" si="545"/>
        <v>1</v>
      </c>
      <c r="Q653" s="10">
        <f t="shared" ca="1" si="546"/>
        <v>583</v>
      </c>
      <c r="R653" s="10">
        <f t="shared" ca="1" si="547"/>
        <v>549</v>
      </c>
      <c r="S653" s="4">
        <f t="shared" ca="1" si="548"/>
        <v>0.94168096054888506</v>
      </c>
      <c r="T653" s="478">
        <f ca="1">SUM($N$652:N653)</f>
        <v>10</v>
      </c>
    </row>
    <row r="654" spans="1:22" x14ac:dyDescent="0.45">
      <c r="A654" s="64">
        <v>45352</v>
      </c>
      <c r="B654" s="14">
        <f>COUNTIFS(发射纪录!B:B,"&lt;&gt;-",发射纪录!G:G,"&gt;="&amp;DATE(YEAR(A654),MONTH(A654),1),发射纪录!G:G,"&lt;="&amp;DATE(YEAR(A654),MONTH(A654),DAY(EOMONTH(A654,0))),发射纪录!N:N,"&lt;&gt;")</f>
        <v>4</v>
      </c>
      <c r="C654" s="10">
        <f>COUNTIFS(发射纪录!B:B,"&lt;&gt;-",发射纪录!G:G,"&gt;="&amp;DATE(YEAR(A654),MONTH(A654),1),发射纪录!G:G,"&lt;="&amp;DATE(YEAR(A654),MONTH(A654),DAY(EOMONTH(A654,0))),发射纪录!N:N,"=成功",发射纪录!N:N,"&lt;&gt;")</f>
        <v>3</v>
      </c>
      <c r="D654" s="1">
        <f t="shared" si="549"/>
        <v>0.75</v>
      </c>
      <c r="E654" s="10">
        <f t="shared" si="550"/>
        <v>514</v>
      </c>
      <c r="F654" s="10">
        <f t="shared" si="552"/>
        <v>496</v>
      </c>
      <c r="G654" s="2">
        <f t="shared" si="551"/>
        <v>0.96498054474708173</v>
      </c>
      <c r="H654" s="10">
        <f>COUNTIFS(发射纪录!C:C,"&lt;&gt;-",发射纪录!G:G,"&gt;="&amp;DATE(YEAR(A654),MONTH(A654),1),发射纪录!G:G,"&lt;="&amp;DATE(YEAR(A654),MONTH(A654),DAY(EOMONTH(A654,0))),发射纪录!N:N,"&lt;&gt;")</f>
        <v>0</v>
      </c>
      <c r="I654" s="10">
        <f>COUNTIFS(发射纪录!C:C,"&lt;&gt;-",发射纪录!G:G,"&gt;="&amp;DATE(YEAR(A654),MONTH(A654),1),发射纪录!G:G,"&lt;="&amp;DATE(YEAR(A654),MONTH(A654),DAY(EOMONTH(A654,0))),发射纪录!N:N,"=成功",发射纪录!N:N,"&lt;&gt;")</f>
        <v>0</v>
      </c>
      <c r="J654" s="1" t="str">
        <f t="shared" si="539"/>
        <v>-</v>
      </c>
      <c r="K654" s="10">
        <f t="shared" ca="1" si="540"/>
        <v>73</v>
      </c>
      <c r="L654" s="10">
        <f t="shared" ca="1" si="541"/>
        <v>56</v>
      </c>
      <c r="M654" s="2">
        <f t="shared" ca="1" si="542"/>
        <v>0.76712328767123283</v>
      </c>
      <c r="N654" s="10">
        <f t="shared" si="543"/>
        <v>4</v>
      </c>
      <c r="O654" s="10">
        <f t="shared" si="544"/>
        <v>3</v>
      </c>
      <c r="P654" s="3">
        <f t="shared" si="545"/>
        <v>0.75</v>
      </c>
      <c r="Q654" s="10">
        <f t="shared" ca="1" si="546"/>
        <v>587</v>
      </c>
      <c r="R654" s="10">
        <f t="shared" ca="1" si="547"/>
        <v>552</v>
      </c>
      <c r="S654" s="4">
        <f t="shared" ca="1" si="548"/>
        <v>0.94037478705281086</v>
      </c>
      <c r="T654" s="478">
        <f ca="1">SUM($N$652:N654)</f>
        <v>14</v>
      </c>
    </row>
    <row r="655" spans="1:22" x14ac:dyDescent="0.45">
      <c r="A655" s="64">
        <v>45383</v>
      </c>
      <c r="B655" s="14">
        <f>COUNTIFS(发射纪录!B:B,"&lt;&gt;-",发射纪录!G:G,"&gt;="&amp;DATE(YEAR(A655),MONTH(A655),1),发射纪录!G:G,"&lt;="&amp;DATE(YEAR(A655),MONTH(A655),DAY(EOMONTH(A655,0))),发射纪录!N:N,"&lt;&gt;")</f>
        <v>4</v>
      </c>
      <c r="C655" s="10">
        <f>COUNTIFS(发射纪录!B:B,"&lt;&gt;-",发射纪录!G:G,"&gt;="&amp;DATE(YEAR(A655),MONTH(A655),1),发射纪录!G:G,"&lt;="&amp;DATE(YEAR(A655),MONTH(A655),DAY(EOMONTH(A655,0))),发射纪录!N:N,"=成功",发射纪录!N:N,"&lt;&gt;")</f>
        <v>4</v>
      </c>
      <c r="D655" s="1">
        <f t="shared" si="549"/>
        <v>1</v>
      </c>
      <c r="E655" s="10">
        <f t="shared" si="550"/>
        <v>518</v>
      </c>
      <c r="F655" s="10">
        <f t="shared" si="552"/>
        <v>500</v>
      </c>
      <c r="G655" s="2">
        <f t="shared" si="551"/>
        <v>0.96525096525096521</v>
      </c>
      <c r="H655" s="10">
        <f>COUNTIFS(发射纪录!C:C,"&lt;&gt;-",发射纪录!G:G,"&gt;="&amp;DATE(YEAR(A655),MONTH(A655),1),发射纪录!G:G,"&lt;="&amp;DATE(YEAR(A655),MONTH(A655),DAY(EOMONTH(A655,0))),发射纪录!N:N,"&lt;&gt;")</f>
        <v>0</v>
      </c>
      <c r="I655" s="10">
        <f>COUNTIFS(发射纪录!C:C,"&lt;&gt;-",发射纪录!G:G,"&gt;="&amp;DATE(YEAR(A655),MONTH(A655),1),发射纪录!G:G,"&lt;="&amp;DATE(YEAR(A655),MONTH(A655),DAY(EOMONTH(A655,0))),发射纪录!N:N,"=成功",发射纪录!N:N,"&lt;&gt;")</f>
        <v>0</v>
      </c>
      <c r="J655" s="1" t="str">
        <f t="shared" si="539"/>
        <v>-</v>
      </c>
      <c r="K655" s="10">
        <f t="shared" ca="1" si="540"/>
        <v>73</v>
      </c>
      <c r="L655" s="10">
        <f t="shared" ca="1" si="541"/>
        <v>56</v>
      </c>
      <c r="M655" s="2">
        <f t="shared" ca="1" si="542"/>
        <v>0.76712328767123283</v>
      </c>
      <c r="N655" s="10">
        <f t="shared" si="543"/>
        <v>4</v>
      </c>
      <c r="O655" s="10">
        <f t="shared" si="544"/>
        <v>4</v>
      </c>
      <c r="P655" s="3">
        <f t="shared" si="545"/>
        <v>1</v>
      </c>
      <c r="Q655" s="10">
        <f t="shared" ca="1" si="546"/>
        <v>591</v>
      </c>
      <c r="R655" s="10">
        <f t="shared" ca="1" si="547"/>
        <v>556</v>
      </c>
      <c r="S655" s="4">
        <f t="shared" ca="1" si="548"/>
        <v>0.94077834179357023</v>
      </c>
      <c r="T655" s="478">
        <f ca="1">SUM($N$652:N655)</f>
        <v>18</v>
      </c>
    </row>
    <row r="656" spans="1:22" x14ac:dyDescent="0.45">
      <c r="A656" s="64">
        <v>45413</v>
      </c>
      <c r="B656" s="14">
        <f>COUNTIFS(发射纪录!B:B,"&lt;&gt;-",发射纪录!G:G,"&gt;="&amp;DATE(YEAR(A656),MONTH(A656),1),发射纪录!G:G,"&lt;="&amp;DATE(YEAR(A656),MONTH(A656),DAY(EOMONTH(A656,0))),发射纪录!N:N,"&lt;&gt;")</f>
        <v>6</v>
      </c>
      <c r="C656" s="10">
        <f>COUNTIFS(发射纪录!B:B,"&lt;&gt;-",发射纪录!G:G,"&gt;="&amp;DATE(YEAR(A656),MONTH(A656),1),发射纪录!G:G,"&lt;="&amp;DATE(YEAR(A656),MONTH(A656),DAY(EOMONTH(A656,0))),发射纪录!N:N,"=成功",发射纪录!N:N,"&lt;&gt;")</f>
        <v>6</v>
      </c>
      <c r="D656" s="1">
        <f t="shared" si="549"/>
        <v>1</v>
      </c>
      <c r="E656" s="10">
        <f t="shared" si="550"/>
        <v>524</v>
      </c>
      <c r="F656" s="10">
        <f t="shared" si="552"/>
        <v>506</v>
      </c>
      <c r="G656" s="2">
        <f t="shared" si="551"/>
        <v>0.96564885496183206</v>
      </c>
      <c r="H656" s="10">
        <f>COUNTIFS(发射纪录!C:C,"&lt;&gt;-",发射纪录!G:G,"&gt;="&amp;DATE(YEAR(A656),MONTH(A656),1),发射纪录!G:G,"&lt;="&amp;DATE(YEAR(A656),MONTH(A656),DAY(EOMONTH(A656,0))),发射纪录!N:N,"&lt;&gt;")</f>
        <v>3</v>
      </c>
      <c r="I656" s="10">
        <f>COUNTIFS(发射纪录!C:C,"&lt;&gt;-",发射纪录!G:G,"&gt;="&amp;DATE(YEAR(A656),MONTH(A656),1),发射纪录!G:G,"&lt;="&amp;DATE(YEAR(A656),MONTH(A656),DAY(EOMONTH(A656,0))),发射纪录!N:N,"=成功",发射纪录!N:N,"&lt;&gt;")</f>
        <v>3</v>
      </c>
      <c r="J656" s="1">
        <f t="shared" si="539"/>
        <v>1</v>
      </c>
      <c r="K656" s="10">
        <f t="shared" ca="1" si="540"/>
        <v>76</v>
      </c>
      <c r="L656" s="10">
        <f t="shared" ca="1" si="541"/>
        <v>59</v>
      </c>
      <c r="M656" s="2">
        <f t="shared" ca="1" si="542"/>
        <v>0.77631578947368418</v>
      </c>
      <c r="N656" s="10">
        <f t="shared" si="543"/>
        <v>9</v>
      </c>
      <c r="O656" s="10">
        <f t="shared" si="544"/>
        <v>9</v>
      </c>
      <c r="P656" s="3">
        <f t="shared" si="545"/>
        <v>1</v>
      </c>
      <c r="Q656" s="10">
        <f t="shared" ca="1" si="546"/>
        <v>600</v>
      </c>
      <c r="R656" s="10">
        <f t="shared" ca="1" si="547"/>
        <v>565</v>
      </c>
      <c r="S656" s="4">
        <f t="shared" ca="1" si="548"/>
        <v>0.94166666666666665</v>
      </c>
      <c r="T656" s="478">
        <f ca="1">SUM($N$652:N656)</f>
        <v>27</v>
      </c>
    </row>
    <row r="657" spans="1:22" x14ac:dyDescent="0.45">
      <c r="A657" s="64">
        <v>45444</v>
      </c>
      <c r="B657" s="14">
        <f>COUNTIFS(发射纪录!B:B,"&lt;&gt;-",发射纪录!G:G,"&gt;="&amp;DATE(YEAR(A657),MONTH(A657),1),发射纪录!G:G,"&lt;="&amp;DATE(YEAR(A657),MONTH(A657),DAY(EOMONTH(A657,0))),发射纪录!N:N,"&lt;&gt;")</f>
        <v>2</v>
      </c>
      <c r="C657" s="10">
        <f>COUNTIFS(发射纪录!B:B,"&lt;&gt;-",发射纪录!G:G,"&gt;="&amp;DATE(YEAR(A657),MONTH(A657),1),发射纪录!G:G,"&lt;="&amp;DATE(YEAR(A657),MONTH(A657),DAY(EOMONTH(A657,0))),发射纪录!N:N,"=成功",发射纪录!N:N,"&lt;&gt;")</f>
        <v>2</v>
      </c>
      <c r="D657" s="1">
        <f t="shared" si="549"/>
        <v>1</v>
      </c>
      <c r="E657" s="10">
        <f t="shared" si="550"/>
        <v>526</v>
      </c>
      <c r="F657" s="10">
        <f t="shared" si="552"/>
        <v>508</v>
      </c>
      <c r="G657" s="2">
        <f t="shared" si="551"/>
        <v>0.96577946768060841</v>
      </c>
      <c r="H657" s="10">
        <f>COUNTIFS(发射纪录!C:C,"&lt;&gt;-",发射纪录!G:G,"&gt;="&amp;DATE(YEAR(A657),MONTH(A657),1),发射纪录!G:G,"&lt;="&amp;DATE(YEAR(A657),MONTH(A657),DAY(EOMONTH(A657,0))),发射纪录!N:N,"&lt;&gt;")</f>
        <v>1</v>
      </c>
      <c r="I657" s="10">
        <f>COUNTIFS(发射纪录!C:C,"&lt;&gt;-",发射纪录!G:G,"&gt;="&amp;DATE(YEAR(A657),MONTH(A657),1),发射纪录!G:G,"&lt;="&amp;DATE(YEAR(A657),MONTH(A657),DAY(EOMONTH(A657,0))),发射纪录!N:N,"=成功",发射纪录!N:N,"&lt;&gt;")</f>
        <v>1</v>
      </c>
      <c r="J657" s="1">
        <f t="shared" si="539"/>
        <v>1</v>
      </c>
      <c r="K657" s="10">
        <f t="shared" ca="1" si="540"/>
        <v>77</v>
      </c>
      <c r="L657" s="10">
        <f t="shared" ca="1" si="541"/>
        <v>60</v>
      </c>
      <c r="M657" s="2">
        <f t="shared" ca="1" si="542"/>
        <v>0.77922077922077926</v>
      </c>
      <c r="N657" s="10">
        <f t="shared" si="543"/>
        <v>3</v>
      </c>
      <c r="O657" s="10">
        <f t="shared" si="544"/>
        <v>3</v>
      </c>
      <c r="P657" s="3">
        <f t="shared" si="545"/>
        <v>1</v>
      </c>
      <c r="Q657" s="10">
        <f t="shared" ca="1" si="546"/>
        <v>603</v>
      </c>
      <c r="R657" s="10">
        <f t="shared" ca="1" si="547"/>
        <v>568</v>
      </c>
      <c r="S657" s="4">
        <f t="shared" ca="1" si="548"/>
        <v>0.94195688225538976</v>
      </c>
      <c r="T657" s="478">
        <f ca="1">SUM($N$652:N657)</f>
        <v>30</v>
      </c>
    </row>
    <row r="658" spans="1:22" x14ac:dyDescent="0.45">
      <c r="A658" s="64">
        <v>45474</v>
      </c>
      <c r="B658" s="14">
        <f>COUNTIFS(发射纪录!B:B,"&lt;&gt;-",发射纪录!G:G,"&gt;="&amp;DATE(YEAR(A658),MONTH(A658),1),发射纪录!G:G,"&lt;="&amp;DATE(YEAR(A658),MONTH(A658),DAY(EOMONTH(A658,0))),发射纪录!N:N,"&lt;&gt;")</f>
        <v>2</v>
      </c>
      <c r="C658" s="10">
        <f>COUNTIFS(发射纪录!B:B,"&lt;&gt;-",发射纪录!G:G,"&gt;="&amp;DATE(YEAR(A658),MONTH(A658),1),发射纪录!G:G,"&lt;="&amp;DATE(YEAR(A658),MONTH(A658),DAY(EOMONTH(A658,0))),发射纪录!N:N,"=成功",发射纪录!N:N,"&lt;&gt;")</f>
        <v>2</v>
      </c>
      <c r="D658" s="1">
        <f t="shared" si="549"/>
        <v>1</v>
      </c>
      <c r="E658" s="10">
        <f t="shared" si="550"/>
        <v>528</v>
      </c>
      <c r="F658" s="10">
        <f t="shared" si="552"/>
        <v>510</v>
      </c>
      <c r="G658" s="2">
        <f t="shared" si="551"/>
        <v>0.96590909090909094</v>
      </c>
      <c r="H658" s="10">
        <f>COUNTIFS(发射纪录!C:C,"&lt;&gt;-",发射纪录!G:G,"&gt;="&amp;DATE(YEAR(A658),MONTH(A658),1),发射纪录!G:G,"&lt;="&amp;DATE(YEAR(A658),MONTH(A658),DAY(EOMONTH(A658,0))),发射纪录!N:N,"&lt;&gt;")</f>
        <v>1</v>
      </c>
      <c r="I658" s="10">
        <f>COUNTIFS(发射纪录!C:C,"&lt;&gt;-",发射纪录!G:G,"&gt;="&amp;DATE(YEAR(A658),MONTH(A658),1),发射纪录!G:G,"&lt;="&amp;DATE(YEAR(A658),MONTH(A658),DAY(EOMONTH(A658,0))),发射纪录!N:N,"=成功",发射纪录!N:N,"&lt;&gt;")</f>
        <v>0</v>
      </c>
      <c r="J658" s="1">
        <f t="shared" si="539"/>
        <v>0</v>
      </c>
      <c r="K658" s="10">
        <f t="shared" ca="1" si="540"/>
        <v>78</v>
      </c>
      <c r="L658" s="10">
        <f t="shared" ca="1" si="541"/>
        <v>60</v>
      </c>
      <c r="M658" s="2">
        <f t="shared" ca="1" si="542"/>
        <v>0.76923076923076927</v>
      </c>
      <c r="N658" s="10">
        <f t="shared" si="543"/>
        <v>3</v>
      </c>
      <c r="O658" s="10">
        <f t="shared" si="544"/>
        <v>2</v>
      </c>
      <c r="P658" s="3">
        <f t="shared" si="545"/>
        <v>0.66666666666666663</v>
      </c>
      <c r="Q658" s="10">
        <f t="shared" ca="1" si="546"/>
        <v>606</v>
      </c>
      <c r="R658" s="10">
        <f t="shared" ca="1" si="547"/>
        <v>570</v>
      </c>
      <c r="S658" s="4">
        <f t="shared" ca="1" si="548"/>
        <v>0.94059405940594054</v>
      </c>
      <c r="T658" s="478">
        <f ca="1">SUM($N$652:N658)</f>
        <v>33</v>
      </c>
    </row>
    <row r="659" spans="1:22" x14ac:dyDescent="0.45">
      <c r="A659" s="64">
        <v>45505</v>
      </c>
      <c r="B659" s="14">
        <f>COUNTIFS(发射纪录!B:B,"&lt;&gt;-",发射纪录!G:G,"&gt;="&amp;DATE(YEAR(A659),MONTH(A659),1),发射纪录!G:G,"&lt;="&amp;DATE(YEAR(A659),MONTH(A659),DAY(EOMONTH(A659,0))),发射纪录!N:N,"&lt;&gt;")</f>
        <v>4</v>
      </c>
      <c r="C659" s="10">
        <f>COUNTIFS(发射纪录!B:B,"&lt;&gt;-",发射纪录!G:G,"&gt;="&amp;DATE(YEAR(A659),MONTH(A659),1),发射纪录!G:G,"&lt;="&amp;DATE(YEAR(A659),MONTH(A659),DAY(EOMONTH(A659,0))),发射纪录!N:N,"=成功",发射纪录!N:N,"&lt;&gt;")</f>
        <v>4</v>
      </c>
      <c r="D659" s="1">
        <f t="shared" si="549"/>
        <v>1</v>
      </c>
      <c r="E659" s="10">
        <f t="shared" si="550"/>
        <v>532</v>
      </c>
      <c r="F659" s="10">
        <f t="shared" si="552"/>
        <v>514</v>
      </c>
      <c r="G659" s="2">
        <f t="shared" si="551"/>
        <v>0.96616541353383456</v>
      </c>
      <c r="H659" s="10">
        <f>COUNTIFS(发射纪录!C:C,"&lt;&gt;-",发射纪录!G:G,"&gt;="&amp;DATE(YEAR(A659),MONTH(A659),1),发射纪录!G:G,"&lt;="&amp;DATE(YEAR(A659),MONTH(A659),DAY(EOMONTH(A659,0))),发射纪录!N:N,"&lt;&gt;")</f>
        <v>1</v>
      </c>
      <c r="I659" s="10">
        <f>COUNTIFS(发射纪录!C:C,"&lt;&gt;-",发射纪录!G:G,"&gt;="&amp;DATE(YEAR(A659),MONTH(A659),1),发射纪录!G:G,"&lt;="&amp;DATE(YEAR(A659),MONTH(A659),DAY(EOMONTH(A659,0))),发射纪录!N:N,"=成功",发射纪录!N:N,"&lt;&gt;")</f>
        <v>1</v>
      </c>
      <c r="J659" s="1">
        <f t="shared" si="539"/>
        <v>1</v>
      </c>
      <c r="K659" s="10">
        <f t="shared" ca="1" si="540"/>
        <v>79</v>
      </c>
      <c r="L659" s="10">
        <f t="shared" ca="1" si="541"/>
        <v>61</v>
      </c>
      <c r="M659" s="2">
        <f t="shared" ca="1" si="542"/>
        <v>0.77215189873417722</v>
      </c>
      <c r="N659" s="10">
        <f t="shared" si="543"/>
        <v>5</v>
      </c>
      <c r="O659" s="10">
        <f t="shared" si="544"/>
        <v>5</v>
      </c>
      <c r="P659" s="3">
        <f t="shared" si="545"/>
        <v>1</v>
      </c>
      <c r="Q659" s="10">
        <f t="shared" ca="1" si="546"/>
        <v>611</v>
      </c>
      <c r="R659" s="10">
        <f t="shared" ca="1" si="547"/>
        <v>575</v>
      </c>
      <c r="S659" s="4">
        <f t="shared" ca="1" si="548"/>
        <v>0.94108019639934537</v>
      </c>
      <c r="T659" s="478">
        <f ca="1">SUM($N$652:N659)</f>
        <v>38</v>
      </c>
    </row>
    <row r="660" spans="1:22" x14ac:dyDescent="0.45">
      <c r="A660" s="64">
        <v>45536</v>
      </c>
      <c r="B660" s="14">
        <f>COUNTIFS(发射纪录!B:B,"&lt;&gt;-",发射纪录!G:G,"&gt;="&amp;DATE(YEAR(A660),MONTH(A660),1),发射纪录!G:G,"&lt;="&amp;DATE(YEAR(A660),MONTH(A660),DAY(EOMONTH(A660,0))),发射纪录!N:N,"&lt;&gt;")</f>
        <v>5</v>
      </c>
      <c r="C660" s="10">
        <f>COUNTIFS(发射纪录!B:B,"&lt;&gt;-",发射纪录!G:G,"&gt;="&amp;DATE(YEAR(A660),MONTH(A660),1),发射纪录!G:G,"&lt;="&amp;DATE(YEAR(A660),MONTH(A660),DAY(EOMONTH(A660,0))),发射纪录!N:N,"=成功",发射纪录!N:N,"&lt;&gt;")</f>
        <v>5</v>
      </c>
      <c r="D660" s="1">
        <f t="shared" si="549"/>
        <v>1</v>
      </c>
      <c r="E660" s="10">
        <f t="shared" si="550"/>
        <v>537</v>
      </c>
      <c r="F660" s="10">
        <f t="shared" si="552"/>
        <v>519</v>
      </c>
      <c r="G660" s="2">
        <f t="shared" si="551"/>
        <v>0.96648044692737434</v>
      </c>
      <c r="H660" s="10">
        <f>COUNTIFS(发射纪录!C:C,"&lt;&gt;-",发射纪录!G:G,"&gt;="&amp;DATE(YEAR(A660),MONTH(A660),1),发射纪录!G:G,"&lt;="&amp;DATE(YEAR(A660),MONTH(A660),DAY(EOMONTH(A660,0))),发射纪录!N:N,"&lt;&gt;")</f>
        <v>3</v>
      </c>
      <c r="I660" s="10">
        <f>COUNTIFS(发射纪录!C:C,"&lt;&gt;-",发射纪录!G:G,"&gt;="&amp;DATE(YEAR(A660),MONTH(A660),1),发射纪录!G:G,"&lt;="&amp;DATE(YEAR(A660),MONTH(A660),DAY(EOMONTH(A660,0))),发射纪录!N:N,"=成功",发射纪录!N:N,"&lt;&gt;")</f>
        <v>3</v>
      </c>
      <c r="J660" s="1">
        <f t="shared" si="539"/>
        <v>1</v>
      </c>
      <c r="K660" s="10">
        <f t="shared" ca="1" si="540"/>
        <v>82</v>
      </c>
      <c r="L660" s="10">
        <f t="shared" ca="1" si="541"/>
        <v>64</v>
      </c>
      <c r="M660" s="2">
        <f t="shared" ca="1" si="542"/>
        <v>0.78048780487804881</v>
      </c>
      <c r="N660" s="10">
        <f t="shared" si="543"/>
        <v>8</v>
      </c>
      <c r="O660" s="10">
        <f t="shared" si="544"/>
        <v>8</v>
      </c>
      <c r="P660" s="3">
        <f t="shared" si="545"/>
        <v>1</v>
      </c>
      <c r="Q660" s="10">
        <f t="shared" ca="1" si="546"/>
        <v>619</v>
      </c>
      <c r="R660" s="10">
        <f t="shared" ca="1" si="547"/>
        <v>583</v>
      </c>
      <c r="S660" s="4">
        <f t="shared" ca="1" si="548"/>
        <v>0.94184168012924074</v>
      </c>
      <c r="T660" s="478">
        <f ca="1">SUM($N$652:N660)</f>
        <v>46</v>
      </c>
    </row>
    <row r="661" spans="1:22" x14ac:dyDescent="0.45">
      <c r="A661" s="64">
        <v>45566</v>
      </c>
      <c r="B661" s="14">
        <f>COUNTIFS(发射纪录!B:B,"&lt;&gt;-",发射纪录!G:G,"&gt;="&amp;DATE(YEAR(A661),MONTH(A661),1),发射纪录!G:G,"&lt;="&amp;DATE(YEAR(A661),MONTH(A661),DAY(EOMONTH(A661,0))),发射纪录!N:N,"&lt;&gt;")</f>
        <v>6</v>
      </c>
      <c r="C661" s="10">
        <f>COUNTIFS(发射纪录!B:B,"&lt;&gt;-",发射纪录!G:G,"&gt;="&amp;DATE(YEAR(A661),MONTH(A661),1),发射纪录!G:G,"&lt;="&amp;DATE(YEAR(A661),MONTH(A661),DAY(EOMONTH(A661,0))),发射纪录!N:N,"=成功",发射纪录!N:N,"&lt;&gt;")</f>
        <v>6</v>
      </c>
      <c r="D661" s="1">
        <f t="shared" si="549"/>
        <v>1</v>
      </c>
      <c r="E661" s="10">
        <f t="shared" si="550"/>
        <v>543</v>
      </c>
      <c r="F661" s="10">
        <f t="shared" si="552"/>
        <v>525</v>
      </c>
      <c r="G661" s="2">
        <f t="shared" si="551"/>
        <v>0.96685082872928174</v>
      </c>
      <c r="H661" s="10">
        <f>COUNTIFS(发射纪录!C:C,"&lt;&gt;-",发射纪录!G:G,"&gt;="&amp;DATE(YEAR(A661),MONTH(A661),1),发射纪录!G:G,"&lt;="&amp;DATE(YEAR(A661),MONTH(A661),DAY(EOMONTH(A661,0))),发射纪录!N:N,"&lt;&gt;")</f>
        <v>0</v>
      </c>
      <c r="I661" s="10">
        <f>COUNTIFS(发射纪录!C:C,"&lt;&gt;-",发射纪录!G:G,"&gt;="&amp;DATE(YEAR(A661),MONTH(A661),1),发射纪录!G:G,"&lt;="&amp;DATE(YEAR(A661),MONTH(A661),DAY(EOMONTH(A661,0))),发射纪录!N:N,"=成功",发射纪录!N:N,"&lt;&gt;")</f>
        <v>0</v>
      </c>
      <c r="J661" s="1" t="str">
        <f t="shared" si="539"/>
        <v>-</v>
      </c>
      <c r="K661" s="10">
        <f t="shared" ca="1" si="540"/>
        <v>82</v>
      </c>
      <c r="L661" s="10">
        <f t="shared" ca="1" si="541"/>
        <v>64</v>
      </c>
      <c r="M661" s="2">
        <f t="shared" ca="1" si="542"/>
        <v>0.78048780487804881</v>
      </c>
      <c r="N661" s="10">
        <f t="shared" si="543"/>
        <v>6</v>
      </c>
      <c r="O661" s="10">
        <f t="shared" si="544"/>
        <v>6</v>
      </c>
      <c r="P661" s="3">
        <f t="shared" si="545"/>
        <v>1</v>
      </c>
      <c r="Q661" s="10">
        <f t="shared" ca="1" si="546"/>
        <v>625</v>
      </c>
      <c r="R661" s="10">
        <f t="shared" ca="1" si="547"/>
        <v>589</v>
      </c>
      <c r="S661" s="4">
        <f t="shared" ca="1" si="548"/>
        <v>0.94240000000000002</v>
      </c>
      <c r="T661" s="478">
        <f ca="1">SUM($N$652:N661)</f>
        <v>52</v>
      </c>
    </row>
    <row r="662" spans="1:22" x14ac:dyDescent="0.45">
      <c r="A662" s="64">
        <v>45597</v>
      </c>
      <c r="B662" s="14">
        <f>COUNTIFS(发射纪录!B:B,"&lt;&gt;-",发射纪录!G:G,"&gt;="&amp;DATE(YEAR(A662),MONTH(A662),1),发射纪录!G:G,"&lt;="&amp;DATE(YEAR(A662),MONTH(A662),DAY(EOMONTH(A662,0))),发射纪录!N:N,"&lt;&gt;")</f>
        <v>5</v>
      </c>
      <c r="C662" s="10">
        <f>COUNTIFS(发射纪录!B:B,"&lt;&gt;-",发射纪录!G:G,"&gt;="&amp;DATE(YEAR(A662),MONTH(A662),1),发射纪录!G:G,"&lt;="&amp;DATE(YEAR(A662),MONTH(A662),DAY(EOMONTH(A662,0))),发射纪录!N:N,"=成功",发射纪录!N:N,"&lt;&gt;")</f>
        <v>5</v>
      </c>
      <c r="D662" s="1">
        <f t="shared" si="549"/>
        <v>1</v>
      </c>
      <c r="E662" s="10">
        <f t="shared" si="550"/>
        <v>548</v>
      </c>
      <c r="F662" s="10">
        <f t="shared" si="552"/>
        <v>530</v>
      </c>
      <c r="G662" s="2">
        <f t="shared" si="551"/>
        <v>0.96715328467153283</v>
      </c>
      <c r="H662" s="10">
        <f>COUNTIFS(发射纪录!C:C,"&lt;&gt;-",发射纪录!G:G,"&gt;="&amp;DATE(YEAR(A662),MONTH(A662),1),发射纪录!G:G,"&lt;="&amp;DATE(YEAR(A662),MONTH(A662),DAY(EOMONTH(A662,0))),发射纪录!N:N,"&lt;&gt;")</f>
        <v>2</v>
      </c>
      <c r="I662" s="10">
        <f>COUNTIFS(发射纪录!C:C,"&lt;&gt;-",发射纪录!G:G,"&gt;="&amp;DATE(YEAR(A662),MONTH(A662),1),发射纪录!G:G,"&lt;="&amp;DATE(YEAR(A662),MONTH(A662),DAY(EOMONTH(A662,0))),发射纪录!N:N,"=成功",发射纪录!N:N,"&lt;&gt;")</f>
        <v>2</v>
      </c>
      <c r="J662" s="1">
        <f t="shared" si="539"/>
        <v>1</v>
      </c>
      <c r="K662" s="10">
        <f t="shared" ca="1" si="540"/>
        <v>84</v>
      </c>
      <c r="L662" s="10">
        <f t="shared" ca="1" si="541"/>
        <v>66</v>
      </c>
      <c r="M662" s="2">
        <f t="shared" ca="1" si="542"/>
        <v>0.7857142857142857</v>
      </c>
      <c r="N662" s="10">
        <f t="shared" si="543"/>
        <v>7</v>
      </c>
      <c r="O662" s="10">
        <f t="shared" si="544"/>
        <v>7</v>
      </c>
      <c r="P662" s="3">
        <f t="shared" si="545"/>
        <v>1</v>
      </c>
      <c r="Q662" s="10">
        <f t="shared" ca="1" si="546"/>
        <v>632</v>
      </c>
      <c r="R662" s="10">
        <f t="shared" ca="1" si="547"/>
        <v>596</v>
      </c>
      <c r="S662" s="4">
        <f t="shared" ca="1" si="548"/>
        <v>0.94303797468354433</v>
      </c>
      <c r="T662" s="478">
        <f ca="1">SUM($N$652:N662)</f>
        <v>59</v>
      </c>
    </row>
    <row r="663" spans="1:22" ht="18.600000000000001" thickBot="1" x14ac:dyDescent="0.5">
      <c r="A663" s="65">
        <v>45627</v>
      </c>
      <c r="B663" s="17">
        <f>COUNTIFS(发射纪录!B:B,"&lt;&gt;-",发射纪录!G:G,"&gt;="&amp;DATE(YEAR(A663),MONTH(A663),1),发射纪录!G:G,"&lt;="&amp;DATE(YEAR(A663),MONTH(A663),DAY(EOMONTH(A663,0))),发射纪录!N:N,"&lt;&gt;")</f>
        <v>6</v>
      </c>
      <c r="C663" s="18">
        <f>COUNTIFS(发射纪录!B:B,"&lt;&gt;-",发射纪录!G:G,"&gt;="&amp;DATE(YEAR(A663),MONTH(A663),1),发射纪录!G:G,"&lt;="&amp;DATE(YEAR(A663),MONTH(A663),DAY(EOMONTH(A663,0))),发射纪录!N:N,"=成功",发射纪录!N:N,"&lt;&gt;")</f>
        <v>6</v>
      </c>
      <c r="D663" s="12">
        <f t="shared" ref="D663:D674" si="553">IF(B663=0,"-",C663/B663)</f>
        <v>1</v>
      </c>
      <c r="E663" s="18">
        <f t="shared" ref="E663:E674" si="554">E662+B663</f>
        <v>554</v>
      </c>
      <c r="F663" s="18">
        <f>F662+C663</f>
        <v>536</v>
      </c>
      <c r="G663" s="13">
        <f t="shared" ref="G663:G674" si="555">IF(E663=0,"-",F663/E663)</f>
        <v>0.96750902527075811</v>
      </c>
      <c r="H663" s="18">
        <f>COUNTIFS(发射纪录!C:C,"&lt;&gt;-",发射纪录!G:G,"&gt;="&amp;DATE(YEAR(A663),MONTH(A663),1),发射纪录!G:G,"&lt;="&amp;DATE(YEAR(A663),MONTH(A663),DAY(EOMONTH(A663,0))),发射纪录!N:N,"&lt;&gt;")</f>
        <v>3</v>
      </c>
      <c r="I663" s="18">
        <f>COUNTIFS(发射纪录!C:C,"&lt;&gt;-",发射纪录!G:G,"&gt;="&amp;DATE(YEAR(A663),MONTH(A663),1),发射纪录!G:G,"&lt;="&amp;DATE(YEAR(A663),MONTH(A663),DAY(EOMONTH(A663,0))),发射纪录!N:N,"=成功",发射纪录!N:N,"&lt;&gt;")</f>
        <v>2</v>
      </c>
      <c r="J663" s="12">
        <f>IF(H663=0,"-",I663/H663)</f>
        <v>0.66666666666666663</v>
      </c>
      <c r="K663" s="18">
        <f ca="1">K662+H663</f>
        <v>87</v>
      </c>
      <c r="L663" s="18">
        <f ca="1">L662+I663</f>
        <v>68</v>
      </c>
      <c r="M663" s="13">
        <f ca="1">IF(K663=0,"-",L663/K663)</f>
        <v>0.7816091954022989</v>
      </c>
      <c r="N663" s="18">
        <f>B663+H663</f>
        <v>9</v>
      </c>
      <c r="O663" s="18">
        <f>C663+I663</f>
        <v>8</v>
      </c>
      <c r="P663" s="12">
        <f>IF(N663=0,"-",O663/N663)</f>
        <v>0.88888888888888884</v>
      </c>
      <c r="Q663" s="18">
        <f ca="1">E663+K663</f>
        <v>641</v>
      </c>
      <c r="R663" s="18">
        <f ca="1">F663+L663</f>
        <v>604</v>
      </c>
      <c r="S663" s="13">
        <f ca="1">IF(Q663=0,"-",R663/Q663)</f>
        <v>0.94227769110764426</v>
      </c>
      <c r="T663" s="479">
        <f ca="1">SUM($N$652:N663)</f>
        <v>68</v>
      </c>
    </row>
    <row r="664" spans="1:22" s="105" customFormat="1" ht="19.5" customHeight="1" thickTop="1" x14ac:dyDescent="0.45">
      <c r="A664" s="63">
        <v>45658</v>
      </c>
      <c r="B664" s="14">
        <f>COUNTIFS(发射纪录!B:B,"&lt;&gt;-",发射纪录!G:G,"&gt;="&amp;DATE(YEAR(A664),MONTH(A664),1),发射纪录!G:G,"&lt;="&amp;DATE(YEAR(A664),MONTH(A664),DAY(EOMONTH(A664,0))),发射纪录!N:N,"&lt;&gt;")</f>
        <v>4</v>
      </c>
      <c r="C664" s="10">
        <f>COUNTIFS(发射纪录!B:B,"&lt;&gt;-",发射纪录!G:G,"&gt;="&amp;DATE(YEAR(A664),MONTH(A664),1),发射纪录!G:G,"&lt;="&amp;DATE(YEAR(A664),MONTH(A664),DAY(EOMONTH(A664,0))),发射纪录!N:N,"=成功",发射纪录!N:N,"&lt;&gt;")</f>
        <v>4</v>
      </c>
      <c r="D664" s="3">
        <f t="shared" si="553"/>
        <v>1</v>
      </c>
      <c r="E664" s="10">
        <f t="shared" si="554"/>
        <v>558</v>
      </c>
      <c r="F664" s="10">
        <f t="shared" ref="F664:F674" si="556">F663+C664</f>
        <v>540</v>
      </c>
      <c r="G664" s="4">
        <f t="shared" si="555"/>
        <v>0.967741935483871</v>
      </c>
      <c r="H664" s="10">
        <f>COUNTIFS(发射纪录!C:C,"&lt;&gt;-",发射纪录!G:G,"&gt;="&amp;DATE(YEAR(A664),MONTH(A664),1),发射纪录!G:G,"&lt;="&amp;DATE(YEAR(A664),MONTH(A664),DAY(EOMONTH(A664,0))),发射纪录!N:N,"&lt;&gt;")</f>
        <v>2</v>
      </c>
      <c r="I664" s="10">
        <f>COUNTIFS(发射纪录!C:C,"&lt;&gt;-",发射纪录!G:G,"&gt;="&amp;DATE(YEAR(A664),MONTH(A664),1),发射纪录!G:G,"&lt;="&amp;DATE(YEAR(A664),MONTH(A664),DAY(EOMONTH(A664,0))),发射纪录!N:N,"=成功",发射纪录!N:N,"&lt;&gt;")</f>
        <v>2</v>
      </c>
      <c r="J664" s="3">
        <f t="shared" ref="J664:J674" si="557">IF(H664=0,"-",I664/H664)</f>
        <v>1</v>
      </c>
      <c r="K664" s="10">
        <f t="shared" ref="K664:K674" ca="1" si="558">K663+H664</f>
        <v>89</v>
      </c>
      <c r="L664" s="10">
        <f t="shared" ref="L664:L674" ca="1" si="559">L663+I664</f>
        <v>70</v>
      </c>
      <c r="M664" s="4">
        <f t="shared" ref="M664:M674" ca="1" si="560">IF(K664=0,"-",L664/K664)</f>
        <v>0.7865168539325843</v>
      </c>
      <c r="N664" s="10">
        <f t="shared" ref="N664:N674" si="561">B664+H664</f>
        <v>6</v>
      </c>
      <c r="O664" s="10">
        <f t="shared" ref="O664:O674" si="562">C664+I664</f>
        <v>6</v>
      </c>
      <c r="P664" s="3">
        <f t="shared" ref="P664:P674" si="563">IF(N664=0,"-",O664/N664)</f>
        <v>1</v>
      </c>
      <c r="Q664" s="10">
        <f t="shared" ref="Q664:Q674" ca="1" si="564">E664+K664</f>
        <v>647</v>
      </c>
      <c r="R664" s="10">
        <f t="shared" ref="R664:R674" ca="1" si="565">F664+L664</f>
        <v>610</v>
      </c>
      <c r="S664" s="4">
        <f t="shared" ref="S664:S674" ca="1" si="566">IF(Q664=0,"-",R664/Q664)</f>
        <v>0.9428129829984544</v>
      </c>
      <c r="T664" s="478">
        <f>SUM($N$664:N664)</f>
        <v>6</v>
      </c>
      <c r="U664" s="5"/>
      <c r="V664" s="5"/>
    </row>
    <row r="665" spans="1:22" s="105" customFormat="1" x14ac:dyDescent="0.45">
      <c r="A665" s="64">
        <v>45689</v>
      </c>
      <c r="B665" s="14">
        <f>COUNTIFS(发射纪录!B:B,"&lt;&gt;-",发射纪录!G:G,"&gt;="&amp;DATE(YEAR(A665),MONTH(A665),1),发射纪录!G:G,"&lt;="&amp;DATE(YEAR(A665),MONTH(A665),DAY(EOMONTH(A665,0))),发射纪录!N:N,"&lt;&gt;")</f>
        <v>3</v>
      </c>
      <c r="C665" s="10">
        <f>COUNTIFS(发射纪录!B:B,"&lt;&gt;-",发射纪录!G:G,"&gt;="&amp;DATE(YEAR(A665),MONTH(A665),1),发射纪录!G:G,"&lt;="&amp;DATE(YEAR(A665),MONTH(A665),DAY(EOMONTH(A665,0))),发射纪录!N:N,"=成功",发射纪录!N:N,"&lt;&gt;")</f>
        <v>3</v>
      </c>
      <c r="D665" s="1">
        <f t="shared" si="553"/>
        <v>1</v>
      </c>
      <c r="E665" s="10">
        <f t="shared" si="554"/>
        <v>561</v>
      </c>
      <c r="F665" s="10">
        <f t="shared" si="556"/>
        <v>543</v>
      </c>
      <c r="G665" s="2">
        <f t="shared" si="555"/>
        <v>0.96791443850267378</v>
      </c>
      <c r="H665" s="10">
        <f>COUNTIFS(发射纪录!C:C,"&lt;&gt;-",发射纪录!G:G,"&gt;="&amp;DATE(YEAR(A665),MONTH(A665),1),发射纪录!G:G,"&lt;="&amp;DATE(YEAR(A665),MONTH(A665),DAY(EOMONTH(A665,0))),发射纪录!N:N,"&lt;&gt;")</f>
        <v>0</v>
      </c>
      <c r="I665" s="10">
        <f>COUNTIFS(发射纪录!C:C,"&lt;&gt;-",发射纪录!G:G,"&gt;="&amp;DATE(YEAR(A665),MONTH(A665),1),发射纪录!G:G,"&lt;="&amp;DATE(YEAR(A665),MONTH(A665),DAY(EOMONTH(A665,0))),发射纪录!N:N,"=成功",发射纪录!N:N,"&lt;&gt;")</f>
        <v>0</v>
      </c>
      <c r="J665" s="1" t="str">
        <f t="shared" si="557"/>
        <v>-</v>
      </c>
      <c r="K665" s="10">
        <f t="shared" ca="1" si="558"/>
        <v>89</v>
      </c>
      <c r="L665" s="10">
        <f t="shared" ca="1" si="559"/>
        <v>70</v>
      </c>
      <c r="M665" s="2">
        <f t="shared" ca="1" si="560"/>
        <v>0.7865168539325843</v>
      </c>
      <c r="N665" s="10">
        <f t="shared" si="561"/>
        <v>3</v>
      </c>
      <c r="O665" s="10">
        <f t="shared" si="562"/>
        <v>3</v>
      </c>
      <c r="P665" s="3">
        <f t="shared" si="563"/>
        <v>1</v>
      </c>
      <c r="Q665" s="10">
        <f t="shared" ca="1" si="564"/>
        <v>650</v>
      </c>
      <c r="R665" s="10">
        <f t="shared" ca="1" si="565"/>
        <v>613</v>
      </c>
      <c r="S665" s="4">
        <f t="shared" ca="1" si="566"/>
        <v>0.94307692307692303</v>
      </c>
      <c r="T665" s="478">
        <f>SUM($N$664:N665)</f>
        <v>9</v>
      </c>
      <c r="U665" s="5"/>
      <c r="V665" s="5"/>
    </row>
    <row r="666" spans="1:22" s="105" customFormat="1" x14ac:dyDescent="0.45">
      <c r="A666" s="64">
        <v>45717</v>
      </c>
      <c r="B666" s="14">
        <f>COUNTIFS(发射纪录!B:B,"&lt;&gt;-",发射纪录!G:G,"&gt;="&amp;DATE(YEAR(A666),MONTH(A666),1),发射纪录!G:G,"&lt;="&amp;DATE(YEAR(A666),MONTH(A666),DAY(EOMONTH(A666,0))),发射纪录!N:N,"&lt;&gt;")</f>
        <v>5</v>
      </c>
      <c r="C666" s="10">
        <f>COUNTIFS(发射纪录!B:B,"&lt;&gt;-",发射纪录!G:G,"&gt;="&amp;DATE(YEAR(A666),MONTH(A666),1),发射纪录!G:G,"&lt;="&amp;DATE(YEAR(A666),MONTH(A666),DAY(EOMONTH(A666,0))),发射纪录!N:N,"=成功",发射纪录!N:N,"&lt;&gt;")</f>
        <v>5</v>
      </c>
      <c r="D666" s="1">
        <f t="shared" si="553"/>
        <v>1</v>
      </c>
      <c r="E666" s="10">
        <f t="shared" si="554"/>
        <v>566</v>
      </c>
      <c r="F666" s="10">
        <f t="shared" si="556"/>
        <v>548</v>
      </c>
      <c r="G666" s="2">
        <f t="shared" si="555"/>
        <v>0.96819787985865724</v>
      </c>
      <c r="H666" s="10">
        <f>COUNTIFS(发射纪录!C:C,"&lt;&gt;-",发射纪录!G:G,"&gt;="&amp;DATE(YEAR(A666),MONTH(A666),1),发射纪录!G:G,"&lt;="&amp;DATE(YEAR(A666),MONTH(A666),DAY(EOMONTH(A666,0))),发射纪录!N:N,"&lt;&gt;")</f>
        <v>2</v>
      </c>
      <c r="I666" s="10">
        <f>COUNTIFS(发射纪录!C:C,"&lt;&gt;-",发射纪录!G:G,"&gt;="&amp;DATE(YEAR(A666),MONTH(A666),1),发射纪录!G:G,"&lt;="&amp;DATE(YEAR(A666),MONTH(A666),DAY(EOMONTH(A666,0))),发射纪录!N:N,"=成功",发射纪录!N:N,"&lt;&gt;")</f>
        <v>2</v>
      </c>
      <c r="J666" s="1">
        <f t="shared" si="557"/>
        <v>1</v>
      </c>
      <c r="K666" s="10">
        <f t="shared" ca="1" si="558"/>
        <v>91</v>
      </c>
      <c r="L666" s="10">
        <f t="shared" ca="1" si="559"/>
        <v>72</v>
      </c>
      <c r="M666" s="2">
        <f t="shared" ca="1" si="560"/>
        <v>0.79120879120879117</v>
      </c>
      <c r="N666" s="10">
        <f t="shared" si="561"/>
        <v>7</v>
      </c>
      <c r="O666" s="10">
        <f t="shared" si="562"/>
        <v>7</v>
      </c>
      <c r="P666" s="3">
        <f t="shared" si="563"/>
        <v>1</v>
      </c>
      <c r="Q666" s="10">
        <f t="shared" ca="1" si="564"/>
        <v>657</v>
      </c>
      <c r="R666" s="10">
        <f t="shared" ca="1" si="565"/>
        <v>620</v>
      </c>
      <c r="S666" s="4">
        <f t="shared" ca="1" si="566"/>
        <v>0.94368340943683404</v>
      </c>
      <c r="T666" s="478">
        <f>SUM($N$664:N666)</f>
        <v>16</v>
      </c>
      <c r="U666" s="5"/>
      <c r="V666" s="5"/>
    </row>
    <row r="667" spans="1:22" s="105" customFormat="1" x14ac:dyDescent="0.45">
      <c r="A667" s="64">
        <v>45748</v>
      </c>
      <c r="B667" s="14">
        <f>COUNTIFS(发射纪录!B:B,"&lt;&gt;-",发射纪录!G:G,"&gt;="&amp;DATE(YEAR(A667),MONTH(A667),1),发射纪录!G:G,"&lt;="&amp;DATE(YEAR(A667),MONTH(A667),DAY(EOMONTH(A667,0))),发射纪录!N:N,"&lt;&gt;")</f>
        <v>7</v>
      </c>
      <c r="C667" s="10">
        <f>COUNTIFS(发射纪录!B:B,"&lt;&gt;-",发射纪录!G:G,"&gt;="&amp;DATE(YEAR(A667),MONTH(A667),1),发射纪录!G:G,"&lt;="&amp;DATE(YEAR(A667),MONTH(A667),DAY(EOMONTH(A667,0))),发射纪录!N:N,"=成功",发射纪录!N:N,"&lt;&gt;")</f>
        <v>7</v>
      </c>
      <c r="D667" s="1">
        <f t="shared" si="553"/>
        <v>1</v>
      </c>
      <c r="E667" s="10">
        <f t="shared" si="554"/>
        <v>573</v>
      </c>
      <c r="F667" s="10">
        <f t="shared" si="556"/>
        <v>555</v>
      </c>
      <c r="G667" s="2">
        <f t="shared" si="555"/>
        <v>0.96858638743455494</v>
      </c>
      <c r="H667" s="10">
        <f>COUNTIFS(发射纪录!C:C,"&lt;&gt;-",发射纪录!G:G,"&gt;="&amp;DATE(YEAR(A667),MONTH(A667),1),发射纪录!G:G,"&lt;="&amp;DATE(YEAR(A667),MONTH(A667),DAY(EOMONTH(A667,0))),发射纪录!N:N,"&lt;&gt;")</f>
        <v>0</v>
      </c>
      <c r="I667" s="10">
        <f ca="1">COUNTIFS(发射纪录!C:C,"&lt;&gt;-",发射纪录!G:G,"&gt;="&amp;DATE(YEAR(A667),MONTH(A667),1),发射纪录!G:G,"&lt;="&amp;DATE(YEAR(A667),MONTH(A667),DAY(EOMONTH(A667,0))),发射纪录!N:N,"=成功",发射纪录!N:N,"&lt;&gt;")</f>
        <v>0</v>
      </c>
      <c r="J667" s="1" t="str">
        <f t="shared" si="557"/>
        <v>-</v>
      </c>
      <c r="K667" s="10">
        <f t="shared" ca="1" si="558"/>
        <v>91</v>
      </c>
      <c r="L667" s="10">
        <f t="shared" ca="1" si="559"/>
        <v>72</v>
      </c>
      <c r="M667" s="2">
        <f t="shared" ca="1" si="560"/>
        <v>0.79120879120879117</v>
      </c>
      <c r="N667" s="10">
        <f t="shared" si="561"/>
        <v>7</v>
      </c>
      <c r="O667" s="10">
        <f t="shared" ca="1" si="562"/>
        <v>7</v>
      </c>
      <c r="P667" s="3">
        <f t="shared" ca="1" si="563"/>
        <v>1</v>
      </c>
      <c r="Q667" s="10">
        <f t="shared" ca="1" si="564"/>
        <v>664</v>
      </c>
      <c r="R667" s="10">
        <f t="shared" ca="1" si="565"/>
        <v>627</v>
      </c>
      <c r="S667" s="4">
        <f t="shared" ca="1" si="566"/>
        <v>0.94427710843373491</v>
      </c>
      <c r="T667" s="478">
        <f>SUM($N$664:N667)</f>
        <v>23</v>
      </c>
      <c r="U667" s="5"/>
      <c r="V667" s="5"/>
    </row>
    <row r="668" spans="1:22" s="105" customFormat="1" x14ac:dyDescent="0.45">
      <c r="A668" s="64">
        <v>45778</v>
      </c>
      <c r="B668" s="14">
        <f>COUNTIFS(发射纪录!B:B,"&lt;&gt;-",发射纪录!G:G,"&gt;="&amp;DATE(YEAR(A668),MONTH(A668),1),发射纪录!G:G,"&lt;="&amp;DATE(YEAR(A668),MONTH(A668),DAY(EOMONTH(A668,0))),发射纪录!N:N,"&lt;&gt;")</f>
        <v>6</v>
      </c>
      <c r="C668" s="10">
        <f>COUNTIFS(发射纪录!B:B,"&lt;&gt;-",发射纪录!G:G,"&gt;="&amp;DATE(YEAR(A668),MONTH(A668),1),发射纪录!G:G,"&lt;="&amp;DATE(YEAR(A668),MONTH(A668),DAY(EOMONTH(A668,0))),发射纪录!N:N,"=成功",发射纪录!N:N,"&lt;&gt;")</f>
        <v>6</v>
      </c>
      <c r="D668" s="1">
        <f t="shared" si="553"/>
        <v>1</v>
      </c>
      <c r="E668" s="10">
        <f t="shared" si="554"/>
        <v>579</v>
      </c>
      <c r="F668" s="10">
        <f t="shared" si="556"/>
        <v>561</v>
      </c>
      <c r="G668" s="2">
        <f t="shared" si="555"/>
        <v>0.9689119170984456</v>
      </c>
      <c r="H668" s="10">
        <f ca="1">COUNTIFS(发射纪录!C:C,"&lt;&gt;-",发射纪录!G:G,"&gt;="&amp;DATE(YEAR(A668),MONTH(A668),1),发射纪录!G:G,"&lt;="&amp;DATE(YEAR(A668),MONTH(A668),DAY(EOMONTH(A668,0))),发射纪录!N:N,"&lt;&gt;")</f>
        <v>3</v>
      </c>
      <c r="I668" s="10">
        <f ca="1">COUNTIFS(发射纪录!C:C,"&lt;&gt;-",发射纪录!G:G,"&gt;="&amp;DATE(YEAR(A668),MONTH(A668),1),发射纪录!G:G,"&lt;="&amp;DATE(YEAR(A668),MONTH(A668),DAY(EOMONTH(A668,0))),发射纪录!N:N,"=成功",发射纪录!N:N,"&lt;&gt;")</f>
        <v>3</v>
      </c>
      <c r="J668" s="1">
        <f t="shared" ca="1" si="557"/>
        <v>1</v>
      </c>
      <c r="K668" s="10">
        <f t="shared" ca="1" si="558"/>
        <v>94</v>
      </c>
      <c r="L668" s="10">
        <f t="shared" ca="1" si="559"/>
        <v>75</v>
      </c>
      <c r="M668" s="2">
        <f t="shared" ca="1" si="560"/>
        <v>0.7978723404255319</v>
      </c>
      <c r="N668" s="10">
        <f t="shared" ca="1" si="561"/>
        <v>9</v>
      </c>
      <c r="O668" s="10">
        <f t="shared" ca="1" si="562"/>
        <v>9</v>
      </c>
      <c r="P668" s="3">
        <f t="shared" ca="1" si="563"/>
        <v>1</v>
      </c>
      <c r="Q668" s="10">
        <f t="shared" ca="1" si="564"/>
        <v>673</v>
      </c>
      <c r="R668" s="10">
        <f t="shared" ca="1" si="565"/>
        <v>636</v>
      </c>
      <c r="S668" s="4">
        <f t="shared" ca="1" si="566"/>
        <v>0.94502228826151558</v>
      </c>
      <c r="T668" s="478">
        <f ca="1">SUM($N$664:N668)</f>
        <v>32</v>
      </c>
      <c r="U668" s="5"/>
      <c r="V668" s="5"/>
    </row>
    <row r="669" spans="1:22" s="105" customFormat="1" x14ac:dyDescent="0.45">
      <c r="A669" s="64">
        <v>45809</v>
      </c>
      <c r="B669" s="14">
        <f>COUNTIFS(发射纪录!B:B,"&lt;&gt;-",发射纪录!G:G,"&gt;="&amp;DATE(YEAR(A669),MONTH(A669),1),发射纪录!G:G,"&lt;="&amp;DATE(YEAR(A669),MONTH(A669),DAY(EOMONTH(A669,0))),发射纪录!N:N,"&lt;&gt;")</f>
        <v>3</v>
      </c>
      <c r="C669" s="10">
        <f>COUNTIFS(发射纪录!B:B,"&lt;&gt;-",发射纪录!G:G,"&gt;="&amp;DATE(YEAR(A669),MONTH(A669),1),发射纪录!G:G,"&lt;="&amp;DATE(YEAR(A669),MONTH(A669),DAY(EOMONTH(A669,0))),发射纪录!N:N,"=成功",发射纪录!N:N,"&lt;&gt;")</f>
        <v>3</v>
      </c>
      <c r="D669" s="1">
        <f t="shared" si="553"/>
        <v>1</v>
      </c>
      <c r="E669" s="10">
        <f t="shared" si="554"/>
        <v>582</v>
      </c>
      <c r="F669" s="10">
        <f t="shared" si="556"/>
        <v>564</v>
      </c>
      <c r="G669" s="2">
        <f t="shared" si="555"/>
        <v>0.96907216494845361</v>
      </c>
      <c r="H669" s="10">
        <f ca="1">COUNTIFS(发射纪录!C:C,"&lt;&gt;-",发射纪录!G:G,"&gt;="&amp;DATE(YEAR(A669),MONTH(A669),1),发射纪录!G:G,"&lt;="&amp;DATE(YEAR(A669),MONTH(A669),DAY(EOMONTH(A669,0))),发射纪录!N:N,"&lt;&gt;")</f>
        <v>0</v>
      </c>
      <c r="I669" s="10">
        <f ca="1">COUNTIFS(发射纪录!C:C,"&lt;&gt;-",发射纪录!G:G,"&gt;="&amp;DATE(YEAR(A669),MONTH(A669),1),发射纪录!G:G,"&lt;="&amp;DATE(YEAR(A669),MONTH(A669),DAY(EOMONTH(A669,0))),发射纪录!N:N,"=成功",发射纪录!N:N,"&lt;&gt;")</f>
        <v>0</v>
      </c>
      <c r="J669" s="1" t="str">
        <f t="shared" ca="1" si="557"/>
        <v>-</v>
      </c>
      <c r="K669" s="10">
        <f t="shared" ca="1" si="558"/>
        <v>94</v>
      </c>
      <c r="L669" s="10">
        <f t="shared" ca="1" si="559"/>
        <v>75</v>
      </c>
      <c r="M669" s="2">
        <f t="shared" ca="1" si="560"/>
        <v>0.7978723404255319</v>
      </c>
      <c r="N669" s="10">
        <f t="shared" ca="1" si="561"/>
        <v>3</v>
      </c>
      <c r="O669" s="10">
        <f t="shared" ca="1" si="562"/>
        <v>3</v>
      </c>
      <c r="P669" s="3">
        <f t="shared" ca="1" si="563"/>
        <v>1</v>
      </c>
      <c r="Q669" s="10">
        <f t="shared" ca="1" si="564"/>
        <v>676</v>
      </c>
      <c r="R669" s="10">
        <f t="shared" ca="1" si="565"/>
        <v>639</v>
      </c>
      <c r="S669" s="4">
        <f t="shared" ca="1" si="566"/>
        <v>0.94526627218934911</v>
      </c>
      <c r="T669" s="478">
        <f ca="1">SUM($N$664:N669)</f>
        <v>35</v>
      </c>
      <c r="U669" s="5"/>
      <c r="V669" s="5"/>
    </row>
    <row r="670" spans="1:22" s="105" customFormat="1" x14ac:dyDescent="0.45">
      <c r="A670" s="64">
        <v>45839</v>
      </c>
      <c r="B670" s="14">
        <f>COUNTIFS(发射纪录!B:B,"&lt;&gt;-",发射纪录!G:G,"&gt;="&amp;DATE(YEAR(A670),MONTH(A670),1),发射纪录!G:G,"&lt;="&amp;DATE(YEAR(A670),MONTH(A670),DAY(EOMONTH(A670,0))),发射纪录!N:N,"&lt;&gt;")</f>
        <v>4</v>
      </c>
      <c r="C670" s="10">
        <f>COUNTIFS(发射纪录!B:B,"&lt;&gt;-",发射纪录!G:G,"&gt;="&amp;DATE(YEAR(A670),MONTH(A670),1),发射纪录!G:G,"&lt;="&amp;DATE(YEAR(A670),MONTH(A670),DAY(EOMONTH(A670,0))),发射纪录!N:N,"=成功",发射纪录!N:N,"&lt;&gt;")</f>
        <v>4</v>
      </c>
      <c r="D670" s="1">
        <f t="shared" si="553"/>
        <v>1</v>
      </c>
      <c r="E670" s="10">
        <f t="shared" si="554"/>
        <v>586</v>
      </c>
      <c r="F670" s="10">
        <f t="shared" si="556"/>
        <v>568</v>
      </c>
      <c r="G670" s="2">
        <f t="shared" si="555"/>
        <v>0.96928327645051193</v>
      </c>
      <c r="H670" s="10">
        <f ca="1">COUNTIFS(发射纪录!C:C,"&lt;&gt;-",发射纪录!G:G,"&gt;="&amp;DATE(YEAR(A670),MONTH(A670),1),发射纪录!G:G,"&lt;="&amp;DATE(YEAR(A670),MONTH(A670),DAY(EOMONTH(A670,0))),发射纪录!N:N,"&lt;&gt;")</f>
        <v>2</v>
      </c>
      <c r="I670" s="10">
        <f ca="1">COUNTIFS(发射纪录!C:C,"&lt;&gt;-",发射纪录!G:G,"&gt;="&amp;DATE(YEAR(A670),MONTH(A670),1),发射纪录!G:G,"&lt;="&amp;DATE(YEAR(A670),MONTH(A670),DAY(EOMONTH(A670,0))),发射纪录!N:N,"=成功",发射纪录!N:N,"&lt;&gt;")</f>
        <v>2</v>
      </c>
      <c r="J670" s="1">
        <f t="shared" ca="1" si="557"/>
        <v>1</v>
      </c>
      <c r="K670" s="10">
        <f t="shared" ca="1" si="558"/>
        <v>96</v>
      </c>
      <c r="L670" s="10">
        <f t="shared" ca="1" si="559"/>
        <v>77</v>
      </c>
      <c r="M670" s="2">
        <f t="shared" ca="1" si="560"/>
        <v>0.80208333333333337</v>
      </c>
      <c r="N670" s="10">
        <f t="shared" ca="1" si="561"/>
        <v>6</v>
      </c>
      <c r="O670" s="10">
        <f t="shared" ca="1" si="562"/>
        <v>6</v>
      </c>
      <c r="P670" s="3">
        <f t="shared" ca="1" si="563"/>
        <v>1</v>
      </c>
      <c r="Q670" s="10">
        <f t="shared" ca="1" si="564"/>
        <v>682</v>
      </c>
      <c r="R670" s="10">
        <f t="shared" ca="1" si="565"/>
        <v>645</v>
      </c>
      <c r="S670" s="4">
        <f t="shared" ca="1" si="566"/>
        <v>0.94574780058651031</v>
      </c>
      <c r="T670" s="478">
        <f ca="1">SUM($N$664:N670)</f>
        <v>41</v>
      </c>
      <c r="U670" s="5"/>
      <c r="V670" s="5"/>
    </row>
    <row r="671" spans="1:22" s="105" customFormat="1" x14ac:dyDescent="0.45">
      <c r="A671" s="64">
        <v>45870</v>
      </c>
      <c r="B671" s="14">
        <f>COUNTIFS(发射纪录!B:B,"&lt;&gt;-",发射纪录!G:G,"&gt;="&amp;DATE(YEAR(A671),MONTH(A671),1),发射纪录!G:G,"&lt;="&amp;DATE(YEAR(A671),MONTH(A671),DAY(EOMONTH(A671,0))),发射纪录!N:N,"&lt;&gt;")</f>
        <v>5</v>
      </c>
      <c r="C671" s="10">
        <f>COUNTIFS(发射纪录!B:B,"&lt;&gt;-",发射纪录!G:G,"&gt;="&amp;DATE(YEAR(A671),MONTH(A671),1),发射纪录!G:G,"&lt;="&amp;DATE(YEAR(A671),MONTH(A671),DAY(EOMONTH(A671,0))),发射纪录!N:N,"=成功",发射纪录!N:N,"&lt;&gt;")</f>
        <v>5</v>
      </c>
      <c r="D671" s="1">
        <f t="shared" si="553"/>
        <v>1</v>
      </c>
      <c r="E671" s="10">
        <f t="shared" si="554"/>
        <v>591</v>
      </c>
      <c r="F671" s="10">
        <f t="shared" si="556"/>
        <v>573</v>
      </c>
      <c r="G671" s="2">
        <f t="shared" si="555"/>
        <v>0.96954314720812185</v>
      </c>
      <c r="H671" s="10">
        <f ca="1">COUNTIFS(发射纪录!C:C,"&lt;&gt;-",发射纪录!G:G,"&gt;="&amp;DATE(YEAR(A671),MONTH(A671),1),发射纪录!G:G,"&lt;="&amp;DATE(YEAR(A671),MONTH(A671),DAY(EOMONTH(A671,0))),发射纪录!N:N,"&lt;&gt;")</f>
        <v>3</v>
      </c>
      <c r="I671" s="10">
        <f ca="1">COUNTIFS(发射纪录!C:C,"&lt;&gt;-",发射纪录!G:G,"&gt;="&amp;DATE(YEAR(A671),MONTH(A671),1),发射纪录!G:G,"&lt;="&amp;DATE(YEAR(A671),MONTH(A671),DAY(EOMONTH(A671,0))),发射纪录!N:N,"=成功",发射纪录!N:N,"&lt;&gt;")</f>
        <v>2</v>
      </c>
      <c r="J671" s="1">
        <f t="shared" ca="1" si="557"/>
        <v>0.66666666666666663</v>
      </c>
      <c r="K671" s="10">
        <f t="shared" ca="1" si="558"/>
        <v>99</v>
      </c>
      <c r="L671" s="10">
        <f t="shared" ca="1" si="559"/>
        <v>79</v>
      </c>
      <c r="M671" s="2">
        <f t="shared" ca="1" si="560"/>
        <v>0.79797979797979801</v>
      </c>
      <c r="N671" s="10">
        <f t="shared" ca="1" si="561"/>
        <v>8</v>
      </c>
      <c r="O671" s="10">
        <f t="shared" ca="1" si="562"/>
        <v>7</v>
      </c>
      <c r="P671" s="3">
        <f t="shared" ca="1" si="563"/>
        <v>0.875</v>
      </c>
      <c r="Q671" s="10">
        <f t="shared" ca="1" si="564"/>
        <v>690</v>
      </c>
      <c r="R671" s="10">
        <f t="shared" ca="1" si="565"/>
        <v>652</v>
      </c>
      <c r="S671" s="4">
        <f t="shared" ca="1" si="566"/>
        <v>0.94492753623188408</v>
      </c>
      <c r="T671" s="478">
        <f ca="1">SUM($N$664:N671)</f>
        <v>49</v>
      </c>
      <c r="U671" s="5"/>
      <c r="V671" s="5"/>
    </row>
    <row r="672" spans="1:22" s="105" customFormat="1" x14ac:dyDescent="0.45">
      <c r="A672" s="64">
        <v>45901</v>
      </c>
      <c r="B672" s="14">
        <f>COUNTIFS(发射纪录!B:B,"&lt;&gt;-",发射纪录!G:G,"&gt;="&amp;DATE(YEAR(A672),MONTH(A672),1),发射纪录!G:G,"&lt;="&amp;DATE(YEAR(A672),MONTH(A672),DAY(EOMONTH(A672,0))),发射纪录!N:N,"&lt;&gt;")</f>
        <v>7</v>
      </c>
      <c r="C672" s="10">
        <f>COUNTIFS(发射纪录!B:B,"&lt;&gt;-",发射纪录!G:G,"&gt;="&amp;DATE(YEAR(A672),MONTH(A672),1),发射纪录!G:G,"&lt;="&amp;DATE(YEAR(A672),MONTH(A672),DAY(EOMONTH(A672,0))),发射纪录!N:N,"=成功",发射纪录!N:N,"&lt;&gt;")</f>
        <v>7</v>
      </c>
      <c r="D672" s="1">
        <f t="shared" si="553"/>
        <v>1</v>
      </c>
      <c r="E672" s="10">
        <f t="shared" si="554"/>
        <v>598</v>
      </c>
      <c r="F672" s="10">
        <f t="shared" si="556"/>
        <v>580</v>
      </c>
      <c r="G672" s="2">
        <f t="shared" si="555"/>
        <v>0.96989966555183948</v>
      </c>
      <c r="H672" s="10">
        <f ca="1">COUNTIFS(发射纪录!C:C,"&lt;&gt;-",发射纪录!G:G,"&gt;="&amp;DATE(YEAR(A672),MONTH(A672),1),发射纪录!G:G,"&lt;="&amp;DATE(YEAR(A672),MONTH(A672),DAY(EOMONTH(A672,0))),发射纪录!N:N,"&lt;&gt;")</f>
        <v>3</v>
      </c>
      <c r="I672" s="10">
        <f ca="1">COUNTIFS(发射纪录!C:C,"&lt;&gt;-",发射纪录!G:G,"&gt;="&amp;DATE(YEAR(A672),MONTH(A672),1),发射纪录!G:G,"&lt;="&amp;DATE(YEAR(A672),MONTH(A672),DAY(EOMONTH(A672,0))),发射纪录!N:N,"=成功",发射纪录!N:N,"&lt;&gt;")</f>
        <v>3</v>
      </c>
      <c r="J672" s="1">
        <f t="shared" ca="1" si="557"/>
        <v>1</v>
      </c>
      <c r="K672" s="10">
        <f t="shared" ca="1" si="558"/>
        <v>102</v>
      </c>
      <c r="L672" s="10">
        <f t="shared" ca="1" si="559"/>
        <v>82</v>
      </c>
      <c r="M672" s="2">
        <f t="shared" ca="1" si="560"/>
        <v>0.80392156862745101</v>
      </c>
      <c r="N672" s="10">
        <f t="shared" ca="1" si="561"/>
        <v>10</v>
      </c>
      <c r="O672" s="10">
        <f t="shared" ca="1" si="562"/>
        <v>10</v>
      </c>
      <c r="P672" s="3">
        <f t="shared" ca="1" si="563"/>
        <v>1</v>
      </c>
      <c r="Q672" s="10">
        <f t="shared" ca="1" si="564"/>
        <v>700</v>
      </c>
      <c r="R672" s="10">
        <f t="shared" ca="1" si="565"/>
        <v>662</v>
      </c>
      <c r="S672" s="4">
        <f t="shared" ca="1" si="566"/>
        <v>0.94571428571428573</v>
      </c>
      <c r="T672" s="478">
        <f ca="1">SUM($N$664:N672)</f>
        <v>59</v>
      </c>
      <c r="U672" s="5"/>
      <c r="V672" s="5"/>
    </row>
    <row r="673" spans="1:22" s="105" customFormat="1" x14ac:dyDescent="0.45">
      <c r="A673" s="64">
        <v>45931</v>
      </c>
      <c r="B673" s="14">
        <f>COUNTIFS(发射纪录!B:B,"&lt;&gt;-",发射纪录!G:G,"&gt;="&amp;DATE(YEAR(A673),MONTH(A673),1),发射纪录!G:G,"&lt;="&amp;DATE(YEAR(A673),MONTH(A673),DAY(EOMONTH(A673,0))),发射纪录!N:N,"&lt;&gt;")</f>
        <v>6</v>
      </c>
      <c r="C673" s="10">
        <f>COUNTIFS(发射纪录!B:B,"&lt;&gt;-",发射纪录!G:G,"&gt;="&amp;DATE(YEAR(A673),MONTH(A673),1),发射纪录!G:G,"&lt;="&amp;DATE(YEAR(A673),MONTH(A673),DAY(EOMONTH(A673,0))),发射纪录!N:N,"=成功",发射纪录!N:N,"&lt;&gt;")</f>
        <v>6</v>
      </c>
      <c r="D673" s="1">
        <f t="shared" si="553"/>
        <v>1</v>
      </c>
      <c r="E673" s="10">
        <f t="shared" si="554"/>
        <v>604</v>
      </c>
      <c r="F673" s="10">
        <f t="shared" si="556"/>
        <v>586</v>
      </c>
      <c r="G673" s="2">
        <f t="shared" si="555"/>
        <v>0.9701986754966887</v>
      </c>
      <c r="H673" s="10">
        <f ca="1">COUNTIFS(发射纪录!C:C,"&lt;&gt;-",发射纪录!G:G,"&gt;="&amp;DATE(YEAR(A673),MONTH(A673),1),发射纪录!G:G,"&lt;="&amp;DATE(YEAR(A673),MONTH(A673),DAY(EOMONTH(A673,0))),发射纪录!N:N,"&lt;&gt;")</f>
        <v>2</v>
      </c>
      <c r="I673" s="10">
        <f ca="1">COUNTIFS(发射纪录!C:C,"&lt;&gt;-",发射纪录!G:G,"&gt;="&amp;DATE(YEAR(A673),MONTH(A673),1),发射纪录!G:G,"&lt;="&amp;DATE(YEAR(A673),MONTH(A673),DAY(EOMONTH(A673,0))),发射纪录!N:N,"=成功",发射纪录!N:N,"&lt;&gt;")</f>
        <v>2</v>
      </c>
      <c r="J673" s="1">
        <f t="shared" ca="1" si="557"/>
        <v>1</v>
      </c>
      <c r="K673" s="10">
        <f t="shared" ca="1" si="558"/>
        <v>104</v>
      </c>
      <c r="L673" s="10">
        <f t="shared" ca="1" si="559"/>
        <v>84</v>
      </c>
      <c r="M673" s="2">
        <f t="shared" ca="1" si="560"/>
        <v>0.80769230769230771</v>
      </c>
      <c r="N673" s="10">
        <f t="shared" ca="1" si="561"/>
        <v>8</v>
      </c>
      <c r="O673" s="10">
        <f t="shared" ca="1" si="562"/>
        <v>8</v>
      </c>
      <c r="P673" s="3">
        <f t="shared" ca="1" si="563"/>
        <v>1</v>
      </c>
      <c r="Q673" s="10">
        <f t="shared" ca="1" si="564"/>
        <v>708</v>
      </c>
      <c r="R673" s="10">
        <f t="shared" ca="1" si="565"/>
        <v>670</v>
      </c>
      <c r="S673" s="4">
        <f t="shared" ca="1" si="566"/>
        <v>0.9463276836158192</v>
      </c>
      <c r="T673" s="478">
        <f ca="1">SUM($N$664:N673)</f>
        <v>67</v>
      </c>
      <c r="U673" s="5"/>
      <c r="V673" s="5"/>
    </row>
    <row r="674" spans="1:22" s="105" customFormat="1" x14ac:dyDescent="0.45">
      <c r="A674" s="64">
        <v>45962</v>
      </c>
      <c r="B674" s="14">
        <f>COUNTIFS(发射纪录!B:B,"&lt;&gt;-",发射纪录!G:G,"&gt;="&amp;DATE(YEAR(A674),MONTH(A674),1),发射纪录!G:G,"&lt;="&amp;DATE(YEAR(A674),MONTH(A674),DAY(EOMONTH(A674,0))),发射纪录!N:N,"&lt;&gt;")</f>
        <v>7</v>
      </c>
      <c r="C674" s="10">
        <f>COUNTIFS(发射纪录!B:B,"&lt;&gt;-",发射纪录!G:G,"&gt;="&amp;DATE(YEAR(A674),MONTH(A674),1),发射纪录!G:G,"&lt;="&amp;DATE(YEAR(A674),MONTH(A674),DAY(EOMONTH(A674,0))),发射纪录!N:N,"=成功",发射纪录!N:N,"&lt;&gt;")</f>
        <v>7</v>
      </c>
      <c r="D674" s="1">
        <f t="shared" si="553"/>
        <v>1</v>
      </c>
      <c r="E674" s="10">
        <f t="shared" si="554"/>
        <v>611</v>
      </c>
      <c r="F674" s="10">
        <f t="shared" si="556"/>
        <v>593</v>
      </c>
      <c r="G674" s="2">
        <f t="shared" si="555"/>
        <v>0.97054009819967269</v>
      </c>
      <c r="H674" s="10">
        <f ca="1">COUNTIFS(发射纪录!C:C,"&lt;&gt;-",发射纪录!G:G,"&gt;="&amp;DATE(YEAR(A674),MONTH(A674),1),发射纪录!G:G,"&lt;="&amp;DATE(YEAR(A674),MONTH(A674),DAY(EOMONTH(A674,0))),发射纪录!N:N,"&lt;&gt;")</f>
        <v>2</v>
      </c>
      <c r="I674" s="10">
        <f ca="1">COUNTIFS(发射纪录!C:C,"&lt;&gt;-",发射纪录!G:G,"&gt;="&amp;DATE(YEAR(A674),MONTH(A674),1),发射纪录!G:G,"&lt;="&amp;DATE(YEAR(A674),MONTH(A674),DAY(EOMONTH(A674,0))),发射纪录!N:N,"=成功",发射纪录!N:N,"&lt;&gt;")</f>
        <v>1</v>
      </c>
      <c r="J674" s="1">
        <f t="shared" ca="1" si="557"/>
        <v>0.5</v>
      </c>
      <c r="K674" s="10">
        <f t="shared" ca="1" si="558"/>
        <v>106</v>
      </c>
      <c r="L674" s="10">
        <f t="shared" ca="1" si="559"/>
        <v>85</v>
      </c>
      <c r="M674" s="2">
        <f t="shared" ca="1" si="560"/>
        <v>0.80188679245283023</v>
      </c>
      <c r="N674" s="10">
        <f t="shared" ca="1" si="561"/>
        <v>9</v>
      </c>
      <c r="O674" s="10">
        <f t="shared" ca="1" si="562"/>
        <v>8</v>
      </c>
      <c r="P674" s="3">
        <f t="shared" ca="1" si="563"/>
        <v>0.88888888888888884</v>
      </c>
      <c r="Q674" s="10">
        <f t="shared" ca="1" si="564"/>
        <v>717</v>
      </c>
      <c r="R674" s="10">
        <f t="shared" ca="1" si="565"/>
        <v>678</v>
      </c>
      <c r="S674" s="4">
        <f t="shared" ca="1" si="566"/>
        <v>0.94560669456066948</v>
      </c>
      <c r="T674" s="478">
        <f ca="1">SUM($N$664:N674)</f>
        <v>76</v>
      </c>
      <c r="U674" s="5"/>
      <c r="V674" s="5"/>
    </row>
    <row r="675" spans="1:22" s="105" customFormat="1" ht="18.600000000000001" thickBot="1" x14ac:dyDescent="0.5">
      <c r="A675" s="65">
        <v>45992</v>
      </c>
      <c r="B675" s="17">
        <f>COUNTIFS(发射纪录!B:B,"&lt;&gt;-",发射纪录!G:G,"&gt;="&amp;DATE(YEAR(A675),MONTH(A675),1),发射纪录!G:G,"&lt;="&amp;DATE(YEAR(A675),MONTH(A675),DAY(EOMONTH(A675,0))),发射纪录!N:N,"&lt;&gt;")</f>
        <v>12</v>
      </c>
      <c r="C675" s="18">
        <f>COUNTIFS(发射纪录!B:B,"&lt;&gt;-",发射纪录!G:G,"&gt;="&amp;DATE(YEAR(A675),MONTH(A675),1),发射纪录!G:G,"&lt;="&amp;DATE(YEAR(A675),MONTH(A675),DAY(EOMONTH(A675,0))),发射纪录!N:N,"=成功",发射纪录!N:N,"&lt;&gt;")</f>
        <v>12</v>
      </c>
      <c r="D675" s="12">
        <f>IF(B675=0,"-",C675/B675)</f>
        <v>1</v>
      </c>
      <c r="E675" s="18">
        <f>E674+B675</f>
        <v>623</v>
      </c>
      <c r="F675" s="18">
        <f>F674+C675</f>
        <v>605</v>
      </c>
      <c r="G675" s="13">
        <f>IF(E675=0,"-",F675/E675)</f>
        <v>0.971107544141252</v>
      </c>
      <c r="H675" s="18">
        <f ca="1">COUNTIFS(发射纪录!C:C,"&lt;&gt;-",发射纪录!G:G,"&gt;="&amp;DATE(YEAR(A675),MONTH(A675),1),发射纪录!G:G,"&lt;="&amp;DATE(YEAR(A675),MONTH(A675),DAY(EOMONTH(A675,0))),发射纪录!N:N,"&lt;&gt;")</f>
        <v>4</v>
      </c>
      <c r="I675" s="18">
        <f ca="1">COUNTIFS(发射纪录!C:C,"&lt;&gt;-",发射纪录!G:G,"&gt;="&amp;DATE(YEAR(A675),MONTH(A675),1),发射纪录!G:G,"&lt;="&amp;DATE(YEAR(A675),MONTH(A675),DAY(EOMONTH(A675,0))),发射纪录!N:N,"=成功",发射纪录!N:N,"&lt;&gt;")</f>
        <v>4</v>
      </c>
      <c r="J675" s="12">
        <f ca="1">IF(H675=0,"-",I675/H675)</f>
        <v>1</v>
      </c>
      <c r="K675" s="18">
        <f ca="1">K674+H675</f>
        <v>110</v>
      </c>
      <c r="L675" s="18">
        <f ca="1">L674+I675</f>
        <v>89</v>
      </c>
      <c r="M675" s="13">
        <f ca="1">IF(K675=0,"-",L675/K675)</f>
        <v>0.80909090909090908</v>
      </c>
      <c r="N675" s="18">
        <f ca="1">B675+H675</f>
        <v>16</v>
      </c>
      <c r="O675" s="18">
        <f ca="1">C675+I675</f>
        <v>16</v>
      </c>
      <c r="P675" s="12">
        <f ca="1">IF(N675=0,"-",O675/N675)</f>
        <v>1</v>
      </c>
      <c r="Q675" s="18">
        <f ca="1">E675+K675</f>
        <v>733</v>
      </c>
      <c r="R675" s="18">
        <f ca="1">F675+L675</f>
        <v>694</v>
      </c>
      <c r="S675" s="13">
        <f ca="1">IF(Q675=0,"-",R675/Q675)</f>
        <v>0.94679399727148705</v>
      </c>
      <c r="T675" s="479">
        <f ca="1">SUM($N$664:N675)</f>
        <v>92</v>
      </c>
      <c r="U675" s="5"/>
      <c r="V675" s="5"/>
    </row>
    <row r="676" spans="1:22" s="105" customFormat="1" ht="19.5" customHeight="1" thickTop="1" x14ac:dyDescent="0.45">
      <c r="A676" s="63">
        <v>46023</v>
      </c>
      <c r="B676" s="14">
        <f>COUNTIFS(发射纪录!B:B,"&lt;&gt;-",发射纪录!G:G,"&gt;="&amp;DATE(YEAR(A676),MONTH(A676),1),发射纪录!G:G,"&lt;="&amp;DATE(YEAR(A676),MONTH(A676),DAY(EOMONTH(A676,0))),发射纪录!N:N,"&lt;&gt;")</f>
        <v>6</v>
      </c>
      <c r="C676" s="10">
        <f>COUNTIFS(发射纪录!B:B,"&lt;&gt;-",发射纪录!G:G,"&gt;="&amp;DATE(YEAR(A676),MONTH(A676),1),发射纪录!G:G,"&lt;="&amp;DATE(YEAR(A676),MONTH(A676),DAY(EOMONTH(A676,0))),发射纪录!N:N,"=成功",发射纪录!N:N,"&lt;&gt;")</f>
        <v>5</v>
      </c>
      <c r="D676" s="3">
        <f t="shared" ref="D676:D686" si="567">IF(B676=0,"-",C676/B676)</f>
        <v>0.83333333333333337</v>
      </c>
      <c r="E676" s="10">
        <f t="shared" ref="E676:E686" si="568">E675+B676</f>
        <v>629</v>
      </c>
      <c r="F676" s="10">
        <f t="shared" ref="F676:F686" si="569">F675+C676</f>
        <v>610</v>
      </c>
      <c r="G676" s="4">
        <f t="shared" ref="G676:G686" si="570">IF(E676=0,"-",F676/E676)</f>
        <v>0.96979332273449925</v>
      </c>
      <c r="H676" s="10">
        <f ca="1">COUNTIFS(发射纪录!C:C,"&lt;&gt;-",发射纪录!G:G,"&gt;="&amp;DATE(YEAR(A676),MONTH(A676),1),发射纪录!G:G,"&lt;="&amp;DATE(YEAR(A676),MONTH(A676),DAY(EOMONTH(A676,0))),发射纪录!N:N,"&lt;&gt;")</f>
        <v>2</v>
      </c>
      <c r="I676" s="10">
        <f ca="1">COUNTIFS(发射纪录!C:C,"&lt;&gt;-",发射纪录!G:G,"&gt;="&amp;DATE(YEAR(A676),MONTH(A676),1),发射纪录!G:G,"&lt;="&amp;DATE(YEAR(A676),MONTH(A676),DAY(EOMONTH(A676,0))),发射纪录!N:N,"=成功",发射纪录!N:N,"&lt;&gt;")</f>
        <v>1</v>
      </c>
      <c r="J676" s="3">
        <f t="shared" ref="J676:J686" ca="1" si="571">IF(H676=0,"-",I676/H676)</f>
        <v>0.5</v>
      </c>
      <c r="K676" s="10">
        <f t="shared" ref="K676:K686" ca="1" si="572">K675+H676</f>
        <v>112</v>
      </c>
      <c r="L676" s="10">
        <f t="shared" ref="L676:L686" ca="1" si="573">L675+I676</f>
        <v>90</v>
      </c>
      <c r="M676" s="4">
        <f t="shared" ref="M676:M686" ca="1" si="574">IF(K676=0,"-",L676/K676)</f>
        <v>0.8035714285714286</v>
      </c>
      <c r="N676" s="10">
        <f t="shared" ref="N676:N686" ca="1" si="575">B676+H676</f>
        <v>8</v>
      </c>
      <c r="O676" s="10">
        <f t="shared" ref="O676:O686" ca="1" si="576">C676+I676</f>
        <v>6</v>
      </c>
      <c r="P676" s="3">
        <f t="shared" ref="P676:P686" ca="1" si="577">IF(N676=0,"-",O676/N676)</f>
        <v>0.75</v>
      </c>
      <c r="Q676" s="10">
        <f t="shared" ref="Q676:Q686" ca="1" si="578">E676+K676</f>
        <v>741</v>
      </c>
      <c r="R676" s="10">
        <f t="shared" ref="R676:R686" ca="1" si="579">F676+L676</f>
        <v>700</v>
      </c>
      <c r="S676" s="4">
        <f t="shared" ref="S676:S686" ca="1" si="580">IF(Q676=0,"-",R676/Q676)</f>
        <v>0.94466936572199733</v>
      </c>
      <c r="T676" s="478">
        <f ca="1">SUM($N$676:N676)</f>
        <v>8</v>
      </c>
      <c r="U676" s="5"/>
      <c r="V676" s="5"/>
    </row>
    <row r="677" spans="1:22" s="105" customFormat="1" x14ac:dyDescent="0.45">
      <c r="A677" s="64">
        <v>46054</v>
      </c>
      <c r="B677" s="14">
        <f>COUNTIFS(发射纪录!B:B,"&lt;&gt;-",发射纪录!G:G,"&gt;="&amp;DATE(YEAR(A677),MONTH(A677),1),发射纪录!G:G,"&lt;="&amp;DATE(YEAR(A677),MONTH(A677),DAY(EOMONTH(A677,0))),发射纪录!N:N,"&lt;&gt;")</f>
        <v>1</v>
      </c>
      <c r="C677" s="10">
        <f>COUNTIFS(发射纪录!B:B,"&lt;&gt;-",发射纪录!G:G,"&gt;="&amp;DATE(YEAR(A677),MONTH(A677),1),发射纪录!G:G,"&lt;="&amp;DATE(YEAR(A677),MONTH(A677),DAY(EOMONTH(A677,0))),发射纪录!N:N,"=成功",发射纪录!N:N,"&lt;&gt;")</f>
        <v>1</v>
      </c>
      <c r="D677" s="1">
        <f t="shared" si="567"/>
        <v>1</v>
      </c>
      <c r="E677" s="10">
        <f t="shared" si="568"/>
        <v>630</v>
      </c>
      <c r="F677" s="10">
        <f t="shared" si="569"/>
        <v>611</v>
      </c>
      <c r="G677" s="2">
        <f t="shared" si="570"/>
        <v>0.96984126984126984</v>
      </c>
      <c r="H677" s="10">
        <f ca="1">COUNTIFS(发射纪录!C:C,"&lt;&gt;-",发射纪录!G:G,"&gt;="&amp;DATE(YEAR(A677),MONTH(A677),1),发射纪录!G:G,"&lt;="&amp;DATE(YEAR(A677),MONTH(A677),DAY(EOMONTH(A677,0))),发射纪录!N:N,"&lt;&gt;")</f>
        <v>1</v>
      </c>
      <c r="I677" s="10">
        <f ca="1">COUNTIFS(发射纪录!C:C,"&lt;&gt;-",发射纪录!G:G,"&gt;="&amp;DATE(YEAR(A677),MONTH(A677),1),发射纪录!G:G,"&lt;="&amp;DATE(YEAR(A677),MONTH(A677),DAY(EOMONTH(A677,0))),发射纪录!N:N,"=成功",发射纪录!N:N,"&lt;&gt;")</f>
        <v>1</v>
      </c>
      <c r="J677" s="1">
        <f t="shared" ca="1" si="571"/>
        <v>1</v>
      </c>
      <c r="K677" s="10">
        <f t="shared" ca="1" si="572"/>
        <v>113</v>
      </c>
      <c r="L677" s="10">
        <f t="shared" ca="1" si="573"/>
        <v>91</v>
      </c>
      <c r="M677" s="2">
        <f t="shared" ca="1" si="574"/>
        <v>0.80530973451327437</v>
      </c>
      <c r="N677" s="10">
        <f t="shared" ca="1" si="575"/>
        <v>2</v>
      </c>
      <c r="O677" s="10">
        <f t="shared" ca="1" si="576"/>
        <v>2</v>
      </c>
      <c r="P677" s="3">
        <f t="shared" ca="1" si="577"/>
        <v>1</v>
      </c>
      <c r="Q677" s="10">
        <f t="shared" ca="1" si="578"/>
        <v>743</v>
      </c>
      <c r="R677" s="10">
        <f t="shared" ca="1" si="579"/>
        <v>702</v>
      </c>
      <c r="S677" s="4">
        <f t="shared" ca="1" si="580"/>
        <v>0.94481830417227453</v>
      </c>
      <c r="T677" s="478">
        <f ca="1">SUM($N$676:N677)</f>
        <v>10</v>
      </c>
      <c r="U677" s="5"/>
      <c r="V677" s="5"/>
    </row>
    <row r="678" spans="1:22" s="105" customFormat="1" x14ac:dyDescent="0.45">
      <c r="A678" s="64">
        <v>46082</v>
      </c>
      <c r="B678" s="14">
        <f>COUNTIFS(发射纪录!B:B,"&lt;&gt;-",发射纪录!G:G,"&gt;="&amp;DATE(YEAR(A678),MONTH(A678),1),发射纪录!G:G,"&lt;="&amp;DATE(YEAR(A678),MONTH(A678),DAY(EOMONTH(A678,0))),发射纪录!N:N,"&lt;&gt;")</f>
        <v>5</v>
      </c>
      <c r="C678" s="10">
        <f>COUNTIFS(发射纪录!B:B,"&lt;&gt;-",发射纪录!G:G,"&gt;="&amp;DATE(YEAR(A678),MONTH(A678),1),发射纪录!G:G,"&lt;="&amp;DATE(YEAR(A678),MONTH(A678),DAY(EOMONTH(A678,0))),发射纪录!N:N,"=成功",发射纪录!N:N,"&lt;&gt;")</f>
        <v>5</v>
      </c>
      <c r="D678" s="1">
        <f t="shared" si="567"/>
        <v>1</v>
      </c>
      <c r="E678" s="10">
        <f t="shared" si="568"/>
        <v>635</v>
      </c>
      <c r="F678" s="10">
        <f t="shared" si="569"/>
        <v>616</v>
      </c>
      <c r="G678" s="2">
        <f t="shared" si="570"/>
        <v>0.9700787401574803</v>
      </c>
      <c r="H678" s="10">
        <f ca="1">COUNTIFS(发射纪录!C:C,"&lt;&gt;-",发射纪录!G:G,"&gt;="&amp;DATE(YEAR(A678),MONTH(A678),1),发射纪录!G:G,"&lt;="&amp;DATE(YEAR(A678),MONTH(A678),DAY(EOMONTH(A678,0))),发射纪录!N:N,"&lt;&gt;")</f>
        <v>3</v>
      </c>
      <c r="I678" s="10">
        <f ca="1">COUNTIFS(发射纪录!C:C,"&lt;&gt;-",发射纪录!G:G,"&gt;="&amp;DATE(YEAR(A678),MONTH(A678),1),发射纪录!G:G,"&lt;="&amp;DATE(YEAR(A678),MONTH(A678),DAY(EOMONTH(A678,0))),发射纪录!N:N,"=成功",发射纪录!N:N,"&lt;&gt;")</f>
        <v>3</v>
      </c>
      <c r="J678" s="1">
        <f t="shared" ca="1" si="571"/>
        <v>1</v>
      </c>
      <c r="K678" s="10">
        <f t="shared" ca="1" si="572"/>
        <v>116</v>
      </c>
      <c r="L678" s="10">
        <f t="shared" ca="1" si="573"/>
        <v>94</v>
      </c>
      <c r="M678" s="2">
        <f t="shared" ca="1" si="574"/>
        <v>0.81034482758620685</v>
      </c>
      <c r="N678" s="10">
        <f t="shared" ca="1" si="575"/>
        <v>8</v>
      </c>
      <c r="O678" s="10">
        <f t="shared" ca="1" si="576"/>
        <v>8</v>
      </c>
      <c r="P678" s="3">
        <f t="shared" ca="1" si="577"/>
        <v>1</v>
      </c>
      <c r="Q678" s="10">
        <f t="shared" ca="1" si="578"/>
        <v>751</v>
      </c>
      <c r="R678" s="10">
        <f t="shared" ca="1" si="579"/>
        <v>710</v>
      </c>
      <c r="S678" s="4">
        <f t="shared" ca="1" si="580"/>
        <v>0.94540612516644473</v>
      </c>
      <c r="T678" s="478">
        <f ca="1">SUM($N$676:N678)</f>
        <v>18</v>
      </c>
      <c r="U678" s="5"/>
      <c r="V678" s="5"/>
    </row>
    <row r="679" spans="1:22" s="105" customFormat="1" x14ac:dyDescent="0.45">
      <c r="A679" s="64">
        <v>46113</v>
      </c>
      <c r="B679" s="14">
        <f>COUNTIFS(发射纪录!B:B,"&lt;&gt;-",发射纪录!G:G,"&gt;="&amp;DATE(YEAR(A679),MONTH(A679),1),发射纪录!G:G,"&lt;="&amp;DATE(YEAR(A679),MONTH(A679),DAY(EOMONTH(A679,0))),发射纪录!N:N,"&lt;&gt;")</f>
        <v>5</v>
      </c>
      <c r="C679" s="10">
        <f>COUNTIFS(发射纪录!B:B,"&lt;&gt;-",发射纪录!G:G,"&gt;="&amp;DATE(YEAR(A679),MONTH(A679),1),发射纪录!G:G,"&lt;="&amp;DATE(YEAR(A679),MONTH(A679),DAY(EOMONTH(A679,0))),发射纪录!N:N,"=成功",发射纪录!N:N,"&lt;&gt;")</f>
        <v>5</v>
      </c>
      <c r="D679" s="1">
        <f t="shared" si="567"/>
        <v>1</v>
      </c>
      <c r="E679" s="10">
        <f t="shared" si="568"/>
        <v>640</v>
      </c>
      <c r="F679" s="10">
        <f t="shared" si="569"/>
        <v>621</v>
      </c>
      <c r="G679" s="2">
        <f t="shared" si="570"/>
        <v>0.97031250000000002</v>
      </c>
      <c r="H679" s="10">
        <f ca="1">COUNTIFS(发射纪录!C:C,"&lt;&gt;-",发射纪录!G:G,"&gt;="&amp;DATE(YEAR(A679),MONTH(A679),1),发射纪录!G:G,"&lt;="&amp;DATE(YEAR(A679),MONTH(A679),DAY(EOMONTH(A679,0))),发射纪录!N:N,"&lt;&gt;")</f>
        <v>3</v>
      </c>
      <c r="I679" s="10">
        <f ca="1">COUNTIFS(发射纪录!C:C,"&lt;&gt;-",发射纪录!G:G,"&gt;="&amp;DATE(YEAR(A679),MONTH(A679),1),发射纪录!G:G,"&lt;="&amp;DATE(YEAR(A679),MONTH(A679),DAY(EOMONTH(A679,0))),发射纪录!N:N,"=成功",发射纪录!N:N,"&lt;&gt;")</f>
        <v>2</v>
      </c>
      <c r="J679" s="1">
        <f t="shared" ca="1" si="571"/>
        <v>0.66666666666666663</v>
      </c>
      <c r="K679" s="10">
        <f t="shared" ca="1" si="572"/>
        <v>119</v>
      </c>
      <c r="L679" s="10">
        <f t="shared" ca="1" si="573"/>
        <v>96</v>
      </c>
      <c r="M679" s="2">
        <f t="shared" ca="1" si="574"/>
        <v>0.80672268907563027</v>
      </c>
      <c r="N679" s="10">
        <f t="shared" ca="1" si="575"/>
        <v>8</v>
      </c>
      <c r="O679" s="10">
        <f t="shared" ca="1" si="576"/>
        <v>7</v>
      </c>
      <c r="P679" s="3">
        <f t="shared" ca="1" si="577"/>
        <v>0.875</v>
      </c>
      <c r="Q679" s="10">
        <f t="shared" ca="1" si="578"/>
        <v>759</v>
      </c>
      <c r="R679" s="10">
        <f t="shared" ca="1" si="579"/>
        <v>717</v>
      </c>
      <c r="S679" s="4">
        <f t="shared" ca="1" si="580"/>
        <v>0.94466403162055335</v>
      </c>
      <c r="T679" s="478">
        <f ca="1">SUM($N$676:N679)</f>
        <v>26</v>
      </c>
      <c r="U679" s="5"/>
      <c r="V679" s="5"/>
    </row>
    <row r="680" spans="1:22" s="105" customFormat="1" x14ac:dyDescent="0.45">
      <c r="A680" s="64">
        <v>46143</v>
      </c>
      <c r="B680" s="14">
        <f>COUNTIFS(发射纪录!B:B,"&lt;&gt;-",发射纪录!G:G,"&gt;="&amp;DATE(YEAR(A680),MONTH(A680),1),发射纪录!G:G,"&lt;="&amp;DATE(YEAR(A680),MONTH(A680),DAY(EOMONTH(A680,0))),发射纪录!N:N,"&lt;&gt;")</f>
        <v>6</v>
      </c>
      <c r="C680" s="10">
        <f>COUNTIFS(发射纪录!B:B,"&lt;&gt;-",发射纪录!G:G,"&gt;="&amp;DATE(YEAR(A680),MONTH(A680),1),发射纪录!G:G,"&lt;="&amp;DATE(YEAR(A680),MONTH(A680),DAY(EOMONTH(A680,0))),发射纪录!N:N,"=成功",发射纪录!N:N,"&lt;&gt;")</f>
        <v>6</v>
      </c>
      <c r="D680" s="1">
        <f t="shared" si="567"/>
        <v>1</v>
      </c>
      <c r="E680" s="10">
        <f t="shared" si="568"/>
        <v>646</v>
      </c>
      <c r="F680" s="10">
        <f t="shared" si="569"/>
        <v>627</v>
      </c>
      <c r="G680" s="2">
        <f t="shared" si="570"/>
        <v>0.97058823529411764</v>
      </c>
      <c r="H680" s="10">
        <f ca="1">COUNTIFS(发射纪录!C:C,"&lt;&gt;-",发射纪录!G:G,"&gt;="&amp;DATE(YEAR(A680),MONTH(A680),1),发射纪录!G:G,"&lt;="&amp;DATE(YEAR(A680),MONTH(A680),DAY(EOMONTH(A680,0))),发射纪录!N:N,"&lt;&gt;")</f>
        <v>2</v>
      </c>
      <c r="I680" s="10">
        <f ca="1">COUNTIFS(发射纪录!C:C,"&lt;&gt;-",发射纪录!G:G,"&gt;="&amp;DATE(YEAR(A680),MONTH(A680),1),发射纪录!G:G,"&lt;="&amp;DATE(YEAR(A680),MONTH(A680),DAY(EOMONTH(A680,0))),发射纪录!N:N,"=成功",发射纪录!N:N,"&lt;&gt;")</f>
        <v>2</v>
      </c>
      <c r="J680" s="1">
        <f t="shared" ca="1" si="571"/>
        <v>1</v>
      </c>
      <c r="K680" s="10">
        <f t="shared" ca="1" si="572"/>
        <v>121</v>
      </c>
      <c r="L680" s="10">
        <f t="shared" ca="1" si="573"/>
        <v>98</v>
      </c>
      <c r="M680" s="2">
        <f t="shared" ca="1" si="574"/>
        <v>0.80991735537190079</v>
      </c>
      <c r="N680" s="10">
        <f t="shared" ca="1" si="575"/>
        <v>8</v>
      </c>
      <c r="O680" s="10">
        <f t="shared" ca="1" si="576"/>
        <v>8</v>
      </c>
      <c r="P680" s="3">
        <f t="shared" ca="1" si="577"/>
        <v>1</v>
      </c>
      <c r="Q680" s="10">
        <f t="shared" ca="1" si="578"/>
        <v>767</v>
      </c>
      <c r="R680" s="10">
        <f t="shared" ca="1" si="579"/>
        <v>725</v>
      </c>
      <c r="S680" s="4">
        <f t="shared" ca="1" si="580"/>
        <v>0.94524119947848761</v>
      </c>
      <c r="T680" s="478">
        <f ca="1">SUM($N$676:N680)</f>
        <v>34</v>
      </c>
      <c r="U680" s="5"/>
      <c r="V680" s="5"/>
    </row>
    <row r="681" spans="1:22" s="105" customFormat="1" x14ac:dyDescent="0.45">
      <c r="A681" s="64">
        <v>46174</v>
      </c>
      <c r="B681" s="14">
        <f>COUNTIFS(发射纪录!B:B,"&lt;&gt;-",发射纪录!G:G,"&gt;="&amp;DATE(YEAR(A681),MONTH(A681),1),发射纪录!G:G,"&lt;="&amp;DATE(YEAR(A681),MONTH(A681),DAY(EOMONTH(A681,0))),发射纪录!N:N,"&lt;&gt;")</f>
        <v>7</v>
      </c>
      <c r="C681" s="10">
        <f>COUNTIFS(发射纪录!B:B,"&lt;&gt;-",发射纪录!G:G,"&gt;="&amp;DATE(YEAR(A681),MONTH(A681),1),发射纪录!G:G,"&lt;="&amp;DATE(YEAR(A681),MONTH(A681),DAY(EOMONTH(A681,0))),发射纪录!N:N,"=成功",发射纪录!N:N,"&lt;&gt;")</f>
        <v>7</v>
      </c>
      <c r="D681" s="1">
        <f t="shared" si="567"/>
        <v>1</v>
      </c>
      <c r="E681" s="10">
        <f t="shared" si="568"/>
        <v>653</v>
      </c>
      <c r="F681" s="10">
        <f t="shared" si="569"/>
        <v>634</v>
      </c>
      <c r="G681" s="2">
        <f t="shared" si="570"/>
        <v>0.9709035222052067</v>
      </c>
      <c r="H681" s="10">
        <f ca="1">COUNTIFS(发射纪录!C:C,"&lt;&gt;-",发射纪录!G:G,"&gt;="&amp;DATE(YEAR(A681),MONTH(A681),1),发射纪录!G:G,"&lt;="&amp;DATE(YEAR(A681),MONTH(A681),DAY(EOMONTH(A681,0))),发射纪录!N:N,"&lt;&gt;")</f>
        <v>3</v>
      </c>
      <c r="I681" s="10">
        <f ca="1">COUNTIFS(发射纪录!C:C,"&lt;&gt;-",发射纪录!G:G,"&gt;="&amp;DATE(YEAR(A681),MONTH(A681),1),发射纪录!G:G,"&lt;="&amp;DATE(YEAR(A681),MONTH(A681),DAY(EOMONTH(A681,0))),发射纪录!N:N,"=成功",发射纪录!N:N,"&lt;&gt;")</f>
        <v>3</v>
      </c>
      <c r="J681" s="1">
        <f t="shared" ca="1" si="571"/>
        <v>1</v>
      </c>
      <c r="K681" s="10">
        <f t="shared" ca="1" si="572"/>
        <v>124</v>
      </c>
      <c r="L681" s="10">
        <f t="shared" ca="1" si="573"/>
        <v>101</v>
      </c>
      <c r="M681" s="2">
        <f t="shared" ca="1" si="574"/>
        <v>0.81451612903225812</v>
      </c>
      <c r="N681" s="10">
        <f t="shared" ca="1" si="575"/>
        <v>10</v>
      </c>
      <c r="O681" s="10">
        <f t="shared" ca="1" si="576"/>
        <v>10</v>
      </c>
      <c r="P681" s="3">
        <f t="shared" ca="1" si="577"/>
        <v>1</v>
      </c>
      <c r="Q681" s="10">
        <f t="shared" ca="1" si="578"/>
        <v>777</v>
      </c>
      <c r="R681" s="10">
        <f t="shared" ca="1" si="579"/>
        <v>735</v>
      </c>
      <c r="S681" s="4">
        <f t="shared" ca="1" si="580"/>
        <v>0.94594594594594594</v>
      </c>
      <c r="T681" s="478">
        <f ca="1">SUM($N$676:N681)</f>
        <v>44</v>
      </c>
      <c r="U681" s="5"/>
      <c r="V681" s="5"/>
    </row>
    <row r="682" spans="1:22" s="105" customFormat="1" x14ac:dyDescent="0.45">
      <c r="A682" s="64">
        <v>46204</v>
      </c>
      <c r="B682" s="14">
        <f>COUNTIFS(发射纪录!B:B,"&lt;&gt;-",发射纪录!G:G,"&gt;="&amp;DATE(YEAR(A682),MONTH(A682),1),发射纪录!G:G,"&lt;="&amp;DATE(YEAR(A682),MONTH(A682),DAY(EOMONTH(A682,0))),发射纪录!N:N,"&lt;&gt;")</f>
        <v>3</v>
      </c>
      <c r="C682" s="10">
        <f>COUNTIFS(发射纪录!B:B,"&lt;&gt;-",发射纪录!G:G,"&gt;="&amp;DATE(YEAR(A682),MONTH(A682),1),发射纪录!G:G,"&lt;="&amp;DATE(YEAR(A682),MONTH(A682),DAY(EOMONTH(A682,0))),发射纪录!N:N,"=成功",发射纪录!N:N,"&lt;&gt;")</f>
        <v>3</v>
      </c>
      <c r="D682" s="1">
        <f t="shared" si="567"/>
        <v>1</v>
      </c>
      <c r="E682" s="10">
        <f t="shared" si="568"/>
        <v>656</v>
      </c>
      <c r="F682" s="10">
        <f t="shared" si="569"/>
        <v>637</v>
      </c>
      <c r="G682" s="2">
        <f t="shared" si="570"/>
        <v>0.97103658536585369</v>
      </c>
      <c r="H682" s="10">
        <f ca="1">COUNTIFS(发射纪录!C:C,"&lt;&gt;-",发射纪录!G:G,"&gt;="&amp;DATE(YEAR(A682),MONTH(A682),1),发射纪录!G:G,"&lt;="&amp;DATE(YEAR(A682),MONTH(A682),DAY(EOMONTH(A682,0))),发射纪录!N:N,"&lt;&gt;")</f>
        <v>0</v>
      </c>
      <c r="I682" s="10">
        <f ca="1">COUNTIFS(发射纪录!C:C,"&lt;&gt;-",发射纪录!G:G,"&gt;="&amp;DATE(YEAR(A682),MONTH(A682),1),发射纪录!G:G,"&lt;="&amp;DATE(YEAR(A682),MONTH(A682),DAY(EOMONTH(A682,0))),发射纪录!N:N,"=成功",发射纪录!N:N,"&lt;&gt;")</f>
        <v>0</v>
      </c>
      <c r="J682" s="1" t="str">
        <f t="shared" ca="1" si="571"/>
        <v>-</v>
      </c>
      <c r="K682" s="10">
        <f t="shared" ca="1" si="572"/>
        <v>124</v>
      </c>
      <c r="L682" s="10">
        <f t="shared" ca="1" si="573"/>
        <v>101</v>
      </c>
      <c r="M682" s="2">
        <f t="shared" ca="1" si="574"/>
        <v>0.81451612903225812</v>
      </c>
      <c r="N682" s="10">
        <f t="shared" ca="1" si="575"/>
        <v>3</v>
      </c>
      <c r="O682" s="10">
        <f t="shared" ca="1" si="576"/>
        <v>3</v>
      </c>
      <c r="P682" s="3">
        <f t="shared" ca="1" si="577"/>
        <v>1</v>
      </c>
      <c r="Q682" s="10">
        <f t="shared" ca="1" si="578"/>
        <v>780</v>
      </c>
      <c r="R682" s="10">
        <f t="shared" ca="1" si="579"/>
        <v>738</v>
      </c>
      <c r="S682" s="4">
        <f t="shared" ca="1" si="580"/>
        <v>0.94615384615384612</v>
      </c>
      <c r="T682" s="478">
        <f ca="1">SUM($N$676:N682)</f>
        <v>47</v>
      </c>
      <c r="U682" s="5"/>
      <c r="V682" s="5"/>
    </row>
    <row r="683" spans="1:22" s="105" customFormat="1" x14ac:dyDescent="0.45">
      <c r="A683" s="64">
        <v>46235</v>
      </c>
      <c r="B683" s="14">
        <f>COUNTIFS(发射纪录!B:B,"&lt;&gt;-",发射纪录!G:G,"&gt;="&amp;DATE(YEAR(A683),MONTH(A683),1),发射纪录!G:G,"&lt;="&amp;DATE(YEAR(A683),MONTH(A683),DAY(EOMONTH(A683,0))),发射纪录!N:N,"&lt;&gt;")</f>
        <v>0</v>
      </c>
      <c r="C683" s="10">
        <f>COUNTIFS(发射纪录!B:B,"&lt;&gt;-",发射纪录!G:G,"&gt;="&amp;DATE(YEAR(A683),MONTH(A683),1),发射纪录!G:G,"&lt;="&amp;DATE(YEAR(A683),MONTH(A683),DAY(EOMONTH(A683,0))),发射纪录!N:N,"=成功",发射纪录!N:N,"&lt;&gt;")</f>
        <v>0</v>
      </c>
      <c r="D683" s="1" t="str">
        <f t="shared" si="567"/>
        <v>-</v>
      </c>
      <c r="E683" s="10">
        <f t="shared" si="568"/>
        <v>656</v>
      </c>
      <c r="F683" s="10">
        <f t="shared" si="569"/>
        <v>637</v>
      </c>
      <c r="G683" s="2">
        <f t="shared" si="570"/>
        <v>0.97103658536585369</v>
      </c>
      <c r="H683" s="10">
        <f ca="1">COUNTIFS(发射纪录!C:C,"&lt;&gt;-",发射纪录!G:G,"&gt;="&amp;DATE(YEAR(A683),MONTH(A683),1),发射纪录!G:G,"&lt;="&amp;DATE(YEAR(A683),MONTH(A683),DAY(EOMONTH(A683,0))),发射纪录!N:N,"&lt;&gt;")</f>
        <v>0</v>
      </c>
      <c r="I683" s="10">
        <f ca="1">COUNTIFS(发射纪录!C:C,"&lt;&gt;-",发射纪录!G:G,"&gt;="&amp;DATE(YEAR(A683),MONTH(A683),1),发射纪录!G:G,"&lt;="&amp;DATE(YEAR(A683),MONTH(A683),DAY(EOMONTH(A683,0))),发射纪录!N:N,"=成功",发射纪录!N:N,"&lt;&gt;")</f>
        <v>0</v>
      </c>
      <c r="J683" s="1" t="str">
        <f t="shared" ca="1" si="571"/>
        <v>-</v>
      </c>
      <c r="K683" s="10">
        <f t="shared" ca="1" si="572"/>
        <v>124</v>
      </c>
      <c r="L683" s="10">
        <f t="shared" ca="1" si="573"/>
        <v>101</v>
      </c>
      <c r="M683" s="2">
        <f t="shared" ca="1" si="574"/>
        <v>0.81451612903225812</v>
      </c>
      <c r="N683" s="10">
        <f t="shared" ca="1" si="575"/>
        <v>0</v>
      </c>
      <c r="O683" s="10">
        <f t="shared" ca="1" si="576"/>
        <v>0</v>
      </c>
      <c r="P683" s="3" t="str">
        <f t="shared" ca="1" si="577"/>
        <v>-</v>
      </c>
      <c r="Q683" s="10">
        <f t="shared" ca="1" si="578"/>
        <v>780</v>
      </c>
      <c r="R683" s="10">
        <f t="shared" ca="1" si="579"/>
        <v>738</v>
      </c>
      <c r="S683" s="4">
        <f t="shared" ca="1" si="580"/>
        <v>0.94615384615384612</v>
      </c>
      <c r="T683" s="478">
        <f ca="1">SUM($N$676:N683)</f>
        <v>47</v>
      </c>
      <c r="U683" s="5"/>
      <c r="V683" s="5"/>
    </row>
    <row r="684" spans="1:22" s="105" customFormat="1" x14ac:dyDescent="0.45">
      <c r="A684" s="64">
        <v>46266</v>
      </c>
      <c r="B684" s="14">
        <f>COUNTIFS(发射纪录!B:B,"&lt;&gt;-",发射纪录!G:G,"&gt;="&amp;DATE(YEAR(A684),MONTH(A684),1),发射纪录!G:G,"&lt;="&amp;DATE(YEAR(A684),MONTH(A684),DAY(EOMONTH(A684,0))),发射纪录!N:N,"&lt;&gt;")</f>
        <v>0</v>
      </c>
      <c r="C684" s="10">
        <f>COUNTIFS(发射纪录!B:B,"&lt;&gt;-",发射纪录!G:G,"&gt;="&amp;DATE(YEAR(A684),MONTH(A684),1),发射纪录!G:G,"&lt;="&amp;DATE(YEAR(A684),MONTH(A684),DAY(EOMONTH(A684,0))),发射纪录!N:N,"=成功",发射纪录!N:N,"&lt;&gt;")</f>
        <v>0</v>
      </c>
      <c r="D684" s="1" t="str">
        <f t="shared" si="567"/>
        <v>-</v>
      </c>
      <c r="E684" s="10">
        <f t="shared" si="568"/>
        <v>656</v>
      </c>
      <c r="F684" s="10">
        <f t="shared" si="569"/>
        <v>637</v>
      </c>
      <c r="G684" s="2">
        <f t="shared" si="570"/>
        <v>0.97103658536585369</v>
      </c>
      <c r="H684" s="10">
        <f ca="1">COUNTIFS(发射纪录!C:C,"&lt;&gt;-",发射纪录!G:G,"&gt;="&amp;DATE(YEAR(A684),MONTH(A684),1),发射纪录!G:G,"&lt;="&amp;DATE(YEAR(A684),MONTH(A684),DAY(EOMONTH(A684,0))),发射纪录!N:N,"&lt;&gt;")</f>
        <v>0</v>
      </c>
      <c r="I684" s="10">
        <f ca="1">COUNTIFS(发射纪录!C:C,"&lt;&gt;-",发射纪录!G:G,"&gt;="&amp;DATE(YEAR(A684),MONTH(A684),1),发射纪录!G:G,"&lt;="&amp;DATE(YEAR(A684),MONTH(A684),DAY(EOMONTH(A684,0))),发射纪录!N:N,"=成功",发射纪录!N:N,"&lt;&gt;")</f>
        <v>0</v>
      </c>
      <c r="J684" s="1" t="str">
        <f t="shared" ca="1" si="571"/>
        <v>-</v>
      </c>
      <c r="K684" s="10">
        <f t="shared" ca="1" si="572"/>
        <v>124</v>
      </c>
      <c r="L684" s="10">
        <f t="shared" ca="1" si="573"/>
        <v>101</v>
      </c>
      <c r="M684" s="2">
        <f t="shared" ca="1" si="574"/>
        <v>0.81451612903225812</v>
      </c>
      <c r="N684" s="10">
        <f t="shared" ca="1" si="575"/>
        <v>0</v>
      </c>
      <c r="O684" s="10">
        <f t="shared" ca="1" si="576"/>
        <v>0</v>
      </c>
      <c r="P684" s="3" t="str">
        <f t="shared" ca="1" si="577"/>
        <v>-</v>
      </c>
      <c r="Q684" s="10">
        <f t="shared" ca="1" si="578"/>
        <v>780</v>
      </c>
      <c r="R684" s="10">
        <f t="shared" ca="1" si="579"/>
        <v>738</v>
      </c>
      <c r="S684" s="4">
        <f t="shared" ca="1" si="580"/>
        <v>0.94615384615384612</v>
      </c>
      <c r="T684" s="478">
        <f ca="1">SUM($N$676:N684)</f>
        <v>47</v>
      </c>
      <c r="U684" s="5"/>
      <c r="V684" s="5"/>
    </row>
    <row r="685" spans="1:22" s="105" customFormat="1" x14ac:dyDescent="0.45">
      <c r="A685" s="64">
        <v>46296</v>
      </c>
      <c r="B685" s="14">
        <f>COUNTIFS(发射纪录!B:B,"&lt;&gt;-",发射纪录!G:G,"&gt;="&amp;DATE(YEAR(A685),MONTH(A685),1),发射纪录!G:G,"&lt;="&amp;DATE(YEAR(A685),MONTH(A685),DAY(EOMONTH(A685,0))),发射纪录!N:N,"&lt;&gt;")</f>
        <v>0</v>
      </c>
      <c r="C685" s="10">
        <f>COUNTIFS(发射纪录!B:B,"&lt;&gt;-",发射纪录!G:G,"&gt;="&amp;DATE(YEAR(A685),MONTH(A685),1),发射纪录!G:G,"&lt;="&amp;DATE(YEAR(A685),MONTH(A685),DAY(EOMONTH(A685,0))),发射纪录!N:N,"=成功",发射纪录!N:N,"&lt;&gt;")</f>
        <v>0</v>
      </c>
      <c r="D685" s="1" t="str">
        <f t="shared" si="567"/>
        <v>-</v>
      </c>
      <c r="E685" s="10">
        <f t="shared" si="568"/>
        <v>656</v>
      </c>
      <c r="F685" s="10">
        <f t="shared" si="569"/>
        <v>637</v>
      </c>
      <c r="G685" s="2">
        <f t="shared" si="570"/>
        <v>0.97103658536585369</v>
      </c>
      <c r="H685" s="10">
        <f ca="1">COUNTIFS(发射纪录!C:C,"&lt;&gt;-",发射纪录!G:G,"&gt;="&amp;DATE(YEAR(A685),MONTH(A685),1),发射纪录!G:G,"&lt;="&amp;DATE(YEAR(A685),MONTH(A685),DAY(EOMONTH(A685,0))),发射纪录!N:N,"&lt;&gt;")</f>
        <v>0</v>
      </c>
      <c r="I685" s="10">
        <f ca="1">COUNTIFS(发射纪录!C:C,"&lt;&gt;-",发射纪录!G:G,"&gt;="&amp;DATE(YEAR(A685),MONTH(A685),1),发射纪录!G:G,"&lt;="&amp;DATE(YEAR(A685),MONTH(A685),DAY(EOMONTH(A685,0))),发射纪录!N:N,"=成功",发射纪录!N:N,"&lt;&gt;")</f>
        <v>0</v>
      </c>
      <c r="J685" s="1" t="str">
        <f t="shared" ca="1" si="571"/>
        <v>-</v>
      </c>
      <c r="K685" s="10">
        <f t="shared" ca="1" si="572"/>
        <v>124</v>
      </c>
      <c r="L685" s="10">
        <f t="shared" ca="1" si="573"/>
        <v>101</v>
      </c>
      <c r="M685" s="2">
        <f t="shared" ca="1" si="574"/>
        <v>0.81451612903225812</v>
      </c>
      <c r="N685" s="10">
        <f t="shared" ca="1" si="575"/>
        <v>0</v>
      </c>
      <c r="O685" s="10">
        <f t="shared" ca="1" si="576"/>
        <v>0</v>
      </c>
      <c r="P685" s="3" t="str">
        <f t="shared" ca="1" si="577"/>
        <v>-</v>
      </c>
      <c r="Q685" s="10">
        <f t="shared" ca="1" si="578"/>
        <v>780</v>
      </c>
      <c r="R685" s="10">
        <f t="shared" ca="1" si="579"/>
        <v>738</v>
      </c>
      <c r="S685" s="4">
        <f t="shared" ca="1" si="580"/>
        <v>0.94615384615384612</v>
      </c>
      <c r="T685" s="478">
        <f ca="1">SUM($N$676:N685)</f>
        <v>47</v>
      </c>
      <c r="U685" s="5"/>
      <c r="V685" s="5"/>
    </row>
    <row r="686" spans="1:22" s="105" customFormat="1" x14ac:dyDescent="0.45">
      <c r="A686" s="64">
        <v>46327</v>
      </c>
      <c r="B686" s="14">
        <f>COUNTIFS(发射纪录!B:B,"&lt;&gt;-",发射纪录!G:G,"&gt;="&amp;DATE(YEAR(A686),MONTH(A686),1),发射纪录!G:G,"&lt;="&amp;DATE(YEAR(A686),MONTH(A686),DAY(EOMONTH(A686,0))),发射纪录!N:N,"&lt;&gt;")</f>
        <v>0</v>
      </c>
      <c r="C686" s="10">
        <f>COUNTIFS(发射纪录!B:B,"&lt;&gt;-",发射纪录!G:G,"&gt;="&amp;DATE(YEAR(A686),MONTH(A686),1),发射纪录!G:G,"&lt;="&amp;DATE(YEAR(A686),MONTH(A686),DAY(EOMONTH(A686,0))),发射纪录!N:N,"=成功",发射纪录!N:N,"&lt;&gt;")</f>
        <v>0</v>
      </c>
      <c r="D686" s="1" t="str">
        <f t="shared" si="567"/>
        <v>-</v>
      </c>
      <c r="E686" s="10">
        <f t="shared" si="568"/>
        <v>656</v>
      </c>
      <c r="F686" s="10">
        <f t="shared" si="569"/>
        <v>637</v>
      </c>
      <c r="G686" s="2">
        <f t="shared" si="570"/>
        <v>0.97103658536585369</v>
      </c>
      <c r="H686" s="10">
        <f ca="1">COUNTIFS(发射纪录!C:C,"&lt;&gt;-",发射纪录!G:G,"&gt;="&amp;DATE(YEAR(A686),MONTH(A686),1),发射纪录!G:G,"&lt;="&amp;DATE(YEAR(A686),MONTH(A686),DAY(EOMONTH(A686,0))),发射纪录!N:N,"&lt;&gt;")</f>
        <v>0</v>
      </c>
      <c r="I686" s="10">
        <f ca="1">COUNTIFS(发射纪录!C:C,"&lt;&gt;-",发射纪录!G:G,"&gt;="&amp;DATE(YEAR(A686),MONTH(A686),1),发射纪录!G:G,"&lt;="&amp;DATE(YEAR(A686),MONTH(A686),DAY(EOMONTH(A686,0))),发射纪录!N:N,"=成功",发射纪录!N:N,"&lt;&gt;")</f>
        <v>0</v>
      </c>
      <c r="J686" s="1" t="str">
        <f t="shared" ca="1" si="571"/>
        <v>-</v>
      </c>
      <c r="K686" s="10">
        <f t="shared" ca="1" si="572"/>
        <v>124</v>
      </c>
      <c r="L686" s="10">
        <f t="shared" ca="1" si="573"/>
        <v>101</v>
      </c>
      <c r="M686" s="2">
        <f t="shared" ca="1" si="574"/>
        <v>0.81451612903225812</v>
      </c>
      <c r="N686" s="10">
        <f t="shared" ca="1" si="575"/>
        <v>0</v>
      </c>
      <c r="O686" s="10">
        <f t="shared" ca="1" si="576"/>
        <v>0</v>
      </c>
      <c r="P686" s="3" t="str">
        <f t="shared" ca="1" si="577"/>
        <v>-</v>
      </c>
      <c r="Q686" s="10">
        <f t="shared" ca="1" si="578"/>
        <v>780</v>
      </c>
      <c r="R686" s="10">
        <f t="shared" ca="1" si="579"/>
        <v>738</v>
      </c>
      <c r="S686" s="4">
        <f t="shared" ca="1" si="580"/>
        <v>0.94615384615384612</v>
      </c>
      <c r="T686" s="478">
        <f ca="1">SUM($N$676:N686)</f>
        <v>47</v>
      </c>
      <c r="U686" s="5"/>
      <c r="V686" s="5"/>
    </row>
    <row r="687" spans="1:22" s="105" customFormat="1" ht="18.600000000000001" thickBot="1" x14ac:dyDescent="0.5">
      <c r="A687" s="65">
        <v>46357</v>
      </c>
      <c r="B687" s="17">
        <f>COUNTIFS(发射纪录!B:B,"&lt;&gt;-",发射纪录!G:G,"&gt;="&amp;DATE(YEAR(A687),MONTH(A687),1),发射纪录!G:G,"&lt;="&amp;DATE(YEAR(A687),MONTH(A687),DAY(EOMONTH(A687,0))),发射纪录!N:N,"&lt;&gt;")</f>
        <v>0</v>
      </c>
      <c r="C687" s="18">
        <f>COUNTIFS(发射纪录!B:B,"&lt;&gt;-",发射纪录!G:G,"&gt;="&amp;DATE(YEAR(A687),MONTH(A687),1),发射纪录!G:G,"&lt;="&amp;DATE(YEAR(A687),MONTH(A687),DAY(EOMONTH(A687,0))),发射纪录!N:N,"=成功",发射纪录!N:N,"&lt;&gt;")</f>
        <v>0</v>
      </c>
      <c r="D687" s="12" t="str">
        <f>IF(B687=0,"-",C687/B687)</f>
        <v>-</v>
      </c>
      <c r="E687" s="18">
        <f>E686+B687</f>
        <v>656</v>
      </c>
      <c r="F687" s="18">
        <f>F686+C687</f>
        <v>637</v>
      </c>
      <c r="G687" s="13">
        <f>IF(E687=0,"-",F687/E687)</f>
        <v>0.97103658536585369</v>
      </c>
      <c r="H687" s="18">
        <f ca="1">COUNTIFS(发射纪录!C:C,"&lt;&gt;-",发射纪录!G:G,"&gt;="&amp;DATE(YEAR(A687),MONTH(A687),1),发射纪录!G:G,"&lt;="&amp;DATE(YEAR(A687),MONTH(A687),DAY(EOMONTH(A687,0))),发射纪录!N:N,"&lt;&gt;")</f>
        <v>0</v>
      </c>
      <c r="I687" s="18">
        <f ca="1">COUNTIFS(发射纪录!C:C,"&lt;&gt;-",发射纪录!G:G,"&gt;="&amp;DATE(YEAR(A687),MONTH(A687),1),发射纪录!G:G,"&lt;="&amp;DATE(YEAR(A687),MONTH(A687),DAY(EOMONTH(A687,0))),发射纪录!N:N,"=成功",发射纪录!N:N,"&lt;&gt;")</f>
        <v>0</v>
      </c>
      <c r="J687" s="12" t="str">
        <f ca="1">IF(H687=0,"-",I687/H687)</f>
        <v>-</v>
      </c>
      <c r="K687" s="18">
        <f ca="1">K686+H687</f>
        <v>124</v>
      </c>
      <c r="L687" s="18">
        <f ca="1">L686+I687</f>
        <v>101</v>
      </c>
      <c r="M687" s="13">
        <f ca="1">IF(K687=0,"-",L687/K687)</f>
        <v>0.81451612903225812</v>
      </c>
      <c r="N687" s="18">
        <f ca="1">B687+H687</f>
        <v>0</v>
      </c>
      <c r="O687" s="18">
        <f ca="1">C687+I687</f>
        <v>0</v>
      </c>
      <c r="P687" s="12" t="str">
        <f ca="1">IF(N687=0,"-",O687/N687)</f>
        <v>-</v>
      </c>
      <c r="Q687" s="18">
        <f ca="1">E687+K687</f>
        <v>780</v>
      </c>
      <c r="R687" s="18">
        <f ca="1">F687+L687</f>
        <v>738</v>
      </c>
      <c r="S687" s="13">
        <f ca="1">IF(Q687=0,"-",R687/Q687)</f>
        <v>0.94615384615384612</v>
      </c>
      <c r="T687" s="479">
        <f ca="1">SUM($N$676:N687)</f>
        <v>47</v>
      </c>
      <c r="U687" s="5"/>
      <c r="V687" s="5"/>
    </row>
    <row r="688" spans="1:22" ht="18.600000000000001" thickTop="1" x14ac:dyDescent="0.45"/>
  </sheetData>
  <mergeCells count="6">
    <mergeCell ref="T1:T3"/>
    <mergeCell ref="B2:G2"/>
    <mergeCell ref="N2:S2"/>
    <mergeCell ref="A1:S1"/>
    <mergeCell ref="A2:A3"/>
    <mergeCell ref="H2:M2"/>
  </mergeCells>
  <phoneticPr fontId="2"/>
  <conditionalFormatting sqref="A664:T675">
    <cfRule type="expression" dxfId="36" priority="35">
      <formula>AND(YEAR($A664)=YEAR(TODAY())-1,MONTH($A664)=MONTH(TODAY()))</formula>
    </cfRule>
  </conditionalFormatting>
  <conditionalFormatting sqref="A676:T687">
    <cfRule type="expression" dxfId="35" priority="34">
      <formula>AND(YEAR($A676)=YEAR(TODAY()),MONTH($A676)=MONTH(TODAY()))</formula>
    </cfRule>
  </conditionalFormatting>
  <conditionalFormatting sqref="B124:S135">
    <cfRule type="expression" dxfId="34" priority="1">
      <formula>AND(YEAR($A124)=YEAR(TODAY()),MONTH($A124)=MONTH(TODAY()))</formula>
    </cfRule>
  </conditionalFormatting>
  <conditionalFormatting sqref="B508:S519">
    <cfRule type="expression" dxfId="33" priority="33">
      <formula>AND(YEAR($A508)=YEAR(TODAY()),MONTH($A508)=MONTH(TODAY()))</formula>
    </cfRule>
  </conditionalFormatting>
  <conditionalFormatting sqref="B496:S507">
    <cfRule type="expression" dxfId="32" priority="32">
      <formula>AND(YEAR($A496)=YEAR(TODAY()),MONTH($A496)=MONTH(TODAY()))</formula>
    </cfRule>
  </conditionalFormatting>
  <conditionalFormatting sqref="B484:S495">
    <cfRule type="expression" dxfId="31" priority="31">
      <formula>AND(YEAR($A484)=YEAR(TODAY()),MONTH($A484)=MONTH(TODAY()))</formula>
    </cfRule>
  </conditionalFormatting>
  <conditionalFormatting sqref="B472:S483">
    <cfRule type="expression" dxfId="30" priority="30">
      <formula>AND(YEAR($A472)=YEAR(TODAY()),MONTH($A472)=MONTH(TODAY()))</formula>
    </cfRule>
  </conditionalFormatting>
  <conditionalFormatting sqref="B460:S471">
    <cfRule type="expression" dxfId="29" priority="29">
      <formula>AND(YEAR($A460)=YEAR(TODAY()),MONTH($A460)=MONTH(TODAY()))</formula>
    </cfRule>
  </conditionalFormatting>
  <conditionalFormatting sqref="B448:S459">
    <cfRule type="expression" dxfId="28" priority="28">
      <formula>AND(YEAR($A448)=YEAR(TODAY()),MONTH($A448)=MONTH(TODAY()))</formula>
    </cfRule>
  </conditionalFormatting>
  <conditionalFormatting sqref="B436:S447">
    <cfRule type="expression" dxfId="27" priority="27">
      <formula>AND(YEAR($A436)=YEAR(TODAY()),MONTH($A436)=MONTH(TODAY()))</formula>
    </cfRule>
  </conditionalFormatting>
  <conditionalFormatting sqref="B424:S435">
    <cfRule type="expression" dxfId="26" priority="26">
      <formula>AND(YEAR($A424)=YEAR(TODAY()),MONTH($A424)=MONTH(TODAY()))</formula>
    </cfRule>
  </conditionalFormatting>
  <conditionalFormatting sqref="B412:S423">
    <cfRule type="expression" dxfId="25" priority="25">
      <formula>AND(YEAR($A412)=YEAR(TODAY()),MONTH($A412)=MONTH(TODAY()))</formula>
    </cfRule>
  </conditionalFormatting>
  <conditionalFormatting sqref="B400:S411">
    <cfRule type="expression" dxfId="24" priority="24">
      <formula>AND(YEAR($A400)=YEAR(TODAY()),MONTH($A400)=MONTH(TODAY()))</formula>
    </cfRule>
  </conditionalFormatting>
  <conditionalFormatting sqref="B388:S399">
    <cfRule type="expression" dxfId="23" priority="23">
      <formula>AND(YEAR($A388)=YEAR(TODAY()),MONTH($A388)=MONTH(TODAY()))</formula>
    </cfRule>
  </conditionalFormatting>
  <conditionalFormatting sqref="B376:S387">
    <cfRule type="expression" dxfId="22" priority="22">
      <formula>AND(YEAR($A376)=YEAR(TODAY()),MONTH($A376)=MONTH(TODAY()))</formula>
    </cfRule>
  </conditionalFormatting>
  <conditionalFormatting sqref="B364:S375">
    <cfRule type="expression" dxfId="21" priority="21">
      <formula>AND(YEAR($A364)=YEAR(TODAY()),MONTH($A364)=MONTH(TODAY()))</formula>
    </cfRule>
  </conditionalFormatting>
  <conditionalFormatting sqref="B352:S363">
    <cfRule type="expression" dxfId="20" priority="20">
      <formula>AND(YEAR($A352)=YEAR(TODAY()),MONTH($A352)=MONTH(TODAY()))</formula>
    </cfRule>
  </conditionalFormatting>
  <conditionalFormatting sqref="B340:S351">
    <cfRule type="expression" dxfId="19" priority="19">
      <formula>AND(YEAR($A340)=YEAR(TODAY()),MONTH($A340)=MONTH(TODAY()))</formula>
    </cfRule>
  </conditionalFormatting>
  <conditionalFormatting sqref="B328:S339">
    <cfRule type="expression" dxfId="18" priority="18">
      <formula>AND(YEAR($A328)=YEAR(TODAY()),MONTH($A328)=MONTH(TODAY()))</formula>
    </cfRule>
  </conditionalFormatting>
  <conditionalFormatting sqref="B316:S327">
    <cfRule type="expression" dxfId="17" priority="17">
      <formula>AND(YEAR($A316)=YEAR(TODAY()),MONTH($A316)=MONTH(TODAY()))</formula>
    </cfRule>
  </conditionalFormatting>
  <conditionalFormatting sqref="B304:S315">
    <cfRule type="expression" dxfId="16" priority="16">
      <formula>AND(YEAR($A304)=YEAR(TODAY()),MONTH($A304)=MONTH(TODAY()))</formula>
    </cfRule>
  </conditionalFormatting>
  <conditionalFormatting sqref="B292:S303">
    <cfRule type="expression" dxfId="15" priority="15">
      <formula>AND(YEAR($A292)=YEAR(TODAY()),MONTH($A292)=MONTH(TODAY()))</formula>
    </cfRule>
  </conditionalFormatting>
  <conditionalFormatting sqref="B280:S291">
    <cfRule type="expression" dxfId="14" priority="14">
      <formula>AND(YEAR($A280)=YEAR(TODAY()),MONTH($A280)=MONTH(TODAY()))</formula>
    </cfRule>
  </conditionalFormatting>
  <conditionalFormatting sqref="B268:S279">
    <cfRule type="expression" dxfId="13" priority="13">
      <formula>AND(YEAR($A268)=YEAR(TODAY()),MONTH($A268)=MONTH(TODAY()))</formula>
    </cfRule>
  </conditionalFormatting>
  <conditionalFormatting sqref="B256:S267">
    <cfRule type="expression" dxfId="12" priority="12">
      <formula>AND(YEAR($A256)=YEAR(TODAY()),MONTH($A256)=MONTH(TODAY()))</formula>
    </cfRule>
  </conditionalFormatting>
  <conditionalFormatting sqref="B244:S255">
    <cfRule type="expression" dxfId="11" priority="11">
      <formula>AND(YEAR($A244)=YEAR(TODAY()),MONTH($A244)=MONTH(TODAY()))</formula>
    </cfRule>
  </conditionalFormatting>
  <conditionalFormatting sqref="B232:S243">
    <cfRule type="expression" dxfId="10" priority="10">
      <formula>AND(YEAR($A232)=YEAR(TODAY()),MONTH($A232)=MONTH(TODAY()))</formula>
    </cfRule>
  </conditionalFormatting>
  <conditionalFormatting sqref="B220:S231">
    <cfRule type="expression" dxfId="9" priority="9">
      <formula>AND(YEAR($A220)=YEAR(TODAY()),MONTH($A220)=MONTH(TODAY()))</formula>
    </cfRule>
  </conditionalFormatting>
  <conditionalFormatting sqref="B208:S219">
    <cfRule type="expression" dxfId="8" priority="8">
      <formula>AND(YEAR($A208)=YEAR(TODAY()),MONTH($A208)=MONTH(TODAY()))</formula>
    </cfRule>
  </conditionalFormatting>
  <conditionalFormatting sqref="B196:S207">
    <cfRule type="expression" dxfId="7" priority="7">
      <formula>AND(YEAR($A196)=YEAR(TODAY()),MONTH($A196)=MONTH(TODAY()))</formula>
    </cfRule>
  </conditionalFormatting>
  <conditionalFormatting sqref="B184:S195">
    <cfRule type="expression" dxfId="6" priority="6">
      <formula>AND(YEAR($A184)=YEAR(TODAY()),MONTH($A184)=MONTH(TODAY()))</formula>
    </cfRule>
  </conditionalFormatting>
  <conditionalFormatting sqref="B172:S183">
    <cfRule type="expression" dxfId="5" priority="5">
      <formula>AND(YEAR($A172)=YEAR(TODAY()),MONTH($A172)=MONTH(TODAY()))</formula>
    </cfRule>
  </conditionalFormatting>
  <conditionalFormatting sqref="B160:S171">
    <cfRule type="expression" dxfId="4" priority="4">
      <formula>AND(YEAR($A160)=YEAR(TODAY()),MONTH($A160)=MONTH(TODAY()))</formula>
    </cfRule>
  </conditionalFormatting>
  <conditionalFormatting sqref="B148:S159">
    <cfRule type="expression" dxfId="3" priority="3">
      <formula>AND(YEAR($A148)=YEAR(TODAY()),MONTH($A148)=MONTH(TODAY()))</formula>
    </cfRule>
  </conditionalFormatting>
  <conditionalFormatting sqref="B136:S147">
    <cfRule type="expression" dxfId="2" priority="2">
      <formula>AND(YEAR($A136)=YEAR(TODAY()),MONTH($A136)=MONTH(TODAY()))</formula>
    </cfRule>
  </conditionalFormatting>
  <pageMargins left="0.7" right="0.7" top="0.75" bottom="0.75" header="0.3" footer="0.3"/>
  <pageSetup paperSize="9" orientation="portrait" horizontalDpi="0" verticalDpi="0"/>
  <ignoredErrors>
    <ignoredError sqref="P682:P687 P676:P681 P124:P470 P471:P507 P508:P675" formula="1"/>
    <ignoredError sqref="T609:T627 T597:T60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706"/>
  <sheetViews>
    <sheetView zoomScaleNormal="100" workbookViewId="0">
      <pane xSplit="1" ySplit="4" topLeftCell="B690" activePane="bottomRight" state="frozen"/>
      <selection pane="topRight" activeCell="B1" sqref="B1"/>
      <selection pane="bottomLeft" activeCell="A5" sqref="A5"/>
      <selection pane="bottomRight" activeCell="L706" sqref="L706"/>
    </sheetView>
  </sheetViews>
  <sheetFormatPr defaultRowHeight="18" x14ac:dyDescent="0.45"/>
  <cols>
    <col min="1" max="1" width="11.09765625" style="59" bestFit="1" customWidth="1"/>
    <col min="2" max="4" width="5" style="59" bestFit="1" customWidth="1"/>
    <col min="5" max="5" width="5" style="52" bestFit="1" customWidth="1"/>
    <col min="6" max="7" width="5" style="59" bestFit="1" customWidth="1"/>
    <col min="8" max="8" width="5" style="52" bestFit="1" customWidth="1"/>
    <col min="9" max="15" width="5" style="5" bestFit="1" customWidth="1"/>
    <col min="16" max="18" width="5" style="59" bestFit="1" customWidth="1"/>
    <col min="19" max="19" width="5" style="52" bestFit="1" customWidth="1"/>
    <col min="20" max="21" width="5" style="59" bestFit="1" customWidth="1"/>
    <col min="22" max="22" width="5" style="52" bestFit="1" customWidth="1"/>
    <col min="23" max="23" width="3.3984375" style="5" bestFit="1" customWidth="1"/>
  </cols>
  <sheetData>
    <row r="1" spans="1:23" x14ac:dyDescent="0.45">
      <c r="A1" s="1954" t="str">
        <f ca="1">CONCATENATE("截止",YEAR(TODAY()),"年",MONTH(TODAY()),"月",DAY(TODAY()),"日")</f>
        <v>截止2026年7月6日</v>
      </c>
      <c r="B1" s="1955"/>
      <c r="C1" s="1955"/>
      <c r="D1" s="1955"/>
      <c r="E1" s="1955"/>
      <c r="F1" s="1955"/>
      <c r="G1" s="1955"/>
      <c r="H1" s="1955"/>
      <c r="I1" s="1955"/>
      <c r="J1" s="1955"/>
      <c r="K1" s="1955"/>
      <c r="L1" s="1955"/>
      <c r="M1" s="1955"/>
      <c r="N1" s="1955"/>
      <c r="O1" s="1955"/>
      <c r="P1" s="1955"/>
      <c r="Q1" s="1955"/>
      <c r="R1" s="1955"/>
      <c r="S1" s="1955"/>
      <c r="T1" s="1955"/>
      <c r="U1" s="1955"/>
      <c r="V1" s="1955"/>
      <c r="W1" s="1956"/>
    </row>
    <row r="2" spans="1:23" x14ac:dyDescent="0.45">
      <c r="A2" s="1960" t="s">
        <v>840</v>
      </c>
      <c r="B2" s="1967" t="s">
        <v>847</v>
      </c>
      <c r="C2" s="1950"/>
      <c r="D2" s="1950"/>
      <c r="E2" s="1950"/>
      <c r="F2" s="1950"/>
      <c r="G2" s="1950"/>
      <c r="H2" s="1968"/>
      <c r="I2" s="1973" t="s">
        <v>848</v>
      </c>
      <c r="J2" s="1950"/>
      <c r="K2" s="1950"/>
      <c r="L2" s="1950"/>
      <c r="M2" s="1950"/>
      <c r="N2" s="1950"/>
      <c r="O2" s="1968"/>
      <c r="P2" s="1969" t="s">
        <v>849</v>
      </c>
      <c r="Q2" s="1950"/>
      <c r="R2" s="1950"/>
      <c r="S2" s="1950"/>
      <c r="T2" s="1950"/>
      <c r="U2" s="1950"/>
      <c r="V2" s="1968"/>
      <c r="W2" s="1970" t="s">
        <v>2676</v>
      </c>
    </row>
    <row r="3" spans="1:23" x14ac:dyDescent="0.45">
      <c r="A3" s="1961"/>
      <c r="B3" s="454" t="s">
        <v>9</v>
      </c>
      <c r="C3" s="455" t="s">
        <v>71</v>
      </c>
      <c r="D3" s="456" t="s">
        <v>503</v>
      </c>
      <c r="E3" s="456" t="s">
        <v>52</v>
      </c>
      <c r="F3" s="456" t="s">
        <v>388</v>
      </c>
      <c r="G3" s="457" t="s">
        <v>1931</v>
      </c>
      <c r="H3" s="456" t="s">
        <v>850</v>
      </c>
      <c r="I3" s="458" t="s">
        <v>9</v>
      </c>
      <c r="J3" s="458" t="s">
        <v>71</v>
      </c>
      <c r="K3" s="458" t="s">
        <v>503</v>
      </c>
      <c r="L3" s="458" t="s">
        <v>52</v>
      </c>
      <c r="M3" s="458" t="s">
        <v>388</v>
      </c>
      <c r="N3" s="459" t="s">
        <v>1931</v>
      </c>
      <c r="O3" s="458" t="s">
        <v>850</v>
      </c>
      <c r="P3" s="460" t="s">
        <v>9</v>
      </c>
      <c r="Q3" s="460" t="s">
        <v>71</v>
      </c>
      <c r="R3" s="460" t="s">
        <v>503</v>
      </c>
      <c r="S3" s="460" t="s">
        <v>52</v>
      </c>
      <c r="T3" s="460" t="s">
        <v>388</v>
      </c>
      <c r="U3" s="461" t="s">
        <v>2468</v>
      </c>
      <c r="V3" s="462" t="s">
        <v>850</v>
      </c>
      <c r="W3" s="1971"/>
    </row>
    <row r="4" spans="1:23" ht="19.5" customHeight="1" thickBot="1" x14ac:dyDescent="0.5">
      <c r="A4" s="297" t="s">
        <v>839</v>
      </c>
      <c r="B4" s="298">
        <f>发射地年間統計!B4</f>
        <v>196</v>
      </c>
      <c r="C4" s="299">
        <f>发射地年間統計!C4</f>
        <v>151</v>
      </c>
      <c r="D4" s="299">
        <f>发射地年間統計!D4</f>
        <v>6</v>
      </c>
      <c r="E4" s="299">
        <f>发射地年間統計!E4</f>
        <v>236</v>
      </c>
      <c r="F4" s="299">
        <f>发射地年間統計!F4</f>
        <v>49</v>
      </c>
      <c r="G4" s="437">
        <f>发射地年間統計!G4</f>
        <v>18</v>
      </c>
      <c r="H4" s="300">
        <f>SUM(B4:G4)</f>
        <v>656</v>
      </c>
      <c r="I4" s="301">
        <f ca="1">发射地年間統計!I4</f>
        <v>94</v>
      </c>
      <c r="J4" s="301">
        <f ca="1">发射地年間統計!J4</f>
        <v>6</v>
      </c>
      <c r="K4" s="301">
        <f ca="1">发射地年間統計!K4</f>
        <v>19</v>
      </c>
      <c r="L4" s="301">
        <f ca="1">发射地年間統計!L4</f>
        <v>5</v>
      </c>
      <c r="M4" s="301">
        <f ca="1">发射地年間統計!M4</f>
        <v>0</v>
      </c>
      <c r="N4" s="442">
        <f ca="1">发射地年間統計!N4</f>
        <v>0</v>
      </c>
      <c r="O4" s="302">
        <f ca="1">SUM(I4:N4)</f>
        <v>124</v>
      </c>
      <c r="P4" s="303">
        <f ca="1">发射地年間統計!P4</f>
        <v>290</v>
      </c>
      <c r="Q4" s="303">
        <f ca="1">发射地年間統計!Q4</f>
        <v>157</v>
      </c>
      <c r="R4" s="303">
        <f ca="1">发射地年間統計!R4</f>
        <v>25</v>
      </c>
      <c r="S4" s="303">
        <f ca="1">发射地年間統計!S4</f>
        <v>241</v>
      </c>
      <c r="T4" s="303">
        <f ca="1">发射地年間統計!T4</f>
        <v>49</v>
      </c>
      <c r="U4" s="443">
        <f ca="1">发射地年間統計!U4</f>
        <v>18</v>
      </c>
      <c r="V4" s="304">
        <f ca="1">SUM(P4:U4)</f>
        <v>780</v>
      </c>
      <c r="W4" s="1972"/>
    </row>
    <row r="5" spans="1:23" x14ac:dyDescent="0.45">
      <c r="A5" s="63">
        <v>25569</v>
      </c>
      <c r="B5" s="14">
        <v>0</v>
      </c>
      <c r="C5" s="10">
        <v>0</v>
      </c>
      <c r="D5" s="10">
        <v>0</v>
      </c>
      <c r="E5" s="10">
        <v>0</v>
      </c>
      <c r="F5" s="10">
        <v>0</v>
      </c>
      <c r="G5" s="430">
        <v>0</v>
      </c>
      <c r="H5" s="9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430">
        <v>0</v>
      </c>
      <c r="O5" s="9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430"/>
      <c r="V5" s="9">
        <v>0</v>
      </c>
      <c r="W5" s="28">
        <v>0</v>
      </c>
    </row>
    <row r="6" spans="1:23" x14ac:dyDescent="0.45">
      <c r="A6" s="64">
        <v>25600</v>
      </c>
      <c r="B6" s="14">
        <v>0</v>
      </c>
      <c r="C6" s="10">
        <v>0</v>
      </c>
      <c r="D6" s="10">
        <v>0</v>
      </c>
      <c r="E6" s="10">
        <v>0</v>
      </c>
      <c r="F6" s="10">
        <v>0</v>
      </c>
      <c r="G6" s="430">
        <v>0</v>
      </c>
      <c r="H6" s="9">
        <v>0</v>
      </c>
      <c r="I6" s="10">
        <v>0</v>
      </c>
      <c r="J6" s="10">
        <v>0</v>
      </c>
      <c r="K6" s="10">
        <v>0</v>
      </c>
      <c r="L6" s="11">
        <v>0</v>
      </c>
      <c r="M6" s="10">
        <v>0</v>
      </c>
      <c r="N6" s="430">
        <v>0</v>
      </c>
      <c r="O6" s="8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430"/>
      <c r="V6" s="9">
        <v>0</v>
      </c>
      <c r="W6" s="28">
        <v>0</v>
      </c>
    </row>
    <row r="7" spans="1:23" x14ac:dyDescent="0.45">
      <c r="A7" s="64">
        <v>25628</v>
      </c>
      <c r="B7" s="14">
        <v>0</v>
      </c>
      <c r="C7" s="10">
        <v>0</v>
      </c>
      <c r="D7" s="10">
        <v>0</v>
      </c>
      <c r="E7" s="10">
        <v>0</v>
      </c>
      <c r="F7" s="10">
        <v>0</v>
      </c>
      <c r="G7" s="430">
        <v>0</v>
      </c>
      <c r="H7" s="9">
        <v>0</v>
      </c>
      <c r="I7" s="10">
        <v>0</v>
      </c>
      <c r="J7" s="10">
        <v>0</v>
      </c>
      <c r="K7" s="10">
        <v>0</v>
      </c>
      <c r="L7" s="11">
        <v>0</v>
      </c>
      <c r="M7" s="10">
        <v>0</v>
      </c>
      <c r="N7" s="430">
        <v>0</v>
      </c>
      <c r="O7" s="8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430"/>
      <c r="V7" s="9">
        <v>0</v>
      </c>
      <c r="W7" s="28">
        <v>0</v>
      </c>
    </row>
    <row r="8" spans="1:23" x14ac:dyDescent="0.45">
      <c r="A8" s="64">
        <v>25659</v>
      </c>
      <c r="B8" s="14">
        <v>1</v>
      </c>
      <c r="C8" s="10">
        <v>0</v>
      </c>
      <c r="D8" s="10">
        <v>0</v>
      </c>
      <c r="E8" s="10">
        <v>0</v>
      </c>
      <c r="F8" s="10">
        <v>0</v>
      </c>
      <c r="G8" s="430">
        <v>0</v>
      </c>
      <c r="H8" s="9">
        <v>1</v>
      </c>
      <c r="I8" s="10">
        <v>0</v>
      </c>
      <c r="J8" s="10">
        <v>0</v>
      </c>
      <c r="K8" s="10">
        <v>0</v>
      </c>
      <c r="L8" s="11">
        <v>0</v>
      </c>
      <c r="M8" s="10">
        <v>0</v>
      </c>
      <c r="N8" s="430">
        <v>0</v>
      </c>
      <c r="O8" s="8">
        <v>0</v>
      </c>
      <c r="P8" s="10">
        <v>1</v>
      </c>
      <c r="Q8" s="10">
        <v>0</v>
      </c>
      <c r="R8" s="10">
        <v>0</v>
      </c>
      <c r="S8" s="10">
        <v>0</v>
      </c>
      <c r="T8" s="10">
        <v>0</v>
      </c>
      <c r="U8" s="430"/>
      <c r="V8" s="9">
        <v>1</v>
      </c>
      <c r="W8" s="28">
        <v>1</v>
      </c>
    </row>
    <row r="9" spans="1:23" x14ac:dyDescent="0.45">
      <c r="A9" s="64">
        <v>25689</v>
      </c>
      <c r="B9" s="14">
        <v>0</v>
      </c>
      <c r="C9" s="10">
        <v>0</v>
      </c>
      <c r="D9" s="10">
        <v>0</v>
      </c>
      <c r="E9" s="10">
        <v>0</v>
      </c>
      <c r="F9" s="10">
        <v>0</v>
      </c>
      <c r="G9" s="430">
        <v>0</v>
      </c>
      <c r="H9" s="9">
        <v>0</v>
      </c>
      <c r="I9" s="10">
        <v>0</v>
      </c>
      <c r="J9" s="10">
        <v>0</v>
      </c>
      <c r="K9" s="10">
        <v>0</v>
      </c>
      <c r="L9" s="11">
        <v>0</v>
      </c>
      <c r="M9" s="10">
        <v>0</v>
      </c>
      <c r="N9" s="430">
        <v>0</v>
      </c>
      <c r="O9" s="8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430"/>
      <c r="V9" s="9">
        <v>0</v>
      </c>
      <c r="W9" s="28">
        <v>1</v>
      </c>
    </row>
    <row r="10" spans="1:23" x14ac:dyDescent="0.45">
      <c r="A10" s="64">
        <v>25720</v>
      </c>
      <c r="B10" s="14">
        <v>0</v>
      </c>
      <c r="C10" s="10">
        <v>0</v>
      </c>
      <c r="D10" s="10">
        <v>0</v>
      </c>
      <c r="E10" s="10">
        <v>0</v>
      </c>
      <c r="F10" s="10">
        <v>0</v>
      </c>
      <c r="G10" s="430">
        <v>0</v>
      </c>
      <c r="H10" s="9">
        <v>0</v>
      </c>
      <c r="I10" s="10">
        <v>0</v>
      </c>
      <c r="J10" s="10">
        <v>0</v>
      </c>
      <c r="K10" s="10">
        <v>0</v>
      </c>
      <c r="L10" s="11">
        <v>0</v>
      </c>
      <c r="M10" s="10">
        <v>0</v>
      </c>
      <c r="N10" s="430">
        <v>0</v>
      </c>
      <c r="O10" s="8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430"/>
      <c r="V10" s="9">
        <v>0</v>
      </c>
      <c r="W10" s="28">
        <v>1</v>
      </c>
    </row>
    <row r="11" spans="1:23" x14ac:dyDescent="0.45">
      <c r="A11" s="64">
        <v>25750</v>
      </c>
      <c r="B11" s="14">
        <v>0</v>
      </c>
      <c r="C11" s="10">
        <v>0</v>
      </c>
      <c r="D11" s="10">
        <v>0</v>
      </c>
      <c r="E11" s="10">
        <v>0</v>
      </c>
      <c r="F11" s="10">
        <v>0</v>
      </c>
      <c r="G11" s="430">
        <v>0</v>
      </c>
      <c r="H11" s="9">
        <v>0</v>
      </c>
      <c r="I11" s="10">
        <v>0</v>
      </c>
      <c r="J11" s="10">
        <v>0</v>
      </c>
      <c r="K11" s="10">
        <v>0</v>
      </c>
      <c r="L11" s="11">
        <v>0</v>
      </c>
      <c r="M11" s="10">
        <v>0</v>
      </c>
      <c r="N11" s="430">
        <v>0</v>
      </c>
      <c r="O11" s="8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430"/>
      <c r="V11" s="9">
        <v>0</v>
      </c>
      <c r="W11" s="28">
        <v>1</v>
      </c>
    </row>
    <row r="12" spans="1:23" x14ac:dyDescent="0.45">
      <c r="A12" s="64">
        <v>25781</v>
      </c>
      <c r="B12" s="14">
        <v>0</v>
      </c>
      <c r="C12" s="10">
        <v>0</v>
      </c>
      <c r="D12" s="10">
        <v>0</v>
      </c>
      <c r="E12" s="10">
        <v>0</v>
      </c>
      <c r="F12" s="10">
        <v>0</v>
      </c>
      <c r="G12" s="430">
        <v>0</v>
      </c>
      <c r="H12" s="9">
        <v>0</v>
      </c>
      <c r="I12" s="10">
        <v>0</v>
      </c>
      <c r="J12" s="10">
        <v>0</v>
      </c>
      <c r="K12" s="10">
        <v>0</v>
      </c>
      <c r="L12" s="11">
        <v>0</v>
      </c>
      <c r="M12" s="10">
        <v>0</v>
      </c>
      <c r="N12" s="430">
        <v>0</v>
      </c>
      <c r="O12" s="8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430"/>
      <c r="V12" s="9">
        <v>0</v>
      </c>
      <c r="W12" s="28">
        <v>1</v>
      </c>
    </row>
    <row r="13" spans="1:23" x14ac:dyDescent="0.45">
      <c r="A13" s="64">
        <v>25812</v>
      </c>
      <c r="B13" s="14">
        <v>0</v>
      </c>
      <c r="C13" s="10">
        <v>0</v>
      </c>
      <c r="D13" s="10">
        <v>0</v>
      </c>
      <c r="E13" s="10">
        <v>0</v>
      </c>
      <c r="F13" s="10">
        <v>0</v>
      </c>
      <c r="G13" s="430">
        <v>0</v>
      </c>
      <c r="H13" s="9">
        <v>0</v>
      </c>
      <c r="I13" s="10">
        <v>0</v>
      </c>
      <c r="J13" s="10">
        <v>0</v>
      </c>
      <c r="K13" s="10">
        <v>0</v>
      </c>
      <c r="L13" s="11">
        <v>0</v>
      </c>
      <c r="M13" s="10">
        <v>0</v>
      </c>
      <c r="N13" s="430">
        <v>0</v>
      </c>
      <c r="O13" s="8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430"/>
      <c r="V13" s="9">
        <v>0</v>
      </c>
      <c r="W13" s="28">
        <v>1</v>
      </c>
    </row>
    <row r="14" spans="1:23" x14ac:dyDescent="0.45">
      <c r="A14" s="64">
        <v>25842</v>
      </c>
      <c r="B14" s="14">
        <v>0</v>
      </c>
      <c r="C14" s="10">
        <v>0</v>
      </c>
      <c r="D14" s="10">
        <v>0</v>
      </c>
      <c r="E14" s="10">
        <v>0</v>
      </c>
      <c r="F14" s="10">
        <v>0</v>
      </c>
      <c r="G14" s="430">
        <v>0</v>
      </c>
      <c r="H14" s="9">
        <v>0</v>
      </c>
      <c r="I14" s="10">
        <v>0</v>
      </c>
      <c r="J14" s="10">
        <v>0</v>
      </c>
      <c r="K14" s="10">
        <v>0</v>
      </c>
      <c r="L14" s="11">
        <v>0</v>
      </c>
      <c r="M14" s="10">
        <v>0</v>
      </c>
      <c r="N14" s="430">
        <v>0</v>
      </c>
      <c r="O14" s="8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430"/>
      <c r="V14" s="9">
        <v>0</v>
      </c>
      <c r="W14" s="28">
        <v>1</v>
      </c>
    </row>
    <row r="15" spans="1:23" x14ac:dyDescent="0.45">
      <c r="A15" s="64">
        <v>25873</v>
      </c>
      <c r="B15" s="14">
        <v>0</v>
      </c>
      <c r="C15" s="10">
        <v>0</v>
      </c>
      <c r="D15" s="10">
        <v>0</v>
      </c>
      <c r="E15" s="10">
        <v>0</v>
      </c>
      <c r="F15" s="10">
        <v>0</v>
      </c>
      <c r="G15" s="430">
        <v>0</v>
      </c>
      <c r="H15" s="9">
        <v>0</v>
      </c>
      <c r="I15" s="10">
        <v>0</v>
      </c>
      <c r="J15" s="10">
        <v>0</v>
      </c>
      <c r="K15" s="10">
        <v>0</v>
      </c>
      <c r="L15" s="11">
        <v>0</v>
      </c>
      <c r="M15" s="10">
        <v>0</v>
      </c>
      <c r="N15" s="430">
        <v>0</v>
      </c>
      <c r="O15" s="8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430"/>
      <c r="V15" s="9">
        <v>0</v>
      </c>
      <c r="W15" s="28">
        <v>1</v>
      </c>
    </row>
    <row r="16" spans="1:23" ht="19.5" customHeight="1" thickBot="1" x14ac:dyDescent="0.5">
      <c r="A16" s="65">
        <v>25903</v>
      </c>
      <c r="B16" s="17">
        <v>0</v>
      </c>
      <c r="C16" s="18">
        <v>0</v>
      </c>
      <c r="D16" s="18">
        <v>0</v>
      </c>
      <c r="E16" s="18">
        <v>0</v>
      </c>
      <c r="F16" s="18">
        <v>0</v>
      </c>
      <c r="G16" s="432">
        <v>0</v>
      </c>
      <c r="H16" s="19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432">
        <v>0</v>
      </c>
      <c r="O16" s="19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432"/>
      <c r="V16" s="19">
        <v>0</v>
      </c>
      <c r="W16" s="28">
        <v>1</v>
      </c>
    </row>
    <row r="17" spans="1:23" ht="19.5" customHeight="1" thickTop="1" x14ac:dyDescent="0.45">
      <c r="A17" s="63">
        <v>25934</v>
      </c>
      <c r="B17" s="14">
        <v>0</v>
      </c>
      <c r="C17" s="10">
        <v>0</v>
      </c>
      <c r="D17" s="10">
        <v>0</v>
      </c>
      <c r="E17" s="10">
        <v>0</v>
      </c>
      <c r="F17" s="10">
        <v>0</v>
      </c>
      <c r="G17" s="430">
        <v>0</v>
      </c>
      <c r="H17" s="9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430">
        <v>0</v>
      </c>
      <c r="O17" s="9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430"/>
      <c r="V17" s="9">
        <v>0</v>
      </c>
      <c r="W17" s="28">
        <v>0</v>
      </c>
    </row>
    <row r="18" spans="1:23" x14ac:dyDescent="0.45">
      <c r="A18" s="64">
        <v>25965</v>
      </c>
      <c r="B18" s="14">
        <v>0</v>
      </c>
      <c r="C18" s="10">
        <v>0</v>
      </c>
      <c r="D18" s="10">
        <v>0</v>
      </c>
      <c r="E18" s="11">
        <v>0</v>
      </c>
      <c r="F18" s="10">
        <v>0</v>
      </c>
      <c r="G18" s="430">
        <v>0</v>
      </c>
      <c r="H18" s="8">
        <v>0</v>
      </c>
      <c r="I18" s="10">
        <v>0</v>
      </c>
      <c r="J18" s="10">
        <v>0</v>
      </c>
      <c r="K18" s="10">
        <v>0</v>
      </c>
      <c r="L18" s="11">
        <v>0</v>
      </c>
      <c r="M18" s="10">
        <v>0</v>
      </c>
      <c r="N18" s="430">
        <v>0</v>
      </c>
      <c r="O18" s="8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430"/>
      <c r="V18" s="9">
        <v>0</v>
      </c>
      <c r="W18" s="28">
        <v>0</v>
      </c>
    </row>
    <row r="19" spans="1:23" x14ac:dyDescent="0.45">
      <c r="A19" s="64">
        <v>25993</v>
      </c>
      <c r="B19" s="14">
        <v>1</v>
      </c>
      <c r="C19" s="10">
        <v>0</v>
      </c>
      <c r="D19" s="10">
        <v>0</v>
      </c>
      <c r="E19" s="11">
        <v>0</v>
      </c>
      <c r="F19" s="10">
        <v>0</v>
      </c>
      <c r="G19" s="430">
        <v>0</v>
      </c>
      <c r="H19" s="8">
        <v>1</v>
      </c>
      <c r="I19" s="10">
        <v>0</v>
      </c>
      <c r="J19" s="10">
        <v>0</v>
      </c>
      <c r="K19" s="10">
        <v>0</v>
      </c>
      <c r="L19" s="11">
        <v>0</v>
      </c>
      <c r="M19" s="10">
        <v>0</v>
      </c>
      <c r="N19" s="430">
        <v>0</v>
      </c>
      <c r="O19" s="8">
        <v>0</v>
      </c>
      <c r="P19" s="10">
        <v>1</v>
      </c>
      <c r="Q19" s="10">
        <v>0</v>
      </c>
      <c r="R19" s="10">
        <v>0</v>
      </c>
      <c r="S19" s="10">
        <v>0</v>
      </c>
      <c r="T19" s="10">
        <v>0</v>
      </c>
      <c r="U19" s="430"/>
      <c r="V19" s="9">
        <v>1</v>
      </c>
      <c r="W19" s="28">
        <v>1</v>
      </c>
    </row>
    <row r="20" spans="1:23" x14ac:dyDescent="0.45">
      <c r="A20" s="64">
        <v>26024</v>
      </c>
      <c r="B20" s="14">
        <v>0</v>
      </c>
      <c r="C20" s="10">
        <v>0</v>
      </c>
      <c r="D20" s="10">
        <v>0</v>
      </c>
      <c r="E20" s="11">
        <v>0</v>
      </c>
      <c r="F20" s="10">
        <v>0</v>
      </c>
      <c r="G20" s="430">
        <v>0</v>
      </c>
      <c r="H20" s="8">
        <v>0</v>
      </c>
      <c r="I20" s="10">
        <v>0</v>
      </c>
      <c r="J20" s="10">
        <v>0</v>
      </c>
      <c r="K20" s="10">
        <v>0</v>
      </c>
      <c r="L20" s="11">
        <v>0</v>
      </c>
      <c r="M20" s="10">
        <v>0</v>
      </c>
      <c r="N20" s="430">
        <v>0</v>
      </c>
      <c r="O20" s="8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430"/>
      <c r="V20" s="9">
        <v>0</v>
      </c>
      <c r="W20" s="28">
        <v>1</v>
      </c>
    </row>
    <row r="21" spans="1:23" x14ac:dyDescent="0.45">
      <c r="A21" s="64">
        <v>26054</v>
      </c>
      <c r="B21" s="14">
        <v>0</v>
      </c>
      <c r="C21" s="10">
        <v>0</v>
      </c>
      <c r="D21" s="10">
        <v>0</v>
      </c>
      <c r="E21" s="11">
        <v>0</v>
      </c>
      <c r="F21" s="10">
        <v>0</v>
      </c>
      <c r="G21" s="430">
        <v>0</v>
      </c>
      <c r="H21" s="8">
        <v>0</v>
      </c>
      <c r="I21" s="10">
        <v>0</v>
      </c>
      <c r="J21" s="10">
        <v>0</v>
      </c>
      <c r="K21" s="10">
        <v>0</v>
      </c>
      <c r="L21" s="11">
        <v>0</v>
      </c>
      <c r="M21" s="10">
        <v>0</v>
      </c>
      <c r="N21" s="430">
        <v>0</v>
      </c>
      <c r="O21" s="8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430"/>
      <c r="V21" s="9">
        <v>0</v>
      </c>
      <c r="W21" s="28">
        <v>1</v>
      </c>
    </row>
    <row r="22" spans="1:23" x14ac:dyDescent="0.45">
      <c r="A22" s="64">
        <v>26085</v>
      </c>
      <c r="B22" s="14">
        <v>0</v>
      </c>
      <c r="C22" s="10">
        <v>0</v>
      </c>
      <c r="D22" s="10">
        <v>0</v>
      </c>
      <c r="E22" s="11">
        <v>0</v>
      </c>
      <c r="F22" s="10">
        <v>0</v>
      </c>
      <c r="G22" s="430">
        <v>0</v>
      </c>
      <c r="H22" s="8">
        <v>0</v>
      </c>
      <c r="I22" s="10">
        <v>0</v>
      </c>
      <c r="J22" s="10">
        <v>0</v>
      </c>
      <c r="K22" s="10">
        <v>0</v>
      </c>
      <c r="L22" s="11">
        <v>0</v>
      </c>
      <c r="M22" s="10">
        <v>0</v>
      </c>
      <c r="N22" s="430">
        <v>0</v>
      </c>
      <c r="O22" s="8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430"/>
      <c r="V22" s="9">
        <v>0</v>
      </c>
      <c r="W22" s="28">
        <v>1</v>
      </c>
    </row>
    <row r="23" spans="1:23" x14ac:dyDescent="0.45">
      <c r="A23" s="64">
        <v>26115</v>
      </c>
      <c r="B23" s="14">
        <v>0</v>
      </c>
      <c r="C23" s="10">
        <v>0</v>
      </c>
      <c r="D23" s="10">
        <v>0</v>
      </c>
      <c r="E23" s="11">
        <v>0</v>
      </c>
      <c r="F23" s="10">
        <v>0</v>
      </c>
      <c r="G23" s="430">
        <v>0</v>
      </c>
      <c r="H23" s="8">
        <v>0</v>
      </c>
      <c r="I23" s="10">
        <v>0</v>
      </c>
      <c r="J23" s="10">
        <v>0</v>
      </c>
      <c r="K23" s="10">
        <v>0</v>
      </c>
      <c r="L23" s="11">
        <v>0</v>
      </c>
      <c r="M23" s="10">
        <v>0</v>
      </c>
      <c r="N23" s="430">
        <v>0</v>
      </c>
      <c r="O23" s="8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430"/>
      <c r="V23" s="9">
        <v>0</v>
      </c>
      <c r="W23" s="28">
        <v>1</v>
      </c>
    </row>
    <row r="24" spans="1:23" x14ac:dyDescent="0.45">
      <c r="A24" s="64">
        <v>26146</v>
      </c>
      <c r="B24" s="14">
        <v>0</v>
      </c>
      <c r="C24" s="10">
        <v>0</v>
      </c>
      <c r="D24" s="10">
        <v>0</v>
      </c>
      <c r="E24" s="11">
        <v>0</v>
      </c>
      <c r="F24" s="10">
        <v>0</v>
      </c>
      <c r="G24" s="430">
        <v>0</v>
      </c>
      <c r="H24" s="8">
        <v>0</v>
      </c>
      <c r="I24" s="10">
        <v>0</v>
      </c>
      <c r="J24" s="10">
        <v>0</v>
      </c>
      <c r="K24" s="10">
        <v>0</v>
      </c>
      <c r="L24" s="11">
        <v>0</v>
      </c>
      <c r="M24" s="10">
        <v>0</v>
      </c>
      <c r="N24" s="430">
        <v>0</v>
      </c>
      <c r="O24" s="8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430"/>
      <c r="V24" s="9">
        <v>0</v>
      </c>
      <c r="W24" s="28">
        <v>1</v>
      </c>
    </row>
    <row r="25" spans="1:23" x14ac:dyDescent="0.45">
      <c r="A25" s="64">
        <v>26177</v>
      </c>
      <c r="B25" s="14">
        <v>0</v>
      </c>
      <c r="C25" s="10">
        <v>0</v>
      </c>
      <c r="D25" s="10">
        <v>0</v>
      </c>
      <c r="E25" s="11">
        <v>0</v>
      </c>
      <c r="F25" s="10">
        <v>0</v>
      </c>
      <c r="G25" s="430">
        <v>0</v>
      </c>
      <c r="H25" s="8">
        <v>0</v>
      </c>
      <c r="I25" s="10">
        <v>0</v>
      </c>
      <c r="J25" s="10">
        <v>0</v>
      </c>
      <c r="K25" s="10">
        <v>0</v>
      </c>
      <c r="L25" s="11">
        <v>0</v>
      </c>
      <c r="M25" s="10">
        <v>0</v>
      </c>
      <c r="N25" s="430">
        <v>0</v>
      </c>
      <c r="O25" s="8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430"/>
      <c r="V25" s="9">
        <v>0</v>
      </c>
      <c r="W25" s="28">
        <v>1</v>
      </c>
    </row>
    <row r="26" spans="1:23" x14ac:dyDescent="0.45">
      <c r="A26" s="64">
        <v>26207</v>
      </c>
      <c r="B26" s="14">
        <v>0</v>
      </c>
      <c r="C26" s="10">
        <v>0</v>
      </c>
      <c r="D26" s="10">
        <v>0</v>
      </c>
      <c r="E26" s="11">
        <v>0</v>
      </c>
      <c r="F26" s="10">
        <v>0</v>
      </c>
      <c r="G26" s="430">
        <v>0</v>
      </c>
      <c r="H26" s="8">
        <v>0</v>
      </c>
      <c r="I26" s="10">
        <v>0</v>
      </c>
      <c r="J26" s="10">
        <v>0</v>
      </c>
      <c r="K26" s="10">
        <v>0</v>
      </c>
      <c r="L26" s="11">
        <v>0</v>
      </c>
      <c r="M26" s="10">
        <v>0</v>
      </c>
      <c r="N26" s="430">
        <v>0</v>
      </c>
      <c r="O26" s="8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430"/>
      <c r="V26" s="9">
        <v>0</v>
      </c>
      <c r="W26" s="28">
        <v>1</v>
      </c>
    </row>
    <row r="27" spans="1:23" x14ac:dyDescent="0.45">
      <c r="A27" s="64">
        <v>26238</v>
      </c>
      <c r="B27" s="14">
        <v>0</v>
      </c>
      <c r="C27" s="10">
        <v>0</v>
      </c>
      <c r="D27" s="10">
        <v>0</v>
      </c>
      <c r="E27" s="11">
        <v>0</v>
      </c>
      <c r="F27" s="10">
        <v>0</v>
      </c>
      <c r="G27" s="430">
        <v>0</v>
      </c>
      <c r="H27" s="8">
        <v>0</v>
      </c>
      <c r="I27" s="10">
        <v>0</v>
      </c>
      <c r="J27" s="10">
        <v>0</v>
      </c>
      <c r="K27" s="10">
        <v>0</v>
      </c>
      <c r="L27" s="11">
        <v>0</v>
      </c>
      <c r="M27" s="10">
        <v>0</v>
      </c>
      <c r="N27" s="430">
        <v>0</v>
      </c>
      <c r="O27" s="8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430"/>
      <c r="V27" s="9">
        <v>0</v>
      </c>
      <c r="W27" s="28">
        <v>1</v>
      </c>
    </row>
    <row r="28" spans="1:23" ht="19.5" customHeight="1" thickBot="1" x14ac:dyDescent="0.5">
      <c r="A28" s="65">
        <v>26268</v>
      </c>
      <c r="B28" s="17">
        <v>0</v>
      </c>
      <c r="C28" s="18">
        <v>0</v>
      </c>
      <c r="D28" s="18">
        <v>0</v>
      </c>
      <c r="E28" s="18">
        <v>0</v>
      </c>
      <c r="F28" s="18">
        <v>0</v>
      </c>
      <c r="G28" s="432">
        <v>0</v>
      </c>
      <c r="H28" s="19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432">
        <v>0</v>
      </c>
      <c r="O28" s="19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432"/>
      <c r="V28" s="19">
        <v>0</v>
      </c>
      <c r="W28" s="28">
        <v>1</v>
      </c>
    </row>
    <row r="29" spans="1:23" ht="19.5" customHeight="1" thickTop="1" x14ac:dyDescent="0.45">
      <c r="A29" s="63">
        <v>26299</v>
      </c>
      <c r="B29" s="14">
        <v>0</v>
      </c>
      <c r="C29" s="10">
        <v>0</v>
      </c>
      <c r="D29" s="10">
        <v>0</v>
      </c>
      <c r="E29" s="10">
        <v>0</v>
      </c>
      <c r="F29" s="10">
        <v>0</v>
      </c>
      <c r="G29" s="430">
        <v>0</v>
      </c>
      <c r="H29" s="9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430">
        <v>0</v>
      </c>
      <c r="O29" s="9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430"/>
      <c r="V29" s="9">
        <v>0</v>
      </c>
      <c r="W29" s="28">
        <v>0</v>
      </c>
    </row>
    <row r="30" spans="1:23" x14ac:dyDescent="0.45">
      <c r="A30" s="64">
        <v>26330</v>
      </c>
      <c r="B30" s="14">
        <v>0</v>
      </c>
      <c r="C30" s="10">
        <v>0</v>
      </c>
      <c r="D30" s="10">
        <v>0</v>
      </c>
      <c r="E30" s="11">
        <v>0</v>
      </c>
      <c r="F30" s="10">
        <v>0</v>
      </c>
      <c r="G30" s="430">
        <v>0</v>
      </c>
      <c r="H30" s="8">
        <v>0</v>
      </c>
      <c r="I30" s="10">
        <v>0</v>
      </c>
      <c r="J30" s="10">
        <v>0</v>
      </c>
      <c r="K30" s="10">
        <v>0</v>
      </c>
      <c r="L30" s="11">
        <v>0</v>
      </c>
      <c r="M30" s="10">
        <v>0</v>
      </c>
      <c r="N30" s="430">
        <v>0</v>
      </c>
      <c r="O30" s="8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430"/>
      <c r="V30" s="9">
        <v>0</v>
      </c>
      <c r="W30" s="28">
        <v>0</v>
      </c>
    </row>
    <row r="31" spans="1:23" x14ac:dyDescent="0.45">
      <c r="A31" s="64">
        <v>26359</v>
      </c>
      <c r="B31" s="14">
        <v>0</v>
      </c>
      <c r="C31" s="10">
        <v>0</v>
      </c>
      <c r="D31" s="10">
        <v>0</v>
      </c>
      <c r="E31" s="11">
        <v>0</v>
      </c>
      <c r="F31" s="10">
        <v>0</v>
      </c>
      <c r="G31" s="430">
        <v>0</v>
      </c>
      <c r="H31" s="8">
        <v>0</v>
      </c>
      <c r="I31" s="10">
        <v>0</v>
      </c>
      <c r="J31" s="10">
        <v>0</v>
      </c>
      <c r="K31" s="10">
        <v>0</v>
      </c>
      <c r="L31" s="11">
        <v>0</v>
      </c>
      <c r="M31" s="10">
        <v>0</v>
      </c>
      <c r="N31" s="430">
        <v>0</v>
      </c>
      <c r="O31" s="8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430"/>
      <c r="V31" s="9">
        <v>0</v>
      </c>
      <c r="W31" s="28">
        <v>0</v>
      </c>
    </row>
    <row r="32" spans="1:23" x14ac:dyDescent="0.45">
      <c r="A32" s="64">
        <v>26390</v>
      </c>
      <c r="B32" s="14">
        <v>0</v>
      </c>
      <c r="C32" s="10">
        <v>0</v>
      </c>
      <c r="D32" s="10">
        <v>0</v>
      </c>
      <c r="E32" s="11">
        <v>0</v>
      </c>
      <c r="F32" s="10">
        <v>0</v>
      </c>
      <c r="G32" s="430">
        <v>0</v>
      </c>
      <c r="H32" s="8">
        <v>0</v>
      </c>
      <c r="I32" s="10">
        <v>0</v>
      </c>
      <c r="J32" s="10">
        <v>0</v>
      </c>
      <c r="K32" s="10">
        <v>0</v>
      </c>
      <c r="L32" s="11">
        <v>0</v>
      </c>
      <c r="M32" s="10">
        <v>0</v>
      </c>
      <c r="N32" s="430">
        <v>0</v>
      </c>
      <c r="O32" s="8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430"/>
      <c r="V32" s="9">
        <v>0</v>
      </c>
      <c r="W32" s="28">
        <v>0</v>
      </c>
    </row>
    <row r="33" spans="1:23" x14ac:dyDescent="0.45">
      <c r="A33" s="64">
        <v>26420</v>
      </c>
      <c r="B33" s="14">
        <v>0</v>
      </c>
      <c r="C33" s="10">
        <v>0</v>
      </c>
      <c r="D33" s="10">
        <v>0</v>
      </c>
      <c r="E33" s="11">
        <v>0</v>
      </c>
      <c r="F33" s="10">
        <v>0</v>
      </c>
      <c r="G33" s="430">
        <v>0</v>
      </c>
      <c r="H33" s="8">
        <v>0</v>
      </c>
      <c r="I33" s="10">
        <v>0</v>
      </c>
      <c r="J33" s="10">
        <v>0</v>
      </c>
      <c r="K33" s="10">
        <v>0</v>
      </c>
      <c r="L33" s="11">
        <v>0</v>
      </c>
      <c r="M33" s="10">
        <v>0</v>
      </c>
      <c r="N33" s="430">
        <v>0</v>
      </c>
      <c r="O33" s="8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430"/>
      <c r="V33" s="9">
        <v>0</v>
      </c>
      <c r="W33" s="28">
        <v>0</v>
      </c>
    </row>
    <row r="34" spans="1:23" x14ac:dyDescent="0.45">
      <c r="A34" s="64">
        <v>26451</v>
      </c>
      <c r="B34" s="14">
        <v>0</v>
      </c>
      <c r="C34" s="10">
        <v>0</v>
      </c>
      <c r="D34" s="10">
        <v>0</v>
      </c>
      <c r="E34" s="11">
        <v>0</v>
      </c>
      <c r="F34" s="10">
        <v>0</v>
      </c>
      <c r="G34" s="430">
        <v>0</v>
      </c>
      <c r="H34" s="8">
        <v>0</v>
      </c>
      <c r="I34" s="10">
        <v>0</v>
      </c>
      <c r="J34" s="10">
        <v>0</v>
      </c>
      <c r="K34" s="10">
        <v>0</v>
      </c>
      <c r="L34" s="11">
        <v>0</v>
      </c>
      <c r="M34" s="10">
        <v>0</v>
      </c>
      <c r="N34" s="430">
        <v>0</v>
      </c>
      <c r="O34" s="8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430"/>
      <c r="V34" s="9">
        <v>0</v>
      </c>
      <c r="W34" s="28">
        <v>0</v>
      </c>
    </row>
    <row r="35" spans="1:23" x14ac:dyDescent="0.45">
      <c r="A35" s="64">
        <v>26481</v>
      </c>
      <c r="B35" s="14">
        <v>0</v>
      </c>
      <c r="C35" s="10">
        <v>0</v>
      </c>
      <c r="D35" s="10">
        <v>0</v>
      </c>
      <c r="E35" s="11">
        <v>0</v>
      </c>
      <c r="F35" s="10">
        <v>0</v>
      </c>
      <c r="G35" s="430">
        <v>0</v>
      </c>
      <c r="H35" s="8">
        <v>0</v>
      </c>
      <c r="I35" s="10">
        <v>0</v>
      </c>
      <c r="J35" s="10">
        <v>0</v>
      </c>
      <c r="K35" s="10">
        <v>0</v>
      </c>
      <c r="L35" s="11">
        <v>0</v>
      </c>
      <c r="M35" s="10">
        <v>0</v>
      </c>
      <c r="N35" s="430">
        <v>0</v>
      </c>
      <c r="O35" s="8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430"/>
      <c r="V35" s="9">
        <v>0</v>
      </c>
      <c r="W35" s="28">
        <v>0</v>
      </c>
    </row>
    <row r="36" spans="1:23" x14ac:dyDescent="0.45">
      <c r="A36" s="64">
        <v>26512</v>
      </c>
      <c r="B36" s="14">
        <v>0</v>
      </c>
      <c r="C36" s="10">
        <v>0</v>
      </c>
      <c r="D36" s="10">
        <v>0</v>
      </c>
      <c r="E36" s="11">
        <v>0</v>
      </c>
      <c r="F36" s="10">
        <v>0</v>
      </c>
      <c r="G36" s="430">
        <v>0</v>
      </c>
      <c r="H36" s="8">
        <v>0</v>
      </c>
      <c r="I36" s="10">
        <v>0</v>
      </c>
      <c r="J36" s="10">
        <v>0</v>
      </c>
      <c r="K36" s="10">
        <v>0</v>
      </c>
      <c r="L36" s="11">
        <v>0</v>
      </c>
      <c r="M36" s="10">
        <v>0</v>
      </c>
      <c r="N36" s="430">
        <v>0</v>
      </c>
      <c r="O36" s="8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430"/>
      <c r="V36" s="9">
        <v>0</v>
      </c>
      <c r="W36" s="28">
        <v>0</v>
      </c>
    </row>
    <row r="37" spans="1:23" x14ac:dyDescent="0.45">
      <c r="A37" s="64">
        <v>26543</v>
      </c>
      <c r="B37" s="14">
        <v>0</v>
      </c>
      <c r="C37" s="10">
        <v>0</v>
      </c>
      <c r="D37" s="10">
        <v>0</v>
      </c>
      <c r="E37" s="11">
        <v>0</v>
      </c>
      <c r="F37" s="10">
        <v>0</v>
      </c>
      <c r="G37" s="430">
        <v>0</v>
      </c>
      <c r="H37" s="8">
        <v>0</v>
      </c>
      <c r="I37" s="10">
        <v>0</v>
      </c>
      <c r="J37" s="10">
        <v>0</v>
      </c>
      <c r="K37" s="10">
        <v>0</v>
      </c>
      <c r="L37" s="11">
        <v>0</v>
      </c>
      <c r="M37" s="10">
        <v>0</v>
      </c>
      <c r="N37" s="430">
        <v>0</v>
      </c>
      <c r="O37" s="8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430"/>
      <c r="V37" s="9">
        <v>0</v>
      </c>
      <c r="W37" s="28">
        <v>0</v>
      </c>
    </row>
    <row r="38" spans="1:23" x14ac:dyDescent="0.45">
      <c r="A38" s="64">
        <v>26573</v>
      </c>
      <c r="B38" s="14">
        <v>0</v>
      </c>
      <c r="C38" s="10">
        <v>0</v>
      </c>
      <c r="D38" s="10">
        <v>0</v>
      </c>
      <c r="E38" s="11">
        <v>0</v>
      </c>
      <c r="F38" s="10">
        <v>0</v>
      </c>
      <c r="G38" s="430">
        <v>0</v>
      </c>
      <c r="H38" s="8">
        <v>0</v>
      </c>
      <c r="I38" s="10">
        <v>0</v>
      </c>
      <c r="J38" s="10">
        <v>0</v>
      </c>
      <c r="K38" s="10">
        <v>0</v>
      </c>
      <c r="L38" s="11">
        <v>0</v>
      </c>
      <c r="M38" s="10">
        <v>0</v>
      </c>
      <c r="N38" s="430">
        <v>0</v>
      </c>
      <c r="O38" s="8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430"/>
      <c r="V38" s="9">
        <v>0</v>
      </c>
      <c r="W38" s="28">
        <v>0</v>
      </c>
    </row>
    <row r="39" spans="1:23" x14ac:dyDescent="0.45">
      <c r="A39" s="64">
        <v>26604</v>
      </c>
      <c r="B39" s="14">
        <v>0</v>
      </c>
      <c r="C39" s="10">
        <v>0</v>
      </c>
      <c r="D39" s="10">
        <v>0</v>
      </c>
      <c r="E39" s="11">
        <v>0</v>
      </c>
      <c r="F39" s="10">
        <v>0</v>
      </c>
      <c r="G39" s="430">
        <v>0</v>
      </c>
      <c r="H39" s="8">
        <v>0</v>
      </c>
      <c r="I39" s="10">
        <v>0</v>
      </c>
      <c r="J39" s="10">
        <v>0</v>
      </c>
      <c r="K39" s="10">
        <v>0</v>
      </c>
      <c r="L39" s="11">
        <v>0</v>
      </c>
      <c r="M39" s="10">
        <v>0</v>
      </c>
      <c r="N39" s="430">
        <v>0</v>
      </c>
      <c r="O39" s="8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430"/>
      <c r="V39" s="9">
        <v>0</v>
      </c>
      <c r="W39" s="28">
        <v>0</v>
      </c>
    </row>
    <row r="40" spans="1:23" ht="19.5" customHeight="1" thickBot="1" x14ac:dyDescent="0.5">
      <c r="A40" s="65">
        <v>26634</v>
      </c>
      <c r="B40" s="17">
        <v>0</v>
      </c>
      <c r="C40" s="18">
        <v>0</v>
      </c>
      <c r="D40" s="18">
        <v>0</v>
      </c>
      <c r="E40" s="18">
        <v>0</v>
      </c>
      <c r="F40" s="18">
        <v>0</v>
      </c>
      <c r="G40" s="432">
        <v>0</v>
      </c>
      <c r="H40" s="19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432">
        <v>0</v>
      </c>
      <c r="O40" s="19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432"/>
      <c r="V40" s="19">
        <v>0</v>
      </c>
      <c r="W40" s="28">
        <v>0</v>
      </c>
    </row>
    <row r="41" spans="1:23" ht="19.5" customHeight="1" thickTop="1" x14ac:dyDescent="0.45">
      <c r="A41" s="63">
        <v>26665</v>
      </c>
      <c r="B41" s="14">
        <v>0</v>
      </c>
      <c r="C41" s="10">
        <v>0</v>
      </c>
      <c r="D41" s="10">
        <v>0</v>
      </c>
      <c r="E41" s="10">
        <v>0</v>
      </c>
      <c r="F41" s="10">
        <v>0</v>
      </c>
      <c r="G41" s="430">
        <v>0</v>
      </c>
      <c r="H41" s="9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430">
        <v>0</v>
      </c>
      <c r="O41" s="9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430"/>
      <c r="V41" s="9">
        <v>0</v>
      </c>
      <c r="W41" s="28">
        <v>0</v>
      </c>
    </row>
    <row r="42" spans="1:23" x14ac:dyDescent="0.45">
      <c r="A42" s="64">
        <v>26696</v>
      </c>
      <c r="B42" s="14">
        <v>0</v>
      </c>
      <c r="C42" s="10">
        <v>0</v>
      </c>
      <c r="D42" s="10">
        <v>0</v>
      </c>
      <c r="E42" s="11">
        <v>0</v>
      </c>
      <c r="F42" s="10">
        <v>0</v>
      </c>
      <c r="G42" s="430">
        <v>0</v>
      </c>
      <c r="H42" s="8">
        <v>0</v>
      </c>
      <c r="I42" s="10">
        <v>0</v>
      </c>
      <c r="J42" s="10">
        <v>0</v>
      </c>
      <c r="K42" s="10">
        <v>0</v>
      </c>
      <c r="L42" s="11">
        <v>0</v>
      </c>
      <c r="M42" s="10">
        <v>0</v>
      </c>
      <c r="N42" s="430">
        <v>0</v>
      </c>
      <c r="O42" s="8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430"/>
      <c r="V42" s="9">
        <v>0</v>
      </c>
      <c r="W42" s="28">
        <v>0</v>
      </c>
    </row>
    <row r="43" spans="1:23" x14ac:dyDescent="0.45">
      <c r="A43" s="64">
        <v>26724</v>
      </c>
      <c r="B43" s="14">
        <v>0</v>
      </c>
      <c r="C43" s="10">
        <v>0</v>
      </c>
      <c r="D43" s="10">
        <v>0</v>
      </c>
      <c r="E43" s="11">
        <v>0</v>
      </c>
      <c r="F43" s="10">
        <v>0</v>
      </c>
      <c r="G43" s="430">
        <v>0</v>
      </c>
      <c r="H43" s="8">
        <v>0</v>
      </c>
      <c r="I43" s="10">
        <v>0</v>
      </c>
      <c r="J43" s="10">
        <v>0</v>
      </c>
      <c r="K43" s="10">
        <v>0</v>
      </c>
      <c r="L43" s="11">
        <v>0</v>
      </c>
      <c r="M43" s="10">
        <v>0</v>
      </c>
      <c r="N43" s="430">
        <v>0</v>
      </c>
      <c r="O43" s="8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430"/>
      <c r="V43" s="9">
        <v>0</v>
      </c>
      <c r="W43" s="28">
        <v>0</v>
      </c>
    </row>
    <row r="44" spans="1:23" x14ac:dyDescent="0.45">
      <c r="A44" s="64">
        <v>26755</v>
      </c>
      <c r="B44" s="14">
        <v>0</v>
      </c>
      <c r="C44" s="10">
        <v>0</v>
      </c>
      <c r="D44" s="10">
        <v>0</v>
      </c>
      <c r="E44" s="11">
        <v>0</v>
      </c>
      <c r="F44" s="10">
        <v>0</v>
      </c>
      <c r="G44" s="430">
        <v>0</v>
      </c>
      <c r="H44" s="8">
        <v>0</v>
      </c>
      <c r="I44" s="10">
        <v>0</v>
      </c>
      <c r="J44" s="10">
        <v>0</v>
      </c>
      <c r="K44" s="10">
        <v>0</v>
      </c>
      <c r="L44" s="11">
        <v>0</v>
      </c>
      <c r="M44" s="10">
        <v>0</v>
      </c>
      <c r="N44" s="430">
        <v>0</v>
      </c>
      <c r="O44" s="8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430"/>
      <c r="V44" s="9">
        <v>0</v>
      </c>
      <c r="W44" s="28">
        <v>0</v>
      </c>
    </row>
    <row r="45" spans="1:23" x14ac:dyDescent="0.45">
      <c r="A45" s="64">
        <v>26785</v>
      </c>
      <c r="B45" s="14">
        <v>0</v>
      </c>
      <c r="C45" s="10">
        <v>0</v>
      </c>
      <c r="D45" s="10">
        <v>0</v>
      </c>
      <c r="E45" s="11">
        <v>0</v>
      </c>
      <c r="F45" s="10">
        <v>0</v>
      </c>
      <c r="G45" s="430">
        <v>0</v>
      </c>
      <c r="H45" s="8">
        <v>0</v>
      </c>
      <c r="I45" s="10">
        <v>0</v>
      </c>
      <c r="J45" s="10">
        <v>0</v>
      </c>
      <c r="K45" s="10">
        <v>0</v>
      </c>
      <c r="L45" s="11">
        <v>0</v>
      </c>
      <c r="M45" s="10">
        <v>0</v>
      </c>
      <c r="N45" s="430">
        <v>0</v>
      </c>
      <c r="O45" s="8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430"/>
      <c r="V45" s="9">
        <v>0</v>
      </c>
      <c r="W45" s="28">
        <v>0</v>
      </c>
    </row>
    <row r="46" spans="1:23" x14ac:dyDescent="0.45">
      <c r="A46" s="64">
        <v>26816</v>
      </c>
      <c r="B46" s="14">
        <v>0</v>
      </c>
      <c r="C46" s="10">
        <v>0</v>
      </c>
      <c r="D46" s="10">
        <v>0</v>
      </c>
      <c r="E46" s="11">
        <v>0</v>
      </c>
      <c r="F46" s="10">
        <v>0</v>
      </c>
      <c r="G46" s="430">
        <v>0</v>
      </c>
      <c r="H46" s="8">
        <v>0</v>
      </c>
      <c r="I46" s="10">
        <v>0</v>
      </c>
      <c r="J46" s="10">
        <v>0</v>
      </c>
      <c r="K46" s="10">
        <v>0</v>
      </c>
      <c r="L46" s="11">
        <v>0</v>
      </c>
      <c r="M46" s="10">
        <v>0</v>
      </c>
      <c r="N46" s="430">
        <v>0</v>
      </c>
      <c r="O46" s="8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430"/>
      <c r="V46" s="9">
        <v>0</v>
      </c>
      <c r="W46" s="28">
        <v>0</v>
      </c>
    </row>
    <row r="47" spans="1:23" x14ac:dyDescent="0.45">
      <c r="A47" s="64">
        <v>26846</v>
      </c>
      <c r="B47" s="14">
        <v>0</v>
      </c>
      <c r="C47" s="10">
        <v>0</v>
      </c>
      <c r="D47" s="10">
        <v>0</v>
      </c>
      <c r="E47" s="11">
        <v>0</v>
      </c>
      <c r="F47" s="10">
        <v>0</v>
      </c>
      <c r="G47" s="430">
        <v>0</v>
      </c>
      <c r="H47" s="8">
        <v>0</v>
      </c>
      <c r="I47" s="10">
        <v>0</v>
      </c>
      <c r="J47" s="10">
        <v>0</v>
      </c>
      <c r="K47" s="10">
        <v>0</v>
      </c>
      <c r="L47" s="11">
        <v>0</v>
      </c>
      <c r="M47" s="10">
        <v>0</v>
      </c>
      <c r="N47" s="430">
        <v>0</v>
      </c>
      <c r="O47" s="8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430"/>
      <c r="V47" s="9">
        <v>0</v>
      </c>
      <c r="W47" s="28">
        <v>0</v>
      </c>
    </row>
    <row r="48" spans="1:23" x14ac:dyDescent="0.45">
      <c r="A48" s="64">
        <v>26877</v>
      </c>
      <c r="B48" s="14">
        <v>0</v>
      </c>
      <c r="C48" s="10">
        <v>0</v>
      </c>
      <c r="D48" s="10">
        <v>0</v>
      </c>
      <c r="E48" s="11">
        <v>0</v>
      </c>
      <c r="F48" s="10">
        <v>0</v>
      </c>
      <c r="G48" s="430">
        <v>0</v>
      </c>
      <c r="H48" s="8">
        <v>0</v>
      </c>
      <c r="I48" s="10">
        <v>0</v>
      </c>
      <c r="J48" s="10">
        <v>0</v>
      </c>
      <c r="K48" s="10">
        <v>0</v>
      </c>
      <c r="L48" s="11">
        <v>0</v>
      </c>
      <c r="M48" s="10">
        <v>0</v>
      </c>
      <c r="N48" s="430">
        <v>0</v>
      </c>
      <c r="O48" s="8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430"/>
      <c r="V48" s="9">
        <v>0</v>
      </c>
      <c r="W48" s="28">
        <v>0</v>
      </c>
    </row>
    <row r="49" spans="1:23" x14ac:dyDescent="0.45">
      <c r="A49" s="64">
        <v>26908</v>
      </c>
      <c r="B49" s="14">
        <v>0</v>
      </c>
      <c r="C49" s="10">
        <v>0</v>
      </c>
      <c r="D49" s="10">
        <v>0</v>
      </c>
      <c r="E49" s="11">
        <v>0</v>
      </c>
      <c r="F49" s="10">
        <v>0</v>
      </c>
      <c r="G49" s="430">
        <v>0</v>
      </c>
      <c r="H49" s="8">
        <v>0</v>
      </c>
      <c r="I49" s="10">
        <v>1</v>
      </c>
      <c r="J49" s="10">
        <v>0</v>
      </c>
      <c r="K49" s="10">
        <v>0</v>
      </c>
      <c r="L49" s="11">
        <v>0</v>
      </c>
      <c r="M49" s="10">
        <v>0</v>
      </c>
      <c r="N49" s="430">
        <v>0</v>
      </c>
      <c r="O49" s="8">
        <v>1</v>
      </c>
      <c r="P49" s="10">
        <v>1</v>
      </c>
      <c r="Q49" s="10">
        <v>0</v>
      </c>
      <c r="R49" s="10">
        <v>0</v>
      </c>
      <c r="S49" s="10">
        <v>0</v>
      </c>
      <c r="T49" s="10">
        <v>0</v>
      </c>
      <c r="U49" s="430"/>
      <c r="V49" s="9">
        <v>1</v>
      </c>
      <c r="W49" s="28">
        <v>1</v>
      </c>
    </row>
    <row r="50" spans="1:23" x14ac:dyDescent="0.45">
      <c r="A50" s="64">
        <v>26938</v>
      </c>
      <c r="B50" s="14">
        <v>0</v>
      </c>
      <c r="C50" s="10">
        <v>0</v>
      </c>
      <c r="D50" s="10">
        <v>0</v>
      </c>
      <c r="E50" s="11">
        <v>0</v>
      </c>
      <c r="F50" s="10">
        <v>0</v>
      </c>
      <c r="G50" s="430">
        <v>0</v>
      </c>
      <c r="H50" s="8">
        <v>0</v>
      </c>
      <c r="I50" s="10">
        <v>0</v>
      </c>
      <c r="J50" s="10">
        <v>0</v>
      </c>
      <c r="K50" s="10">
        <v>0</v>
      </c>
      <c r="L50" s="11">
        <v>0</v>
      </c>
      <c r="M50" s="10">
        <v>0</v>
      </c>
      <c r="N50" s="430">
        <v>0</v>
      </c>
      <c r="O50" s="8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430"/>
      <c r="V50" s="9">
        <v>0</v>
      </c>
      <c r="W50" s="28">
        <v>1</v>
      </c>
    </row>
    <row r="51" spans="1:23" x14ac:dyDescent="0.45">
      <c r="A51" s="64">
        <v>26969</v>
      </c>
      <c r="B51" s="14">
        <v>0</v>
      </c>
      <c r="C51" s="10">
        <v>0</v>
      </c>
      <c r="D51" s="10">
        <v>0</v>
      </c>
      <c r="E51" s="11">
        <v>0</v>
      </c>
      <c r="F51" s="10">
        <v>0</v>
      </c>
      <c r="G51" s="430">
        <v>0</v>
      </c>
      <c r="H51" s="8">
        <v>0</v>
      </c>
      <c r="I51" s="10">
        <v>0</v>
      </c>
      <c r="J51" s="10">
        <v>0</v>
      </c>
      <c r="K51" s="10">
        <v>0</v>
      </c>
      <c r="L51" s="11">
        <v>0</v>
      </c>
      <c r="M51" s="10">
        <v>0</v>
      </c>
      <c r="N51" s="430">
        <v>0</v>
      </c>
      <c r="O51" s="8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430"/>
      <c r="V51" s="9">
        <v>0</v>
      </c>
      <c r="W51" s="28">
        <v>1</v>
      </c>
    </row>
    <row r="52" spans="1:23" ht="19.5" customHeight="1" thickBot="1" x14ac:dyDescent="0.5">
      <c r="A52" s="65">
        <v>26999</v>
      </c>
      <c r="B52" s="17">
        <v>0</v>
      </c>
      <c r="C52" s="18">
        <v>0</v>
      </c>
      <c r="D52" s="18">
        <v>0</v>
      </c>
      <c r="E52" s="18">
        <v>0</v>
      </c>
      <c r="F52" s="18">
        <v>0</v>
      </c>
      <c r="G52" s="432">
        <v>0</v>
      </c>
      <c r="H52" s="19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432">
        <v>0</v>
      </c>
      <c r="O52" s="19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432"/>
      <c r="V52" s="19">
        <v>0</v>
      </c>
      <c r="W52" s="28">
        <v>1</v>
      </c>
    </row>
    <row r="53" spans="1:23" ht="19.5" customHeight="1" thickTop="1" x14ac:dyDescent="0.45">
      <c r="A53" s="63">
        <v>27030</v>
      </c>
      <c r="B53" s="14">
        <v>0</v>
      </c>
      <c r="C53" s="10">
        <v>0</v>
      </c>
      <c r="D53" s="10">
        <v>0</v>
      </c>
      <c r="E53" s="10">
        <v>0</v>
      </c>
      <c r="F53" s="10">
        <v>0</v>
      </c>
      <c r="G53" s="430">
        <v>0</v>
      </c>
      <c r="H53" s="9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430">
        <v>0</v>
      </c>
      <c r="O53" s="9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430"/>
      <c r="V53" s="9">
        <v>0</v>
      </c>
      <c r="W53" s="28">
        <v>0</v>
      </c>
    </row>
    <row r="54" spans="1:23" x14ac:dyDescent="0.45">
      <c r="A54" s="64">
        <v>27061</v>
      </c>
      <c r="B54" s="14">
        <v>0</v>
      </c>
      <c r="C54" s="10">
        <v>0</v>
      </c>
      <c r="D54" s="10">
        <v>0</v>
      </c>
      <c r="E54" s="11">
        <v>0</v>
      </c>
      <c r="F54" s="10">
        <v>0</v>
      </c>
      <c r="G54" s="430">
        <v>0</v>
      </c>
      <c r="H54" s="8">
        <v>0</v>
      </c>
      <c r="I54" s="10">
        <v>0</v>
      </c>
      <c r="J54" s="10">
        <v>0</v>
      </c>
      <c r="K54" s="10">
        <v>0</v>
      </c>
      <c r="L54" s="11">
        <v>0</v>
      </c>
      <c r="M54" s="10">
        <v>0</v>
      </c>
      <c r="N54" s="430">
        <v>0</v>
      </c>
      <c r="O54" s="8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430"/>
      <c r="V54" s="9">
        <v>0</v>
      </c>
      <c r="W54" s="28">
        <v>0</v>
      </c>
    </row>
    <row r="55" spans="1:23" x14ac:dyDescent="0.45">
      <c r="A55" s="64">
        <v>27089</v>
      </c>
      <c r="B55" s="14">
        <v>0</v>
      </c>
      <c r="C55" s="10">
        <v>0</v>
      </c>
      <c r="D55" s="10">
        <v>0</v>
      </c>
      <c r="E55" s="11">
        <v>0</v>
      </c>
      <c r="F55" s="10">
        <v>0</v>
      </c>
      <c r="G55" s="430">
        <v>0</v>
      </c>
      <c r="H55" s="8">
        <v>0</v>
      </c>
      <c r="I55" s="10">
        <v>0</v>
      </c>
      <c r="J55" s="10">
        <v>0</v>
      </c>
      <c r="K55" s="10">
        <v>0</v>
      </c>
      <c r="L55" s="11">
        <v>0</v>
      </c>
      <c r="M55" s="10">
        <v>0</v>
      </c>
      <c r="N55" s="430">
        <v>0</v>
      </c>
      <c r="O55" s="8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430"/>
      <c r="V55" s="9">
        <v>0</v>
      </c>
      <c r="W55" s="28">
        <v>0</v>
      </c>
    </row>
    <row r="56" spans="1:23" x14ac:dyDescent="0.45">
      <c r="A56" s="64">
        <v>27120</v>
      </c>
      <c r="B56" s="14">
        <v>0</v>
      </c>
      <c r="C56" s="10">
        <v>0</v>
      </c>
      <c r="D56" s="10">
        <v>0</v>
      </c>
      <c r="E56" s="11">
        <v>0</v>
      </c>
      <c r="F56" s="10">
        <v>0</v>
      </c>
      <c r="G56" s="430">
        <v>0</v>
      </c>
      <c r="H56" s="8">
        <v>0</v>
      </c>
      <c r="I56" s="10">
        <v>0</v>
      </c>
      <c r="J56" s="10">
        <v>0</v>
      </c>
      <c r="K56" s="10">
        <v>0</v>
      </c>
      <c r="L56" s="11">
        <v>0</v>
      </c>
      <c r="M56" s="10">
        <v>0</v>
      </c>
      <c r="N56" s="430">
        <v>0</v>
      </c>
      <c r="O56" s="8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430"/>
      <c r="V56" s="9">
        <v>0</v>
      </c>
      <c r="W56" s="28">
        <v>0</v>
      </c>
    </row>
    <row r="57" spans="1:23" x14ac:dyDescent="0.45">
      <c r="A57" s="64">
        <v>27150</v>
      </c>
      <c r="B57" s="14">
        <v>0</v>
      </c>
      <c r="C57" s="10">
        <v>0</v>
      </c>
      <c r="D57" s="10">
        <v>0</v>
      </c>
      <c r="E57" s="11">
        <v>0</v>
      </c>
      <c r="F57" s="10">
        <v>0</v>
      </c>
      <c r="G57" s="430">
        <v>0</v>
      </c>
      <c r="H57" s="8">
        <v>0</v>
      </c>
      <c r="I57" s="10">
        <v>0</v>
      </c>
      <c r="J57" s="10">
        <v>0</v>
      </c>
      <c r="K57" s="10">
        <v>0</v>
      </c>
      <c r="L57" s="11">
        <v>0</v>
      </c>
      <c r="M57" s="10">
        <v>0</v>
      </c>
      <c r="N57" s="430">
        <v>0</v>
      </c>
      <c r="O57" s="8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430"/>
      <c r="V57" s="9">
        <v>0</v>
      </c>
      <c r="W57" s="28">
        <v>0</v>
      </c>
    </row>
    <row r="58" spans="1:23" x14ac:dyDescent="0.45">
      <c r="A58" s="64">
        <v>27181</v>
      </c>
      <c r="B58" s="14">
        <v>0</v>
      </c>
      <c r="C58" s="10">
        <v>0</v>
      </c>
      <c r="D58" s="10">
        <v>0</v>
      </c>
      <c r="E58" s="11">
        <v>0</v>
      </c>
      <c r="F58" s="10">
        <v>0</v>
      </c>
      <c r="G58" s="430">
        <v>0</v>
      </c>
      <c r="H58" s="8">
        <v>0</v>
      </c>
      <c r="I58" s="10">
        <v>0</v>
      </c>
      <c r="J58" s="10">
        <v>0</v>
      </c>
      <c r="K58" s="10">
        <v>0</v>
      </c>
      <c r="L58" s="11">
        <v>0</v>
      </c>
      <c r="M58" s="10">
        <v>0</v>
      </c>
      <c r="N58" s="430">
        <v>0</v>
      </c>
      <c r="O58" s="8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430"/>
      <c r="V58" s="9">
        <v>0</v>
      </c>
      <c r="W58" s="28">
        <v>0</v>
      </c>
    </row>
    <row r="59" spans="1:23" x14ac:dyDescent="0.45">
      <c r="A59" s="64">
        <v>27211</v>
      </c>
      <c r="B59" s="14">
        <v>0</v>
      </c>
      <c r="C59" s="10">
        <v>0</v>
      </c>
      <c r="D59" s="10">
        <v>0</v>
      </c>
      <c r="E59" s="11">
        <v>0</v>
      </c>
      <c r="F59" s="10">
        <v>0</v>
      </c>
      <c r="G59" s="430">
        <v>0</v>
      </c>
      <c r="H59" s="8">
        <v>0</v>
      </c>
      <c r="I59" s="10">
        <v>1</v>
      </c>
      <c r="J59" s="10">
        <v>0</v>
      </c>
      <c r="K59" s="10">
        <v>0</v>
      </c>
      <c r="L59" s="11">
        <v>0</v>
      </c>
      <c r="M59" s="10">
        <v>0</v>
      </c>
      <c r="N59" s="430">
        <v>0</v>
      </c>
      <c r="O59" s="8">
        <v>1</v>
      </c>
      <c r="P59" s="10">
        <v>1</v>
      </c>
      <c r="Q59" s="10">
        <v>0</v>
      </c>
      <c r="R59" s="10">
        <v>0</v>
      </c>
      <c r="S59" s="10">
        <v>0</v>
      </c>
      <c r="T59" s="10">
        <v>0</v>
      </c>
      <c r="U59" s="430"/>
      <c r="V59" s="9">
        <v>1</v>
      </c>
      <c r="W59" s="28">
        <v>1</v>
      </c>
    </row>
    <row r="60" spans="1:23" x14ac:dyDescent="0.45">
      <c r="A60" s="64">
        <v>27242</v>
      </c>
      <c r="B60" s="14">
        <v>0</v>
      </c>
      <c r="C60" s="10">
        <v>0</v>
      </c>
      <c r="D60" s="10">
        <v>0</v>
      </c>
      <c r="E60" s="11">
        <v>0</v>
      </c>
      <c r="F60" s="10">
        <v>0</v>
      </c>
      <c r="G60" s="430">
        <v>0</v>
      </c>
      <c r="H60" s="8">
        <v>0</v>
      </c>
      <c r="I60" s="10">
        <v>0</v>
      </c>
      <c r="J60" s="10">
        <v>0</v>
      </c>
      <c r="K60" s="10">
        <v>0</v>
      </c>
      <c r="L60" s="11">
        <v>0</v>
      </c>
      <c r="M60" s="10">
        <v>0</v>
      </c>
      <c r="N60" s="430">
        <v>0</v>
      </c>
      <c r="O60" s="8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430"/>
      <c r="V60" s="9">
        <v>0</v>
      </c>
      <c r="W60" s="28">
        <v>1</v>
      </c>
    </row>
    <row r="61" spans="1:23" x14ac:dyDescent="0.45">
      <c r="A61" s="64">
        <v>27273</v>
      </c>
      <c r="B61" s="14">
        <v>0</v>
      </c>
      <c r="C61" s="10">
        <v>0</v>
      </c>
      <c r="D61" s="10">
        <v>0</v>
      </c>
      <c r="E61" s="11">
        <v>0</v>
      </c>
      <c r="F61" s="10">
        <v>0</v>
      </c>
      <c r="G61" s="430">
        <v>0</v>
      </c>
      <c r="H61" s="8">
        <v>0</v>
      </c>
      <c r="I61" s="10">
        <v>0</v>
      </c>
      <c r="J61" s="10">
        <v>0</v>
      </c>
      <c r="K61" s="10">
        <v>0</v>
      </c>
      <c r="L61" s="11">
        <v>0</v>
      </c>
      <c r="M61" s="10">
        <v>0</v>
      </c>
      <c r="N61" s="430">
        <v>0</v>
      </c>
      <c r="O61" s="8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430"/>
      <c r="V61" s="9">
        <v>0</v>
      </c>
      <c r="W61" s="28">
        <v>1</v>
      </c>
    </row>
    <row r="62" spans="1:23" x14ac:dyDescent="0.45">
      <c r="A62" s="64">
        <v>27303</v>
      </c>
      <c r="B62" s="14">
        <v>0</v>
      </c>
      <c r="C62" s="10">
        <v>0</v>
      </c>
      <c r="D62" s="10">
        <v>0</v>
      </c>
      <c r="E62" s="11">
        <v>0</v>
      </c>
      <c r="F62" s="10">
        <v>0</v>
      </c>
      <c r="G62" s="430">
        <v>0</v>
      </c>
      <c r="H62" s="8">
        <v>0</v>
      </c>
      <c r="I62" s="10">
        <v>0</v>
      </c>
      <c r="J62" s="10">
        <v>0</v>
      </c>
      <c r="K62" s="10">
        <v>0</v>
      </c>
      <c r="L62" s="11">
        <v>0</v>
      </c>
      <c r="M62" s="10">
        <v>0</v>
      </c>
      <c r="N62" s="430">
        <v>0</v>
      </c>
      <c r="O62" s="8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430"/>
      <c r="V62" s="9">
        <v>0</v>
      </c>
      <c r="W62" s="28">
        <v>1</v>
      </c>
    </row>
    <row r="63" spans="1:23" x14ac:dyDescent="0.45">
      <c r="A63" s="64">
        <v>27334</v>
      </c>
      <c r="B63" s="14">
        <v>1</v>
      </c>
      <c r="C63" s="10">
        <v>0</v>
      </c>
      <c r="D63" s="10">
        <v>0</v>
      </c>
      <c r="E63" s="11">
        <v>0</v>
      </c>
      <c r="F63" s="10">
        <v>0</v>
      </c>
      <c r="G63" s="430">
        <v>0</v>
      </c>
      <c r="H63" s="8">
        <v>1</v>
      </c>
      <c r="I63" s="10">
        <v>0</v>
      </c>
      <c r="J63" s="10">
        <v>0</v>
      </c>
      <c r="K63" s="10">
        <v>0</v>
      </c>
      <c r="L63" s="11">
        <v>0</v>
      </c>
      <c r="M63" s="10">
        <v>0</v>
      </c>
      <c r="N63" s="430">
        <v>0</v>
      </c>
      <c r="O63" s="8">
        <v>0</v>
      </c>
      <c r="P63" s="10">
        <v>1</v>
      </c>
      <c r="Q63" s="10">
        <v>0</v>
      </c>
      <c r="R63" s="10">
        <v>0</v>
      </c>
      <c r="S63" s="10">
        <v>0</v>
      </c>
      <c r="T63" s="10">
        <v>0</v>
      </c>
      <c r="U63" s="430"/>
      <c r="V63" s="9">
        <v>1</v>
      </c>
      <c r="W63" s="28">
        <v>2</v>
      </c>
    </row>
    <row r="64" spans="1:23" ht="19.5" customHeight="1" thickBot="1" x14ac:dyDescent="0.5">
      <c r="A64" s="65">
        <v>27364</v>
      </c>
      <c r="B64" s="17">
        <v>0</v>
      </c>
      <c r="C64" s="18">
        <v>0</v>
      </c>
      <c r="D64" s="18">
        <v>0</v>
      </c>
      <c r="E64" s="18">
        <v>0</v>
      </c>
      <c r="F64" s="18">
        <v>0</v>
      </c>
      <c r="G64" s="432">
        <v>0</v>
      </c>
      <c r="H64" s="19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432">
        <v>0</v>
      </c>
      <c r="O64" s="19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432"/>
      <c r="V64" s="19">
        <v>0</v>
      </c>
      <c r="W64" s="28">
        <v>2</v>
      </c>
    </row>
    <row r="65" spans="1:23" ht="19.5" customHeight="1" thickTop="1" x14ac:dyDescent="0.45">
      <c r="A65" s="63">
        <v>27395</v>
      </c>
      <c r="B65" s="14">
        <v>0</v>
      </c>
      <c r="C65" s="10">
        <v>0</v>
      </c>
      <c r="D65" s="10">
        <v>0</v>
      </c>
      <c r="E65" s="10">
        <v>0</v>
      </c>
      <c r="F65" s="10">
        <v>0</v>
      </c>
      <c r="G65" s="430">
        <v>0</v>
      </c>
      <c r="H65" s="9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430">
        <v>0</v>
      </c>
      <c r="O65" s="9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430"/>
      <c r="V65" s="9">
        <v>0</v>
      </c>
      <c r="W65" s="28">
        <v>0</v>
      </c>
    </row>
    <row r="66" spans="1:23" x14ac:dyDescent="0.45">
      <c r="A66" s="64">
        <v>27426</v>
      </c>
      <c r="B66" s="14">
        <v>0</v>
      </c>
      <c r="C66" s="10">
        <v>0</v>
      </c>
      <c r="D66" s="10">
        <v>0</v>
      </c>
      <c r="E66" s="11">
        <v>0</v>
      </c>
      <c r="F66" s="10">
        <v>0</v>
      </c>
      <c r="G66" s="430">
        <v>0</v>
      </c>
      <c r="H66" s="8">
        <v>0</v>
      </c>
      <c r="I66" s="10">
        <v>0</v>
      </c>
      <c r="J66" s="10">
        <v>0</v>
      </c>
      <c r="K66" s="10">
        <v>0</v>
      </c>
      <c r="L66" s="11">
        <v>0</v>
      </c>
      <c r="M66" s="10">
        <v>0</v>
      </c>
      <c r="N66" s="430">
        <v>0</v>
      </c>
      <c r="O66" s="8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430"/>
      <c r="V66" s="9">
        <v>0</v>
      </c>
      <c r="W66" s="28">
        <v>0</v>
      </c>
    </row>
    <row r="67" spans="1:23" x14ac:dyDescent="0.45">
      <c r="A67" s="64">
        <v>27454</v>
      </c>
      <c r="B67" s="14">
        <v>0</v>
      </c>
      <c r="C67" s="10">
        <v>0</v>
      </c>
      <c r="D67" s="10">
        <v>0</v>
      </c>
      <c r="E67" s="11">
        <v>0</v>
      </c>
      <c r="F67" s="10">
        <v>0</v>
      </c>
      <c r="G67" s="430">
        <v>0</v>
      </c>
      <c r="H67" s="8">
        <v>0</v>
      </c>
      <c r="I67" s="10">
        <v>0</v>
      </c>
      <c r="J67" s="10">
        <v>0</v>
      </c>
      <c r="K67" s="10">
        <v>0</v>
      </c>
      <c r="L67" s="11">
        <v>0</v>
      </c>
      <c r="M67" s="10">
        <v>0</v>
      </c>
      <c r="N67" s="430">
        <v>0</v>
      </c>
      <c r="O67" s="8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430"/>
      <c r="V67" s="9">
        <v>0</v>
      </c>
      <c r="W67" s="28">
        <v>0</v>
      </c>
    </row>
    <row r="68" spans="1:23" x14ac:dyDescent="0.45">
      <c r="A68" s="64">
        <v>27485</v>
      </c>
      <c r="B68" s="14">
        <v>0</v>
      </c>
      <c r="C68" s="10">
        <v>0</v>
      </c>
      <c r="D68" s="10">
        <v>0</v>
      </c>
      <c r="E68" s="11">
        <v>0</v>
      </c>
      <c r="F68" s="10">
        <v>0</v>
      </c>
      <c r="G68" s="430">
        <v>0</v>
      </c>
      <c r="H68" s="8">
        <v>0</v>
      </c>
      <c r="I68" s="10">
        <v>0</v>
      </c>
      <c r="J68" s="10">
        <v>0</v>
      </c>
      <c r="K68" s="10">
        <v>0</v>
      </c>
      <c r="L68" s="11">
        <v>0</v>
      </c>
      <c r="M68" s="10">
        <v>0</v>
      </c>
      <c r="N68" s="430">
        <v>0</v>
      </c>
      <c r="O68" s="8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430"/>
      <c r="V68" s="9">
        <v>0</v>
      </c>
      <c r="W68" s="28">
        <v>0</v>
      </c>
    </row>
    <row r="69" spans="1:23" x14ac:dyDescent="0.45">
      <c r="A69" s="64">
        <v>27515</v>
      </c>
      <c r="B69" s="14">
        <v>0</v>
      </c>
      <c r="C69" s="10">
        <v>0</v>
      </c>
      <c r="D69" s="10">
        <v>0</v>
      </c>
      <c r="E69" s="11">
        <v>0</v>
      </c>
      <c r="F69" s="10">
        <v>0</v>
      </c>
      <c r="G69" s="430">
        <v>0</v>
      </c>
      <c r="H69" s="8">
        <v>0</v>
      </c>
      <c r="I69" s="10">
        <v>0</v>
      </c>
      <c r="J69" s="10">
        <v>0</v>
      </c>
      <c r="K69" s="10">
        <v>0</v>
      </c>
      <c r="L69" s="11">
        <v>0</v>
      </c>
      <c r="M69" s="10">
        <v>0</v>
      </c>
      <c r="N69" s="430">
        <v>0</v>
      </c>
      <c r="O69" s="8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430"/>
      <c r="V69" s="9">
        <v>0</v>
      </c>
      <c r="W69" s="28">
        <v>0</v>
      </c>
    </row>
    <row r="70" spans="1:23" x14ac:dyDescent="0.45">
      <c r="A70" s="64">
        <v>27546</v>
      </c>
      <c r="B70" s="14">
        <v>0</v>
      </c>
      <c r="C70" s="10">
        <v>0</v>
      </c>
      <c r="D70" s="10">
        <v>0</v>
      </c>
      <c r="E70" s="11">
        <v>0</v>
      </c>
      <c r="F70" s="10">
        <v>0</v>
      </c>
      <c r="G70" s="430">
        <v>0</v>
      </c>
      <c r="H70" s="8">
        <v>0</v>
      </c>
      <c r="I70" s="10">
        <v>0</v>
      </c>
      <c r="J70" s="10">
        <v>0</v>
      </c>
      <c r="K70" s="10">
        <v>0</v>
      </c>
      <c r="L70" s="11">
        <v>0</v>
      </c>
      <c r="M70" s="10">
        <v>0</v>
      </c>
      <c r="N70" s="430">
        <v>0</v>
      </c>
      <c r="O70" s="8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430"/>
      <c r="V70" s="9">
        <v>0</v>
      </c>
      <c r="W70" s="28">
        <v>0</v>
      </c>
    </row>
    <row r="71" spans="1:23" x14ac:dyDescent="0.45">
      <c r="A71" s="64">
        <v>27576</v>
      </c>
      <c r="B71" s="14">
        <v>0</v>
      </c>
      <c r="C71" s="10">
        <v>0</v>
      </c>
      <c r="D71" s="10">
        <v>0</v>
      </c>
      <c r="E71" s="11">
        <v>0</v>
      </c>
      <c r="F71" s="10">
        <v>0</v>
      </c>
      <c r="G71" s="430">
        <v>0</v>
      </c>
      <c r="H71" s="8">
        <v>0</v>
      </c>
      <c r="I71" s="10">
        <v>1</v>
      </c>
      <c r="J71" s="10">
        <v>0</v>
      </c>
      <c r="K71" s="10">
        <v>0</v>
      </c>
      <c r="L71" s="11">
        <v>0</v>
      </c>
      <c r="M71" s="10">
        <v>0</v>
      </c>
      <c r="N71" s="430">
        <v>0</v>
      </c>
      <c r="O71" s="8">
        <v>1</v>
      </c>
      <c r="P71" s="10">
        <v>1</v>
      </c>
      <c r="Q71" s="10">
        <v>0</v>
      </c>
      <c r="R71" s="10">
        <v>0</v>
      </c>
      <c r="S71" s="10">
        <v>0</v>
      </c>
      <c r="T71" s="10">
        <v>0</v>
      </c>
      <c r="U71" s="430"/>
      <c r="V71" s="9">
        <v>1</v>
      </c>
      <c r="W71" s="28">
        <v>1</v>
      </c>
    </row>
    <row r="72" spans="1:23" x14ac:dyDescent="0.45">
      <c r="A72" s="64">
        <v>27607</v>
      </c>
      <c r="B72" s="14">
        <v>0</v>
      </c>
      <c r="C72" s="10">
        <v>0</v>
      </c>
      <c r="D72" s="10">
        <v>0</v>
      </c>
      <c r="E72" s="11">
        <v>0</v>
      </c>
      <c r="F72" s="10">
        <v>0</v>
      </c>
      <c r="G72" s="430">
        <v>0</v>
      </c>
      <c r="H72" s="8">
        <v>0</v>
      </c>
      <c r="I72" s="10">
        <v>0</v>
      </c>
      <c r="J72" s="10">
        <v>0</v>
      </c>
      <c r="K72" s="10">
        <v>0</v>
      </c>
      <c r="L72" s="11">
        <v>0</v>
      </c>
      <c r="M72" s="10">
        <v>0</v>
      </c>
      <c r="N72" s="430">
        <v>0</v>
      </c>
      <c r="O72" s="8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430"/>
      <c r="V72" s="9">
        <v>0</v>
      </c>
      <c r="W72" s="28">
        <v>1</v>
      </c>
    </row>
    <row r="73" spans="1:23" x14ac:dyDescent="0.45">
      <c r="A73" s="64">
        <v>27638</v>
      </c>
      <c r="B73" s="14">
        <v>0</v>
      </c>
      <c r="C73" s="10">
        <v>0</v>
      </c>
      <c r="D73" s="10">
        <v>0</v>
      </c>
      <c r="E73" s="11">
        <v>0</v>
      </c>
      <c r="F73" s="10">
        <v>0</v>
      </c>
      <c r="G73" s="430">
        <v>0</v>
      </c>
      <c r="H73" s="8">
        <v>0</v>
      </c>
      <c r="I73" s="10">
        <v>0</v>
      </c>
      <c r="J73" s="10">
        <v>0</v>
      </c>
      <c r="K73" s="10">
        <v>0</v>
      </c>
      <c r="L73" s="11">
        <v>0</v>
      </c>
      <c r="M73" s="10">
        <v>0</v>
      </c>
      <c r="N73" s="430">
        <v>0</v>
      </c>
      <c r="O73" s="8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430"/>
      <c r="V73" s="9">
        <v>0</v>
      </c>
      <c r="W73" s="28">
        <v>1</v>
      </c>
    </row>
    <row r="74" spans="1:23" x14ac:dyDescent="0.45">
      <c r="A74" s="64">
        <v>27668</v>
      </c>
      <c r="B74" s="14">
        <v>0</v>
      </c>
      <c r="C74" s="10">
        <v>0</v>
      </c>
      <c r="D74" s="10">
        <v>0</v>
      </c>
      <c r="E74" s="11">
        <v>0</v>
      </c>
      <c r="F74" s="10">
        <v>0</v>
      </c>
      <c r="G74" s="430">
        <v>0</v>
      </c>
      <c r="H74" s="8">
        <v>0</v>
      </c>
      <c r="I74" s="10">
        <v>0</v>
      </c>
      <c r="J74" s="10">
        <v>0</v>
      </c>
      <c r="K74" s="10">
        <v>0</v>
      </c>
      <c r="L74" s="11">
        <v>0</v>
      </c>
      <c r="M74" s="10">
        <v>0</v>
      </c>
      <c r="N74" s="430">
        <v>0</v>
      </c>
      <c r="O74" s="8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430"/>
      <c r="V74" s="9">
        <v>0</v>
      </c>
      <c r="W74" s="28">
        <v>1</v>
      </c>
    </row>
    <row r="75" spans="1:23" x14ac:dyDescent="0.45">
      <c r="A75" s="64">
        <v>27699</v>
      </c>
      <c r="B75" s="14">
        <v>1</v>
      </c>
      <c r="C75" s="10">
        <v>0</v>
      </c>
      <c r="D75" s="10">
        <v>0</v>
      </c>
      <c r="E75" s="11">
        <v>0</v>
      </c>
      <c r="F75" s="10">
        <v>0</v>
      </c>
      <c r="G75" s="430">
        <v>0</v>
      </c>
      <c r="H75" s="8">
        <v>1</v>
      </c>
      <c r="I75" s="10">
        <v>0</v>
      </c>
      <c r="J75" s="10">
        <v>0</v>
      </c>
      <c r="K75" s="10">
        <v>0</v>
      </c>
      <c r="L75" s="11">
        <v>0</v>
      </c>
      <c r="M75" s="10">
        <v>0</v>
      </c>
      <c r="N75" s="430">
        <v>0</v>
      </c>
      <c r="O75" s="8">
        <v>0</v>
      </c>
      <c r="P75" s="10">
        <v>1</v>
      </c>
      <c r="Q75" s="10">
        <v>0</v>
      </c>
      <c r="R75" s="10">
        <v>0</v>
      </c>
      <c r="S75" s="10">
        <v>0</v>
      </c>
      <c r="T75" s="10">
        <v>0</v>
      </c>
      <c r="U75" s="430"/>
      <c r="V75" s="9">
        <v>1</v>
      </c>
      <c r="W75" s="28">
        <v>2</v>
      </c>
    </row>
    <row r="76" spans="1:23" ht="19.5" customHeight="1" thickBot="1" x14ac:dyDescent="0.5">
      <c r="A76" s="65">
        <v>27729</v>
      </c>
      <c r="B76" s="17">
        <v>0</v>
      </c>
      <c r="C76" s="18">
        <v>0</v>
      </c>
      <c r="D76" s="18">
        <v>0</v>
      </c>
      <c r="E76" s="18">
        <v>0</v>
      </c>
      <c r="F76" s="18">
        <v>0</v>
      </c>
      <c r="G76" s="432">
        <v>0</v>
      </c>
      <c r="H76" s="19">
        <v>0</v>
      </c>
      <c r="I76" s="18">
        <v>1</v>
      </c>
      <c r="J76" s="18">
        <v>0</v>
      </c>
      <c r="K76" s="18">
        <v>0</v>
      </c>
      <c r="L76" s="18">
        <v>0</v>
      </c>
      <c r="M76" s="18">
        <v>0</v>
      </c>
      <c r="N76" s="432">
        <v>0</v>
      </c>
      <c r="O76" s="19">
        <v>1</v>
      </c>
      <c r="P76" s="18">
        <v>1</v>
      </c>
      <c r="Q76" s="18">
        <v>0</v>
      </c>
      <c r="R76" s="18">
        <v>0</v>
      </c>
      <c r="S76" s="18">
        <v>0</v>
      </c>
      <c r="T76" s="18">
        <v>0</v>
      </c>
      <c r="U76" s="432"/>
      <c r="V76" s="19">
        <v>1</v>
      </c>
      <c r="W76" s="28">
        <v>3</v>
      </c>
    </row>
    <row r="77" spans="1:23" ht="19.5" customHeight="1" thickTop="1" x14ac:dyDescent="0.45">
      <c r="A77" s="63">
        <v>27760</v>
      </c>
      <c r="B77" s="14">
        <v>0</v>
      </c>
      <c r="C77" s="10">
        <v>0</v>
      </c>
      <c r="D77" s="10">
        <v>0</v>
      </c>
      <c r="E77" s="10">
        <v>0</v>
      </c>
      <c r="F77" s="10">
        <v>0</v>
      </c>
      <c r="G77" s="430">
        <v>0</v>
      </c>
      <c r="H77" s="9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430">
        <v>0</v>
      </c>
      <c r="O77" s="9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430"/>
      <c r="V77" s="9">
        <v>0</v>
      </c>
      <c r="W77" s="28">
        <v>0</v>
      </c>
    </row>
    <row r="78" spans="1:23" x14ac:dyDescent="0.45">
      <c r="A78" s="64">
        <v>27791</v>
      </c>
      <c r="B78" s="14">
        <v>0</v>
      </c>
      <c r="C78" s="10">
        <v>0</v>
      </c>
      <c r="D78" s="10">
        <v>0</v>
      </c>
      <c r="E78" s="11">
        <v>0</v>
      </c>
      <c r="F78" s="10">
        <v>0</v>
      </c>
      <c r="G78" s="430">
        <v>0</v>
      </c>
      <c r="H78" s="8">
        <v>0</v>
      </c>
      <c r="I78" s="10">
        <v>0</v>
      </c>
      <c r="J78" s="10">
        <v>0</v>
      </c>
      <c r="K78" s="10">
        <v>0</v>
      </c>
      <c r="L78" s="11">
        <v>0</v>
      </c>
      <c r="M78" s="10">
        <v>0</v>
      </c>
      <c r="N78" s="430">
        <v>0</v>
      </c>
      <c r="O78" s="8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430"/>
      <c r="V78" s="9">
        <v>0</v>
      </c>
      <c r="W78" s="28">
        <v>0</v>
      </c>
    </row>
    <row r="79" spans="1:23" x14ac:dyDescent="0.45">
      <c r="A79" s="64">
        <v>27820</v>
      </c>
      <c r="B79" s="14">
        <v>0</v>
      </c>
      <c r="C79" s="10">
        <v>0</v>
      </c>
      <c r="D79" s="10">
        <v>0</v>
      </c>
      <c r="E79" s="11">
        <v>0</v>
      </c>
      <c r="F79" s="10">
        <v>0</v>
      </c>
      <c r="G79" s="430">
        <v>0</v>
      </c>
      <c r="H79" s="8">
        <v>0</v>
      </c>
      <c r="I79" s="10">
        <v>0</v>
      </c>
      <c r="J79" s="10">
        <v>0</v>
      </c>
      <c r="K79" s="10">
        <v>0</v>
      </c>
      <c r="L79" s="11">
        <v>0</v>
      </c>
      <c r="M79" s="10">
        <v>0</v>
      </c>
      <c r="N79" s="430">
        <v>0</v>
      </c>
      <c r="O79" s="8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430"/>
      <c r="V79" s="9">
        <v>0</v>
      </c>
      <c r="W79" s="28">
        <v>0</v>
      </c>
    </row>
    <row r="80" spans="1:23" x14ac:dyDescent="0.45">
      <c r="A80" s="64">
        <v>27851</v>
      </c>
      <c r="B80" s="14">
        <v>0</v>
      </c>
      <c r="C80" s="10">
        <v>0</v>
      </c>
      <c r="D80" s="10">
        <v>0</v>
      </c>
      <c r="E80" s="11">
        <v>0</v>
      </c>
      <c r="F80" s="10">
        <v>0</v>
      </c>
      <c r="G80" s="430">
        <v>0</v>
      </c>
      <c r="H80" s="8">
        <v>0</v>
      </c>
      <c r="I80" s="10">
        <v>0</v>
      </c>
      <c r="J80" s="10">
        <v>0</v>
      </c>
      <c r="K80" s="10">
        <v>0</v>
      </c>
      <c r="L80" s="11">
        <v>0</v>
      </c>
      <c r="M80" s="10">
        <v>0</v>
      </c>
      <c r="N80" s="430">
        <v>0</v>
      </c>
      <c r="O80" s="8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430"/>
      <c r="V80" s="9">
        <v>0</v>
      </c>
      <c r="W80" s="28">
        <v>0</v>
      </c>
    </row>
    <row r="81" spans="1:23" x14ac:dyDescent="0.45">
      <c r="A81" s="64">
        <v>27881</v>
      </c>
      <c r="B81" s="14">
        <v>0</v>
      </c>
      <c r="C81" s="10">
        <v>0</v>
      </c>
      <c r="D81" s="10">
        <v>0</v>
      </c>
      <c r="E81" s="11">
        <v>0</v>
      </c>
      <c r="F81" s="10">
        <v>0</v>
      </c>
      <c r="G81" s="430">
        <v>0</v>
      </c>
      <c r="H81" s="8">
        <v>0</v>
      </c>
      <c r="I81" s="10">
        <v>0</v>
      </c>
      <c r="J81" s="10">
        <v>0</v>
      </c>
      <c r="K81" s="10">
        <v>0</v>
      </c>
      <c r="L81" s="11">
        <v>0</v>
      </c>
      <c r="M81" s="10">
        <v>0</v>
      </c>
      <c r="N81" s="430">
        <v>0</v>
      </c>
      <c r="O81" s="8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430"/>
      <c r="V81" s="9">
        <v>0</v>
      </c>
      <c r="W81" s="28">
        <v>0</v>
      </c>
    </row>
    <row r="82" spans="1:23" x14ac:dyDescent="0.45">
      <c r="A82" s="64">
        <v>27912</v>
      </c>
      <c r="B82" s="14">
        <v>0</v>
      </c>
      <c r="C82" s="10">
        <v>0</v>
      </c>
      <c r="D82" s="10">
        <v>0</v>
      </c>
      <c r="E82" s="11">
        <v>0</v>
      </c>
      <c r="F82" s="10">
        <v>0</v>
      </c>
      <c r="G82" s="430">
        <v>0</v>
      </c>
      <c r="H82" s="8">
        <v>0</v>
      </c>
      <c r="I82" s="10">
        <v>0</v>
      </c>
      <c r="J82" s="10">
        <v>0</v>
      </c>
      <c r="K82" s="10">
        <v>0</v>
      </c>
      <c r="L82" s="11">
        <v>0</v>
      </c>
      <c r="M82" s="10">
        <v>0</v>
      </c>
      <c r="N82" s="430">
        <v>0</v>
      </c>
      <c r="O82" s="8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430"/>
      <c r="V82" s="9">
        <v>0</v>
      </c>
      <c r="W82" s="28">
        <v>0</v>
      </c>
    </row>
    <row r="83" spans="1:23" x14ac:dyDescent="0.45">
      <c r="A83" s="64">
        <v>27942</v>
      </c>
      <c r="B83" s="14">
        <v>0</v>
      </c>
      <c r="C83" s="10">
        <v>0</v>
      </c>
      <c r="D83" s="10">
        <v>0</v>
      </c>
      <c r="E83" s="11">
        <v>0</v>
      </c>
      <c r="F83" s="10">
        <v>0</v>
      </c>
      <c r="G83" s="430">
        <v>0</v>
      </c>
      <c r="H83" s="8">
        <v>0</v>
      </c>
      <c r="I83" s="10">
        <v>0</v>
      </c>
      <c r="J83" s="10">
        <v>0</v>
      </c>
      <c r="K83" s="10">
        <v>0</v>
      </c>
      <c r="L83" s="11">
        <v>0</v>
      </c>
      <c r="M83" s="10">
        <v>0</v>
      </c>
      <c r="N83" s="430">
        <v>0</v>
      </c>
      <c r="O83" s="8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430"/>
      <c r="V83" s="9">
        <v>0</v>
      </c>
      <c r="W83" s="28">
        <v>0</v>
      </c>
    </row>
    <row r="84" spans="1:23" x14ac:dyDescent="0.45">
      <c r="A84" s="64">
        <v>27973</v>
      </c>
      <c r="B84" s="14">
        <v>0</v>
      </c>
      <c r="C84" s="10">
        <v>0</v>
      </c>
      <c r="D84" s="10">
        <v>0</v>
      </c>
      <c r="E84" s="11">
        <v>0</v>
      </c>
      <c r="F84" s="10">
        <v>0</v>
      </c>
      <c r="G84" s="430">
        <v>0</v>
      </c>
      <c r="H84" s="8">
        <v>0</v>
      </c>
      <c r="I84" s="10">
        <v>1</v>
      </c>
      <c r="J84" s="10">
        <v>0</v>
      </c>
      <c r="K84" s="10">
        <v>0</v>
      </c>
      <c r="L84" s="11">
        <v>0</v>
      </c>
      <c r="M84" s="10">
        <v>0</v>
      </c>
      <c r="N84" s="430">
        <v>0</v>
      </c>
      <c r="O84" s="8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430"/>
      <c r="V84" s="9">
        <v>1</v>
      </c>
      <c r="W84" s="28">
        <v>1</v>
      </c>
    </row>
    <row r="85" spans="1:23" x14ac:dyDescent="0.45">
      <c r="A85" s="64">
        <v>28004</v>
      </c>
      <c r="B85" s="14">
        <v>0</v>
      </c>
      <c r="C85" s="10">
        <v>0</v>
      </c>
      <c r="D85" s="10">
        <v>0</v>
      </c>
      <c r="E85" s="11">
        <v>0</v>
      </c>
      <c r="F85" s="10">
        <v>0</v>
      </c>
      <c r="G85" s="430">
        <v>0</v>
      </c>
      <c r="H85" s="8">
        <v>0</v>
      </c>
      <c r="I85" s="10">
        <v>0</v>
      </c>
      <c r="J85" s="10">
        <v>0</v>
      </c>
      <c r="K85" s="10">
        <v>0</v>
      </c>
      <c r="L85" s="11">
        <v>0</v>
      </c>
      <c r="M85" s="10">
        <v>0</v>
      </c>
      <c r="N85" s="430">
        <v>0</v>
      </c>
      <c r="O85" s="8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430"/>
      <c r="V85" s="9">
        <v>0</v>
      </c>
      <c r="W85" s="28">
        <v>1</v>
      </c>
    </row>
    <row r="86" spans="1:23" x14ac:dyDescent="0.45">
      <c r="A86" s="64">
        <v>28034</v>
      </c>
      <c r="B86" s="14">
        <v>0</v>
      </c>
      <c r="C86" s="10">
        <v>0</v>
      </c>
      <c r="D86" s="10">
        <v>0</v>
      </c>
      <c r="E86" s="11">
        <v>0</v>
      </c>
      <c r="F86" s="10">
        <v>0</v>
      </c>
      <c r="G86" s="430">
        <v>0</v>
      </c>
      <c r="H86" s="8">
        <v>0</v>
      </c>
      <c r="I86" s="10">
        <v>0</v>
      </c>
      <c r="J86" s="10">
        <v>0</v>
      </c>
      <c r="K86" s="10">
        <v>0</v>
      </c>
      <c r="L86" s="11">
        <v>0</v>
      </c>
      <c r="M86" s="10">
        <v>0</v>
      </c>
      <c r="N86" s="430">
        <v>0</v>
      </c>
      <c r="O86" s="8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430"/>
      <c r="V86" s="9">
        <v>0</v>
      </c>
      <c r="W86" s="28">
        <v>1</v>
      </c>
    </row>
    <row r="87" spans="1:23" x14ac:dyDescent="0.45">
      <c r="A87" s="64">
        <v>28065</v>
      </c>
      <c r="B87" s="14">
        <v>0</v>
      </c>
      <c r="C87" s="10">
        <v>0</v>
      </c>
      <c r="D87" s="10">
        <v>0</v>
      </c>
      <c r="E87" s="11">
        <v>0</v>
      </c>
      <c r="F87" s="10">
        <v>0</v>
      </c>
      <c r="G87" s="430">
        <v>0</v>
      </c>
      <c r="H87" s="8">
        <v>0</v>
      </c>
      <c r="I87" s="10">
        <v>1</v>
      </c>
      <c r="J87" s="10">
        <v>0</v>
      </c>
      <c r="K87" s="10">
        <v>0</v>
      </c>
      <c r="L87" s="11">
        <v>0</v>
      </c>
      <c r="M87" s="10">
        <v>0</v>
      </c>
      <c r="N87" s="430">
        <v>0</v>
      </c>
      <c r="O87" s="8">
        <v>1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430"/>
      <c r="V87" s="9">
        <v>1</v>
      </c>
      <c r="W87" s="28">
        <v>2</v>
      </c>
    </row>
    <row r="88" spans="1:23" ht="19.5" customHeight="1" thickBot="1" x14ac:dyDescent="0.5">
      <c r="A88" s="65">
        <v>28095</v>
      </c>
      <c r="B88" s="17">
        <v>1</v>
      </c>
      <c r="C88" s="18">
        <v>0</v>
      </c>
      <c r="D88" s="18">
        <v>0</v>
      </c>
      <c r="E88" s="18">
        <v>0</v>
      </c>
      <c r="F88" s="18">
        <v>0</v>
      </c>
      <c r="G88" s="432">
        <v>0</v>
      </c>
      <c r="H88" s="19">
        <v>1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432">
        <v>0</v>
      </c>
      <c r="O88" s="19">
        <v>0</v>
      </c>
      <c r="P88" s="18">
        <v>1</v>
      </c>
      <c r="Q88" s="18">
        <v>0</v>
      </c>
      <c r="R88" s="18">
        <v>0</v>
      </c>
      <c r="S88" s="18">
        <v>0</v>
      </c>
      <c r="T88" s="18">
        <v>0</v>
      </c>
      <c r="U88" s="432"/>
      <c r="V88" s="19">
        <v>1</v>
      </c>
      <c r="W88" s="28">
        <v>3</v>
      </c>
    </row>
    <row r="89" spans="1:23" ht="19.5" customHeight="1" thickTop="1" x14ac:dyDescent="0.45">
      <c r="A89" s="63">
        <v>28126</v>
      </c>
      <c r="B89" s="14">
        <v>0</v>
      </c>
      <c r="C89" s="10">
        <v>0</v>
      </c>
      <c r="D89" s="10">
        <v>0</v>
      </c>
      <c r="E89" s="10">
        <v>0</v>
      </c>
      <c r="F89" s="10">
        <v>0</v>
      </c>
      <c r="G89" s="430">
        <v>0</v>
      </c>
      <c r="H89" s="9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430">
        <v>0</v>
      </c>
      <c r="O89" s="9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430"/>
      <c r="V89" s="9">
        <v>0</v>
      </c>
      <c r="W89" s="28">
        <v>0</v>
      </c>
    </row>
    <row r="90" spans="1:23" x14ac:dyDescent="0.45">
      <c r="A90" s="64">
        <v>28157</v>
      </c>
      <c r="B90" s="14">
        <v>0</v>
      </c>
      <c r="C90" s="10">
        <v>0</v>
      </c>
      <c r="D90" s="10">
        <v>0</v>
      </c>
      <c r="E90" s="11">
        <v>0</v>
      </c>
      <c r="F90" s="10">
        <v>0</v>
      </c>
      <c r="G90" s="430">
        <v>0</v>
      </c>
      <c r="H90" s="8">
        <v>0</v>
      </c>
      <c r="I90" s="10">
        <v>0</v>
      </c>
      <c r="J90" s="10">
        <v>0</v>
      </c>
      <c r="K90" s="10">
        <v>0</v>
      </c>
      <c r="L90" s="11">
        <v>0</v>
      </c>
      <c r="M90" s="10">
        <v>0</v>
      </c>
      <c r="N90" s="430">
        <v>0</v>
      </c>
      <c r="O90" s="8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430"/>
      <c r="V90" s="9">
        <v>0</v>
      </c>
      <c r="W90" s="28">
        <v>0</v>
      </c>
    </row>
    <row r="91" spans="1:23" x14ac:dyDescent="0.45">
      <c r="A91" s="64">
        <v>28185</v>
      </c>
      <c r="B91" s="14">
        <v>0</v>
      </c>
      <c r="C91" s="10">
        <v>0</v>
      </c>
      <c r="D91" s="10">
        <v>0</v>
      </c>
      <c r="E91" s="11">
        <v>0</v>
      </c>
      <c r="F91" s="10">
        <v>0</v>
      </c>
      <c r="G91" s="430">
        <v>0</v>
      </c>
      <c r="H91" s="8">
        <v>0</v>
      </c>
      <c r="I91" s="10">
        <v>0</v>
      </c>
      <c r="J91" s="10">
        <v>0</v>
      </c>
      <c r="K91" s="10">
        <v>0</v>
      </c>
      <c r="L91" s="11">
        <v>0</v>
      </c>
      <c r="M91" s="10">
        <v>0</v>
      </c>
      <c r="N91" s="430">
        <v>0</v>
      </c>
      <c r="O91" s="8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430"/>
      <c r="V91" s="9">
        <v>0</v>
      </c>
      <c r="W91" s="28">
        <v>0</v>
      </c>
    </row>
    <row r="92" spans="1:23" x14ac:dyDescent="0.45">
      <c r="A92" s="64">
        <v>28216</v>
      </c>
      <c r="B92" s="14">
        <v>0</v>
      </c>
      <c r="C92" s="10">
        <v>0</v>
      </c>
      <c r="D92" s="10">
        <v>0</v>
      </c>
      <c r="E92" s="11">
        <v>0</v>
      </c>
      <c r="F92" s="10">
        <v>0</v>
      </c>
      <c r="G92" s="430">
        <v>0</v>
      </c>
      <c r="H92" s="8">
        <v>0</v>
      </c>
      <c r="I92" s="10">
        <v>0</v>
      </c>
      <c r="J92" s="10">
        <v>0</v>
      </c>
      <c r="K92" s="10">
        <v>0</v>
      </c>
      <c r="L92" s="11">
        <v>0</v>
      </c>
      <c r="M92" s="10">
        <v>0</v>
      </c>
      <c r="N92" s="430">
        <v>0</v>
      </c>
      <c r="O92" s="8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430"/>
      <c r="V92" s="9">
        <v>0</v>
      </c>
      <c r="W92" s="28">
        <v>0</v>
      </c>
    </row>
    <row r="93" spans="1:23" x14ac:dyDescent="0.45">
      <c r="A93" s="64">
        <v>28246</v>
      </c>
      <c r="B93" s="14">
        <v>0</v>
      </c>
      <c r="C93" s="10">
        <v>0</v>
      </c>
      <c r="D93" s="10">
        <v>0</v>
      </c>
      <c r="E93" s="11">
        <v>0</v>
      </c>
      <c r="F93" s="10">
        <v>0</v>
      </c>
      <c r="G93" s="430">
        <v>0</v>
      </c>
      <c r="H93" s="8">
        <v>0</v>
      </c>
      <c r="I93" s="10">
        <v>0</v>
      </c>
      <c r="J93" s="10">
        <v>0</v>
      </c>
      <c r="K93" s="10">
        <v>0</v>
      </c>
      <c r="L93" s="11">
        <v>0</v>
      </c>
      <c r="M93" s="10">
        <v>0</v>
      </c>
      <c r="N93" s="430">
        <v>0</v>
      </c>
      <c r="O93" s="8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430"/>
      <c r="V93" s="9">
        <v>0</v>
      </c>
      <c r="W93" s="28">
        <v>0</v>
      </c>
    </row>
    <row r="94" spans="1:23" x14ac:dyDescent="0.45">
      <c r="A94" s="64">
        <v>28277</v>
      </c>
      <c r="B94" s="14">
        <v>0</v>
      </c>
      <c r="C94" s="10">
        <v>0</v>
      </c>
      <c r="D94" s="10">
        <v>0</v>
      </c>
      <c r="E94" s="11">
        <v>0</v>
      </c>
      <c r="F94" s="10">
        <v>0</v>
      </c>
      <c r="G94" s="430">
        <v>0</v>
      </c>
      <c r="H94" s="8">
        <v>0</v>
      </c>
      <c r="I94" s="10">
        <v>0</v>
      </c>
      <c r="J94" s="10">
        <v>0</v>
      </c>
      <c r="K94" s="10">
        <v>0</v>
      </c>
      <c r="L94" s="11">
        <v>0</v>
      </c>
      <c r="M94" s="10">
        <v>0</v>
      </c>
      <c r="N94" s="430">
        <v>0</v>
      </c>
      <c r="O94" s="8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430"/>
      <c r="V94" s="9">
        <v>0</v>
      </c>
      <c r="W94" s="28">
        <v>0</v>
      </c>
    </row>
    <row r="95" spans="1:23" x14ac:dyDescent="0.45">
      <c r="A95" s="64">
        <v>28307</v>
      </c>
      <c r="B95" s="14">
        <v>0</v>
      </c>
      <c r="C95" s="10">
        <v>0</v>
      </c>
      <c r="D95" s="10">
        <v>0</v>
      </c>
      <c r="E95" s="11">
        <v>0</v>
      </c>
      <c r="F95" s="10">
        <v>0</v>
      </c>
      <c r="G95" s="430">
        <v>0</v>
      </c>
      <c r="H95" s="8">
        <v>0</v>
      </c>
      <c r="I95" s="10">
        <v>0</v>
      </c>
      <c r="J95" s="10">
        <v>0</v>
      </c>
      <c r="K95" s="10">
        <v>0</v>
      </c>
      <c r="L95" s="11">
        <v>0</v>
      </c>
      <c r="M95" s="10">
        <v>0</v>
      </c>
      <c r="N95" s="430">
        <v>0</v>
      </c>
      <c r="O95" s="8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430"/>
      <c r="V95" s="9">
        <v>0</v>
      </c>
      <c r="W95" s="28">
        <v>0</v>
      </c>
    </row>
    <row r="96" spans="1:23" x14ac:dyDescent="0.45">
      <c r="A96" s="64">
        <v>28338</v>
      </c>
      <c r="B96" s="14">
        <v>0</v>
      </c>
      <c r="C96" s="10">
        <v>0</v>
      </c>
      <c r="D96" s="10">
        <v>0</v>
      </c>
      <c r="E96" s="11">
        <v>0</v>
      </c>
      <c r="F96" s="10">
        <v>0</v>
      </c>
      <c r="G96" s="430">
        <v>0</v>
      </c>
      <c r="H96" s="8">
        <v>0</v>
      </c>
      <c r="I96" s="10">
        <v>0</v>
      </c>
      <c r="J96" s="10">
        <v>0</v>
      </c>
      <c r="K96" s="10">
        <v>0</v>
      </c>
      <c r="L96" s="11">
        <v>0</v>
      </c>
      <c r="M96" s="10">
        <v>0</v>
      </c>
      <c r="N96" s="430">
        <v>0</v>
      </c>
      <c r="O96" s="8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430"/>
      <c r="V96" s="9">
        <v>0</v>
      </c>
      <c r="W96" s="28">
        <v>0</v>
      </c>
    </row>
    <row r="97" spans="1:23" x14ac:dyDescent="0.45">
      <c r="A97" s="64">
        <v>28369</v>
      </c>
      <c r="B97" s="14">
        <v>0</v>
      </c>
      <c r="C97" s="10">
        <v>0</v>
      </c>
      <c r="D97" s="10">
        <v>0</v>
      </c>
      <c r="E97" s="11">
        <v>0</v>
      </c>
      <c r="F97" s="10">
        <v>0</v>
      </c>
      <c r="G97" s="430">
        <v>0</v>
      </c>
      <c r="H97" s="8">
        <v>0</v>
      </c>
      <c r="I97" s="10">
        <v>0</v>
      </c>
      <c r="J97" s="10">
        <v>0</v>
      </c>
      <c r="K97" s="10">
        <v>0</v>
      </c>
      <c r="L97" s="11">
        <v>0</v>
      </c>
      <c r="M97" s="10">
        <v>0</v>
      </c>
      <c r="N97" s="430">
        <v>0</v>
      </c>
      <c r="O97" s="8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430"/>
      <c r="V97" s="9">
        <v>0</v>
      </c>
      <c r="W97" s="28">
        <v>0</v>
      </c>
    </row>
    <row r="98" spans="1:23" x14ac:dyDescent="0.45">
      <c r="A98" s="64">
        <v>28399</v>
      </c>
      <c r="B98" s="14">
        <v>0</v>
      </c>
      <c r="C98" s="10">
        <v>0</v>
      </c>
      <c r="D98" s="10">
        <v>0</v>
      </c>
      <c r="E98" s="11">
        <v>0</v>
      </c>
      <c r="F98" s="10">
        <v>0</v>
      </c>
      <c r="G98" s="430">
        <v>0</v>
      </c>
      <c r="H98" s="8">
        <v>0</v>
      </c>
      <c r="I98" s="10">
        <v>0</v>
      </c>
      <c r="J98" s="10">
        <v>0</v>
      </c>
      <c r="K98" s="10">
        <v>0</v>
      </c>
      <c r="L98" s="11">
        <v>0</v>
      </c>
      <c r="M98" s="10">
        <v>0</v>
      </c>
      <c r="N98" s="430">
        <v>0</v>
      </c>
      <c r="O98" s="8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430"/>
      <c r="V98" s="9">
        <v>0</v>
      </c>
      <c r="W98" s="28">
        <v>0</v>
      </c>
    </row>
    <row r="99" spans="1:23" x14ac:dyDescent="0.45">
      <c r="A99" s="64">
        <v>28430</v>
      </c>
      <c r="B99" s="14">
        <v>0</v>
      </c>
      <c r="C99" s="10">
        <v>0</v>
      </c>
      <c r="D99" s="10">
        <v>0</v>
      </c>
      <c r="E99" s="11">
        <v>0</v>
      </c>
      <c r="F99" s="10">
        <v>0</v>
      </c>
      <c r="G99" s="430">
        <v>0</v>
      </c>
      <c r="H99" s="8">
        <v>0</v>
      </c>
      <c r="I99" s="10">
        <v>0</v>
      </c>
      <c r="J99" s="10">
        <v>0</v>
      </c>
      <c r="K99" s="10">
        <v>0</v>
      </c>
      <c r="L99" s="11">
        <v>0</v>
      </c>
      <c r="M99" s="10">
        <v>0</v>
      </c>
      <c r="N99" s="430">
        <v>0</v>
      </c>
      <c r="O99" s="8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430"/>
      <c r="V99" s="9">
        <v>0</v>
      </c>
      <c r="W99" s="28">
        <v>0</v>
      </c>
    </row>
    <row r="100" spans="1:23" ht="19.5" customHeight="1" thickBot="1" x14ac:dyDescent="0.5">
      <c r="A100" s="65">
        <v>28460</v>
      </c>
      <c r="B100" s="17">
        <v>0</v>
      </c>
      <c r="C100" s="18">
        <v>0</v>
      </c>
      <c r="D100" s="18">
        <v>0</v>
      </c>
      <c r="E100" s="18">
        <v>0</v>
      </c>
      <c r="F100" s="18">
        <v>0</v>
      </c>
      <c r="G100" s="432">
        <v>0</v>
      </c>
      <c r="H100" s="19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432">
        <v>0</v>
      </c>
      <c r="O100" s="19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432"/>
      <c r="V100" s="19">
        <v>0</v>
      </c>
      <c r="W100" s="28">
        <v>0</v>
      </c>
    </row>
    <row r="101" spans="1:23" ht="19.5" customHeight="1" thickTop="1" x14ac:dyDescent="0.45">
      <c r="A101" s="63">
        <v>28491</v>
      </c>
      <c r="B101" s="14">
        <v>1</v>
      </c>
      <c r="C101" s="10">
        <v>0</v>
      </c>
      <c r="D101" s="10">
        <v>0</v>
      </c>
      <c r="E101" s="10">
        <v>0</v>
      </c>
      <c r="F101" s="10">
        <v>0</v>
      </c>
      <c r="G101" s="430">
        <v>0</v>
      </c>
      <c r="H101" s="9">
        <v>1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430">
        <v>0</v>
      </c>
      <c r="O101" s="9">
        <v>0</v>
      </c>
      <c r="P101" s="10">
        <v>1</v>
      </c>
      <c r="Q101" s="10">
        <v>0</v>
      </c>
      <c r="R101" s="10">
        <v>0</v>
      </c>
      <c r="S101" s="10">
        <v>0</v>
      </c>
      <c r="T101" s="10">
        <v>0</v>
      </c>
      <c r="U101" s="430"/>
      <c r="V101" s="9">
        <v>1</v>
      </c>
      <c r="W101" s="28">
        <v>1</v>
      </c>
    </row>
    <row r="102" spans="1:23" x14ac:dyDescent="0.45">
      <c r="A102" s="64">
        <v>28522</v>
      </c>
      <c r="B102" s="14">
        <v>0</v>
      </c>
      <c r="C102" s="10">
        <v>0</v>
      </c>
      <c r="D102" s="10">
        <v>0</v>
      </c>
      <c r="E102" s="11">
        <v>0</v>
      </c>
      <c r="F102" s="10">
        <v>0</v>
      </c>
      <c r="G102" s="430">
        <v>0</v>
      </c>
      <c r="H102" s="8">
        <v>0</v>
      </c>
      <c r="I102" s="10">
        <v>0</v>
      </c>
      <c r="J102" s="10">
        <v>0</v>
      </c>
      <c r="K102" s="10">
        <v>0</v>
      </c>
      <c r="L102" s="11">
        <v>0</v>
      </c>
      <c r="M102" s="10">
        <v>0</v>
      </c>
      <c r="N102" s="430">
        <v>0</v>
      </c>
      <c r="O102" s="8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430"/>
      <c r="V102" s="9">
        <v>0</v>
      </c>
      <c r="W102" s="28">
        <v>1</v>
      </c>
    </row>
    <row r="103" spans="1:23" x14ac:dyDescent="0.45">
      <c r="A103" s="64">
        <v>28550</v>
      </c>
      <c r="B103" s="14">
        <v>0</v>
      </c>
      <c r="C103" s="10">
        <v>0</v>
      </c>
      <c r="D103" s="10">
        <v>0</v>
      </c>
      <c r="E103" s="11">
        <v>0</v>
      </c>
      <c r="F103" s="10">
        <v>0</v>
      </c>
      <c r="G103" s="430">
        <v>0</v>
      </c>
      <c r="H103" s="8">
        <v>0</v>
      </c>
      <c r="I103" s="10">
        <v>0</v>
      </c>
      <c r="J103" s="10">
        <v>0</v>
      </c>
      <c r="K103" s="10">
        <v>0</v>
      </c>
      <c r="L103" s="11">
        <v>0</v>
      </c>
      <c r="M103" s="10">
        <v>0</v>
      </c>
      <c r="N103" s="430">
        <v>0</v>
      </c>
      <c r="O103" s="8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430"/>
      <c r="V103" s="9">
        <v>0</v>
      </c>
      <c r="W103" s="28">
        <v>1</v>
      </c>
    </row>
    <row r="104" spans="1:23" x14ac:dyDescent="0.45">
      <c r="A104" s="64">
        <v>28581</v>
      </c>
      <c r="B104" s="14">
        <v>0</v>
      </c>
      <c r="C104" s="10">
        <v>0</v>
      </c>
      <c r="D104" s="10">
        <v>0</v>
      </c>
      <c r="E104" s="11">
        <v>0</v>
      </c>
      <c r="F104" s="10">
        <v>0</v>
      </c>
      <c r="G104" s="430">
        <v>0</v>
      </c>
      <c r="H104" s="8">
        <v>0</v>
      </c>
      <c r="I104" s="10">
        <v>0</v>
      </c>
      <c r="J104" s="10">
        <v>0</v>
      </c>
      <c r="K104" s="10">
        <v>0</v>
      </c>
      <c r="L104" s="11">
        <v>0</v>
      </c>
      <c r="M104" s="10">
        <v>0</v>
      </c>
      <c r="N104" s="430">
        <v>0</v>
      </c>
      <c r="O104" s="8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430"/>
      <c r="V104" s="9">
        <v>0</v>
      </c>
      <c r="W104" s="28">
        <v>1</v>
      </c>
    </row>
    <row r="105" spans="1:23" x14ac:dyDescent="0.45">
      <c r="A105" s="64">
        <v>28611</v>
      </c>
      <c r="B105" s="14">
        <v>0</v>
      </c>
      <c r="C105" s="10">
        <v>0</v>
      </c>
      <c r="D105" s="10">
        <v>0</v>
      </c>
      <c r="E105" s="11">
        <v>0</v>
      </c>
      <c r="F105" s="10">
        <v>0</v>
      </c>
      <c r="G105" s="430">
        <v>0</v>
      </c>
      <c r="H105" s="8">
        <v>0</v>
      </c>
      <c r="I105" s="10">
        <v>0</v>
      </c>
      <c r="J105" s="10">
        <v>0</v>
      </c>
      <c r="K105" s="10">
        <v>0</v>
      </c>
      <c r="L105" s="11">
        <v>0</v>
      </c>
      <c r="M105" s="10">
        <v>0</v>
      </c>
      <c r="N105" s="430">
        <v>0</v>
      </c>
      <c r="O105" s="8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430"/>
      <c r="V105" s="9">
        <v>0</v>
      </c>
      <c r="W105" s="28">
        <v>1</v>
      </c>
    </row>
    <row r="106" spans="1:23" x14ac:dyDescent="0.45">
      <c r="A106" s="64">
        <v>28642</v>
      </c>
      <c r="B106" s="14">
        <v>0</v>
      </c>
      <c r="C106" s="10">
        <v>0</v>
      </c>
      <c r="D106" s="10">
        <v>0</v>
      </c>
      <c r="E106" s="11">
        <v>0</v>
      </c>
      <c r="F106" s="10">
        <v>0</v>
      </c>
      <c r="G106" s="430">
        <v>0</v>
      </c>
      <c r="H106" s="8">
        <v>0</v>
      </c>
      <c r="I106" s="10">
        <v>0</v>
      </c>
      <c r="J106" s="10">
        <v>0</v>
      </c>
      <c r="K106" s="10">
        <v>0</v>
      </c>
      <c r="L106" s="11">
        <v>0</v>
      </c>
      <c r="M106" s="10">
        <v>0</v>
      </c>
      <c r="N106" s="430">
        <v>0</v>
      </c>
      <c r="O106" s="8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430"/>
      <c r="V106" s="9">
        <v>0</v>
      </c>
      <c r="W106" s="28">
        <v>1</v>
      </c>
    </row>
    <row r="107" spans="1:23" x14ac:dyDescent="0.45">
      <c r="A107" s="64">
        <v>28672</v>
      </c>
      <c r="B107" s="14">
        <v>0</v>
      </c>
      <c r="C107" s="10">
        <v>0</v>
      </c>
      <c r="D107" s="10">
        <v>0</v>
      </c>
      <c r="E107" s="11">
        <v>0</v>
      </c>
      <c r="F107" s="10">
        <v>0</v>
      </c>
      <c r="G107" s="430">
        <v>0</v>
      </c>
      <c r="H107" s="8">
        <v>0</v>
      </c>
      <c r="I107" s="10">
        <v>0</v>
      </c>
      <c r="J107" s="10">
        <v>0</v>
      </c>
      <c r="K107" s="10">
        <v>0</v>
      </c>
      <c r="L107" s="11">
        <v>0</v>
      </c>
      <c r="M107" s="10">
        <v>0</v>
      </c>
      <c r="N107" s="430">
        <v>0</v>
      </c>
      <c r="O107" s="8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430"/>
      <c r="V107" s="9">
        <v>0</v>
      </c>
      <c r="W107" s="28">
        <v>1</v>
      </c>
    </row>
    <row r="108" spans="1:23" x14ac:dyDescent="0.45">
      <c r="A108" s="64">
        <v>28703</v>
      </c>
      <c r="B108" s="14">
        <v>0</v>
      </c>
      <c r="C108" s="10">
        <v>0</v>
      </c>
      <c r="D108" s="10">
        <v>0</v>
      </c>
      <c r="E108" s="11">
        <v>0</v>
      </c>
      <c r="F108" s="10">
        <v>0</v>
      </c>
      <c r="G108" s="430">
        <v>0</v>
      </c>
      <c r="H108" s="8">
        <v>0</v>
      </c>
      <c r="I108" s="10">
        <v>0</v>
      </c>
      <c r="J108" s="10">
        <v>0</v>
      </c>
      <c r="K108" s="10">
        <v>0</v>
      </c>
      <c r="L108" s="11">
        <v>0</v>
      </c>
      <c r="M108" s="10">
        <v>0</v>
      </c>
      <c r="N108" s="430">
        <v>0</v>
      </c>
      <c r="O108" s="8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430"/>
      <c r="V108" s="9">
        <v>0</v>
      </c>
      <c r="W108" s="28">
        <v>1</v>
      </c>
    </row>
    <row r="109" spans="1:23" x14ac:dyDescent="0.45">
      <c r="A109" s="64">
        <v>28734</v>
      </c>
      <c r="B109" s="14">
        <v>0</v>
      </c>
      <c r="C109" s="10">
        <v>0</v>
      </c>
      <c r="D109" s="10">
        <v>0</v>
      </c>
      <c r="E109" s="11">
        <v>0</v>
      </c>
      <c r="F109" s="10">
        <v>0</v>
      </c>
      <c r="G109" s="430">
        <v>0</v>
      </c>
      <c r="H109" s="8">
        <v>0</v>
      </c>
      <c r="I109" s="10">
        <v>0</v>
      </c>
      <c r="J109" s="10">
        <v>0</v>
      </c>
      <c r="K109" s="10">
        <v>0</v>
      </c>
      <c r="L109" s="11">
        <v>0</v>
      </c>
      <c r="M109" s="10">
        <v>0</v>
      </c>
      <c r="N109" s="430">
        <v>0</v>
      </c>
      <c r="O109" s="8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430"/>
      <c r="V109" s="9">
        <v>0</v>
      </c>
      <c r="W109" s="28">
        <v>1</v>
      </c>
    </row>
    <row r="110" spans="1:23" x14ac:dyDescent="0.45">
      <c r="A110" s="64">
        <v>28764</v>
      </c>
      <c r="B110" s="14">
        <v>0</v>
      </c>
      <c r="C110" s="10">
        <v>0</v>
      </c>
      <c r="D110" s="10">
        <v>0</v>
      </c>
      <c r="E110" s="11">
        <v>0</v>
      </c>
      <c r="F110" s="10">
        <v>0</v>
      </c>
      <c r="G110" s="430">
        <v>0</v>
      </c>
      <c r="H110" s="8">
        <v>0</v>
      </c>
      <c r="I110" s="10">
        <v>0</v>
      </c>
      <c r="J110" s="10">
        <v>0</v>
      </c>
      <c r="K110" s="10">
        <v>0</v>
      </c>
      <c r="L110" s="11">
        <v>0</v>
      </c>
      <c r="M110" s="10">
        <v>0</v>
      </c>
      <c r="N110" s="430">
        <v>0</v>
      </c>
      <c r="O110" s="8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430"/>
      <c r="V110" s="9">
        <v>0</v>
      </c>
      <c r="W110" s="28">
        <v>1</v>
      </c>
    </row>
    <row r="111" spans="1:23" x14ac:dyDescent="0.45">
      <c r="A111" s="64">
        <v>28795</v>
      </c>
      <c r="B111" s="14">
        <v>0</v>
      </c>
      <c r="C111" s="10">
        <v>0</v>
      </c>
      <c r="D111" s="10">
        <v>0</v>
      </c>
      <c r="E111" s="11">
        <v>0</v>
      </c>
      <c r="F111" s="10">
        <v>0</v>
      </c>
      <c r="G111" s="430">
        <v>0</v>
      </c>
      <c r="H111" s="8">
        <v>0</v>
      </c>
      <c r="I111" s="10">
        <v>0</v>
      </c>
      <c r="J111" s="10">
        <v>0</v>
      </c>
      <c r="K111" s="10">
        <v>0</v>
      </c>
      <c r="L111" s="11">
        <v>0</v>
      </c>
      <c r="M111" s="10">
        <v>0</v>
      </c>
      <c r="N111" s="430">
        <v>0</v>
      </c>
      <c r="O111" s="8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430"/>
      <c r="V111" s="9">
        <v>0</v>
      </c>
      <c r="W111" s="28">
        <v>1</v>
      </c>
    </row>
    <row r="112" spans="1:23" ht="19.5" customHeight="1" thickBot="1" x14ac:dyDescent="0.5">
      <c r="A112" s="65">
        <v>28825</v>
      </c>
      <c r="B112" s="17">
        <v>0</v>
      </c>
      <c r="C112" s="18">
        <v>0</v>
      </c>
      <c r="D112" s="18">
        <v>0</v>
      </c>
      <c r="E112" s="18">
        <v>0</v>
      </c>
      <c r="F112" s="18">
        <v>0</v>
      </c>
      <c r="G112" s="432">
        <v>0</v>
      </c>
      <c r="H112" s="19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432">
        <v>0</v>
      </c>
      <c r="O112" s="19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432"/>
      <c r="V112" s="19">
        <v>0</v>
      </c>
      <c r="W112" s="28">
        <v>1</v>
      </c>
    </row>
    <row r="113" spans="1:23" ht="19.5" customHeight="1" thickTop="1" x14ac:dyDescent="0.45">
      <c r="A113" s="63">
        <v>28856</v>
      </c>
      <c r="B113" s="14">
        <v>0</v>
      </c>
      <c r="C113" s="10">
        <v>0</v>
      </c>
      <c r="D113" s="10">
        <v>0</v>
      </c>
      <c r="E113" s="10">
        <v>0</v>
      </c>
      <c r="F113" s="10">
        <v>0</v>
      </c>
      <c r="G113" s="430">
        <v>0</v>
      </c>
      <c r="H113" s="9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430">
        <v>0</v>
      </c>
      <c r="O113" s="9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430"/>
      <c r="V113" s="9">
        <v>0</v>
      </c>
      <c r="W113" s="28">
        <v>0</v>
      </c>
    </row>
    <row r="114" spans="1:23" x14ac:dyDescent="0.45">
      <c r="A114" s="64">
        <v>28887</v>
      </c>
      <c r="B114" s="14">
        <v>0</v>
      </c>
      <c r="C114" s="10">
        <v>0</v>
      </c>
      <c r="D114" s="10">
        <v>0</v>
      </c>
      <c r="E114" s="11">
        <v>0</v>
      </c>
      <c r="F114" s="10">
        <v>0</v>
      </c>
      <c r="G114" s="430">
        <v>0</v>
      </c>
      <c r="H114" s="8">
        <v>0</v>
      </c>
      <c r="I114" s="10">
        <v>0</v>
      </c>
      <c r="J114" s="10">
        <v>0</v>
      </c>
      <c r="K114" s="10">
        <v>0</v>
      </c>
      <c r="L114" s="11">
        <v>0</v>
      </c>
      <c r="M114" s="10">
        <v>0</v>
      </c>
      <c r="N114" s="430">
        <v>0</v>
      </c>
      <c r="O114" s="8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430"/>
      <c r="V114" s="9">
        <v>0</v>
      </c>
      <c r="W114" s="28">
        <v>0</v>
      </c>
    </row>
    <row r="115" spans="1:23" x14ac:dyDescent="0.45">
      <c r="A115" s="64">
        <v>28915</v>
      </c>
      <c r="B115" s="14">
        <v>0</v>
      </c>
      <c r="C115" s="10">
        <v>0</v>
      </c>
      <c r="D115" s="10">
        <v>0</v>
      </c>
      <c r="E115" s="11">
        <v>0</v>
      </c>
      <c r="F115" s="10">
        <v>0</v>
      </c>
      <c r="G115" s="430">
        <v>0</v>
      </c>
      <c r="H115" s="8">
        <v>0</v>
      </c>
      <c r="I115" s="10">
        <v>0</v>
      </c>
      <c r="J115" s="10">
        <v>0</v>
      </c>
      <c r="K115" s="10">
        <v>0</v>
      </c>
      <c r="L115" s="11">
        <v>0</v>
      </c>
      <c r="M115" s="10">
        <v>0</v>
      </c>
      <c r="N115" s="430">
        <v>0</v>
      </c>
      <c r="O115" s="8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430"/>
      <c r="V115" s="9">
        <v>0</v>
      </c>
      <c r="W115" s="28">
        <v>0</v>
      </c>
    </row>
    <row r="116" spans="1:23" x14ac:dyDescent="0.45">
      <c r="A116" s="64">
        <v>28946</v>
      </c>
      <c r="B116" s="14">
        <v>0</v>
      </c>
      <c r="C116" s="10">
        <v>0</v>
      </c>
      <c r="D116" s="10">
        <v>0</v>
      </c>
      <c r="E116" s="11">
        <v>0</v>
      </c>
      <c r="F116" s="10">
        <v>0</v>
      </c>
      <c r="G116" s="430">
        <v>0</v>
      </c>
      <c r="H116" s="8">
        <v>0</v>
      </c>
      <c r="I116" s="10">
        <v>0</v>
      </c>
      <c r="J116" s="10">
        <v>0</v>
      </c>
      <c r="K116" s="10">
        <v>0</v>
      </c>
      <c r="L116" s="11">
        <v>0</v>
      </c>
      <c r="M116" s="10">
        <v>0</v>
      </c>
      <c r="N116" s="430">
        <v>0</v>
      </c>
      <c r="O116" s="8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430"/>
      <c r="V116" s="9">
        <v>0</v>
      </c>
      <c r="W116" s="28">
        <v>0</v>
      </c>
    </row>
    <row r="117" spans="1:23" x14ac:dyDescent="0.45">
      <c r="A117" s="64">
        <v>28976</v>
      </c>
      <c r="B117" s="14">
        <v>0</v>
      </c>
      <c r="C117" s="10">
        <v>0</v>
      </c>
      <c r="D117" s="10">
        <v>0</v>
      </c>
      <c r="E117" s="11">
        <v>0</v>
      </c>
      <c r="F117" s="10">
        <v>0</v>
      </c>
      <c r="G117" s="430">
        <v>0</v>
      </c>
      <c r="H117" s="8">
        <v>0</v>
      </c>
      <c r="I117" s="10">
        <v>0</v>
      </c>
      <c r="J117" s="10">
        <v>0</v>
      </c>
      <c r="K117" s="10">
        <v>0</v>
      </c>
      <c r="L117" s="11">
        <v>0</v>
      </c>
      <c r="M117" s="10">
        <v>0</v>
      </c>
      <c r="N117" s="430">
        <v>0</v>
      </c>
      <c r="O117" s="8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430"/>
      <c r="V117" s="9">
        <v>0</v>
      </c>
      <c r="W117" s="28">
        <v>0</v>
      </c>
    </row>
    <row r="118" spans="1:23" x14ac:dyDescent="0.45">
      <c r="A118" s="64">
        <v>29007</v>
      </c>
      <c r="B118" s="14">
        <v>0</v>
      </c>
      <c r="C118" s="10">
        <v>0</v>
      </c>
      <c r="D118" s="10">
        <v>0</v>
      </c>
      <c r="E118" s="11">
        <v>0</v>
      </c>
      <c r="F118" s="10">
        <v>0</v>
      </c>
      <c r="G118" s="430">
        <v>0</v>
      </c>
      <c r="H118" s="8">
        <v>0</v>
      </c>
      <c r="I118" s="10">
        <v>0</v>
      </c>
      <c r="J118" s="10">
        <v>0</v>
      </c>
      <c r="K118" s="10">
        <v>0</v>
      </c>
      <c r="L118" s="11">
        <v>0</v>
      </c>
      <c r="M118" s="10">
        <v>0</v>
      </c>
      <c r="N118" s="430">
        <v>0</v>
      </c>
      <c r="O118" s="8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430"/>
      <c r="V118" s="9">
        <v>0</v>
      </c>
      <c r="W118" s="28">
        <v>0</v>
      </c>
    </row>
    <row r="119" spans="1:23" x14ac:dyDescent="0.45">
      <c r="A119" s="64">
        <v>29037</v>
      </c>
      <c r="B119" s="14">
        <v>0</v>
      </c>
      <c r="C119" s="10">
        <v>0</v>
      </c>
      <c r="D119" s="10">
        <v>0</v>
      </c>
      <c r="E119" s="11">
        <v>0</v>
      </c>
      <c r="F119" s="10">
        <v>0</v>
      </c>
      <c r="G119" s="430">
        <v>0</v>
      </c>
      <c r="H119" s="8">
        <v>0</v>
      </c>
      <c r="I119" s="10">
        <v>1</v>
      </c>
      <c r="J119" s="10">
        <v>0</v>
      </c>
      <c r="K119" s="10">
        <v>0</v>
      </c>
      <c r="L119" s="11">
        <v>0</v>
      </c>
      <c r="M119" s="10">
        <v>0</v>
      </c>
      <c r="N119" s="430">
        <v>0</v>
      </c>
      <c r="O119" s="8">
        <v>1</v>
      </c>
      <c r="P119" s="10">
        <v>1</v>
      </c>
      <c r="Q119" s="10">
        <v>0</v>
      </c>
      <c r="R119" s="10">
        <v>0</v>
      </c>
      <c r="S119" s="10">
        <v>0</v>
      </c>
      <c r="T119" s="10">
        <v>0</v>
      </c>
      <c r="U119" s="430"/>
      <c r="V119" s="9">
        <v>1</v>
      </c>
      <c r="W119" s="28">
        <v>1</v>
      </c>
    </row>
    <row r="120" spans="1:23" x14ac:dyDescent="0.45">
      <c r="A120" s="64">
        <v>29068</v>
      </c>
      <c r="B120" s="14">
        <v>0</v>
      </c>
      <c r="C120" s="10">
        <v>0</v>
      </c>
      <c r="D120" s="10">
        <v>0</v>
      </c>
      <c r="E120" s="11">
        <v>0</v>
      </c>
      <c r="F120" s="10">
        <v>0</v>
      </c>
      <c r="G120" s="430">
        <v>0</v>
      </c>
      <c r="H120" s="8">
        <v>0</v>
      </c>
      <c r="I120" s="10">
        <v>0</v>
      </c>
      <c r="J120" s="10">
        <v>0</v>
      </c>
      <c r="K120" s="10">
        <v>0</v>
      </c>
      <c r="L120" s="11">
        <v>0</v>
      </c>
      <c r="M120" s="10">
        <v>0</v>
      </c>
      <c r="N120" s="430">
        <v>0</v>
      </c>
      <c r="O120" s="8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430"/>
      <c r="V120" s="9">
        <v>0</v>
      </c>
      <c r="W120" s="28">
        <v>1</v>
      </c>
    </row>
    <row r="121" spans="1:23" x14ac:dyDescent="0.45">
      <c r="A121" s="64">
        <v>29099</v>
      </c>
      <c r="B121" s="14">
        <v>0</v>
      </c>
      <c r="C121" s="10">
        <v>0</v>
      </c>
      <c r="D121" s="10">
        <v>0</v>
      </c>
      <c r="E121" s="11">
        <v>0</v>
      </c>
      <c r="F121" s="10">
        <v>0</v>
      </c>
      <c r="G121" s="430">
        <v>0</v>
      </c>
      <c r="H121" s="8">
        <v>0</v>
      </c>
      <c r="I121" s="10">
        <v>0</v>
      </c>
      <c r="J121" s="10">
        <v>0</v>
      </c>
      <c r="K121" s="10">
        <v>0</v>
      </c>
      <c r="L121" s="11">
        <v>0</v>
      </c>
      <c r="M121" s="10">
        <v>0</v>
      </c>
      <c r="N121" s="430">
        <v>0</v>
      </c>
      <c r="O121" s="8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430"/>
      <c r="V121" s="9">
        <v>0</v>
      </c>
      <c r="W121" s="28">
        <v>1</v>
      </c>
    </row>
    <row r="122" spans="1:23" x14ac:dyDescent="0.45">
      <c r="A122" s="64">
        <v>29129</v>
      </c>
      <c r="B122" s="14">
        <v>0</v>
      </c>
      <c r="C122" s="10">
        <v>0</v>
      </c>
      <c r="D122" s="10">
        <v>0</v>
      </c>
      <c r="E122" s="11">
        <v>0</v>
      </c>
      <c r="F122" s="10">
        <v>0</v>
      </c>
      <c r="G122" s="430">
        <v>0</v>
      </c>
      <c r="H122" s="8">
        <v>0</v>
      </c>
      <c r="I122" s="10">
        <v>0</v>
      </c>
      <c r="J122" s="10">
        <v>0</v>
      </c>
      <c r="K122" s="10">
        <v>0</v>
      </c>
      <c r="L122" s="11">
        <v>0</v>
      </c>
      <c r="M122" s="10">
        <v>0</v>
      </c>
      <c r="N122" s="430">
        <v>0</v>
      </c>
      <c r="O122" s="8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430"/>
      <c r="V122" s="9">
        <v>0</v>
      </c>
      <c r="W122" s="28">
        <v>1</v>
      </c>
    </row>
    <row r="123" spans="1:23" x14ac:dyDescent="0.45">
      <c r="A123" s="64">
        <v>29160</v>
      </c>
      <c r="B123" s="14">
        <v>0</v>
      </c>
      <c r="C123" s="10">
        <v>0</v>
      </c>
      <c r="D123" s="10">
        <v>0</v>
      </c>
      <c r="E123" s="11">
        <v>0</v>
      </c>
      <c r="F123" s="10">
        <v>0</v>
      </c>
      <c r="G123" s="430">
        <v>0</v>
      </c>
      <c r="H123" s="8">
        <v>0</v>
      </c>
      <c r="I123" s="10">
        <v>0</v>
      </c>
      <c r="J123" s="10">
        <v>0</v>
      </c>
      <c r="K123" s="10">
        <v>0</v>
      </c>
      <c r="L123" s="11">
        <v>0</v>
      </c>
      <c r="M123" s="10">
        <v>0</v>
      </c>
      <c r="N123" s="430">
        <v>0</v>
      </c>
      <c r="O123" s="8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430"/>
      <c r="V123" s="9">
        <v>0</v>
      </c>
      <c r="W123" s="28">
        <v>1</v>
      </c>
    </row>
    <row r="124" spans="1:23" ht="19.5" customHeight="1" thickBot="1" x14ac:dyDescent="0.5">
      <c r="A124" s="65">
        <v>29190</v>
      </c>
      <c r="B124" s="17">
        <v>0</v>
      </c>
      <c r="C124" s="18">
        <v>0</v>
      </c>
      <c r="D124" s="18">
        <v>0</v>
      </c>
      <c r="E124" s="18">
        <v>0</v>
      </c>
      <c r="F124" s="18">
        <v>0</v>
      </c>
      <c r="G124" s="432">
        <v>0</v>
      </c>
      <c r="H124" s="19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432">
        <v>0</v>
      </c>
      <c r="O124" s="19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432"/>
      <c r="V124" s="19">
        <v>0</v>
      </c>
      <c r="W124" s="28">
        <v>1</v>
      </c>
    </row>
    <row r="125" spans="1:23" ht="19.5" customHeight="1" thickTop="1" x14ac:dyDescent="0.45">
      <c r="A125" s="63">
        <v>29221</v>
      </c>
      <c r="B125" s="14">
        <v>0</v>
      </c>
      <c r="C125" s="10">
        <v>0</v>
      </c>
      <c r="D125" s="10">
        <v>0</v>
      </c>
      <c r="E125" s="10">
        <v>0</v>
      </c>
      <c r="F125" s="10">
        <v>0</v>
      </c>
      <c r="G125" s="430">
        <v>0</v>
      </c>
      <c r="H125" s="9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430">
        <v>0</v>
      </c>
      <c r="O125" s="9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430"/>
      <c r="V125" s="9">
        <v>0</v>
      </c>
      <c r="W125" s="28">
        <v>0</v>
      </c>
    </row>
    <row r="126" spans="1:23" x14ac:dyDescent="0.45">
      <c r="A126" s="64">
        <v>29252</v>
      </c>
      <c r="B126" s="14">
        <v>0</v>
      </c>
      <c r="C126" s="10">
        <v>0</v>
      </c>
      <c r="D126" s="10">
        <v>0</v>
      </c>
      <c r="E126" s="11">
        <v>0</v>
      </c>
      <c r="F126" s="10">
        <v>0</v>
      </c>
      <c r="G126" s="430">
        <v>0</v>
      </c>
      <c r="H126" s="8">
        <v>0</v>
      </c>
      <c r="I126" s="10">
        <v>0</v>
      </c>
      <c r="J126" s="10">
        <v>0</v>
      </c>
      <c r="K126" s="10">
        <v>0</v>
      </c>
      <c r="L126" s="11">
        <v>0</v>
      </c>
      <c r="M126" s="10">
        <v>0</v>
      </c>
      <c r="N126" s="430">
        <v>0</v>
      </c>
      <c r="O126" s="8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430"/>
      <c r="V126" s="9">
        <v>0</v>
      </c>
      <c r="W126" s="28">
        <v>0</v>
      </c>
    </row>
    <row r="127" spans="1:23" x14ac:dyDescent="0.45">
      <c r="A127" s="64">
        <v>29281</v>
      </c>
      <c r="B127" s="14">
        <v>0</v>
      </c>
      <c r="C127" s="10">
        <v>0</v>
      </c>
      <c r="D127" s="10">
        <v>0</v>
      </c>
      <c r="E127" s="11">
        <v>0</v>
      </c>
      <c r="F127" s="10">
        <v>0</v>
      </c>
      <c r="G127" s="430">
        <v>0</v>
      </c>
      <c r="H127" s="8">
        <v>0</v>
      </c>
      <c r="I127" s="10">
        <v>0</v>
      </c>
      <c r="J127" s="10">
        <v>0</v>
      </c>
      <c r="K127" s="10">
        <v>0</v>
      </c>
      <c r="L127" s="11">
        <v>0</v>
      </c>
      <c r="M127" s="10">
        <v>0</v>
      </c>
      <c r="N127" s="430">
        <v>0</v>
      </c>
      <c r="O127" s="8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430"/>
      <c r="V127" s="9">
        <v>0</v>
      </c>
      <c r="W127" s="28">
        <v>0</v>
      </c>
    </row>
    <row r="128" spans="1:23" x14ac:dyDescent="0.45">
      <c r="A128" s="64">
        <v>29312</v>
      </c>
      <c r="B128" s="14">
        <v>0</v>
      </c>
      <c r="C128" s="10">
        <v>0</v>
      </c>
      <c r="D128" s="10">
        <v>0</v>
      </c>
      <c r="E128" s="11">
        <v>0</v>
      </c>
      <c r="F128" s="10">
        <v>0</v>
      </c>
      <c r="G128" s="430">
        <v>0</v>
      </c>
      <c r="H128" s="8">
        <v>0</v>
      </c>
      <c r="I128" s="10">
        <v>0</v>
      </c>
      <c r="J128" s="10">
        <v>0</v>
      </c>
      <c r="K128" s="10">
        <v>0</v>
      </c>
      <c r="L128" s="11">
        <v>0</v>
      </c>
      <c r="M128" s="10">
        <v>0</v>
      </c>
      <c r="N128" s="430">
        <v>0</v>
      </c>
      <c r="O128" s="8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430"/>
      <c r="V128" s="9">
        <v>0</v>
      </c>
      <c r="W128" s="28">
        <v>0</v>
      </c>
    </row>
    <row r="129" spans="1:23" x14ac:dyDescent="0.45">
      <c r="A129" s="64">
        <v>29342</v>
      </c>
      <c r="B129" s="14">
        <v>0</v>
      </c>
      <c r="C129" s="10">
        <v>0</v>
      </c>
      <c r="D129" s="10">
        <v>0</v>
      </c>
      <c r="E129" s="11">
        <v>0</v>
      </c>
      <c r="F129" s="10">
        <v>0</v>
      </c>
      <c r="G129" s="430">
        <v>0</v>
      </c>
      <c r="H129" s="8">
        <v>0</v>
      </c>
      <c r="I129" s="10">
        <v>0</v>
      </c>
      <c r="J129" s="10">
        <v>0</v>
      </c>
      <c r="K129" s="10">
        <v>0</v>
      </c>
      <c r="L129" s="11">
        <v>0</v>
      </c>
      <c r="M129" s="10">
        <v>0</v>
      </c>
      <c r="N129" s="430">
        <v>0</v>
      </c>
      <c r="O129" s="8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430"/>
      <c r="V129" s="9">
        <v>0</v>
      </c>
      <c r="W129" s="28">
        <v>0</v>
      </c>
    </row>
    <row r="130" spans="1:23" x14ac:dyDescent="0.45">
      <c r="A130" s="64">
        <v>29373</v>
      </c>
      <c r="B130" s="14">
        <v>0</v>
      </c>
      <c r="C130" s="10">
        <v>0</v>
      </c>
      <c r="D130" s="10">
        <v>0</v>
      </c>
      <c r="E130" s="11">
        <v>0</v>
      </c>
      <c r="F130" s="10">
        <v>0</v>
      </c>
      <c r="G130" s="430">
        <v>0</v>
      </c>
      <c r="H130" s="8">
        <v>0</v>
      </c>
      <c r="I130" s="10">
        <v>0</v>
      </c>
      <c r="J130" s="10">
        <v>0</v>
      </c>
      <c r="K130" s="10">
        <v>0</v>
      </c>
      <c r="L130" s="11">
        <v>0</v>
      </c>
      <c r="M130" s="10">
        <v>0</v>
      </c>
      <c r="N130" s="430">
        <v>0</v>
      </c>
      <c r="O130" s="8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430"/>
      <c r="V130" s="9">
        <v>0</v>
      </c>
      <c r="W130" s="28">
        <v>0</v>
      </c>
    </row>
    <row r="131" spans="1:23" x14ac:dyDescent="0.45">
      <c r="A131" s="64">
        <v>29403</v>
      </c>
      <c r="B131" s="14">
        <v>0</v>
      </c>
      <c r="C131" s="10">
        <v>0</v>
      </c>
      <c r="D131" s="10">
        <v>0</v>
      </c>
      <c r="E131" s="11">
        <v>0</v>
      </c>
      <c r="F131" s="10">
        <v>0</v>
      </c>
      <c r="G131" s="430">
        <v>0</v>
      </c>
      <c r="H131" s="8">
        <v>0</v>
      </c>
      <c r="I131" s="10">
        <v>0</v>
      </c>
      <c r="J131" s="10">
        <v>0</v>
      </c>
      <c r="K131" s="10">
        <v>0</v>
      </c>
      <c r="L131" s="11">
        <v>0</v>
      </c>
      <c r="M131" s="10">
        <v>0</v>
      </c>
      <c r="N131" s="430">
        <v>0</v>
      </c>
      <c r="O131" s="8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430"/>
      <c r="V131" s="9">
        <v>0</v>
      </c>
      <c r="W131" s="28">
        <v>0</v>
      </c>
    </row>
    <row r="132" spans="1:23" x14ac:dyDescent="0.45">
      <c r="A132" s="64">
        <v>29434</v>
      </c>
      <c r="B132" s="14">
        <v>0</v>
      </c>
      <c r="C132" s="10">
        <v>0</v>
      </c>
      <c r="D132" s="10">
        <v>0</v>
      </c>
      <c r="E132" s="11">
        <v>0</v>
      </c>
      <c r="F132" s="10">
        <v>0</v>
      </c>
      <c r="G132" s="430">
        <v>0</v>
      </c>
      <c r="H132" s="8">
        <v>0</v>
      </c>
      <c r="I132" s="10">
        <v>0</v>
      </c>
      <c r="J132" s="10">
        <v>0</v>
      </c>
      <c r="K132" s="10">
        <v>0</v>
      </c>
      <c r="L132" s="11">
        <v>0</v>
      </c>
      <c r="M132" s="10">
        <v>0</v>
      </c>
      <c r="N132" s="430">
        <v>0</v>
      </c>
      <c r="O132" s="8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430"/>
      <c r="V132" s="9">
        <v>0</v>
      </c>
      <c r="W132" s="28">
        <v>0</v>
      </c>
    </row>
    <row r="133" spans="1:23" x14ac:dyDescent="0.45">
      <c r="A133" s="64">
        <v>29465</v>
      </c>
      <c r="B133" s="14">
        <v>0</v>
      </c>
      <c r="C133" s="10">
        <v>0</v>
      </c>
      <c r="D133" s="10">
        <v>0</v>
      </c>
      <c r="E133" s="11">
        <v>0</v>
      </c>
      <c r="F133" s="10">
        <v>0</v>
      </c>
      <c r="G133" s="430">
        <v>0</v>
      </c>
      <c r="H133" s="8">
        <v>0</v>
      </c>
      <c r="I133" s="10">
        <v>0</v>
      </c>
      <c r="J133" s="10">
        <v>0</v>
      </c>
      <c r="K133" s="10">
        <v>0</v>
      </c>
      <c r="L133" s="11">
        <v>0</v>
      </c>
      <c r="M133" s="10">
        <v>0</v>
      </c>
      <c r="N133" s="430">
        <v>0</v>
      </c>
      <c r="O133" s="8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430"/>
      <c r="V133" s="9">
        <v>0</v>
      </c>
      <c r="W133" s="28">
        <v>0</v>
      </c>
    </row>
    <row r="134" spans="1:23" x14ac:dyDescent="0.45">
      <c r="A134" s="64">
        <v>29495</v>
      </c>
      <c r="B134" s="14">
        <v>0</v>
      </c>
      <c r="C134" s="10">
        <v>0</v>
      </c>
      <c r="D134" s="10">
        <v>0</v>
      </c>
      <c r="E134" s="11">
        <v>0</v>
      </c>
      <c r="F134" s="10">
        <v>0</v>
      </c>
      <c r="G134" s="430">
        <v>0</v>
      </c>
      <c r="H134" s="8">
        <v>0</v>
      </c>
      <c r="I134" s="10">
        <v>0</v>
      </c>
      <c r="J134" s="10">
        <v>0</v>
      </c>
      <c r="K134" s="10">
        <v>0</v>
      </c>
      <c r="L134" s="11">
        <v>0</v>
      </c>
      <c r="M134" s="10">
        <v>0</v>
      </c>
      <c r="N134" s="430">
        <v>0</v>
      </c>
      <c r="O134" s="8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430"/>
      <c r="V134" s="9">
        <v>0</v>
      </c>
      <c r="W134" s="28">
        <v>0</v>
      </c>
    </row>
    <row r="135" spans="1:23" x14ac:dyDescent="0.45">
      <c r="A135" s="64">
        <v>29526</v>
      </c>
      <c r="B135" s="14">
        <v>0</v>
      </c>
      <c r="C135" s="10">
        <v>0</v>
      </c>
      <c r="D135" s="10">
        <v>0</v>
      </c>
      <c r="E135" s="11">
        <v>0</v>
      </c>
      <c r="F135" s="10">
        <v>0</v>
      </c>
      <c r="G135" s="430">
        <v>0</v>
      </c>
      <c r="H135" s="8">
        <v>0</v>
      </c>
      <c r="I135" s="10">
        <v>0</v>
      </c>
      <c r="J135" s="10">
        <v>0</v>
      </c>
      <c r="K135" s="10">
        <v>0</v>
      </c>
      <c r="L135" s="11">
        <v>0</v>
      </c>
      <c r="M135" s="10">
        <v>0</v>
      </c>
      <c r="N135" s="430">
        <v>0</v>
      </c>
      <c r="O135" s="8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430"/>
      <c r="V135" s="9">
        <v>0</v>
      </c>
      <c r="W135" s="28">
        <v>0</v>
      </c>
    </row>
    <row r="136" spans="1:23" ht="19.5" customHeight="1" thickBot="1" x14ac:dyDescent="0.5">
      <c r="A136" s="65">
        <v>29556</v>
      </c>
      <c r="B136" s="17">
        <v>0</v>
      </c>
      <c r="C136" s="18">
        <v>0</v>
      </c>
      <c r="D136" s="18">
        <v>0</v>
      </c>
      <c r="E136" s="18">
        <v>0</v>
      </c>
      <c r="F136" s="18">
        <v>0</v>
      </c>
      <c r="G136" s="432">
        <v>0</v>
      </c>
      <c r="H136" s="19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432">
        <v>0</v>
      </c>
      <c r="O136" s="19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432"/>
      <c r="V136" s="19">
        <v>0</v>
      </c>
      <c r="W136" s="28">
        <v>0</v>
      </c>
    </row>
    <row r="137" spans="1:23" ht="19.5" customHeight="1" thickTop="1" x14ac:dyDescent="0.45">
      <c r="A137" s="63">
        <v>29587</v>
      </c>
      <c r="B137" s="14">
        <v>0</v>
      </c>
      <c r="C137" s="10">
        <v>0</v>
      </c>
      <c r="D137" s="10">
        <v>0</v>
      </c>
      <c r="E137" s="10">
        <v>0</v>
      </c>
      <c r="F137" s="10">
        <v>0</v>
      </c>
      <c r="G137" s="430">
        <v>0</v>
      </c>
      <c r="H137" s="9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430">
        <v>0</v>
      </c>
      <c r="O137" s="9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430"/>
      <c r="V137" s="9">
        <v>0</v>
      </c>
      <c r="W137" s="28">
        <v>0</v>
      </c>
    </row>
    <row r="138" spans="1:23" x14ac:dyDescent="0.45">
      <c r="A138" s="64">
        <v>29618</v>
      </c>
      <c r="B138" s="14">
        <v>0</v>
      </c>
      <c r="C138" s="10">
        <v>0</v>
      </c>
      <c r="D138" s="10">
        <v>0</v>
      </c>
      <c r="E138" s="11">
        <v>0</v>
      </c>
      <c r="F138" s="10">
        <v>0</v>
      </c>
      <c r="G138" s="430">
        <v>0</v>
      </c>
      <c r="H138" s="8">
        <v>0</v>
      </c>
      <c r="I138" s="10">
        <v>0</v>
      </c>
      <c r="J138" s="10">
        <v>0</v>
      </c>
      <c r="K138" s="10">
        <v>0</v>
      </c>
      <c r="L138" s="11">
        <v>0</v>
      </c>
      <c r="M138" s="10">
        <v>0</v>
      </c>
      <c r="N138" s="430">
        <v>0</v>
      </c>
      <c r="O138" s="8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430"/>
      <c r="V138" s="9">
        <v>0</v>
      </c>
      <c r="W138" s="28">
        <v>0</v>
      </c>
    </row>
    <row r="139" spans="1:23" x14ac:dyDescent="0.45">
      <c r="A139" s="64">
        <v>29646</v>
      </c>
      <c r="B139" s="14">
        <v>0</v>
      </c>
      <c r="C139" s="10">
        <v>0</v>
      </c>
      <c r="D139" s="10">
        <v>0</v>
      </c>
      <c r="E139" s="11">
        <v>0</v>
      </c>
      <c r="F139" s="10">
        <v>0</v>
      </c>
      <c r="G139" s="430">
        <v>0</v>
      </c>
      <c r="H139" s="8">
        <v>0</v>
      </c>
      <c r="I139" s="10">
        <v>0</v>
      </c>
      <c r="J139" s="10">
        <v>0</v>
      </c>
      <c r="K139" s="10">
        <v>0</v>
      </c>
      <c r="L139" s="11">
        <v>0</v>
      </c>
      <c r="M139" s="10">
        <v>0</v>
      </c>
      <c r="N139" s="430">
        <v>0</v>
      </c>
      <c r="O139" s="8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430"/>
      <c r="V139" s="9">
        <v>0</v>
      </c>
      <c r="W139" s="28">
        <v>0</v>
      </c>
    </row>
    <row r="140" spans="1:23" x14ac:dyDescent="0.45">
      <c r="A140" s="64">
        <v>29677</v>
      </c>
      <c r="B140" s="14">
        <v>0</v>
      </c>
      <c r="C140" s="10">
        <v>0</v>
      </c>
      <c r="D140" s="10">
        <v>0</v>
      </c>
      <c r="E140" s="11">
        <v>0</v>
      </c>
      <c r="F140" s="10">
        <v>0</v>
      </c>
      <c r="G140" s="430">
        <v>0</v>
      </c>
      <c r="H140" s="8">
        <v>0</v>
      </c>
      <c r="I140" s="10">
        <v>0</v>
      </c>
      <c r="J140" s="10">
        <v>0</v>
      </c>
      <c r="K140" s="10">
        <v>0</v>
      </c>
      <c r="L140" s="11">
        <v>0</v>
      </c>
      <c r="M140" s="10">
        <v>0</v>
      </c>
      <c r="N140" s="430">
        <v>0</v>
      </c>
      <c r="O140" s="8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430"/>
      <c r="V140" s="9">
        <v>0</v>
      </c>
      <c r="W140" s="28">
        <v>0</v>
      </c>
    </row>
    <row r="141" spans="1:23" x14ac:dyDescent="0.45">
      <c r="A141" s="64">
        <v>29707</v>
      </c>
      <c r="B141" s="14">
        <v>0</v>
      </c>
      <c r="C141" s="10">
        <v>0</v>
      </c>
      <c r="D141" s="10">
        <v>0</v>
      </c>
      <c r="E141" s="11">
        <v>0</v>
      </c>
      <c r="F141" s="10">
        <v>0</v>
      </c>
      <c r="G141" s="430">
        <v>0</v>
      </c>
      <c r="H141" s="8">
        <v>0</v>
      </c>
      <c r="I141" s="10">
        <v>0</v>
      </c>
      <c r="J141" s="10">
        <v>0</v>
      </c>
      <c r="K141" s="10">
        <v>0</v>
      </c>
      <c r="L141" s="11">
        <v>0</v>
      </c>
      <c r="M141" s="10">
        <v>0</v>
      </c>
      <c r="N141" s="430">
        <v>0</v>
      </c>
      <c r="O141" s="8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430"/>
      <c r="V141" s="9">
        <v>0</v>
      </c>
      <c r="W141" s="28">
        <v>0</v>
      </c>
    </row>
    <row r="142" spans="1:23" x14ac:dyDescent="0.45">
      <c r="A142" s="64">
        <v>29738</v>
      </c>
      <c r="B142" s="14">
        <v>0</v>
      </c>
      <c r="C142" s="10">
        <v>0</v>
      </c>
      <c r="D142" s="10">
        <v>0</v>
      </c>
      <c r="E142" s="11">
        <v>0</v>
      </c>
      <c r="F142" s="10">
        <v>0</v>
      </c>
      <c r="G142" s="430">
        <v>0</v>
      </c>
      <c r="H142" s="8">
        <v>0</v>
      </c>
      <c r="I142" s="10">
        <v>0</v>
      </c>
      <c r="J142" s="10">
        <v>0</v>
      </c>
      <c r="K142" s="10">
        <v>0</v>
      </c>
      <c r="L142" s="11">
        <v>0</v>
      </c>
      <c r="M142" s="10">
        <v>0</v>
      </c>
      <c r="N142" s="430">
        <v>0</v>
      </c>
      <c r="O142" s="8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430"/>
      <c r="V142" s="9">
        <v>0</v>
      </c>
      <c r="W142" s="28">
        <v>0</v>
      </c>
    </row>
    <row r="143" spans="1:23" x14ac:dyDescent="0.45">
      <c r="A143" s="64">
        <v>29768</v>
      </c>
      <c r="B143" s="14">
        <v>0</v>
      </c>
      <c r="C143" s="10">
        <v>0</v>
      </c>
      <c r="D143" s="10">
        <v>0</v>
      </c>
      <c r="E143" s="11">
        <v>0</v>
      </c>
      <c r="F143" s="10">
        <v>0</v>
      </c>
      <c r="G143" s="430">
        <v>0</v>
      </c>
      <c r="H143" s="8">
        <v>0</v>
      </c>
      <c r="I143" s="10">
        <v>0</v>
      </c>
      <c r="J143" s="10">
        <v>0</v>
      </c>
      <c r="K143" s="10">
        <v>0</v>
      </c>
      <c r="L143" s="11">
        <v>0</v>
      </c>
      <c r="M143" s="10">
        <v>0</v>
      </c>
      <c r="N143" s="430">
        <v>0</v>
      </c>
      <c r="O143" s="8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430"/>
      <c r="V143" s="9">
        <v>0</v>
      </c>
      <c r="W143" s="28">
        <v>0</v>
      </c>
    </row>
    <row r="144" spans="1:23" x14ac:dyDescent="0.45">
      <c r="A144" s="64">
        <v>29799</v>
      </c>
      <c r="B144" s="14">
        <v>0</v>
      </c>
      <c r="C144" s="10">
        <v>0</v>
      </c>
      <c r="D144" s="10">
        <v>0</v>
      </c>
      <c r="E144" s="11">
        <v>0</v>
      </c>
      <c r="F144" s="10">
        <v>0</v>
      </c>
      <c r="G144" s="430">
        <v>0</v>
      </c>
      <c r="H144" s="8">
        <v>0</v>
      </c>
      <c r="I144" s="10">
        <v>0</v>
      </c>
      <c r="J144" s="10">
        <v>0</v>
      </c>
      <c r="K144" s="10">
        <v>0</v>
      </c>
      <c r="L144" s="11">
        <v>0</v>
      </c>
      <c r="M144" s="10">
        <v>0</v>
      </c>
      <c r="N144" s="430">
        <v>0</v>
      </c>
      <c r="O144" s="8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430"/>
      <c r="V144" s="9">
        <v>0</v>
      </c>
      <c r="W144" s="28">
        <v>0</v>
      </c>
    </row>
    <row r="145" spans="1:23" x14ac:dyDescent="0.45">
      <c r="A145" s="64">
        <v>29830</v>
      </c>
      <c r="B145" s="14">
        <v>0</v>
      </c>
      <c r="C145" s="10">
        <v>0</v>
      </c>
      <c r="D145" s="10">
        <v>0</v>
      </c>
      <c r="E145" s="11">
        <v>0</v>
      </c>
      <c r="F145" s="10">
        <v>0</v>
      </c>
      <c r="G145" s="430">
        <v>0</v>
      </c>
      <c r="H145" s="8">
        <v>0</v>
      </c>
      <c r="I145" s="10">
        <v>1</v>
      </c>
      <c r="J145" s="10">
        <v>0</v>
      </c>
      <c r="K145" s="10">
        <v>0</v>
      </c>
      <c r="L145" s="11">
        <v>0</v>
      </c>
      <c r="M145" s="10">
        <v>0</v>
      </c>
      <c r="N145" s="430">
        <v>0</v>
      </c>
      <c r="O145" s="8">
        <v>1</v>
      </c>
      <c r="P145" s="10">
        <v>1</v>
      </c>
      <c r="Q145" s="10">
        <v>0</v>
      </c>
      <c r="R145" s="10">
        <v>0</v>
      </c>
      <c r="S145" s="10">
        <v>0</v>
      </c>
      <c r="T145" s="10">
        <v>0</v>
      </c>
      <c r="U145" s="430"/>
      <c r="V145" s="9">
        <v>1</v>
      </c>
      <c r="W145" s="28">
        <v>1</v>
      </c>
    </row>
    <row r="146" spans="1:23" x14ac:dyDescent="0.45">
      <c r="A146" s="64">
        <v>29860</v>
      </c>
      <c r="B146" s="14">
        <v>0</v>
      </c>
      <c r="C146" s="10">
        <v>0</v>
      </c>
      <c r="D146" s="10">
        <v>0</v>
      </c>
      <c r="E146" s="11">
        <v>0</v>
      </c>
      <c r="F146" s="10">
        <v>0</v>
      </c>
      <c r="G146" s="430">
        <v>0</v>
      </c>
      <c r="H146" s="8">
        <v>0</v>
      </c>
      <c r="I146" s="10">
        <v>0</v>
      </c>
      <c r="J146" s="10">
        <v>0</v>
      </c>
      <c r="K146" s="10">
        <v>0</v>
      </c>
      <c r="L146" s="11">
        <v>0</v>
      </c>
      <c r="M146" s="10">
        <v>0</v>
      </c>
      <c r="N146" s="430">
        <v>0</v>
      </c>
      <c r="O146" s="8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430"/>
      <c r="V146" s="9">
        <v>0</v>
      </c>
      <c r="W146" s="28">
        <v>1</v>
      </c>
    </row>
    <row r="147" spans="1:23" x14ac:dyDescent="0.45">
      <c r="A147" s="64">
        <v>29891</v>
      </c>
      <c r="B147" s="14">
        <v>0</v>
      </c>
      <c r="C147" s="10">
        <v>0</v>
      </c>
      <c r="D147" s="10">
        <v>0</v>
      </c>
      <c r="E147" s="11">
        <v>0</v>
      </c>
      <c r="F147" s="10">
        <v>0</v>
      </c>
      <c r="G147" s="430">
        <v>0</v>
      </c>
      <c r="H147" s="8">
        <v>0</v>
      </c>
      <c r="I147" s="10">
        <v>0</v>
      </c>
      <c r="J147" s="10">
        <v>0</v>
      </c>
      <c r="K147" s="10">
        <v>0</v>
      </c>
      <c r="L147" s="11">
        <v>0</v>
      </c>
      <c r="M147" s="10">
        <v>0</v>
      </c>
      <c r="N147" s="430">
        <v>0</v>
      </c>
      <c r="O147" s="8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430"/>
      <c r="V147" s="9">
        <v>0</v>
      </c>
      <c r="W147" s="28">
        <v>1</v>
      </c>
    </row>
    <row r="148" spans="1:23" ht="19.5" customHeight="1" thickBot="1" x14ac:dyDescent="0.5">
      <c r="A148" s="65">
        <v>29921</v>
      </c>
      <c r="B148" s="17">
        <v>0</v>
      </c>
      <c r="C148" s="18">
        <v>0</v>
      </c>
      <c r="D148" s="18">
        <v>0</v>
      </c>
      <c r="E148" s="18">
        <v>0</v>
      </c>
      <c r="F148" s="18">
        <v>0</v>
      </c>
      <c r="G148" s="432">
        <v>0</v>
      </c>
      <c r="H148" s="19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432">
        <v>0</v>
      </c>
      <c r="O148" s="19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432"/>
      <c r="V148" s="19">
        <v>0</v>
      </c>
      <c r="W148" s="28">
        <v>1</v>
      </c>
    </row>
    <row r="149" spans="1:23" ht="19.5" customHeight="1" thickTop="1" x14ac:dyDescent="0.45">
      <c r="A149" s="63">
        <v>29952</v>
      </c>
      <c r="B149" s="14">
        <v>0</v>
      </c>
      <c r="C149" s="10">
        <v>0</v>
      </c>
      <c r="D149" s="10">
        <v>0</v>
      </c>
      <c r="E149" s="10">
        <v>0</v>
      </c>
      <c r="F149" s="10">
        <v>0</v>
      </c>
      <c r="G149" s="430">
        <v>0</v>
      </c>
      <c r="H149" s="9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430">
        <v>0</v>
      </c>
      <c r="O149" s="9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430"/>
      <c r="V149" s="9">
        <v>0</v>
      </c>
      <c r="W149" s="28">
        <v>0</v>
      </c>
    </row>
    <row r="150" spans="1:23" x14ac:dyDescent="0.45">
      <c r="A150" s="64">
        <v>29983</v>
      </c>
      <c r="B150" s="14">
        <v>0</v>
      </c>
      <c r="C150" s="10">
        <v>0</v>
      </c>
      <c r="D150" s="10">
        <v>0</v>
      </c>
      <c r="E150" s="11">
        <v>0</v>
      </c>
      <c r="F150" s="10">
        <v>0</v>
      </c>
      <c r="G150" s="430">
        <v>0</v>
      </c>
      <c r="H150" s="8">
        <v>0</v>
      </c>
      <c r="I150" s="10">
        <v>0</v>
      </c>
      <c r="J150" s="10">
        <v>0</v>
      </c>
      <c r="K150" s="10">
        <v>0</v>
      </c>
      <c r="L150" s="11">
        <v>0</v>
      </c>
      <c r="M150" s="10">
        <v>0</v>
      </c>
      <c r="N150" s="430">
        <v>0</v>
      </c>
      <c r="O150" s="8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430"/>
      <c r="V150" s="9">
        <v>0</v>
      </c>
      <c r="W150" s="28">
        <v>0</v>
      </c>
    </row>
    <row r="151" spans="1:23" x14ac:dyDescent="0.45">
      <c r="A151" s="64">
        <v>30011</v>
      </c>
      <c r="B151" s="14">
        <v>0</v>
      </c>
      <c r="C151" s="10">
        <v>0</v>
      </c>
      <c r="D151" s="10">
        <v>0</v>
      </c>
      <c r="E151" s="11">
        <v>0</v>
      </c>
      <c r="F151" s="10">
        <v>0</v>
      </c>
      <c r="G151" s="430">
        <v>0</v>
      </c>
      <c r="H151" s="8">
        <v>0</v>
      </c>
      <c r="I151" s="10">
        <v>0</v>
      </c>
      <c r="J151" s="10">
        <v>0</v>
      </c>
      <c r="K151" s="10">
        <v>0</v>
      </c>
      <c r="L151" s="11">
        <v>0</v>
      </c>
      <c r="M151" s="10">
        <v>0</v>
      </c>
      <c r="N151" s="430">
        <v>0</v>
      </c>
      <c r="O151" s="8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430"/>
      <c r="V151" s="9">
        <v>0</v>
      </c>
      <c r="W151" s="28">
        <v>0</v>
      </c>
    </row>
    <row r="152" spans="1:23" x14ac:dyDescent="0.45">
      <c r="A152" s="64">
        <v>30042</v>
      </c>
      <c r="B152" s="14">
        <v>0</v>
      </c>
      <c r="C152" s="10">
        <v>0</v>
      </c>
      <c r="D152" s="10">
        <v>0</v>
      </c>
      <c r="E152" s="11">
        <v>0</v>
      </c>
      <c r="F152" s="10">
        <v>0</v>
      </c>
      <c r="G152" s="430">
        <v>0</v>
      </c>
      <c r="H152" s="8">
        <v>0</v>
      </c>
      <c r="I152" s="10">
        <v>0</v>
      </c>
      <c r="J152" s="10">
        <v>0</v>
      </c>
      <c r="K152" s="10">
        <v>0</v>
      </c>
      <c r="L152" s="11">
        <v>0</v>
      </c>
      <c r="M152" s="10">
        <v>0</v>
      </c>
      <c r="N152" s="430">
        <v>0</v>
      </c>
      <c r="O152" s="8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430"/>
      <c r="V152" s="9">
        <v>0</v>
      </c>
      <c r="W152" s="28">
        <v>0</v>
      </c>
    </row>
    <row r="153" spans="1:23" x14ac:dyDescent="0.45">
      <c r="A153" s="64">
        <v>30072</v>
      </c>
      <c r="B153" s="14">
        <v>0</v>
      </c>
      <c r="C153" s="10">
        <v>0</v>
      </c>
      <c r="D153" s="10">
        <v>0</v>
      </c>
      <c r="E153" s="11">
        <v>0</v>
      </c>
      <c r="F153" s="10">
        <v>0</v>
      </c>
      <c r="G153" s="430">
        <v>0</v>
      </c>
      <c r="H153" s="8">
        <v>0</v>
      </c>
      <c r="I153" s="10">
        <v>0</v>
      </c>
      <c r="J153" s="10">
        <v>0</v>
      </c>
      <c r="K153" s="10">
        <v>0</v>
      </c>
      <c r="L153" s="11">
        <v>0</v>
      </c>
      <c r="M153" s="10">
        <v>0</v>
      </c>
      <c r="N153" s="430">
        <v>0</v>
      </c>
      <c r="O153" s="8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430"/>
      <c r="V153" s="9">
        <v>0</v>
      </c>
      <c r="W153" s="28">
        <v>0</v>
      </c>
    </row>
    <row r="154" spans="1:23" x14ac:dyDescent="0.45">
      <c r="A154" s="64">
        <v>30103</v>
      </c>
      <c r="B154" s="14">
        <v>0</v>
      </c>
      <c r="C154" s="10">
        <v>0</v>
      </c>
      <c r="D154" s="10">
        <v>0</v>
      </c>
      <c r="E154" s="11">
        <v>0</v>
      </c>
      <c r="F154" s="10">
        <v>0</v>
      </c>
      <c r="G154" s="430">
        <v>0</v>
      </c>
      <c r="H154" s="8">
        <v>0</v>
      </c>
      <c r="I154" s="10">
        <v>0</v>
      </c>
      <c r="J154" s="10">
        <v>0</v>
      </c>
      <c r="K154" s="10">
        <v>0</v>
      </c>
      <c r="L154" s="11">
        <v>0</v>
      </c>
      <c r="M154" s="10">
        <v>0</v>
      </c>
      <c r="N154" s="430">
        <v>0</v>
      </c>
      <c r="O154" s="8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430"/>
      <c r="V154" s="9">
        <v>0</v>
      </c>
      <c r="W154" s="28">
        <v>0</v>
      </c>
    </row>
    <row r="155" spans="1:23" x14ac:dyDescent="0.45">
      <c r="A155" s="64">
        <v>30133</v>
      </c>
      <c r="B155" s="14">
        <v>0</v>
      </c>
      <c r="C155" s="10">
        <v>0</v>
      </c>
      <c r="D155" s="10">
        <v>0</v>
      </c>
      <c r="E155" s="11">
        <v>0</v>
      </c>
      <c r="F155" s="10">
        <v>0</v>
      </c>
      <c r="G155" s="430">
        <v>0</v>
      </c>
      <c r="H155" s="8">
        <v>0</v>
      </c>
      <c r="I155" s="10">
        <v>0</v>
      </c>
      <c r="J155" s="10">
        <v>0</v>
      </c>
      <c r="K155" s="10">
        <v>0</v>
      </c>
      <c r="L155" s="11">
        <v>0</v>
      </c>
      <c r="M155" s="10">
        <v>0</v>
      </c>
      <c r="N155" s="430">
        <v>0</v>
      </c>
      <c r="O155" s="8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430"/>
      <c r="V155" s="9">
        <v>0</v>
      </c>
      <c r="W155" s="28">
        <v>0</v>
      </c>
    </row>
    <row r="156" spans="1:23" x14ac:dyDescent="0.45">
      <c r="A156" s="64">
        <v>30164</v>
      </c>
      <c r="B156" s="14">
        <v>0</v>
      </c>
      <c r="C156" s="10">
        <v>0</v>
      </c>
      <c r="D156" s="10">
        <v>0</v>
      </c>
      <c r="E156" s="11">
        <v>0</v>
      </c>
      <c r="F156" s="10">
        <v>0</v>
      </c>
      <c r="G156" s="430">
        <v>0</v>
      </c>
      <c r="H156" s="8">
        <v>0</v>
      </c>
      <c r="I156" s="10">
        <v>0</v>
      </c>
      <c r="J156" s="10">
        <v>0</v>
      </c>
      <c r="K156" s="10">
        <v>0</v>
      </c>
      <c r="L156" s="11">
        <v>0</v>
      </c>
      <c r="M156" s="10">
        <v>0</v>
      </c>
      <c r="N156" s="430">
        <v>0</v>
      </c>
      <c r="O156" s="8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430"/>
      <c r="V156" s="9">
        <v>0</v>
      </c>
      <c r="W156" s="28">
        <v>0</v>
      </c>
    </row>
    <row r="157" spans="1:23" x14ac:dyDescent="0.45">
      <c r="A157" s="64">
        <v>30195</v>
      </c>
      <c r="B157" s="14">
        <v>1</v>
      </c>
      <c r="C157" s="10">
        <v>0</v>
      </c>
      <c r="D157" s="10">
        <v>0</v>
      </c>
      <c r="E157" s="11">
        <v>0</v>
      </c>
      <c r="F157" s="10">
        <v>0</v>
      </c>
      <c r="G157" s="430">
        <v>0</v>
      </c>
      <c r="H157" s="8">
        <v>1</v>
      </c>
      <c r="I157" s="10">
        <v>0</v>
      </c>
      <c r="J157" s="10">
        <v>0</v>
      </c>
      <c r="K157" s="10">
        <v>0</v>
      </c>
      <c r="L157" s="11">
        <v>0</v>
      </c>
      <c r="M157" s="10">
        <v>0</v>
      </c>
      <c r="N157" s="430">
        <v>0</v>
      </c>
      <c r="O157" s="8">
        <v>0</v>
      </c>
      <c r="P157" s="10">
        <v>1</v>
      </c>
      <c r="Q157" s="10">
        <v>0</v>
      </c>
      <c r="R157" s="10">
        <v>0</v>
      </c>
      <c r="S157" s="10">
        <v>0</v>
      </c>
      <c r="T157" s="10">
        <v>0</v>
      </c>
      <c r="U157" s="430"/>
      <c r="V157" s="9">
        <v>1</v>
      </c>
      <c r="W157" s="28">
        <v>1</v>
      </c>
    </row>
    <row r="158" spans="1:23" x14ac:dyDescent="0.45">
      <c r="A158" s="64">
        <v>30225</v>
      </c>
      <c r="B158" s="14">
        <v>0</v>
      </c>
      <c r="C158" s="10">
        <v>0</v>
      </c>
      <c r="D158" s="10">
        <v>0</v>
      </c>
      <c r="E158" s="11">
        <v>0</v>
      </c>
      <c r="F158" s="10">
        <v>0</v>
      </c>
      <c r="G158" s="430">
        <v>0</v>
      </c>
      <c r="H158" s="8">
        <v>0</v>
      </c>
      <c r="I158" s="10">
        <v>0</v>
      </c>
      <c r="J158" s="10">
        <v>0</v>
      </c>
      <c r="K158" s="10">
        <v>0</v>
      </c>
      <c r="L158" s="11">
        <v>0</v>
      </c>
      <c r="M158" s="10">
        <v>0</v>
      </c>
      <c r="N158" s="430">
        <v>0</v>
      </c>
      <c r="O158" s="8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430"/>
      <c r="V158" s="9">
        <v>0</v>
      </c>
      <c r="W158" s="28">
        <v>1</v>
      </c>
    </row>
    <row r="159" spans="1:23" x14ac:dyDescent="0.45">
      <c r="A159" s="64">
        <v>30256</v>
      </c>
      <c r="B159" s="14">
        <v>0</v>
      </c>
      <c r="C159" s="10">
        <v>0</v>
      </c>
      <c r="D159" s="10">
        <v>0</v>
      </c>
      <c r="E159" s="11">
        <v>0</v>
      </c>
      <c r="F159" s="10">
        <v>0</v>
      </c>
      <c r="G159" s="430">
        <v>0</v>
      </c>
      <c r="H159" s="8">
        <v>0</v>
      </c>
      <c r="I159" s="10">
        <v>0</v>
      </c>
      <c r="J159" s="10">
        <v>0</v>
      </c>
      <c r="K159" s="10">
        <v>0</v>
      </c>
      <c r="L159" s="11">
        <v>0</v>
      </c>
      <c r="M159" s="10">
        <v>0</v>
      </c>
      <c r="N159" s="430">
        <v>0</v>
      </c>
      <c r="O159" s="8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430"/>
      <c r="V159" s="9">
        <v>0</v>
      </c>
      <c r="W159" s="28">
        <v>1</v>
      </c>
    </row>
    <row r="160" spans="1:23" ht="19.5" customHeight="1" thickBot="1" x14ac:dyDescent="0.5">
      <c r="A160" s="65">
        <v>30286</v>
      </c>
      <c r="B160" s="17">
        <v>0</v>
      </c>
      <c r="C160" s="18">
        <v>0</v>
      </c>
      <c r="D160" s="18">
        <v>0</v>
      </c>
      <c r="E160" s="18">
        <v>0</v>
      </c>
      <c r="F160" s="18">
        <v>0</v>
      </c>
      <c r="G160" s="432">
        <v>0</v>
      </c>
      <c r="H160" s="19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432">
        <v>0</v>
      </c>
      <c r="O160" s="19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432"/>
      <c r="V160" s="19">
        <v>0</v>
      </c>
      <c r="W160" s="28">
        <v>1</v>
      </c>
    </row>
    <row r="161" spans="1:23" ht="19.5" customHeight="1" thickTop="1" x14ac:dyDescent="0.45">
      <c r="A161" s="63">
        <v>30317</v>
      </c>
      <c r="B161" s="14">
        <v>0</v>
      </c>
      <c r="C161" s="10">
        <v>0</v>
      </c>
      <c r="D161" s="10">
        <v>0</v>
      </c>
      <c r="E161" s="10">
        <v>0</v>
      </c>
      <c r="F161" s="10">
        <v>0</v>
      </c>
      <c r="G161" s="430">
        <v>0</v>
      </c>
      <c r="H161" s="9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430">
        <v>0</v>
      </c>
      <c r="O161" s="9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430"/>
      <c r="V161" s="9">
        <v>0</v>
      </c>
      <c r="W161" s="28">
        <v>0</v>
      </c>
    </row>
    <row r="162" spans="1:23" x14ac:dyDescent="0.45">
      <c r="A162" s="64">
        <v>30348</v>
      </c>
      <c r="B162" s="14">
        <v>0</v>
      </c>
      <c r="C162" s="10">
        <v>0</v>
      </c>
      <c r="D162" s="10">
        <v>0</v>
      </c>
      <c r="E162" s="11">
        <v>0</v>
      </c>
      <c r="F162" s="10">
        <v>0</v>
      </c>
      <c r="G162" s="430">
        <v>0</v>
      </c>
      <c r="H162" s="8">
        <v>0</v>
      </c>
      <c r="I162" s="10">
        <v>0</v>
      </c>
      <c r="J162" s="10">
        <v>0</v>
      </c>
      <c r="K162" s="10">
        <v>0</v>
      </c>
      <c r="L162" s="11">
        <v>0</v>
      </c>
      <c r="M162" s="10">
        <v>0</v>
      </c>
      <c r="N162" s="430">
        <v>0</v>
      </c>
      <c r="O162" s="8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430"/>
      <c r="V162" s="9">
        <v>0</v>
      </c>
      <c r="W162" s="28">
        <v>0</v>
      </c>
    </row>
    <row r="163" spans="1:23" x14ac:dyDescent="0.45">
      <c r="A163" s="64">
        <v>30376</v>
      </c>
      <c r="B163" s="14">
        <v>0</v>
      </c>
      <c r="C163" s="10">
        <v>0</v>
      </c>
      <c r="D163" s="10">
        <v>0</v>
      </c>
      <c r="E163" s="11">
        <v>0</v>
      </c>
      <c r="F163" s="10">
        <v>0</v>
      </c>
      <c r="G163" s="430">
        <v>0</v>
      </c>
      <c r="H163" s="8">
        <v>0</v>
      </c>
      <c r="I163" s="10">
        <v>0</v>
      </c>
      <c r="J163" s="10">
        <v>0</v>
      </c>
      <c r="K163" s="10">
        <v>0</v>
      </c>
      <c r="L163" s="11">
        <v>0</v>
      </c>
      <c r="M163" s="10">
        <v>0</v>
      </c>
      <c r="N163" s="430">
        <v>0</v>
      </c>
      <c r="O163" s="8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430"/>
      <c r="V163" s="9">
        <v>0</v>
      </c>
      <c r="W163" s="28">
        <v>0</v>
      </c>
    </row>
    <row r="164" spans="1:23" x14ac:dyDescent="0.45">
      <c r="A164" s="64">
        <v>30407</v>
      </c>
      <c r="B164" s="14">
        <v>0</v>
      </c>
      <c r="C164" s="10">
        <v>0</v>
      </c>
      <c r="D164" s="10">
        <v>0</v>
      </c>
      <c r="E164" s="11">
        <v>0</v>
      </c>
      <c r="F164" s="10">
        <v>0</v>
      </c>
      <c r="G164" s="430">
        <v>0</v>
      </c>
      <c r="H164" s="8">
        <v>0</v>
      </c>
      <c r="I164" s="10">
        <v>0</v>
      </c>
      <c r="J164" s="10">
        <v>0</v>
      </c>
      <c r="K164" s="10">
        <v>0</v>
      </c>
      <c r="L164" s="11">
        <v>0</v>
      </c>
      <c r="M164" s="10">
        <v>0</v>
      </c>
      <c r="N164" s="430">
        <v>0</v>
      </c>
      <c r="O164" s="8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430"/>
      <c r="V164" s="9">
        <v>0</v>
      </c>
      <c r="W164" s="28">
        <v>0</v>
      </c>
    </row>
    <row r="165" spans="1:23" x14ac:dyDescent="0.45">
      <c r="A165" s="64">
        <v>30437</v>
      </c>
      <c r="B165" s="14">
        <v>0</v>
      </c>
      <c r="C165" s="10">
        <v>0</v>
      </c>
      <c r="D165" s="10">
        <v>0</v>
      </c>
      <c r="E165" s="11">
        <v>0</v>
      </c>
      <c r="F165" s="10">
        <v>0</v>
      </c>
      <c r="G165" s="430">
        <v>0</v>
      </c>
      <c r="H165" s="8">
        <v>0</v>
      </c>
      <c r="I165" s="10">
        <v>0</v>
      </c>
      <c r="J165" s="10">
        <v>0</v>
      </c>
      <c r="K165" s="10">
        <v>0</v>
      </c>
      <c r="L165" s="11">
        <v>0</v>
      </c>
      <c r="M165" s="10">
        <v>0</v>
      </c>
      <c r="N165" s="430">
        <v>0</v>
      </c>
      <c r="O165" s="8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430"/>
      <c r="V165" s="9">
        <v>0</v>
      </c>
      <c r="W165" s="28">
        <v>0</v>
      </c>
    </row>
    <row r="166" spans="1:23" x14ac:dyDescent="0.45">
      <c r="A166" s="64">
        <v>30468</v>
      </c>
      <c r="B166" s="14">
        <v>0</v>
      </c>
      <c r="C166" s="10">
        <v>0</v>
      </c>
      <c r="D166" s="10">
        <v>0</v>
      </c>
      <c r="E166" s="11">
        <v>0</v>
      </c>
      <c r="F166" s="10">
        <v>0</v>
      </c>
      <c r="G166" s="430">
        <v>0</v>
      </c>
      <c r="H166" s="8">
        <v>0</v>
      </c>
      <c r="I166" s="10">
        <v>0</v>
      </c>
      <c r="J166" s="10">
        <v>0</v>
      </c>
      <c r="K166" s="10">
        <v>0</v>
      </c>
      <c r="L166" s="11">
        <v>0</v>
      </c>
      <c r="M166" s="10">
        <v>0</v>
      </c>
      <c r="N166" s="430">
        <v>0</v>
      </c>
      <c r="O166" s="8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430"/>
      <c r="V166" s="9">
        <v>0</v>
      </c>
      <c r="W166" s="28">
        <v>0</v>
      </c>
    </row>
    <row r="167" spans="1:23" x14ac:dyDescent="0.45">
      <c r="A167" s="64">
        <v>30498</v>
      </c>
      <c r="B167" s="14">
        <v>0</v>
      </c>
      <c r="C167" s="10">
        <v>0</v>
      </c>
      <c r="D167" s="10">
        <v>0</v>
      </c>
      <c r="E167" s="11">
        <v>0</v>
      </c>
      <c r="F167" s="10">
        <v>0</v>
      </c>
      <c r="G167" s="430">
        <v>0</v>
      </c>
      <c r="H167" s="8">
        <v>0</v>
      </c>
      <c r="I167" s="10">
        <v>0</v>
      </c>
      <c r="J167" s="10">
        <v>0</v>
      </c>
      <c r="K167" s="10">
        <v>0</v>
      </c>
      <c r="L167" s="11">
        <v>0</v>
      </c>
      <c r="M167" s="10">
        <v>0</v>
      </c>
      <c r="N167" s="430">
        <v>0</v>
      </c>
      <c r="O167" s="8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430"/>
      <c r="V167" s="9">
        <v>0</v>
      </c>
      <c r="W167" s="28">
        <v>0</v>
      </c>
    </row>
    <row r="168" spans="1:23" x14ac:dyDescent="0.45">
      <c r="A168" s="64">
        <v>30529</v>
      </c>
      <c r="B168" s="14">
        <v>1</v>
      </c>
      <c r="C168" s="10">
        <v>0</v>
      </c>
      <c r="D168" s="10">
        <v>0</v>
      </c>
      <c r="E168" s="11">
        <v>0</v>
      </c>
      <c r="F168" s="10">
        <v>0</v>
      </c>
      <c r="G168" s="430">
        <v>0</v>
      </c>
      <c r="H168" s="8">
        <v>1</v>
      </c>
      <c r="I168" s="10">
        <v>0</v>
      </c>
      <c r="J168" s="10">
        <v>0</v>
      </c>
      <c r="K168" s="10">
        <v>0</v>
      </c>
      <c r="L168" s="11">
        <v>0</v>
      </c>
      <c r="M168" s="10">
        <v>0</v>
      </c>
      <c r="N168" s="430">
        <v>0</v>
      </c>
      <c r="O168" s="8">
        <v>0</v>
      </c>
      <c r="P168" s="10">
        <v>1</v>
      </c>
      <c r="Q168" s="10">
        <v>0</v>
      </c>
      <c r="R168" s="10">
        <v>0</v>
      </c>
      <c r="S168" s="10">
        <v>0</v>
      </c>
      <c r="T168" s="10">
        <v>0</v>
      </c>
      <c r="U168" s="430"/>
      <c r="V168" s="9">
        <v>1</v>
      </c>
      <c r="W168" s="28">
        <v>1</v>
      </c>
    </row>
    <row r="169" spans="1:23" x14ac:dyDescent="0.45">
      <c r="A169" s="64">
        <v>30560</v>
      </c>
      <c r="B169" s="14">
        <v>0</v>
      </c>
      <c r="C169" s="10">
        <v>0</v>
      </c>
      <c r="D169" s="10">
        <v>0</v>
      </c>
      <c r="E169" s="11">
        <v>0</v>
      </c>
      <c r="F169" s="10">
        <v>0</v>
      </c>
      <c r="G169" s="430">
        <v>0</v>
      </c>
      <c r="H169" s="8">
        <v>0</v>
      </c>
      <c r="I169" s="10">
        <v>0</v>
      </c>
      <c r="J169" s="10">
        <v>0</v>
      </c>
      <c r="K169" s="10">
        <v>0</v>
      </c>
      <c r="L169" s="11">
        <v>0</v>
      </c>
      <c r="M169" s="10">
        <v>0</v>
      </c>
      <c r="N169" s="430">
        <v>0</v>
      </c>
      <c r="O169" s="8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430"/>
      <c r="V169" s="9">
        <v>0</v>
      </c>
      <c r="W169" s="28">
        <v>1</v>
      </c>
    </row>
    <row r="170" spans="1:23" x14ac:dyDescent="0.45">
      <c r="A170" s="64">
        <v>30590</v>
      </c>
      <c r="B170" s="14">
        <v>0</v>
      </c>
      <c r="C170" s="10">
        <v>0</v>
      </c>
      <c r="D170" s="10">
        <v>0</v>
      </c>
      <c r="E170" s="11">
        <v>0</v>
      </c>
      <c r="F170" s="10">
        <v>0</v>
      </c>
      <c r="G170" s="430">
        <v>0</v>
      </c>
      <c r="H170" s="8">
        <v>0</v>
      </c>
      <c r="I170" s="10">
        <v>0</v>
      </c>
      <c r="J170" s="10">
        <v>0</v>
      </c>
      <c r="K170" s="10">
        <v>0</v>
      </c>
      <c r="L170" s="11">
        <v>0</v>
      </c>
      <c r="M170" s="10">
        <v>0</v>
      </c>
      <c r="N170" s="430">
        <v>0</v>
      </c>
      <c r="O170" s="8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430"/>
      <c r="V170" s="9">
        <v>0</v>
      </c>
      <c r="W170" s="28">
        <v>1</v>
      </c>
    </row>
    <row r="171" spans="1:23" x14ac:dyDescent="0.45">
      <c r="A171" s="64">
        <v>30621</v>
      </c>
      <c r="B171" s="14">
        <v>0</v>
      </c>
      <c r="C171" s="10">
        <v>0</v>
      </c>
      <c r="D171" s="10">
        <v>0</v>
      </c>
      <c r="E171" s="11">
        <v>0</v>
      </c>
      <c r="F171" s="10">
        <v>0</v>
      </c>
      <c r="G171" s="430">
        <v>0</v>
      </c>
      <c r="H171" s="8">
        <v>0</v>
      </c>
      <c r="I171" s="10">
        <v>0</v>
      </c>
      <c r="J171" s="10">
        <v>0</v>
      </c>
      <c r="K171" s="10">
        <v>0</v>
      </c>
      <c r="L171" s="11">
        <v>0</v>
      </c>
      <c r="M171" s="10">
        <v>0</v>
      </c>
      <c r="N171" s="430">
        <v>0</v>
      </c>
      <c r="O171" s="8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430"/>
      <c r="V171" s="9">
        <v>0</v>
      </c>
      <c r="W171" s="28">
        <v>1</v>
      </c>
    </row>
    <row r="172" spans="1:23" ht="19.5" customHeight="1" thickBot="1" x14ac:dyDescent="0.5">
      <c r="A172" s="65">
        <v>30651</v>
      </c>
      <c r="B172" s="17">
        <v>0</v>
      </c>
      <c r="C172" s="18">
        <v>0</v>
      </c>
      <c r="D172" s="18">
        <v>0</v>
      </c>
      <c r="E172" s="18">
        <v>0</v>
      </c>
      <c r="F172" s="18">
        <v>0</v>
      </c>
      <c r="G172" s="432">
        <v>0</v>
      </c>
      <c r="H172" s="19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432">
        <v>0</v>
      </c>
      <c r="O172" s="19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432"/>
      <c r="V172" s="19">
        <v>0</v>
      </c>
      <c r="W172" s="28">
        <v>1</v>
      </c>
    </row>
    <row r="173" spans="1:23" ht="19.5" customHeight="1" thickTop="1" x14ac:dyDescent="0.45">
      <c r="A173" s="63">
        <v>30682</v>
      </c>
      <c r="B173" s="14">
        <v>0</v>
      </c>
      <c r="C173" s="10">
        <v>0</v>
      </c>
      <c r="D173" s="10">
        <v>0</v>
      </c>
      <c r="E173" s="10">
        <v>1</v>
      </c>
      <c r="F173" s="10">
        <v>0</v>
      </c>
      <c r="G173" s="430">
        <v>0</v>
      </c>
      <c r="H173" s="9">
        <v>1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430">
        <v>0</v>
      </c>
      <c r="O173" s="9">
        <v>0</v>
      </c>
      <c r="P173" s="10">
        <v>0</v>
      </c>
      <c r="Q173" s="10">
        <v>0</v>
      </c>
      <c r="R173" s="10">
        <v>0</v>
      </c>
      <c r="S173" s="10">
        <v>1</v>
      </c>
      <c r="T173" s="10">
        <v>0</v>
      </c>
      <c r="U173" s="430"/>
      <c r="V173" s="9">
        <v>1</v>
      </c>
      <c r="W173" s="28">
        <v>1</v>
      </c>
    </row>
    <row r="174" spans="1:23" x14ac:dyDescent="0.45">
      <c r="A174" s="64">
        <v>30713</v>
      </c>
      <c r="B174" s="14">
        <v>0</v>
      </c>
      <c r="C174" s="10">
        <v>0</v>
      </c>
      <c r="D174" s="10">
        <v>0</v>
      </c>
      <c r="E174" s="11">
        <v>0</v>
      </c>
      <c r="F174" s="10">
        <v>0</v>
      </c>
      <c r="G174" s="430">
        <v>0</v>
      </c>
      <c r="H174" s="8">
        <v>0</v>
      </c>
      <c r="I174" s="10">
        <v>0</v>
      </c>
      <c r="J174" s="10">
        <v>0</v>
      </c>
      <c r="K174" s="10">
        <v>0</v>
      </c>
      <c r="L174" s="11">
        <v>0</v>
      </c>
      <c r="M174" s="10">
        <v>0</v>
      </c>
      <c r="N174" s="430">
        <v>0</v>
      </c>
      <c r="O174" s="8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430"/>
      <c r="V174" s="9">
        <v>0</v>
      </c>
      <c r="W174" s="28">
        <v>1</v>
      </c>
    </row>
    <row r="175" spans="1:23" x14ac:dyDescent="0.45">
      <c r="A175" s="64">
        <v>30742</v>
      </c>
      <c r="B175" s="14">
        <v>0</v>
      </c>
      <c r="C175" s="10">
        <v>0</v>
      </c>
      <c r="D175" s="10">
        <v>0</v>
      </c>
      <c r="E175" s="11">
        <v>0</v>
      </c>
      <c r="F175" s="10">
        <v>0</v>
      </c>
      <c r="G175" s="430">
        <v>0</v>
      </c>
      <c r="H175" s="8">
        <v>0</v>
      </c>
      <c r="I175" s="10">
        <v>0</v>
      </c>
      <c r="J175" s="10">
        <v>0</v>
      </c>
      <c r="K175" s="10">
        <v>0</v>
      </c>
      <c r="L175" s="11">
        <v>0</v>
      </c>
      <c r="M175" s="10">
        <v>0</v>
      </c>
      <c r="N175" s="430">
        <v>0</v>
      </c>
      <c r="O175" s="8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430"/>
      <c r="V175" s="9">
        <v>0</v>
      </c>
      <c r="W175" s="28">
        <v>1</v>
      </c>
    </row>
    <row r="176" spans="1:23" x14ac:dyDescent="0.45">
      <c r="A176" s="64">
        <v>30773</v>
      </c>
      <c r="B176" s="14">
        <v>0</v>
      </c>
      <c r="C176" s="10">
        <v>0</v>
      </c>
      <c r="D176" s="10">
        <v>0</v>
      </c>
      <c r="E176" s="11">
        <v>1</v>
      </c>
      <c r="F176" s="10">
        <v>0</v>
      </c>
      <c r="G176" s="430">
        <v>0</v>
      </c>
      <c r="H176" s="8">
        <v>1</v>
      </c>
      <c r="I176" s="10">
        <v>0</v>
      </c>
      <c r="J176" s="10">
        <v>0</v>
      </c>
      <c r="K176" s="10">
        <v>0</v>
      </c>
      <c r="L176" s="11">
        <v>0</v>
      </c>
      <c r="M176" s="10">
        <v>0</v>
      </c>
      <c r="N176" s="430">
        <v>0</v>
      </c>
      <c r="O176" s="8">
        <v>0</v>
      </c>
      <c r="P176" s="10">
        <v>0</v>
      </c>
      <c r="Q176" s="10">
        <v>0</v>
      </c>
      <c r="R176" s="10">
        <v>0</v>
      </c>
      <c r="S176" s="10">
        <v>1</v>
      </c>
      <c r="T176" s="10">
        <v>0</v>
      </c>
      <c r="U176" s="430"/>
      <c r="V176" s="9">
        <v>1</v>
      </c>
      <c r="W176" s="28">
        <v>2</v>
      </c>
    </row>
    <row r="177" spans="1:23" x14ac:dyDescent="0.45">
      <c r="A177" s="64">
        <v>30803</v>
      </c>
      <c r="B177" s="14">
        <v>0</v>
      </c>
      <c r="C177" s="10">
        <v>0</v>
      </c>
      <c r="D177" s="10">
        <v>0</v>
      </c>
      <c r="E177" s="11">
        <v>0</v>
      </c>
      <c r="F177" s="10">
        <v>0</v>
      </c>
      <c r="G177" s="430">
        <v>0</v>
      </c>
      <c r="H177" s="8">
        <v>0</v>
      </c>
      <c r="I177" s="10">
        <v>0</v>
      </c>
      <c r="J177" s="10">
        <v>0</v>
      </c>
      <c r="K177" s="10">
        <v>0</v>
      </c>
      <c r="L177" s="11">
        <v>0</v>
      </c>
      <c r="M177" s="10">
        <v>0</v>
      </c>
      <c r="N177" s="430">
        <v>0</v>
      </c>
      <c r="O177" s="8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430"/>
      <c r="V177" s="9">
        <v>0</v>
      </c>
      <c r="W177" s="28">
        <v>2</v>
      </c>
    </row>
    <row r="178" spans="1:23" x14ac:dyDescent="0.45">
      <c r="A178" s="64">
        <v>30834</v>
      </c>
      <c r="B178" s="14">
        <v>0</v>
      </c>
      <c r="C178" s="10">
        <v>0</v>
      </c>
      <c r="D178" s="10">
        <v>0</v>
      </c>
      <c r="E178" s="11">
        <v>0</v>
      </c>
      <c r="F178" s="10">
        <v>0</v>
      </c>
      <c r="G178" s="430">
        <v>0</v>
      </c>
      <c r="H178" s="8">
        <v>0</v>
      </c>
      <c r="I178" s="10">
        <v>0</v>
      </c>
      <c r="J178" s="10">
        <v>0</v>
      </c>
      <c r="K178" s="10">
        <v>0</v>
      </c>
      <c r="L178" s="11">
        <v>0</v>
      </c>
      <c r="M178" s="10">
        <v>0</v>
      </c>
      <c r="N178" s="430">
        <v>0</v>
      </c>
      <c r="O178" s="8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430"/>
      <c r="V178" s="9">
        <v>0</v>
      </c>
      <c r="W178" s="28">
        <v>2</v>
      </c>
    </row>
    <row r="179" spans="1:23" x14ac:dyDescent="0.45">
      <c r="A179" s="64">
        <v>30864</v>
      </c>
      <c r="B179" s="14">
        <v>0</v>
      </c>
      <c r="C179" s="10">
        <v>0</v>
      </c>
      <c r="D179" s="10">
        <v>0</v>
      </c>
      <c r="E179" s="11">
        <v>0</v>
      </c>
      <c r="F179" s="10">
        <v>0</v>
      </c>
      <c r="G179" s="430">
        <v>0</v>
      </c>
      <c r="H179" s="8">
        <v>0</v>
      </c>
      <c r="I179" s="10">
        <v>0</v>
      </c>
      <c r="J179" s="10">
        <v>0</v>
      </c>
      <c r="K179" s="10">
        <v>0</v>
      </c>
      <c r="L179" s="11">
        <v>0</v>
      </c>
      <c r="M179" s="10">
        <v>0</v>
      </c>
      <c r="N179" s="430">
        <v>0</v>
      </c>
      <c r="O179" s="8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430"/>
      <c r="V179" s="9">
        <v>0</v>
      </c>
      <c r="W179" s="28">
        <v>2</v>
      </c>
    </row>
    <row r="180" spans="1:23" x14ac:dyDescent="0.45">
      <c r="A180" s="64">
        <v>30895</v>
      </c>
      <c r="B180" s="14">
        <v>0</v>
      </c>
      <c r="C180" s="10">
        <v>0</v>
      </c>
      <c r="D180" s="10">
        <v>0</v>
      </c>
      <c r="E180" s="11">
        <v>0</v>
      </c>
      <c r="F180" s="10">
        <v>0</v>
      </c>
      <c r="G180" s="430">
        <v>0</v>
      </c>
      <c r="H180" s="8">
        <v>0</v>
      </c>
      <c r="I180" s="10">
        <v>0</v>
      </c>
      <c r="J180" s="10">
        <v>0</v>
      </c>
      <c r="K180" s="10">
        <v>0</v>
      </c>
      <c r="L180" s="11">
        <v>0</v>
      </c>
      <c r="M180" s="10">
        <v>0</v>
      </c>
      <c r="N180" s="430">
        <v>0</v>
      </c>
      <c r="O180" s="8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430"/>
      <c r="V180" s="9">
        <v>0</v>
      </c>
      <c r="W180" s="28">
        <v>2</v>
      </c>
    </row>
    <row r="181" spans="1:23" x14ac:dyDescent="0.45">
      <c r="A181" s="64">
        <v>30926</v>
      </c>
      <c r="B181" s="14">
        <v>1</v>
      </c>
      <c r="C181" s="10">
        <v>0</v>
      </c>
      <c r="D181" s="10">
        <v>0</v>
      </c>
      <c r="E181" s="11">
        <v>0</v>
      </c>
      <c r="F181" s="10">
        <v>0</v>
      </c>
      <c r="G181" s="430">
        <v>0</v>
      </c>
      <c r="H181" s="8">
        <v>1</v>
      </c>
      <c r="I181" s="10">
        <v>0</v>
      </c>
      <c r="J181" s="10">
        <v>0</v>
      </c>
      <c r="K181" s="10">
        <v>0</v>
      </c>
      <c r="L181" s="11">
        <v>0</v>
      </c>
      <c r="M181" s="10">
        <v>0</v>
      </c>
      <c r="N181" s="430">
        <v>0</v>
      </c>
      <c r="O181" s="8">
        <v>0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430"/>
      <c r="V181" s="9">
        <v>1</v>
      </c>
      <c r="W181" s="28">
        <v>3</v>
      </c>
    </row>
    <row r="182" spans="1:23" x14ac:dyDescent="0.45">
      <c r="A182" s="64">
        <v>30956</v>
      </c>
      <c r="B182" s="14">
        <v>0</v>
      </c>
      <c r="C182" s="10">
        <v>0</v>
      </c>
      <c r="D182" s="10">
        <v>0</v>
      </c>
      <c r="E182" s="11">
        <v>0</v>
      </c>
      <c r="F182" s="10">
        <v>0</v>
      </c>
      <c r="G182" s="430">
        <v>0</v>
      </c>
      <c r="H182" s="8">
        <v>0</v>
      </c>
      <c r="I182" s="10">
        <v>0</v>
      </c>
      <c r="J182" s="10">
        <v>0</v>
      </c>
      <c r="K182" s="10">
        <v>0</v>
      </c>
      <c r="L182" s="11">
        <v>0</v>
      </c>
      <c r="M182" s="10">
        <v>0</v>
      </c>
      <c r="N182" s="430">
        <v>0</v>
      </c>
      <c r="O182" s="8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430"/>
      <c r="V182" s="9">
        <v>0</v>
      </c>
      <c r="W182" s="28">
        <v>3</v>
      </c>
    </row>
    <row r="183" spans="1:23" x14ac:dyDescent="0.45">
      <c r="A183" s="64">
        <v>30987</v>
      </c>
      <c r="B183" s="14">
        <v>0</v>
      </c>
      <c r="C183" s="10">
        <v>0</v>
      </c>
      <c r="D183" s="10">
        <v>0</v>
      </c>
      <c r="E183" s="11">
        <v>0</v>
      </c>
      <c r="F183" s="10">
        <v>0</v>
      </c>
      <c r="G183" s="430">
        <v>0</v>
      </c>
      <c r="H183" s="8">
        <v>0</v>
      </c>
      <c r="I183" s="10">
        <v>0</v>
      </c>
      <c r="J183" s="10">
        <v>0</v>
      </c>
      <c r="K183" s="10">
        <v>0</v>
      </c>
      <c r="L183" s="11">
        <v>0</v>
      </c>
      <c r="M183" s="10">
        <v>0</v>
      </c>
      <c r="N183" s="430">
        <v>0</v>
      </c>
      <c r="O183" s="8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430"/>
      <c r="V183" s="9">
        <v>0</v>
      </c>
      <c r="W183" s="28">
        <v>3</v>
      </c>
    </row>
    <row r="184" spans="1:23" ht="19.5" customHeight="1" thickBot="1" x14ac:dyDescent="0.5">
      <c r="A184" s="65">
        <v>31017</v>
      </c>
      <c r="B184" s="17">
        <v>0</v>
      </c>
      <c r="C184" s="18">
        <v>0</v>
      </c>
      <c r="D184" s="18">
        <v>0</v>
      </c>
      <c r="E184" s="18">
        <v>0</v>
      </c>
      <c r="F184" s="18">
        <v>0</v>
      </c>
      <c r="G184" s="432">
        <v>0</v>
      </c>
      <c r="H184" s="19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432">
        <v>0</v>
      </c>
      <c r="O184" s="19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432"/>
      <c r="V184" s="19">
        <v>0</v>
      </c>
      <c r="W184" s="28">
        <v>3</v>
      </c>
    </row>
    <row r="185" spans="1:23" ht="19.5" customHeight="1" thickTop="1" x14ac:dyDescent="0.45">
      <c r="A185" s="63">
        <v>31048</v>
      </c>
      <c r="B185" s="14">
        <v>0</v>
      </c>
      <c r="C185" s="10">
        <v>0</v>
      </c>
      <c r="D185" s="10">
        <v>0</v>
      </c>
      <c r="E185" s="10">
        <v>0</v>
      </c>
      <c r="F185" s="10">
        <v>0</v>
      </c>
      <c r="G185" s="430">
        <v>0</v>
      </c>
      <c r="H185" s="9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430">
        <v>0</v>
      </c>
      <c r="O185" s="9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430"/>
      <c r="V185" s="9">
        <v>0</v>
      </c>
      <c r="W185" s="28">
        <v>0</v>
      </c>
    </row>
    <row r="186" spans="1:23" x14ac:dyDescent="0.45">
      <c r="A186" s="64">
        <v>31079</v>
      </c>
      <c r="B186" s="14">
        <v>0</v>
      </c>
      <c r="C186" s="10">
        <v>0</v>
      </c>
      <c r="D186" s="10">
        <v>0</v>
      </c>
      <c r="E186" s="11">
        <v>0</v>
      </c>
      <c r="F186" s="10">
        <v>0</v>
      </c>
      <c r="G186" s="430">
        <v>0</v>
      </c>
      <c r="H186" s="8">
        <v>0</v>
      </c>
      <c r="I186" s="10">
        <v>0</v>
      </c>
      <c r="J186" s="10">
        <v>0</v>
      </c>
      <c r="K186" s="10">
        <v>0</v>
      </c>
      <c r="L186" s="11">
        <v>0</v>
      </c>
      <c r="M186" s="10">
        <v>0</v>
      </c>
      <c r="N186" s="430">
        <v>0</v>
      </c>
      <c r="O186" s="8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430"/>
      <c r="V186" s="9">
        <v>0</v>
      </c>
      <c r="W186" s="28">
        <v>0</v>
      </c>
    </row>
    <row r="187" spans="1:23" x14ac:dyDescent="0.45">
      <c r="A187" s="64">
        <v>31107</v>
      </c>
      <c r="B187" s="14">
        <v>0</v>
      </c>
      <c r="C187" s="10">
        <v>0</v>
      </c>
      <c r="D187" s="10">
        <v>0</v>
      </c>
      <c r="E187" s="11">
        <v>0</v>
      </c>
      <c r="F187" s="10">
        <v>0</v>
      </c>
      <c r="G187" s="430">
        <v>0</v>
      </c>
      <c r="H187" s="8">
        <v>0</v>
      </c>
      <c r="I187" s="10">
        <v>0</v>
      </c>
      <c r="J187" s="10">
        <v>0</v>
      </c>
      <c r="K187" s="10">
        <v>0</v>
      </c>
      <c r="L187" s="11">
        <v>0</v>
      </c>
      <c r="M187" s="10">
        <v>0</v>
      </c>
      <c r="N187" s="430">
        <v>0</v>
      </c>
      <c r="O187" s="8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430"/>
      <c r="V187" s="9">
        <v>0</v>
      </c>
      <c r="W187" s="28">
        <v>0</v>
      </c>
    </row>
    <row r="188" spans="1:23" x14ac:dyDescent="0.45">
      <c r="A188" s="64">
        <v>31138</v>
      </c>
      <c r="B188" s="14">
        <v>0</v>
      </c>
      <c r="C188" s="10">
        <v>0</v>
      </c>
      <c r="D188" s="10">
        <v>0</v>
      </c>
      <c r="E188" s="11">
        <v>0</v>
      </c>
      <c r="F188" s="10">
        <v>0</v>
      </c>
      <c r="G188" s="430">
        <v>0</v>
      </c>
      <c r="H188" s="8">
        <v>0</v>
      </c>
      <c r="I188" s="10">
        <v>0</v>
      </c>
      <c r="J188" s="10">
        <v>0</v>
      </c>
      <c r="K188" s="10">
        <v>0</v>
      </c>
      <c r="L188" s="11">
        <v>0</v>
      </c>
      <c r="M188" s="10">
        <v>0</v>
      </c>
      <c r="N188" s="430">
        <v>0</v>
      </c>
      <c r="O188" s="8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430"/>
      <c r="V188" s="9">
        <v>0</v>
      </c>
      <c r="W188" s="28">
        <v>0</v>
      </c>
    </row>
    <row r="189" spans="1:23" x14ac:dyDescent="0.45">
      <c r="A189" s="64">
        <v>31168</v>
      </c>
      <c r="B189" s="14">
        <v>0</v>
      </c>
      <c r="C189" s="10">
        <v>0</v>
      </c>
      <c r="D189" s="10">
        <v>0</v>
      </c>
      <c r="E189" s="11">
        <v>0</v>
      </c>
      <c r="F189" s="10">
        <v>0</v>
      </c>
      <c r="G189" s="430">
        <v>0</v>
      </c>
      <c r="H189" s="8">
        <v>0</v>
      </c>
      <c r="I189" s="10">
        <v>0</v>
      </c>
      <c r="J189" s="10">
        <v>0</v>
      </c>
      <c r="K189" s="10">
        <v>0</v>
      </c>
      <c r="L189" s="11">
        <v>0</v>
      </c>
      <c r="M189" s="10">
        <v>0</v>
      </c>
      <c r="N189" s="430">
        <v>0</v>
      </c>
      <c r="O189" s="8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430"/>
      <c r="V189" s="9">
        <v>0</v>
      </c>
      <c r="W189" s="28">
        <v>0</v>
      </c>
    </row>
    <row r="190" spans="1:23" x14ac:dyDescent="0.45">
      <c r="A190" s="64">
        <v>31199</v>
      </c>
      <c r="B190" s="14">
        <v>0</v>
      </c>
      <c r="C190" s="10">
        <v>0</v>
      </c>
      <c r="D190" s="10">
        <v>0</v>
      </c>
      <c r="E190" s="11">
        <v>0</v>
      </c>
      <c r="F190" s="10">
        <v>0</v>
      </c>
      <c r="G190" s="430">
        <v>0</v>
      </c>
      <c r="H190" s="8">
        <v>0</v>
      </c>
      <c r="I190" s="10">
        <v>0</v>
      </c>
      <c r="J190" s="10">
        <v>0</v>
      </c>
      <c r="K190" s="10">
        <v>0</v>
      </c>
      <c r="L190" s="11">
        <v>0</v>
      </c>
      <c r="M190" s="10">
        <v>0</v>
      </c>
      <c r="N190" s="430">
        <v>0</v>
      </c>
      <c r="O190" s="8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430"/>
      <c r="V190" s="9">
        <v>0</v>
      </c>
      <c r="W190" s="28">
        <v>0</v>
      </c>
    </row>
    <row r="191" spans="1:23" x14ac:dyDescent="0.45">
      <c r="A191" s="64">
        <v>31229</v>
      </c>
      <c r="B191" s="14">
        <v>0</v>
      </c>
      <c r="C191" s="10">
        <v>0</v>
      </c>
      <c r="D191" s="10">
        <v>0</v>
      </c>
      <c r="E191" s="11">
        <v>0</v>
      </c>
      <c r="F191" s="10">
        <v>0</v>
      </c>
      <c r="G191" s="430">
        <v>0</v>
      </c>
      <c r="H191" s="8">
        <v>0</v>
      </c>
      <c r="I191" s="10">
        <v>0</v>
      </c>
      <c r="J191" s="10">
        <v>0</v>
      </c>
      <c r="K191" s="10">
        <v>0</v>
      </c>
      <c r="L191" s="11">
        <v>0</v>
      </c>
      <c r="M191" s="10">
        <v>0</v>
      </c>
      <c r="N191" s="430">
        <v>0</v>
      </c>
      <c r="O191" s="8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430"/>
      <c r="V191" s="9">
        <v>0</v>
      </c>
      <c r="W191" s="28">
        <v>0</v>
      </c>
    </row>
    <row r="192" spans="1:23" x14ac:dyDescent="0.45">
      <c r="A192" s="64">
        <v>31260</v>
      </c>
      <c r="B192" s="14">
        <v>0</v>
      </c>
      <c r="C192" s="10">
        <v>0</v>
      </c>
      <c r="D192" s="10">
        <v>0</v>
      </c>
      <c r="E192" s="11">
        <v>0</v>
      </c>
      <c r="F192" s="10">
        <v>0</v>
      </c>
      <c r="G192" s="430">
        <v>0</v>
      </c>
      <c r="H192" s="8">
        <v>0</v>
      </c>
      <c r="I192" s="10">
        <v>0</v>
      </c>
      <c r="J192" s="10">
        <v>0</v>
      </c>
      <c r="K192" s="10">
        <v>0</v>
      </c>
      <c r="L192" s="11">
        <v>0</v>
      </c>
      <c r="M192" s="10">
        <v>0</v>
      </c>
      <c r="N192" s="430">
        <v>0</v>
      </c>
      <c r="O192" s="8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430"/>
      <c r="V192" s="9">
        <v>0</v>
      </c>
      <c r="W192" s="28">
        <v>0</v>
      </c>
    </row>
    <row r="193" spans="1:23" x14ac:dyDescent="0.45">
      <c r="A193" s="64">
        <v>31291</v>
      </c>
      <c r="B193" s="14">
        <v>0</v>
      </c>
      <c r="C193" s="10">
        <v>0</v>
      </c>
      <c r="D193" s="10">
        <v>0</v>
      </c>
      <c r="E193" s="11">
        <v>0</v>
      </c>
      <c r="F193" s="10">
        <v>0</v>
      </c>
      <c r="G193" s="430">
        <v>0</v>
      </c>
      <c r="H193" s="8">
        <v>0</v>
      </c>
      <c r="I193" s="10">
        <v>0</v>
      </c>
      <c r="J193" s="10">
        <v>0</v>
      </c>
      <c r="K193" s="10">
        <v>0</v>
      </c>
      <c r="L193" s="11">
        <v>0</v>
      </c>
      <c r="M193" s="10">
        <v>0</v>
      </c>
      <c r="N193" s="430">
        <v>0</v>
      </c>
      <c r="O193" s="8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430"/>
      <c r="V193" s="9">
        <v>0</v>
      </c>
      <c r="W193" s="28">
        <v>0</v>
      </c>
    </row>
    <row r="194" spans="1:23" x14ac:dyDescent="0.45">
      <c r="A194" s="64">
        <v>31321</v>
      </c>
      <c r="B194" s="14">
        <v>1</v>
      </c>
      <c r="C194" s="10">
        <v>0</v>
      </c>
      <c r="D194" s="10">
        <v>0</v>
      </c>
      <c r="E194" s="11">
        <v>0</v>
      </c>
      <c r="F194" s="10">
        <v>0</v>
      </c>
      <c r="G194" s="430">
        <v>0</v>
      </c>
      <c r="H194" s="8">
        <v>1</v>
      </c>
      <c r="I194" s="10">
        <v>0</v>
      </c>
      <c r="J194" s="10">
        <v>0</v>
      </c>
      <c r="K194" s="10">
        <v>0</v>
      </c>
      <c r="L194" s="11">
        <v>0</v>
      </c>
      <c r="M194" s="10">
        <v>0</v>
      </c>
      <c r="N194" s="430">
        <v>0</v>
      </c>
      <c r="O194" s="8">
        <v>0</v>
      </c>
      <c r="P194" s="10">
        <v>1</v>
      </c>
      <c r="Q194" s="10">
        <v>0</v>
      </c>
      <c r="R194" s="10">
        <v>0</v>
      </c>
      <c r="S194" s="10">
        <v>0</v>
      </c>
      <c r="T194" s="10">
        <v>0</v>
      </c>
      <c r="U194" s="430"/>
      <c r="V194" s="9">
        <v>1</v>
      </c>
      <c r="W194" s="28">
        <v>1</v>
      </c>
    </row>
    <row r="195" spans="1:23" x14ac:dyDescent="0.45">
      <c r="A195" s="64">
        <v>31352</v>
      </c>
      <c r="B195" s="14">
        <v>0</v>
      </c>
      <c r="C195" s="10">
        <v>0</v>
      </c>
      <c r="D195" s="10">
        <v>0</v>
      </c>
      <c r="E195" s="11">
        <v>0</v>
      </c>
      <c r="F195" s="10">
        <v>0</v>
      </c>
      <c r="G195" s="430">
        <v>0</v>
      </c>
      <c r="H195" s="8">
        <v>0</v>
      </c>
      <c r="I195" s="10">
        <v>0</v>
      </c>
      <c r="J195" s="10">
        <v>0</v>
      </c>
      <c r="K195" s="10">
        <v>0</v>
      </c>
      <c r="L195" s="11">
        <v>0</v>
      </c>
      <c r="M195" s="10">
        <v>0</v>
      </c>
      <c r="N195" s="430">
        <v>0</v>
      </c>
      <c r="O195" s="8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430"/>
      <c r="V195" s="9">
        <v>0</v>
      </c>
      <c r="W195" s="28">
        <v>1</v>
      </c>
    </row>
    <row r="196" spans="1:23" ht="19.5" customHeight="1" thickBot="1" x14ac:dyDescent="0.5">
      <c r="A196" s="65">
        <v>31382</v>
      </c>
      <c r="B196" s="17">
        <v>0</v>
      </c>
      <c r="C196" s="18">
        <v>0</v>
      </c>
      <c r="D196" s="18">
        <v>0</v>
      </c>
      <c r="E196" s="18">
        <v>0</v>
      </c>
      <c r="F196" s="18">
        <v>0</v>
      </c>
      <c r="G196" s="432">
        <v>0</v>
      </c>
      <c r="H196" s="19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432">
        <v>0</v>
      </c>
      <c r="O196" s="19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432"/>
      <c r="V196" s="19">
        <v>0</v>
      </c>
      <c r="W196" s="28">
        <v>1</v>
      </c>
    </row>
    <row r="197" spans="1:23" ht="19.5" customHeight="1" thickTop="1" x14ac:dyDescent="0.45">
      <c r="A197" s="63">
        <v>31413</v>
      </c>
      <c r="B197" s="14">
        <v>0</v>
      </c>
      <c r="C197" s="10">
        <v>0</v>
      </c>
      <c r="D197" s="10">
        <v>0</v>
      </c>
      <c r="E197" s="10">
        <v>0</v>
      </c>
      <c r="F197" s="10">
        <v>0</v>
      </c>
      <c r="G197" s="430">
        <v>0</v>
      </c>
      <c r="H197" s="9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430">
        <v>0</v>
      </c>
      <c r="O197" s="9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430"/>
      <c r="V197" s="9">
        <v>0</v>
      </c>
      <c r="W197" s="28">
        <v>0</v>
      </c>
    </row>
    <row r="198" spans="1:23" x14ac:dyDescent="0.45">
      <c r="A198" s="64">
        <v>31444</v>
      </c>
      <c r="B198" s="14">
        <v>0</v>
      </c>
      <c r="C198" s="10">
        <v>0</v>
      </c>
      <c r="D198" s="10">
        <v>0</v>
      </c>
      <c r="E198" s="11">
        <v>1</v>
      </c>
      <c r="F198" s="10">
        <v>0</v>
      </c>
      <c r="G198" s="430">
        <v>0</v>
      </c>
      <c r="H198" s="8">
        <v>1</v>
      </c>
      <c r="I198" s="10">
        <v>0</v>
      </c>
      <c r="J198" s="10">
        <v>0</v>
      </c>
      <c r="K198" s="10">
        <v>0</v>
      </c>
      <c r="L198" s="11">
        <v>0</v>
      </c>
      <c r="M198" s="10">
        <v>0</v>
      </c>
      <c r="N198" s="430">
        <v>0</v>
      </c>
      <c r="O198" s="8">
        <v>0</v>
      </c>
      <c r="P198" s="10">
        <v>0</v>
      </c>
      <c r="Q198" s="10">
        <v>0</v>
      </c>
      <c r="R198" s="10">
        <v>0</v>
      </c>
      <c r="S198" s="10">
        <v>1</v>
      </c>
      <c r="T198" s="10">
        <v>0</v>
      </c>
      <c r="U198" s="430"/>
      <c r="V198" s="9">
        <v>1</v>
      </c>
      <c r="W198" s="28">
        <v>1</v>
      </c>
    </row>
    <row r="199" spans="1:23" x14ac:dyDescent="0.45">
      <c r="A199" s="64">
        <v>31472</v>
      </c>
      <c r="B199" s="14">
        <v>0</v>
      </c>
      <c r="C199" s="10">
        <v>0</v>
      </c>
      <c r="D199" s="10">
        <v>0</v>
      </c>
      <c r="E199" s="11">
        <v>0</v>
      </c>
      <c r="F199" s="10">
        <v>0</v>
      </c>
      <c r="G199" s="430">
        <v>0</v>
      </c>
      <c r="H199" s="8">
        <v>0</v>
      </c>
      <c r="I199" s="10">
        <v>0</v>
      </c>
      <c r="J199" s="10">
        <v>0</v>
      </c>
      <c r="K199" s="10">
        <v>0</v>
      </c>
      <c r="L199" s="11">
        <v>0</v>
      </c>
      <c r="M199" s="10">
        <v>0</v>
      </c>
      <c r="N199" s="430">
        <v>0</v>
      </c>
      <c r="O199" s="8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430"/>
      <c r="V199" s="9">
        <v>0</v>
      </c>
      <c r="W199" s="28">
        <v>1</v>
      </c>
    </row>
    <row r="200" spans="1:23" x14ac:dyDescent="0.45">
      <c r="A200" s="64">
        <v>31503</v>
      </c>
      <c r="B200" s="14">
        <v>0</v>
      </c>
      <c r="C200" s="10">
        <v>0</v>
      </c>
      <c r="D200" s="10">
        <v>0</v>
      </c>
      <c r="E200" s="11">
        <v>0</v>
      </c>
      <c r="F200" s="10">
        <v>0</v>
      </c>
      <c r="G200" s="430">
        <v>0</v>
      </c>
      <c r="H200" s="8">
        <v>0</v>
      </c>
      <c r="I200" s="10">
        <v>0</v>
      </c>
      <c r="J200" s="10">
        <v>0</v>
      </c>
      <c r="K200" s="10">
        <v>0</v>
      </c>
      <c r="L200" s="11">
        <v>0</v>
      </c>
      <c r="M200" s="10">
        <v>0</v>
      </c>
      <c r="N200" s="430">
        <v>0</v>
      </c>
      <c r="O200" s="8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430"/>
      <c r="V200" s="9">
        <v>0</v>
      </c>
      <c r="W200" s="28">
        <v>1</v>
      </c>
    </row>
    <row r="201" spans="1:23" x14ac:dyDescent="0.45">
      <c r="A201" s="64">
        <v>31533</v>
      </c>
      <c r="B201" s="14">
        <v>0</v>
      </c>
      <c r="C201" s="10">
        <v>0</v>
      </c>
      <c r="D201" s="10">
        <v>0</v>
      </c>
      <c r="E201" s="11">
        <v>0</v>
      </c>
      <c r="F201" s="10">
        <v>0</v>
      </c>
      <c r="G201" s="430">
        <v>0</v>
      </c>
      <c r="H201" s="8">
        <v>0</v>
      </c>
      <c r="I201" s="10">
        <v>0</v>
      </c>
      <c r="J201" s="10">
        <v>0</v>
      </c>
      <c r="K201" s="10">
        <v>0</v>
      </c>
      <c r="L201" s="11">
        <v>0</v>
      </c>
      <c r="M201" s="10">
        <v>0</v>
      </c>
      <c r="N201" s="430">
        <v>0</v>
      </c>
      <c r="O201" s="8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430"/>
      <c r="V201" s="9">
        <v>0</v>
      </c>
      <c r="W201" s="28">
        <v>1</v>
      </c>
    </row>
    <row r="202" spans="1:23" x14ac:dyDescent="0.45">
      <c r="A202" s="64">
        <v>31564</v>
      </c>
      <c r="B202" s="14">
        <v>0</v>
      </c>
      <c r="C202" s="10">
        <v>0</v>
      </c>
      <c r="D202" s="10">
        <v>0</v>
      </c>
      <c r="E202" s="11">
        <v>0</v>
      </c>
      <c r="F202" s="10">
        <v>0</v>
      </c>
      <c r="G202" s="430">
        <v>0</v>
      </c>
      <c r="H202" s="8">
        <v>0</v>
      </c>
      <c r="I202" s="10">
        <v>0</v>
      </c>
      <c r="J202" s="10">
        <v>0</v>
      </c>
      <c r="K202" s="10">
        <v>0</v>
      </c>
      <c r="L202" s="11">
        <v>0</v>
      </c>
      <c r="M202" s="10">
        <v>0</v>
      </c>
      <c r="N202" s="430">
        <v>0</v>
      </c>
      <c r="O202" s="8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430"/>
      <c r="V202" s="9">
        <v>0</v>
      </c>
      <c r="W202" s="28">
        <v>1</v>
      </c>
    </row>
    <row r="203" spans="1:23" x14ac:dyDescent="0.45">
      <c r="A203" s="64">
        <v>31594</v>
      </c>
      <c r="B203" s="14">
        <v>0</v>
      </c>
      <c r="C203" s="10">
        <v>0</v>
      </c>
      <c r="D203" s="10">
        <v>0</v>
      </c>
      <c r="E203" s="11">
        <v>0</v>
      </c>
      <c r="F203" s="10">
        <v>0</v>
      </c>
      <c r="G203" s="430">
        <v>0</v>
      </c>
      <c r="H203" s="8">
        <v>0</v>
      </c>
      <c r="I203" s="10">
        <v>0</v>
      </c>
      <c r="J203" s="10">
        <v>0</v>
      </c>
      <c r="K203" s="10">
        <v>0</v>
      </c>
      <c r="L203" s="11">
        <v>0</v>
      </c>
      <c r="M203" s="10">
        <v>0</v>
      </c>
      <c r="N203" s="430">
        <v>0</v>
      </c>
      <c r="O203" s="8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430"/>
      <c r="V203" s="9">
        <v>0</v>
      </c>
      <c r="W203" s="28">
        <v>1</v>
      </c>
    </row>
    <row r="204" spans="1:23" x14ac:dyDescent="0.45">
      <c r="A204" s="64">
        <v>31625</v>
      </c>
      <c r="B204" s="14">
        <v>0</v>
      </c>
      <c r="C204" s="10">
        <v>0</v>
      </c>
      <c r="D204" s="10">
        <v>0</v>
      </c>
      <c r="E204" s="11">
        <v>0</v>
      </c>
      <c r="F204" s="10">
        <v>0</v>
      </c>
      <c r="G204" s="430">
        <v>0</v>
      </c>
      <c r="H204" s="8">
        <v>0</v>
      </c>
      <c r="I204" s="10">
        <v>0</v>
      </c>
      <c r="J204" s="10">
        <v>0</v>
      </c>
      <c r="K204" s="10">
        <v>0</v>
      </c>
      <c r="L204" s="11">
        <v>0</v>
      </c>
      <c r="M204" s="10">
        <v>0</v>
      </c>
      <c r="N204" s="430">
        <v>0</v>
      </c>
      <c r="O204" s="8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430"/>
      <c r="V204" s="9">
        <v>0</v>
      </c>
      <c r="W204" s="28">
        <v>1</v>
      </c>
    </row>
    <row r="205" spans="1:23" x14ac:dyDescent="0.45">
      <c r="A205" s="64">
        <v>31656</v>
      </c>
      <c r="B205" s="14">
        <v>0</v>
      </c>
      <c r="C205" s="10">
        <v>0</v>
      </c>
      <c r="D205" s="10">
        <v>0</v>
      </c>
      <c r="E205" s="11">
        <v>0</v>
      </c>
      <c r="F205" s="10">
        <v>0</v>
      </c>
      <c r="G205" s="430">
        <v>0</v>
      </c>
      <c r="H205" s="8">
        <v>0</v>
      </c>
      <c r="I205" s="10">
        <v>0</v>
      </c>
      <c r="J205" s="10">
        <v>0</v>
      </c>
      <c r="K205" s="10">
        <v>0</v>
      </c>
      <c r="L205" s="11">
        <v>0</v>
      </c>
      <c r="M205" s="10">
        <v>0</v>
      </c>
      <c r="N205" s="430">
        <v>0</v>
      </c>
      <c r="O205" s="8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430"/>
      <c r="V205" s="9">
        <v>0</v>
      </c>
      <c r="W205" s="28">
        <v>1</v>
      </c>
    </row>
    <row r="206" spans="1:23" x14ac:dyDescent="0.45">
      <c r="A206" s="64">
        <v>31686</v>
      </c>
      <c r="B206" s="14">
        <v>1</v>
      </c>
      <c r="C206" s="10">
        <v>0</v>
      </c>
      <c r="D206" s="10">
        <v>0</v>
      </c>
      <c r="E206" s="11">
        <v>0</v>
      </c>
      <c r="F206" s="10">
        <v>0</v>
      </c>
      <c r="G206" s="430">
        <v>0</v>
      </c>
      <c r="H206" s="8">
        <v>1</v>
      </c>
      <c r="I206" s="10">
        <v>0</v>
      </c>
      <c r="J206" s="10">
        <v>0</v>
      </c>
      <c r="K206" s="10">
        <v>0</v>
      </c>
      <c r="L206" s="11">
        <v>0</v>
      </c>
      <c r="M206" s="10">
        <v>0</v>
      </c>
      <c r="N206" s="430">
        <v>0</v>
      </c>
      <c r="O206" s="8">
        <v>0</v>
      </c>
      <c r="P206" s="10">
        <v>1</v>
      </c>
      <c r="Q206" s="10">
        <v>0</v>
      </c>
      <c r="R206" s="10">
        <v>0</v>
      </c>
      <c r="S206" s="10">
        <v>0</v>
      </c>
      <c r="T206" s="10">
        <v>0</v>
      </c>
      <c r="U206" s="430"/>
      <c r="V206" s="9">
        <v>1</v>
      </c>
      <c r="W206" s="28">
        <v>2</v>
      </c>
    </row>
    <row r="207" spans="1:23" x14ac:dyDescent="0.45">
      <c r="A207" s="64">
        <v>31717</v>
      </c>
      <c r="B207" s="14">
        <v>0</v>
      </c>
      <c r="C207" s="10">
        <v>0</v>
      </c>
      <c r="D207" s="10">
        <v>0</v>
      </c>
      <c r="E207" s="11">
        <v>0</v>
      </c>
      <c r="F207" s="10">
        <v>0</v>
      </c>
      <c r="G207" s="430">
        <v>0</v>
      </c>
      <c r="H207" s="8">
        <v>0</v>
      </c>
      <c r="I207" s="10">
        <v>0</v>
      </c>
      <c r="J207" s="10">
        <v>0</v>
      </c>
      <c r="K207" s="10">
        <v>0</v>
      </c>
      <c r="L207" s="11">
        <v>0</v>
      </c>
      <c r="M207" s="10">
        <v>0</v>
      </c>
      <c r="N207" s="430">
        <v>0</v>
      </c>
      <c r="O207" s="8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430"/>
      <c r="V207" s="9">
        <v>0</v>
      </c>
      <c r="W207" s="28">
        <v>2</v>
      </c>
    </row>
    <row r="208" spans="1:23" ht="19.5" customHeight="1" thickBot="1" x14ac:dyDescent="0.5">
      <c r="A208" s="65">
        <v>31747</v>
      </c>
      <c r="B208" s="17">
        <v>0</v>
      </c>
      <c r="C208" s="18">
        <v>0</v>
      </c>
      <c r="D208" s="18">
        <v>0</v>
      </c>
      <c r="E208" s="18">
        <v>0</v>
      </c>
      <c r="F208" s="18">
        <v>0</v>
      </c>
      <c r="G208" s="432">
        <v>0</v>
      </c>
      <c r="H208" s="19">
        <v>0</v>
      </c>
      <c r="I208" s="18">
        <v>0</v>
      </c>
      <c r="J208" s="18">
        <v>0</v>
      </c>
      <c r="K208" s="18">
        <v>0</v>
      </c>
      <c r="L208" s="18">
        <v>0</v>
      </c>
      <c r="M208" s="18">
        <v>0</v>
      </c>
      <c r="N208" s="432">
        <v>0</v>
      </c>
      <c r="O208" s="19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432"/>
      <c r="V208" s="19">
        <v>0</v>
      </c>
      <c r="W208" s="28">
        <v>2</v>
      </c>
    </row>
    <row r="209" spans="1:23" ht="19.5" customHeight="1" thickTop="1" x14ac:dyDescent="0.45">
      <c r="A209" s="63">
        <v>31778</v>
      </c>
      <c r="B209" s="14">
        <v>0</v>
      </c>
      <c r="C209" s="10">
        <v>0</v>
      </c>
      <c r="D209" s="10">
        <v>0</v>
      </c>
      <c r="E209" s="10">
        <v>0</v>
      </c>
      <c r="F209" s="10">
        <v>0</v>
      </c>
      <c r="G209" s="430">
        <v>0</v>
      </c>
      <c r="H209" s="9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430">
        <v>0</v>
      </c>
      <c r="O209" s="9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430"/>
      <c r="V209" s="9">
        <v>0</v>
      </c>
      <c r="W209" s="28">
        <v>0</v>
      </c>
    </row>
    <row r="210" spans="1:23" x14ac:dyDescent="0.45">
      <c r="A210" s="64">
        <v>31809</v>
      </c>
      <c r="B210" s="14">
        <v>0</v>
      </c>
      <c r="C210" s="10">
        <v>0</v>
      </c>
      <c r="D210" s="10">
        <v>0</v>
      </c>
      <c r="E210" s="11">
        <v>0</v>
      </c>
      <c r="F210" s="10">
        <v>0</v>
      </c>
      <c r="G210" s="430">
        <v>0</v>
      </c>
      <c r="H210" s="8">
        <v>0</v>
      </c>
      <c r="I210" s="10">
        <v>0</v>
      </c>
      <c r="J210" s="10">
        <v>0</v>
      </c>
      <c r="K210" s="10">
        <v>0</v>
      </c>
      <c r="L210" s="11">
        <v>0</v>
      </c>
      <c r="M210" s="10">
        <v>0</v>
      </c>
      <c r="N210" s="430">
        <v>0</v>
      </c>
      <c r="O210" s="8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430"/>
      <c r="V210" s="9">
        <v>0</v>
      </c>
      <c r="W210" s="28">
        <v>0</v>
      </c>
    </row>
    <row r="211" spans="1:23" x14ac:dyDescent="0.45">
      <c r="A211" s="64">
        <v>31837</v>
      </c>
      <c r="B211" s="14">
        <v>0</v>
      </c>
      <c r="C211" s="10">
        <v>0</v>
      </c>
      <c r="D211" s="10">
        <v>0</v>
      </c>
      <c r="E211" s="11">
        <v>0</v>
      </c>
      <c r="F211" s="10">
        <v>0</v>
      </c>
      <c r="G211" s="430">
        <v>0</v>
      </c>
      <c r="H211" s="8">
        <v>0</v>
      </c>
      <c r="I211" s="10">
        <v>0</v>
      </c>
      <c r="J211" s="10">
        <v>0</v>
      </c>
      <c r="K211" s="10">
        <v>0</v>
      </c>
      <c r="L211" s="11">
        <v>0</v>
      </c>
      <c r="M211" s="10">
        <v>0</v>
      </c>
      <c r="N211" s="430">
        <v>0</v>
      </c>
      <c r="O211" s="8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430"/>
      <c r="V211" s="9">
        <v>0</v>
      </c>
      <c r="W211" s="28">
        <v>0</v>
      </c>
    </row>
    <row r="212" spans="1:23" x14ac:dyDescent="0.45">
      <c r="A212" s="64">
        <v>31868</v>
      </c>
      <c r="B212" s="14">
        <v>0</v>
      </c>
      <c r="C212" s="10">
        <v>0</v>
      </c>
      <c r="D212" s="10">
        <v>0</v>
      </c>
      <c r="E212" s="11">
        <v>0</v>
      </c>
      <c r="F212" s="10">
        <v>0</v>
      </c>
      <c r="G212" s="430">
        <v>0</v>
      </c>
      <c r="H212" s="8">
        <v>0</v>
      </c>
      <c r="I212" s="10">
        <v>0</v>
      </c>
      <c r="J212" s="10">
        <v>0</v>
      </c>
      <c r="K212" s="10">
        <v>0</v>
      </c>
      <c r="L212" s="11">
        <v>0</v>
      </c>
      <c r="M212" s="10">
        <v>0</v>
      </c>
      <c r="N212" s="430">
        <v>0</v>
      </c>
      <c r="O212" s="8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430"/>
      <c r="V212" s="9">
        <v>0</v>
      </c>
      <c r="W212" s="28">
        <v>0</v>
      </c>
    </row>
    <row r="213" spans="1:23" x14ac:dyDescent="0.45">
      <c r="A213" s="64">
        <v>31898</v>
      </c>
      <c r="B213" s="14">
        <v>0</v>
      </c>
      <c r="C213" s="10">
        <v>0</v>
      </c>
      <c r="D213" s="10">
        <v>0</v>
      </c>
      <c r="E213" s="11">
        <v>0</v>
      </c>
      <c r="F213" s="10">
        <v>0</v>
      </c>
      <c r="G213" s="430">
        <v>0</v>
      </c>
      <c r="H213" s="8">
        <v>0</v>
      </c>
      <c r="I213" s="10">
        <v>0</v>
      </c>
      <c r="J213" s="10">
        <v>0</v>
      </c>
      <c r="K213" s="10">
        <v>0</v>
      </c>
      <c r="L213" s="11">
        <v>0</v>
      </c>
      <c r="M213" s="10">
        <v>0</v>
      </c>
      <c r="N213" s="430">
        <v>0</v>
      </c>
      <c r="O213" s="8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430"/>
      <c r="V213" s="9">
        <v>0</v>
      </c>
      <c r="W213" s="28">
        <v>0</v>
      </c>
    </row>
    <row r="214" spans="1:23" x14ac:dyDescent="0.45">
      <c r="A214" s="64">
        <v>31929</v>
      </c>
      <c r="B214" s="14">
        <v>0</v>
      </c>
      <c r="C214" s="10">
        <v>0</v>
      </c>
      <c r="D214" s="10">
        <v>0</v>
      </c>
      <c r="E214" s="11">
        <v>0</v>
      </c>
      <c r="F214" s="10">
        <v>0</v>
      </c>
      <c r="G214" s="430">
        <v>0</v>
      </c>
      <c r="H214" s="8">
        <v>0</v>
      </c>
      <c r="I214" s="10">
        <v>0</v>
      </c>
      <c r="J214" s="10">
        <v>0</v>
      </c>
      <c r="K214" s="10">
        <v>0</v>
      </c>
      <c r="L214" s="11">
        <v>0</v>
      </c>
      <c r="M214" s="10">
        <v>0</v>
      </c>
      <c r="N214" s="430">
        <v>0</v>
      </c>
      <c r="O214" s="8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430"/>
      <c r="V214" s="9">
        <v>0</v>
      </c>
      <c r="W214" s="28">
        <v>0</v>
      </c>
    </row>
    <row r="215" spans="1:23" x14ac:dyDescent="0.45">
      <c r="A215" s="64">
        <v>31959</v>
      </c>
      <c r="B215" s="14">
        <v>0</v>
      </c>
      <c r="C215" s="10">
        <v>0</v>
      </c>
      <c r="D215" s="10">
        <v>0</v>
      </c>
      <c r="E215" s="11">
        <v>0</v>
      </c>
      <c r="F215" s="10">
        <v>0</v>
      </c>
      <c r="G215" s="430">
        <v>0</v>
      </c>
      <c r="H215" s="8">
        <v>0</v>
      </c>
      <c r="I215" s="10">
        <v>0</v>
      </c>
      <c r="J215" s="10">
        <v>0</v>
      </c>
      <c r="K215" s="10">
        <v>0</v>
      </c>
      <c r="L215" s="11">
        <v>0</v>
      </c>
      <c r="M215" s="10">
        <v>0</v>
      </c>
      <c r="N215" s="430">
        <v>0</v>
      </c>
      <c r="O215" s="8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430"/>
      <c r="V215" s="9">
        <v>0</v>
      </c>
      <c r="W215" s="28">
        <v>0</v>
      </c>
    </row>
    <row r="216" spans="1:23" x14ac:dyDescent="0.45">
      <c r="A216" s="64">
        <v>31990</v>
      </c>
      <c r="B216" s="14">
        <v>1</v>
      </c>
      <c r="C216" s="10">
        <v>0</v>
      </c>
      <c r="D216" s="10">
        <v>0</v>
      </c>
      <c r="E216" s="11">
        <v>0</v>
      </c>
      <c r="F216" s="10">
        <v>0</v>
      </c>
      <c r="G216" s="430">
        <v>0</v>
      </c>
      <c r="H216" s="8">
        <v>1</v>
      </c>
      <c r="I216" s="10">
        <v>0</v>
      </c>
      <c r="J216" s="10">
        <v>0</v>
      </c>
      <c r="K216" s="10">
        <v>0</v>
      </c>
      <c r="L216" s="11">
        <v>0</v>
      </c>
      <c r="M216" s="10">
        <v>0</v>
      </c>
      <c r="N216" s="430">
        <v>0</v>
      </c>
      <c r="O216" s="8">
        <v>0</v>
      </c>
      <c r="P216" s="10">
        <v>1</v>
      </c>
      <c r="Q216" s="10">
        <v>0</v>
      </c>
      <c r="R216" s="10">
        <v>0</v>
      </c>
      <c r="S216" s="10">
        <v>0</v>
      </c>
      <c r="T216" s="10">
        <v>0</v>
      </c>
      <c r="U216" s="430"/>
      <c r="V216" s="9">
        <v>1</v>
      </c>
      <c r="W216" s="28">
        <v>1</v>
      </c>
    </row>
    <row r="217" spans="1:23" x14ac:dyDescent="0.45">
      <c r="A217" s="64">
        <v>32021</v>
      </c>
      <c r="B217" s="14">
        <v>1</v>
      </c>
      <c r="C217" s="10">
        <v>0</v>
      </c>
      <c r="D217" s="10">
        <v>0</v>
      </c>
      <c r="E217" s="11">
        <v>0</v>
      </c>
      <c r="F217" s="10">
        <v>0</v>
      </c>
      <c r="G217" s="430">
        <v>0</v>
      </c>
      <c r="H217" s="8">
        <v>1</v>
      </c>
      <c r="I217" s="10">
        <v>0</v>
      </c>
      <c r="J217" s="10">
        <v>0</v>
      </c>
      <c r="K217" s="10">
        <v>0</v>
      </c>
      <c r="L217" s="11">
        <v>0</v>
      </c>
      <c r="M217" s="10">
        <v>0</v>
      </c>
      <c r="N217" s="430">
        <v>0</v>
      </c>
      <c r="O217" s="8">
        <v>0</v>
      </c>
      <c r="P217" s="10">
        <v>1</v>
      </c>
      <c r="Q217" s="10">
        <v>0</v>
      </c>
      <c r="R217" s="10">
        <v>0</v>
      </c>
      <c r="S217" s="10">
        <v>0</v>
      </c>
      <c r="T217" s="10">
        <v>0</v>
      </c>
      <c r="U217" s="430"/>
      <c r="V217" s="9">
        <v>1</v>
      </c>
      <c r="W217" s="28">
        <v>2</v>
      </c>
    </row>
    <row r="218" spans="1:23" x14ac:dyDescent="0.45">
      <c r="A218" s="64">
        <v>32051</v>
      </c>
      <c r="B218" s="14">
        <v>0</v>
      </c>
      <c r="C218" s="10">
        <v>0</v>
      </c>
      <c r="D218" s="10">
        <v>0</v>
      </c>
      <c r="E218" s="11">
        <v>0</v>
      </c>
      <c r="F218" s="10">
        <v>0</v>
      </c>
      <c r="G218" s="430">
        <v>0</v>
      </c>
      <c r="H218" s="8">
        <v>0</v>
      </c>
      <c r="I218" s="10">
        <v>0</v>
      </c>
      <c r="J218" s="10">
        <v>0</v>
      </c>
      <c r="K218" s="10">
        <v>0</v>
      </c>
      <c r="L218" s="11">
        <v>0</v>
      </c>
      <c r="M218" s="10">
        <v>0</v>
      </c>
      <c r="N218" s="430">
        <v>0</v>
      </c>
      <c r="O218" s="8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430"/>
      <c r="V218" s="9">
        <v>0</v>
      </c>
      <c r="W218" s="28">
        <v>2</v>
      </c>
    </row>
    <row r="219" spans="1:23" x14ac:dyDescent="0.45">
      <c r="A219" s="64">
        <v>32082</v>
      </c>
      <c r="B219" s="14">
        <v>0</v>
      </c>
      <c r="C219" s="10">
        <v>0</v>
      </c>
      <c r="D219" s="10">
        <v>0</v>
      </c>
      <c r="E219" s="11">
        <v>0</v>
      </c>
      <c r="F219" s="10">
        <v>0</v>
      </c>
      <c r="G219" s="430">
        <v>0</v>
      </c>
      <c r="H219" s="8">
        <v>0</v>
      </c>
      <c r="I219" s="10">
        <v>0</v>
      </c>
      <c r="J219" s="10">
        <v>0</v>
      </c>
      <c r="K219" s="10">
        <v>0</v>
      </c>
      <c r="L219" s="11">
        <v>0</v>
      </c>
      <c r="M219" s="10">
        <v>0</v>
      </c>
      <c r="N219" s="430">
        <v>0</v>
      </c>
      <c r="O219" s="8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430"/>
      <c r="V219" s="9">
        <v>0</v>
      </c>
      <c r="W219" s="28">
        <v>2</v>
      </c>
    </row>
    <row r="220" spans="1:23" ht="19.5" customHeight="1" thickBot="1" x14ac:dyDescent="0.5">
      <c r="A220" s="65">
        <v>32112</v>
      </c>
      <c r="B220" s="17">
        <v>0</v>
      </c>
      <c r="C220" s="18">
        <v>0</v>
      </c>
      <c r="D220" s="18">
        <v>0</v>
      </c>
      <c r="E220" s="18">
        <v>0</v>
      </c>
      <c r="F220" s="18">
        <v>0</v>
      </c>
      <c r="G220" s="432">
        <v>0</v>
      </c>
      <c r="H220" s="19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432">
        <v>0</v>
      </c>
      <c r="O220" s="19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432"/>
      <c r="V220" s="19">
        <v>0</v>
      </c>
      <c r="W220" s="28">
        <v>2</v>
      </c>
    </row>
    <row r="221" spans="1:23" ht="19.5" customHeight="1" thickTop="1" x14ac:dyDescent="0.45">
      <c r="A221" s="63">
        <v>32143</v>
      </c>
      <c r="B221" s="14">
        <v>0</v>
      </c>
      <c r="C221" s="10">
        <v>0</v>
      </c>
      <c r="D221" s="10">
        <v>0</v>
      </c>
      <c r="E221" s="10">
        <v>0</v>
      </c>
      <c r="F221" s="10">
        <v>0</v>
      </c>
      <c r="G221" s="430">
        <v>0</v>
      </c>
      <c r="H221" s="9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430">
        <v>0</v>
      </c>
      <c r="O221" s="9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430"/>
      <c r="V221" s="9">
        <v>0</v>
      </c>
      <c r="W221" s="28">
        <v>0</v>
      </c>
    </row>
    <row r="222" spans="1:23" x14ac:dyDescent="0.45">
      <c r="A222" s="64">
        <v>32174</v>
      </c>
      <c r="B222" s="14">
        <v>0</v>
      </c>
      <c r="C222" s="10">
        <v>0</v>
      </c>
      <c r="D222" s="10">
        <v>0</v>
      </c>
      <c r="E222" s="11">
        <v>0</v>
      </c>
      <c r="F222" s="10">
        <v>0</v>
      </c>
      <c r="G222" s="430">
        <v>0</v>
      </c>
      <c r="H222" s="8">
        <v>0</v>
      </c>
      <c r="I222" s="10">
        <v>0</v>
      </c>
      <c r="J222" s="10">
        <v>0</v>
      </c>
      <c r="K222" s="10">
        <v>0</v>
      </c>
      <c r="L222" s="11">
        <v>0</v>
      </c>
      <c r="M222" s="10">
        <v>0</v>
      </c>
      <c r="N222" s="430">
        <v>0</v>
      </c>
      <c r="O222" s="8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430"/>
      <c r="V222" s="9">
        <v>0</v>
      </c>
      <c r="W222" s="28">
        <v>0</v>
      </c>
    </row>
    <row r="223" spans="1:23" x14ac:dyDescent="0.45">
      <c r="A223" s="64">
        <v>32203</v>
      </c>
      <c r="B223" s="14">
        <v>0</v>
      </c>
      <c r="C223" s="10">
        <v>0</v>
      </c>
      <c r="D223" s="10">
        <v>0</v>
      </c>
      <c r="E223" s="11">
        <v>1</v>
      </c>
      <c r="F223" s="10">
        <v>0</v>
      </c>
      <c r="G223" s="430">
        <v>0</v>
      </c>
      <c r="H223" s="8">
        <v>1</v>
      </c>
      <c r="I223" s="10">
        <v>0</v>
      </c>
      <c r="J223" s="10">
        <v>0</v>
      </c>
      <c r="K223" s="10">
        <v>0</v>
      </c>
      <c r="L223" s="11">
        <v>0</v>
      </c>
      <c r="M223" s="10">
        <v>0</v>
      </c>
      <c r="N223" s="430">
        <v>0</v>
      </c>
      <c r="O223" s="8">
        <v>0</v>
      </c>
      <c r="P223" s="10">
        <v>0</v>
      </c>
      <c r="Q223" s="10">
        <v>0</v>
      </c>
      <c r="R223" s="10">
        <v>0</v>
      </c>
      <c r="S223" s="10">
        <v>1</v>
      </c>
      <c r="T223" s="10">
        <v>0</v>
      </c>
      <c r="U223" s="430"/>
      <c r="V223" s="9">
        <v>1</v>
      </c>
      <c r="W223" s="28">
        <v>1</v>
      </c>
    </row>
    <row r="224" spans="1:23" x14ac:dyDescent="0.45">
      <c r="A224" s="64">
        <v>32234</v>
      </c>
      <c r="B224" s="14">
        <v>0</v>
      </c>
      <c r="C224" s="10">
        <v>0</v>
      </c>
      <c r="D224" s="10">
        <v>0</v>
      </c>
      <c r="E224" s="11">
        <v>0</v>
      </c>
      <c r="F224" s="10">
        <v>0</v>
      </c>
      <c r="G224" s="430">
        <v>0</v>
      </c>
      <c r="H224" s="8">
        <v>0</v>
      </c>
      <c r="I224" s="10">
        <v>0</v>
      </c>
      <c r="J224" s="10">
        <v>0</v>
      </c>
      <c r="K224" s="10">
        <v>0</v>
      </c>
      <c r="L224" s="11">
        <v>0</v>
      </c>
      <c r="M224" s="10">
        <v>0</v>
      </c>
      <c r="N224" s="430">
        <v>0</v>
      </c>
      <c r="O224" s="8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430"/>
      <c r="V224" s="9">
        <v>0</v>
      </c>
      <c r="W224" s="28">
        <v>1</v>
      </c>
    </row>
    <row r="225" spans="1:23" x14ac:dyDescent="0.45">
      <c r="A225" s="64">
        <v>32264</v>
      </c>
      <c r="B225" s="14">
        <v>0</v>
      </c>
      <c r="C225" s="10">
        <v>0</v>
      </c>
      <c r="D225" s="10">
        <v>0</v>
      </c>
      <c r="E225" s="11">
        <v>0</v>
      </c>
      <c r="F225" s="10">
        <v>0</v>
      </c>
      <c r="G225" s="430">
        <v>0</v>
      </c>
      <c r="H225" s="8">
        <v>0</v>
      </c>
      <c r="I225" s="10">
        <v>0</v>
      </c>
      <c r="J225" s="10">
        <v>0</v>
      </c>
      <c r="K225" s="10">
        <v>0</v>
      </c>
      <c r="L225" s="11">
        <v>0</v>
      </c>
      <c r="M225" s="10">
        <v>0</v>
      </c>
      <c r="N225" s="430">
        <v>0</v>
      </c>
      <c r="O225" s="8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430"/>
      <c r="V225" s="9">
        <v>0</v>
      </c>
      <c r="W225" s="28">
        <v>1</v>
      </c>
    </row>
    <row r="226" spans="1:23" x14ac:dyDescent="0.45">
      <c r="A226" s="64">
        <v>32295</v>
      </c>
      <c r="B226" s="14">
        <v>0</v>
      </c>
      <c r="C226" s="10">
        <v>0</v>
      </c>
      <c r="D226" s="10">
        <v>0</v>
      </c>
      <c r="E226" s="11">
        <v>0</v>
      </c>
      <c r="F226" s="10">
        <v>0</v>
      </c>
      <c r="G226" s="430">
        <v>0</v>
      </c>
      <c r="H226" s="8">
        <v>0</v>
      </c>
      <c r="I226" s="10">
        <v>0</v>
      </c>
      <c r="J226" s="10">
        <v>0</v>
      </c>
      <c r="K226" s="10">
        <v>0</v>
      </c>
      <c r="L226" s="11">
        <v>0</v>
      </c>
      <c r="M226" s="10">
        <v>0</v>
      </c>
      <c r="N226" s="430">
        <v>0</v>
      </c>
      <c r="O226" s="8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430"/>
      <c r="V226" s="9">
        <v>0</v>
      </c>
      <c r="W226" s="28">
        <v>1</v>
      </c>
    </row>
    <row r="227" spans="1:23" x14ac:dyDescent="0.45">
      <c r="A227" s="64">
        <v>32325</v>
      </c>
      <c r="B227" s="14">
        <v>0</v>
      </c>
      <c r="C227" s="10">
        <v>0</v>
      </c>
      <c r="D227" s="10">
        <v>0</v>
      </c>
      <c r="E227" s="11">
        <v>0</v>
      </c>
      <c r="F227" s="10">
        <v>0</v>
      </c>
      <c r="G227" s="430">
        <v>0</v>
      </c>
      <c r="H227" s="8">
        <v>0</v>
      </c>
      <c r="I227" s="10">
        <v>0</v>
      </c>
      <c r="J227" s="10">
        <v>0</v>
      </c>
      <c r="K227" s="10">
        <v>0</v>
      </c>
      <c r="L227" s="11">
        <v>0</v>
      </c>
      <c r="M227" s="10">
        <v>0</v>
      </c>
      <c r="N227" s="430">
        <v>0</v>
      </c>
      <c r="O227" s="8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430"/>
      <c r="V227" s="9">
        <v>0</v>
      </c>
      <c r="W227" s="28">
        <v>1</v>
      </c>
    </row>
    <row r="228" spans="1:23" x14ac:dyDescent="0.45">
      <c r="A228" s="64">
        <v>32356</v>
      </c>
      <c r="B228" s="14">
        <v>1</v>
      </c>
      <c r="C228" s="10">
        <v>0</v>
      </c>
      <c r="D228" s="10">
        <v>0</v>
      </c>
      <c r="E228" s="11">
        <v>0</v>
      </c>
      <c r="F228" s="10">
        <v>0</v>
      </c>
      <c r="G228" s="430">
        <v>0</v>
      </c>
      <c r="H228" s="8">
        <v>1</v>
      </c>
      <c r="I228" s="10">
        <v>0</v>
      </c>
      <c r="J228" s="10">
        <v>0</v>
      </c>
      <c r="K228" s="10">
        <v>0</v>
      </c>
      <c r="L228" s="11">
        <v>0</v>
      </c>
      <c r="M228" s="10">
        <v>0</v>
      </c>
      <c r="N228" s="430">
        <v>0</v>
      </c>
      <c r="O228" s="8">
        <v>0</v>
      </c>
      <c r="P228" s="10">
        <v>1</v>
      </c>
      <c r="Q228" s="10">
        <v>0</v>
      </c>
      <c r="R228" s="10">
        <v>0</v>
      </c>
      <c r="S228" s="10">
        <v>0</v>
      </c>
      <c r="T228" s="10">
        <v>0</v>
      </c>
      <c r="U228" s="430"/>
      <c r="V228" s="9">
        <v>1</v>
      </c>
      <c r="W228" s="28">
        <v>2</v>
      </c>
    </row>
    <row r="229" spans="1:23" x14ac:dyDescent="0.45">
      <c r="A229" s="64">
        <v>32387</v>
      </c>
      <c r="B229" s="14">
        <v>0</v>
      </c>
      <c r="C229" s="10">
        <v>1</v>
      </c>
      <c r="D229" s="10">
        <v>0</v>
      </c>
      <c r="E229" s="11">
        <v>0</v>
      </c>
      <c r="F229" s="10">
        <v>0</v>
      </c>
      <c r="G229" s="430">
        <v>0</v>
      </c>
      <c r="H229" s="8">
        <v>1</v>
      </c>
      <c r="I229" s="10">
        <v>0</v>
      </c>
      <c r="J229" s="10">
        <v>0</v>
      </c>
      <c r="K229" s="10">
        <v>0</v>
      </c>
      <c r="L229" s="11">
        <v>0</v>
      </c>
      <c r="M229" s="10">
        <v>0</v>
      </c>
      <c r="N229" s="430">
        <v>0</v>
      </c>
      <c r="O229" s="8">
        <v>0</v>
      </c>
      <c r="P229" s="10">
        <v>0</v>
      </c>
      <c r="Q229" s="10">
        <v>1</v>
      </c>
      <c r="R229" s="10">
        <v>0</v>
      </c>
      <c r="S229" s="10">
        <v>0</v>
      </c>
      <c r="T229" s="10">
        <v>0</v>
      </c>
      <c r="U229" s="430"/>
      <c r="V229" s="9">
        <v>1</v>
      </c>
      <c r="W229" s="28">
        <v>3</v>
      </c>
    </row>
    <row r="230" spans="1:23" x14ac:dyDescent="0.45">
      <c r="A230" s="64">
        <v>32417</v>
      </c>
      <c r="B230" s="14">
        <v>0</v>
      </c>
      <c r="C230" s="10">
        <v>0</v>
      </c>
      <c r="D230" s="10">
        <v>0</v>
      </c>
      <c r="E230" s="11">
        <v>0</v>
      </c>
      <c r="F230" s="10">
        <v>0</v>
      </c>
      <c r="G230" s="430">
        <v>0</v>
      </c>
      <c r="H230" s="8">
        <v>0</v>
      </c>
      <c r="I230" s="10">
        <v>0</v>
      </c>
      <c r="J230" s="10">
        <v>0</v>
      </c>
      <c r="K230" s="10">
        <v>0</v>
      </c>
      <c r="L230" s="11">
        <v>0</v>
      </c>
      <c r="M230" s="10">
        <v>0</v>
      </c>
      <c r="N230" s="430">
        <v>0</v>
      </c>
      <c r="O230" s="8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430"/>
      <c r="V230" s="9">
        <v>0</v>
      </c>
      <c r="W230" s="28">
        <v>3</v>
      </c>
    </row>
    <row r="231" spans="1:23" x14ac:dyDescent="0.45">
      <c r="A231" s="64">
        <v>32448</v>
      </c>
      <c r="B231" s="14">
        <v>0</v>
      </c>
      <c r="C231" s="10">
        <v>0</v>
      </c>
      <c r="D231" s="10">
        <v>0</v>
      </c>
      <c r="E231" s="11">
        <v>0</v>
      </c>
      <c r="F231" s="10">
        <v>0</v>
      </c>
      <c r="G231" s="430">
        <v>0</v>
      </c>
      <c r="H231" s="8">
        <v>0</v>
      </c>
      <c r="I231" s="10">
        <v>0</v>
      </c>
      <c r="J231" s="10">
        <v>0</v>
      </c>
      <c r="K231" s="10">
        <v>0</v>
      </c>
      <c r="L231" s="11">
        <v>0</v>
      </c>
      <c r="M231" s="10">
        <v>0</v>
      </c>
      <c r="N231" s="430">
        <v>0</v>
      </c>
      <c r="O231" s="8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430"/>
      <c r="V231" s="9">
        <v>0</v>
      </c>
      <c r="W231" s="28">
        <v>3</v>
      </c>
    </row>
    <row r="232" spans="1:23" ht="19.5" customHeight="1" thickBot="1" x14ac:dyDescent="0.5">
      <c r="A232" s="65">
        <v>32478</v>
      </c>
      <c r="B232" s="17">
        <v>0</v>
      </c>
      <c r="C232" s="18">
        <v>0</v>
      </c>
      <c r="D232" s="18">
        <v>0</v>
      </c>
      <c r="E232" s="18">
        <v>1</v>
      </c>
      <c r="F232" s="18">
        <v>0</v>
      </c>
      <c r="G232" s="432">
        <v>0</v>
      </c>
      <c r="H232" s="19">
        <v>1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432">
        <v>0</v>
      </c>
      <c r="O232" s="19">
        <v>0</v>
      </c>
      <c r="P232" s="18">
        <v>0</v>
      </c>
      <c r="Q232" s="18">
        <v>0</v>
      </c>
      <c r="R232" s="18">
        <v>0</v>
      </c>
      <c r="S232" s="18">
        <v>1</v>
      </c>
      <c r="T232" s="18">
        <v>0</v>
      </c>
      <c r="U232" s="432"/>
      <c r="V232" s="19">
        <v>1</v>
      </c>
      <c r="W232" s="28">
        <v>4</v>
      </c>
    </row>
    <row r="233" spans="1:23" ht="19.5" customHeight="1" thickTop="1" x14ac:dyDescent="0.45">
      <c r="A233" s="63">
        <v>32509</v>
      </c>
      <c r="B233" s="14">
        <v>0</v>
      </c>
      <c r="C233" s="10">
        <v>0</v>
      </c>
      <c r="D233" s="10">
        <v>0</v>
      </c>
      <c r="E233" s="10">
        <v>0</v>
      </c>
      <c r="F233" s="10">
        <v>0</v>
      </c>
      <c r="G233" s="430">
        <v>0</v>
      </c>
      <c r="H233" s="9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430">
        <v>0</v>
      </c>
      <c r="O233" s="9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430"/>
      <c r="V233" s="9">
        <v>0</v>
      </c>
      <c r="W233" s="28">
        <v>0</v>
      </c>
    </row>
    <row r="234" spans="1:23" x14ac:dyDescent="0.45">
      <c r="A234" s="64">
        <v>32540</v>
      </c>
      <c r="B234" s="14">
        <v>0</v>
      </c>
      <c r="C234" s="10">
        <v>0</v>
      </c>
      <c r="D234" s="10">
        <v>0</v>
      </c>
      <c r="E234" s="11">
        <v>0</v>
      </c>
      <c r="F234" s="10">
        <v>0</v>
      </c>
      <c r="G234" s="430">
        <v>0</v>
      </c>
      <c r="H234" s="8">
        <v>0</v>
      </c>
      <c r="I234" s="10">
        <v>0</v>
      </c>
      <c r="J234" s="10">
        <v>0</v>
      </c>
      <c r="K234" s="10">
        <v>0</v>
      </c>
      <c r="L234" s="11">
        <v>0</v>
      </c>
      <c r="M234" s="10">
        <v>0</v>
      </c>
      <c r="N234" s="430">
        <v>0</v>
      </c>
      <c r="O234" s="8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430"/>
      <c r="V234" s="9">
        <v>0</v>
      </c>
      <c r="W234" s="28">
        <v>0</v>
      </c>
    </row>
    <row r="235" spans="1:23" x14ac:dyDescent="0.45">
      <c r="A235" s="64">
        <v>32568</v>
      </c>
      <c r="B235" s="14">
        <v>0</v>
      </c>
      <c r="C235" s="10">
        <v>0</v>
      </c>
      <c r="D235" s="10">
        <v>0</v>
      </c>
      <c r="E235" s="11">
        <v>0</v>
      </c>
      <c r="F235" s="10">
        <v>0</v>
      </c>
      <c r="G235" s="430">
        <v>0</v>
      </c>
      <c r="H235" s="8">
        <v>0</v>
      </c>
      <c r="I235" s="10">
        <v>0</v>
      </c>
      <c r="J235" s="10">
        <v>0</v>
      </c>
      <c r="K235" s="10">
        <v>0</v>
      </c>
      <c r="L235" s="11">
        <v>0</v>
      </c>
      <c r="M235" s="10">
        <v>0</v>
      </c>
      <c r="N235" s="430">
        <v>0</v>
      </c>
      <c r="O235" s="8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430"/>
      <c r="V235" s="9">
        <v>0</v>
      </c>
      <c r="W235" s="28">
        <v>0</v>
      </c>
    </row>
    <row r="236" spans="1:23" x14ac:dyDescent="0.45">
      <c r="A236" s="64">
        <v>32599</v>
      </c>
      <c r="B236" s="14">
        <v>0</v>
      </c>
      <c r="C236" s="10">
        <v>0</v>
      </c>
      <c r="D236" s="10">
        <v>0</v>
      </c>
      <c r="E236" s="11">
        <v>0</v>
      </c>
      <c r="F236" s="10">
        <v>0</v>
      </c>
      <c r="G236" s="430">
        <v>0</v>
      </c>
      <c r="H236" s="8">
        <v>0</v>
      </c>
      <c r="I236" s="10">
        <v>0</v>
      </c>
      <c r="J236" s="10">
        <v>0</v>
      </c>
      <c r="K236" s="10">
        <v>0</v>
      </c>
      <c r="L236" s="11">
        <v>0</v>
      </c>
      <c r="M236" s="10">
        <v>0</v>
      </c>
      <c r="N236" s="430">
        <v>0</v>
      </c>
      <c r="O236" s="8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430"/>
      <c r="V236" s="9">
        <v>0</v>
      </c>
      <c r="W236" s="28">
        <v>0</v>
      </c>
    </row>
    <row r="237" spans="1:23" x14ac:dyDescent="0.45">
      <c r="A237" s="64">
        <v>32629</v>
      </c>
      <c r="B237" s="14">
        <v>0</v>
      </c>
      <c r="C237" s="10">
        <v>0</v>
      </c>
      <c r="D237" s="10">
        <v>0</v>
      </c>
      <c r="E237" s="11">
        <v>0</v>
      </c>
      <c r="F237" s="10">
        <v>0</v>
      </c>
      <c r="G237" s="430">
        <v>0</v>
      </c>
      <c r="H237" s="8">
        <v>0</v>
      </c>
      <c r="I237" s="10">
        <v>0</v>
      </c>
      <c r="J237" s="10">
        <v>0</v>
      </c>
      <c r="K237" s="10">
        <v>0</v>
      </c>
      <c r="L237" s="11">
        <v>0</v>
      </c>
      <c r="M237" s="10">
        <v>0</v>
      </c>
      <c r="N237" s="430">
        <v>0</v>
      </c>
      <c r="O237" s="8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430"/>
      <c r="V237" s="9">
        <v>0</v>
      </c>
      <c r="W237" s="28">
        <v>0</v>
      </c>
    </row>
    <row r="238" spans="1:23" x14ac:dyDescent="0.45">
      <c r="A238" s="64">
        <v>32660</v>
      </c>
      <c r="B238" s="14">
        <v>0</v>
      </c>
      <c r="C238" s="10">
        <v>0</v>
      </c>
      <c r="D238" s="10">
        <v>0</v>
      </c>
      <c r="E238" s="11">
        <v>0</v>
      </c>
      <c r="F238" s="10">
        <v>0</v>
      </c>
      <c r="G238" s="430">
        <v>0</v>
      </c>
      <c r="H238" s="8">
        <v>0</v>
      </c>
      <c r="I238" s="10">
        <v>0</v>
      </c>
      <c r="J238" s="10">
        <v>0</v>
      </c>
      <c r="K238" s="10">
        <v>0</v>
      </c>
      <c r="L238" s="11">
        <v>0</v>
      </c>
      <c r="M238" s="10">
        <v>0</v>
      </c>
      <c r="N238" s="430">
        <v>0</v>
      </c>
      <c r="O238" s="8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430"/>
      <c r="V238" s="9">
        <v>0</v>
      </c>
      <c r="W238" s="28">
        <v>0</v>
      </c>
    </row>
    <row r="239" spans="1:23" x14ac:dyDescent="0.45">
      <c r="A239" s="64">
        <v>32690</v>
      </c>
      <c r="B239" s="14">
        <v>0</v>
      </c>
      <c r="C239" s="10">
        <v>0</v>
      </c>
      <c r="D239" s="10">
        <v>0</v>
      </c>
      <c r="E239" s="11">
        <v>0</v>
      </c>
      <c r="F239" s="10">
        <v>0</v>
      </c>
      <c r="G239" s="430">
        <v>0</v>
      </c>
      <c r="H239" s="8">
        <v>0</v>
      </c>
      <c r="I239" s="10">
        <v>0</v>
      </c>
      <c r="J239" s="10">
        <v>0</v>
      </c>
      <c r="K239" s="10">
        <v>0</v>
      </c>
      <c r="L239" s="11">
        <v>0</v>
      </c>
      <c r="M239" s="10">
        <v>0</v>
      </c>
      <c r="N239" s="430">
        <v>0</v>
      </c>
      <c r="O239" s="8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430"/>
      <c r="V239" s="9">
        <v>0</v>
      </c>
      <c r="W239" s="28">
        <v>0</v>
      </c>
    </row>
    <row r="240" spans="1:23" x14ac:dyDescent="0.45">
      <c r="A240" s="64">
        <v>32721</v>
      </c>
      <c r="B240" s="14">
        <v>0</v>
      </c>
      <c r="C240" s="10">
        <v>0</v>
      </c>
      <c r="D240" s="10">
        <v>0</v>
      </c>
      <c r="E240" s="11">
        <v>0</v>
      </c>
      <c r="F240" s="10">
        <v>0</v>
      </c>
      <c r="G240" s="430">
        <v>0</v>
      </c>
      <c r="H240" s="8">
        <v>0</v>
      </c>
      <c r="I240" s="10">
        <v>0</v>
      </c>
      <c r="J240" s="10">
        <v>0</v>
      </c>
      <c r="K240" s="10">
        <v>0</v>
      </c>
      <c r="L240" s="11">
        <v>0</v>
      </c>
      <c r="M240" s="10">
        <v>0</v>
      </c>
      <c r="N240" s="430">
        <v>0</v>
      </c>
      <c r="O240" s="8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430"/>
      <c r="V240" s="9">
        <v>0</v>
      </c>
      <c r="W240" s="28">
        <v>0</v>
      </c>
    </row>
    <row r="241" spans="1:23" x14ac:dyDescent="0.45">
      <c r="A241" s="64">
        <v>32752</v>
      </c>
      <c r="B241" s="14">
        <v>0</v>
      </c>
      <c r="C241" s="10">
        <v>0</v>
      </c>
      <c r="D241" s="10">
        <v>0</v>
      </c>
      <c r="E241" s="11">
        <v>0</v>
      </c>
      <c r="F241" s="10">
        <v>0</v>
      </c>
      <c r="G241" s="430">
        <v>0</v>
      </c>
      <c r="H241" s="8">
        <v>0</v>
      </c>
      <c r="I241" s="10">
        <v>0</v>
      </c>
      <c r="J241" s="10">
        <v>0</v>
      </c>
      <c r="K241" s="10">
        <v>0</v>
      </c>
      <c r="L241" s="11">
        <v>0</v>
      </c>
      <c r="M241" s="10">
        <v>0</v>
      </c>
      <c r="N241" s="430">
        <v>0</v>
      </c>
      <c r="O241" s="8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430"/>
      <c r="V241" s="9">
        <v>0</v>
      </c>
      <c r="W241" s="28">
        <v>0</v>
      </c>
    </row>
    <row r="242" spans="1:23" x14ac:dyDescent="0.45">
      <c r="A242" s="64">
        <v>32782</v>
      </c>
      <c r="B242" s="14">
        <v>0</v>
      </c>
      <c r="C242" s="10">
        <v>0</v>
      </c>
      <c r="D242" s="10">
        <v>0</v>
      </c>
      <c r="E242" s="11">
        <v>0</v>
      </c>
      <c r="F242" s="10">
        <v>0</v>
      </c>
      <c r="G242" s="430">
        <v>0</v>
      </c>
      <c r="H242" s="8">
        <v>0</v>
      </c>
      <c r="I242" s="10">
        <v>0</v>
      </c>
      <c r="J242" s="10">
        <v>0</v>
      </c>
      <c r="K242" s="10">
        <v>0</v>
      </c>
      <c r="L242" s="11">
        <v>0</v>
      </c>
      <c r="M242" s="10">
        <v>0</v>
      </c>
      <c r="N242" s="430">
        <v>0</v>
      </c>
      <c r="O242" s="8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430"/>
      <c r="V242" s="9">
        <v>0</v>
      </c>
      <c r="W242" s="28">
        <v>0</v>
      </c>
    </row>
    <row r="243" spans="1:23" x14ac:dyDescent="0.45">
      <c r="A243" s="64">
        <v>32813</v>
      </c>
      <c r="B243" s="14">
        <v>0</v>
      </c>
      <c r="C243" s="10">
        <v>0</v>
      </c>
      <c r="D243" s="10">
        <v>0</v>
      </c>
      <c r="E243" s="11">
        <v>0</v>
      </c>
      <c r="F243" s="10">
        <v>0</v>
      </c>
      <c r="G243" s="430">
        <v>0</v>
      </c>
      <c r="H243" s="8">
        <v>0</v>
      </c>
      <c r="I243" s="10">
        <v>0</v>
      </c>
      <c r="J243" s="10">
        <v>0</v>
      </c>
      <c r="K243" s="10">
        <v>0</v>
      </c>
      <c r="L243" s="11">
        <v>0</v>
      </c>
      <c r="M243" s="10">
        <v>0</v>
      </c>
      <c r="N243" s="430">
        <v>0</v>
      </c>
      <c r="O243" s="8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430"/>
      <c r="V243" s="9">
        <v>0</v>
      </c>
      <c r="W243" s="28">
        <v>0</v>
      </c>
    </row>
    <row r="244" spans="1:23" ht="19.5" customHeight="1" thickBot="1" x14ac:dyDescent="0.5">
      <c r="A244" s="65">
        <v>32843</v>
      </c>
      <c r="B244" s="17">
        <v>0</v>
      </c>
      <c r="C244" s="18">
        <v>0</v>
      </c>
      <c r="D244" s="18">
        <v>0</v>
      </c>
      <c r="E244" s="18">
        <v>0</v>
      </c>
      <c r="F244" s="18">
        <v>0</v>
      </c>
      <c r="G244" s="432">
        <v>0</v>
      </c>
      <c r="H244" s="19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432">
        <v>0</v>
      </c>
      <c r="O244" s="19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432"/>
      <c r="V244" s="19">
        <v>0</v>
      </c>
      <c r="W244" s="28">
        <v>0</v>
      </c>
    </row>
    <row r="245" spans="1:23" ht="19.5" customHeight="1" thickTop="1" x14ac:dyDescent="0.45">
      <c r="A245" s="63">
        <v>32874</v>
      </c>
      <c r="B245" s="14">
        <v>0</v>
      </c>
      <c r="C245" s="10">
        <v>0</v>
      </c>
      <c r="D245" s="10">
        <v>0</v>
      </c>
      <c r="E245" s="10">
        <v>0</v>
      </c>
      <c r="F245" s="10">
        <v>0</v>
      </c>
      <c r="G245" s="430">
        <v>0</v>
      </c>
      <c r="H245" s="9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430">
        <v>0</v>
      </c>
      <c r="O245" s="9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430"/>
      <c r="V245" s="9">
        <v>0</v>
      </c>
      <c r="W245" s="28">
        <v>0</v>
      </c>
    </row>
    <row r="246" spans="1:23" x14ac:dyDescent="0.45">
      <c r="A246" s="64">
        <v>32905</v>
      </c>
      <c r="B246" s="14">
        <v>0</v>
      </c>
      <c r="C246" s="10">
        <v>0</v>
      </c>
      <c r="D246" s="10">
        <v>0</v>
      </c>
      <c r="E246" s="11">
        <v>1</v>
      </c>
      <c r="F246" s="10">
        <v>0</v>
      </c>
      <c r="G246" s="430">
        <v>0</v>
      </c>
      <c r="H246" s="8">
        <v>1</v>
      </c>
      <c r="I246" s="10">
        <v>0</v>
      </c>
      <c r="J246" s="10">
        <v>0</v>
      </c>
      <c r="K246" s="10">
        <v>0</v>
      </c>
      <c r="L246" s="11">
        <v>0</v>
      </c>
      <c r="M246" s="10">
        <v>0</v>
      </c>
      <c r="N246" s="430">
        <v>0</v>
      </c>
      <c r="O246" s="8">
        <v>0</v>
      </c>
      <c r="P246" s="10">
        <v>0</v>
      </c>
      <c r="Q246" s="10">
        <v>0</v>
      </c>
      <c r="R246" s="10">
        <v>0</v>
      </c>
      <c r="S246" s="10">
        <v>1</v>
      </c>
      <c r="T246" s="10">
        <v>0</v>
      </c>
      <c r="U246" s="430"/>
      <c r="V246" s="9">
        <v>1</v>
      </c>
      <c r="W246" s="28">
        <v>1</v>
      </c>
    </row>
    <row r="247" spans="1:23" x14ac:dyDescent="0.45">
      <c r="A247" s="64">
        <v>32933</v>
      </c>
      <c r="B247" s="14">
        <v>0</v>
      </c>
      <c r="C247" s="10">
        <v>0</v>
      </c>
      <c r="D247" s="10">
        <v>0</v>
      </c>
      <c r="E247" s="11">
        <v>0</v>
      </c>
      <c r="F247" s="10">
        <v>0</v>
      </c>
      <c r="G247" s="430">
        <v>0</v>
      </c>
      <c r="H247" s="8">
        <v>0</v>
      </c>
      <c r="I247" s="10">
        <v>0</v>
      </c>
      <c r="J247" s="10">
        <v>0</v>
      </c>
      <c r="K247" s="10">
        <v>0</v>
      </c>
      <c r="L247" s="11">
        <v>0</v>
      </c>
      <c r="M247" s="10">
        <v>0</v>
      </c>
      <c r="N247" s="430">
        <v>0</v>
      </c>
      <c r="O247" s="8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430"/>
      <c r="V247" s="9">
        <v>0</v>
      </c>
      <c r="W247" s="28">
        <v>1</v>
      </c>
    </row>
    <row r="248" spans="1:23" x14ac:dyDescent="0.45">
      <c r="A248" s="64">
        <v>32964</v>
      </c>
      <c r="B248" s="14">
        <v>0</v>
      </c>
      <c r="C248" s="10">
        <v>0</v>
      </c>
      <c r="D248" s="10">
        <v>0</v>
      </c>
      <c r="E248" s="11">
        <v>1</v>
      </c>
      <c r="F248" s="10">
        <v>0</v>
      </c>
      <c r="G248" s="430">
        <v>0</v>
      </c>
      <c r="H248" s="8">
        <v>1</v>
      </c>
      <c r="I248" s="10">
        <v>0</v>
      </c>
      <c r="J248" s="10">
        <v>0</v>
      </c>
      <c r="K248" s="10">
        <v>0</v>
      </c>
      <c r="L248" s="11">
        <v>0</v>
      </c>
      <c r="M248" s="10">
        <v>0</v>
      </c>
      <c r="N248" s="430">
        <v>0</v>
      </c>
      <c r="O248" s="8">
        <v>0</v>
      </c>
      <c r="P248" s="10">
        <v>0</v>
      </c>
      <c r="Q248" s="10">
        <v>0</v>
      </c>
      <c r="R248" s="10">
        <v>0</v>
      </c>
      <c r="S248" s="10">
        <v>1</v>
      </c>
      <c r="T248" s="10">
        <v>0</v>
      </c>
      <c r="U248" s="430"/>
      <c r="V248" s="9">
        <v>1</v>
      </c>
      <c r="W248" s="28">
        <v>2</v>
      </c>
    </row>
    <row r="249" spans="1:23" x14ac:dyDescent="0.45">
      <c r="A249" s="64">
        <v>32994</v>
      </c>
      <c r="B249" s="14">
        <v>0</v>
      </c>
      <c r="C249" s="10">
        <v>0</v>
      </c>
      <c r="D249" s="10">
        <v>0</v>
      </c>
      <c r="E249" s="11">
        <v>0</v>
      </c>
      <c r="F249" s="10">
        <v>0</v>
      </c>
      <c r="G249" s="430">
        <v>0</v>
      </c>
      <c r="H249" s="8">
        <v>0</v>
      </c>
      <c r="I249" s="10">
        <v>0</v>
      </c>
      <c r="J249" s="10">
        <v>0</v>
      </c>
      <c r="K249" s="10">
        <v>0</v>
      </c>
      <c r="L249" s="11">
        <v>0</v>
      </c>
      <c r="M249" s="10">
        <v>0</v>
      </c>
      <c r="N249" s="430">
        <v>0</v>
      </c>
      <c r="O249" s="8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430"/>
      <c r="V249" s="9">
        <v>0</v>
      </c>
      <c r="W249" s="28">
        <v>2</v>
      </c>
    </row>
    <row r="250" spans="1:23" x14ac:dyDescent="0.45">
      <c r="A250" s="64">
        <v>33025</v>
      </c>
      <c r="B250" s="14">
        <v>0</v>
      </c>
      <c r="C250" s="10">
        <v>0</v>
      </c>
      <c r="D250" s="10">
        <v>0</v>
      </c>
      <c r="E250" s="11">
        <v>0</v>
      </c>
      <c r="F250" s="10">
        <v>0</v>
      </c>
      <c r="G250" s="430">
        <v>0</v>
      </c>
      <c r="H250" s="8">
        <v>0</v>
      </c>
      <c r="I250" s="10">
        <v>0</v>
      </c>
      <c r="J250" s="10">
        <v>0</v>
      </c>
      <c r="K250" s="10">
        <v>0</v>
      </c>
      <c r="L250" s="11">
        <v>0</v>
      </c>
      <c r="M250" s="10">
        <v>0</v>
      </c>
      <c r="N250" s="430">
        <v>0</v>
      </c>
      <c r="O250" s="8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430"/>
      <c r="V250" s="9">
        <v>0</v>
      </c>
      <c r="W250" s="28">
        <v>2</v>
      </c>
    </row>
    <row r="251" spans="1:23" x14ac:dyDescent="0.45">
      <c r="A251" s="64">
        <v>33055</v>
      </c>
      <c r="B251" s="14">
        <v>0</v>
      </c>
      <c r="C251" s="10">
        <v>0</v>
      </c>
      <c r="D251" s="10">
        <v>0</v>
      </c>
      <c r="E251" s="11">
        <v>1</v>
      </c>
      <c r="F251" s="10">
        <v>0</v>
      </c>
      <c r="G251" s="430">
        <v>0</v>
      </c>
      <c r="H251" s="8">
        <v>1</v>
      </c>
      <c r="I251" s="10">
        <v>0</v>
      </c>
      <c r="J251" s="10">
        <v>0</v>
      </c>
      <c r="K251" s="10">
        <v>0</v>
      </c>
      <c r="L251" s="11">
        <v>0</v>
      </c>
      <c r="M251" s="10">
        <v>0</v>
      </c>
      <c r="N251" s="430">
        <v>0</v>
      </c>
      <c r="O251" s="8">
        <v>0</v>
      </c>
      <c r="P251" s="10">
        <v>0</v>
      </c>
      <c r="Q251" s="10">
        <v>0</v>
      </c>
      <c r="R251" s="10">
        <v>0</v>
      </c>
      <c r="S251" s="10">
        <v>1</v>
      </c>
      <c r="T251" s="10">
        <v>0</v>
      </c>
      <c r="U251" s="430"/>
      <c r="V251" s="9">
        <v>1</v>
      </c>
      <c r="W251" s="28">
        <v>3</v>
      </c>
    </row>
    <row r="252" spans="1:23" x14ac:dyDescent="0.45">
      <c r="A252" s="64">
        <v>33086</v>
      </c>
      <c r="B252" s="14">
        <v>0</v>
      </c>
      <c r="C252" s="10">
        <v>0</v>
      </c>
      <c r="D252" s="10">
        <v>0</v>
      </c>
      <c r="E252" s="11">
        <v>0</v>
      </c>
      <c r="F252" s="10">
        <v>0</v>
      </c>
      <c r="G252" s="430">
        <v>0</v>
      </c>
      <c r="H252" s="8">
        <v>0</v>
      </c>
      <c r="I252" s="10">
        <v>0</v>
      </c>
      <c r="J252" s="10">
        <v>0</v>
      </c>
      <c r="K252" s="10">
        <v>0</v>
      </c>
      <c r="L252" s="11">
        <v>0</v>
      </c>
      <c r="M252" s="10">
        <v>0</v>
      </c>
      <c r="N252" s="430">
        <v>0</v>
      </c>
      <c r="O252" s="8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430"/>
      <c r="V252" s="9">
        <v>0</v>
      </c>
      <c r="W252" s="28">
        <v>3</v>
      </c>
    </row>
    <row r="253" spans="1:23" x14ac:dyDescent="0.45">
      <c r="A253" s="64">
        <v>33117</v>
      </c>
      <c r="B253" s="14">
        <v>0</v>
      </c>
      <c r="C253" s="10">
        <v>1</v>
      </c>
      <c r="D253" s="10">
        <v>0</v>
      </c>
      <c r="E253" s="11">
        <v>0</v>
      </c>
      <c r="F253" s="10">
        <v>0</v>
      </c>
      <c r="G253" s="430">
        <v>0</v>
      </c>
      <c r="H253" s="8">
        <v>1</v>
      </c>
      <c r="I253" s="10">
        <v>0</v>
      </c>
      <c r="J253" s="10">
        <v>0</v>
      </c>
      <c r="K253" s="10">
        <v>0</v>
      </c>
      <c r="L253" s="11">
        <v>0</v>
      </c>
      <c r="M253" s="10">
        <v>0</v>
      </c>
      <c r="N253" s="430">
        <v>0</v>
      </c>
      <c r="O253" s="8">
        <v>0</v>
      </c>
      <c r="P253" s="10">
        <v>0</v>
      </c>
      <c r="Q253" s="10">
        <v>1</v>
      </c>
      <c r="R253" s="10">
        <v>0</v>
      </c>
      <c r="S253" s="10">
        <v>0</v>
      </c>
      <c r="T253" s="10">
        <v>0</v>
      </c>
      <c r="U253" s="430"/>
      <c r="V253" s="9">
        <v>1</v>
      </c>
      <c r="W253" s="28">
        <v>4</v>
      </c>
    </row>
    <row r="254" spans="1:23" x14ac:dyDescent="0.45">
      <c r="A254" s="64">
        <v>33147</v>
      </c>
      <c r="B254" s="14">
        <v>1</v>
      </c>
      <c r="C254" s="10">
        <v>0</v>
      </c>
      <c r="D254" s="10">
        <v>0</v>
      </c>
      <c r="E254" s="11">
        <v>0</v>
      </c>
      <c r="F254" s="10">
        <v>0</v>
      </c>
      <c r="G254" s="430">
        <v>0</v>
      </c>
      <c r="H254" s="8">
        <v>1</v>
      </c>
      <c r="I254" s="10">
        <v>0</v>
      </c>
      <c r="J254" s="10">
        <v>0</v>
      </c>
      <c r="K254" s="10">
        <v>0</v>
      </c>
      <c r="L254" s="11">
        <v>0</v>
      </c>
      <c r="M254" s="10">
        <v>0</v>
      </c>
      <c r="N254" s="430">
        <v>0</v>
      </c>
      <c r="O254" s="8">
        <v>0</v>
      </c>
      <c r="P254" s="10">
        <v>1</v>
      </c>
      <c r="Q254" s="10">
        <v>0</v>
      </c>
      <c r="R254" s="10">
        <v>0</v>
      </c>
      <c r="S254" s="10">
        <v>0</v>
      </c>
      <c r="T254" s="10">
        <v>0</v>
      </c>
      <c r="U254" s="430"/>
      <c r="V254" s="9">
        <v>1</v>
      </c>
      <c r="W254" s="28">
        <v>5</v>
      </c>
    </row>
    <row r="255" spans="1:23" x14ac:dyDescent="0.45">
      <c r="A255" s="64">
        <v>33178</v>
      </c>
      <c r="B255" s="14">
        <v>0</v>
      </c>
      <c r="C255" s="10">
        <v>0</v>
      </c>
      <c r="D255" s="10">
        <v>0</v>
      </c>
      <c r="E255" s="11">
        <v>0</v>
      </c>
      <c r="F255" s="10">
        <v>0</v>
      </c>
      <c r="G255" s="430">
        <v>0</v>
      </c>
      <c r="H255" s="8">
        <v>0</v>
      </c>
      <c r="I255" s="10">
        <v>0</v>
      </c>
      <c r="J255" s="10">
        <v>0</v>
      </c>
      <c r="K255" s="10">
        <v>0</v>
      </c>
      <c r="L255" s="11">
        <v>0</v>
      </c>
      <c r="M255" s="10">
        <v>0</v>
      </c>
      <c r="N255" s="430">
        <v>0</v>
      </c>
      <c r="O255" s="8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430"/>
      <c r="V255" s="9">
        <v>0</v>
      </c>
      <c r="W255" s="28">
        <v>5</v>
      </c>
    </row>
    <row r="256" spans="1:23" ht="19.5" customHeight="1" thickBot="1" x14ac:dyDescent="0.5">
      <c r="A256" s="65">
        <v>33208</v>
      </c>
      <c r="B256" s="17">
        <v>0</v>
      </c>
      <c r="C256" s="18">
        <v>0</v>
      </c>
      <c r="D256" s="18">
        <v>0</v>
      </c>
      <c r="E256" s="18">
        <v>0</v>
      </c>
      <c r="F256" s="18">
        <v>0</v>
      </c>
      <c r="G256" s="432">
        <v>0</v>
      </c>
      <c r="H256" s="19">
        <v>0</v>
      </c>
      <c r="I256" s="18">
        <v>0</v>
      </c>
      <c r="J256" s="18">
        <v>0</v>
      </c>
      <c r="K256" s="18">
        <v>0</v>
      </c>
      <c r="L256" s="18">
        <v>0</v>
      </c>
      <c r="M256" s="18">
        <v>0</v>
      </c>
      <c r="N256" s="432">
        <v>0</v>
      </c>
      <c r="O256" s="19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0</v>
      </c>
      <c r="U256" s="432"/>
      <c r="V256" s="19">
        <v>0</v>
      </c>
      <c r="W256" s="28">
        <v>5</v>
      </c>
    </row>
    <row r="257" spans="1:23" ht="19.5" customHeight="1" thickTop="1" x14ac:dyDescent="0.45">
      <c r="A257" s="63">
        <v>33239</v>
      </c>
      <c r="B257" s="14">
        <v>0</v>
      </c>
      <c r="C257" s="10">
        <v>0</v>
      </c>
      <c r="D257" s="10">
        <v>0</v>
      </c>
      <c r="E257" s="10">
        <v>0</v>
      </c>
      <c r="F257" s="10">
        <v>0</v>
      </c>
      <c r="G257" s="430">
        <v>0</v>
      </c>
      <c r="H257" s="9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430">
        <v>0</v>
      </c>
      <c r="O257" s="9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430"/>
      <c r="V257" s="9">
        <v>0</v>
      </c>
      <c r="W257" s="28">
        <v>0</v>
      </c>
    </row>
    <row r="258" spans="1:23" x14ac:dyDescent="0.45">
      <c r="A258" s="64">
        <v>33270</v>
      </c>
      <c r="B258" s="14">
        <v>0</v>
      </c>
      <c r="C258" s="10">
        <v>0</v>
      </c>
      <c r="D258" s="10">
        <v>0</v>
      </c>
      <c r="E258" s="11">
        <v>0</v>
      </c>
      <c r="F258" s="10">
        <v>0</v>
      </c>
      <c r="G258" s="430">
        <v>0</v>
      </c>
      <c r="H258" s="8">
        <v>0</v>
      </c>
      <c r="I258" s="10">
        <v>0</v>
      </c>
      <c r="J258" s="10">
        <v>0</v>
      </c>
      <c r="K258" s="10">
        <v>0</v>
      </c>
      <c r="L258" s="11">
        <v>0</v>
      </c>
      <c r="M258" s="10">
        <v>0</v>
      </c>
      <c r="N258" s="430">
        <v>0</v>
      </c>
      <c r="O258" s="8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430"/>
      <c r="V258" s="9">
        <v>0</v>
      </c>
      <c r="W258" s="28">
        <v>0</v>
      </c>
    </row>
    <row r="259" spans="1:23" x14ac:dyDescent="0.45">
      <c r="A259" s="64">
        <v>33298</v>
      </c>
      <c r="B259" s="14">
        <v>0</v>
      </c>
      <c r="C259" s="10">
        <v>0</v>
      </c>
      <c r="D259" s="10">
        <v>0</v>
      </c>
      <c r="E259" s="11">
        <v>0</v>
      </c>
      <c r="F259" s="10">
        <v>0</v>
      </c>
      <c r="G259" s="430">
        <v>0</v>
      </c>
      <c r="H259" s="8">
        <v>0</v>
      </c>
      <c r="I259" s="10">
        <v>0</v>
      </c>
      <c r="J259" s="10">
        <v>0</v>
      </c>
      <c r="K259" s="10">
        <v>0</v>
      </c>
      <c r="L259" s="11">
        <v>0</v>
      </c>
      <c r="M259" s="10">
        <v>0</v>
      </c>
      <c r="N259" s="430">
        <v>0</v>
      </c>
      <c r="O259" s="8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430"/>
      <c r="V259" s="9">
        <v>0</v>
      </c>
      <c r="W259" s="28">
        <v>0</v>
      </c>
    </row>
    <row r="260" spans="1:23" x14ac:dyDescent="0.45">
      <c r="A260" s="64">
        <v>33329</v>
      </c>
      <c r="B260" s="14">
        <v>0</v>
      </c>
      <c r="C260" s="10">
        <v>0</v>
      </c>
      <c r="D260" s="10">
        <v>0</v>
      </c>
      <c r="E260" s="11">
        <v>0</v>
      </c>
      <c r="F260" s="10">
        <v>0</v>
      </c>
      <c r="G260" s="430">
        <v>0</v>
      </c>
      <c r="H260" s="8">
        <v>0</v>
      </c>
      <c r="I260" s="10">
        <v>0</v>
      </c>
      <c r="J260" s="10">
        <v>0</v>
      </c>
      <c r="K260" s="10">
        <v>0</v>
      </c>
      <c r="L260" s="11">
        <v>0</v>
      </c>
      <c r="M260" s="10">
        <v>0</v>
      </c>
      <c r="N260" s="430">
        <v>0</v>
      </c>
      <c r="O260" s="8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430"/>
      <c r="V260" s="9">
        <v>0</v>
      </c>
      <c r="W260" s="28">
        <v>0</v>
      </c>
    </row>
    <row r="261" spans="1:23" x14ac:dyDescent="0.45">
      <c r="A261" s="64">
        <v>33359</v>
      </c>
      <c r="B261" s="14">
        <v>0</v>
      </c>
      <c r="C261" s="10">
        <v>0</v>
      </c>
      <c r="D261" s="10">
        <v>0</v>
      </c>
      <c r="E261" s="11">
        <v>0</v>
      </c>
      <c r="F261" s="10">
        <v>0</v>
      </c>
      <c r="G261" s="430">
        <v>0</v>
      </c>
      <c r="H261" s="8">
        <v>0</v>
      </c>
      <c r="I261" s="10">
        <v>0</v>
      </c>
      <c r="J261" s="10">
        <v>0</v>
      </c>
      <c r="K261" s="10">
        <v>0</v>
      </c>
      <c r="L261" s="11">
        <v>0</v>
      </c>
      <c r="M261" s="10">
        <v>0</v>
      </c>
      <c r="N261" s="430">
        <v>0</v>
      </c>
      <c r="O261" s="8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430"/>
      <c r="V261" s="9">
        <v>0</v>
      </c>
      <c r="W261" s="28">
        <v>0</v>
      </c>
    </row>
    <row r="262" spans="1:23" x14ac:dyDescent="0.45">
      <c r="A262" s="64">
        <v>33390</v>
      </c>
      <c r="B262" s="14">
        <v>0</v>
      </c>
      <c r="C262" s="10">
        <v>0</v>
      </c>
      <c r="D262" s="10">
        <v>0</v>
      </c>
      <c r="E262" s="11">
        <v>0</v>
      </c>
      <c r="F262" s="10">
        <v>0</v>
      </c>
      <c r="G262" s="430">
        <v>0</v>
      </c>
      <c r="H262" s="8">
        <v>0</v>
      </c>
      <c r="I262" s="10">
        <v>0</v>
      </c>
      <c r="J262" s="10">
        <v>0</v>
      </c>
      <c r="K262" s="10">
        <v>0</v>
      </c>
      <c r="L262" s="11">
        <v>0</v>
      </c>
      <c r="M262" s="10">
        <v>0</v>
      </c>
      <c r="N262" s="430">
        <v>0</v>
      </c>
      <c r="O262" s="8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430"/>
      <c r="V262" s="9">
        <v>0</v>
      </c>
      <c r="W262" s="28">
        <v>0</v>
      </c>
    </row>
    <row r="263" spans="1:23" x14ac:dyDescent="0.45">
      <c r="A263" s="64">
        <v>33420</v>
      </c>
      <c r="B263" s="14">
        <v>0</v>
      </c>
      <c r="C263" s="10">
        <v>0</v>
      </c>
      <c r="D263" s="10">
        <v>0</v>
      </c>
      <c r="E263" s="11">
        <v>0</v>
      </c>
      <c r="F263" s="10">
        <v>0</v>
      </c>
      <c r="G263" s="430">
        <v>0</v>
      </c>
      <c r="H263" s="8">
        <v>0</v>
      </c>
      <c r="I263" s="10">
        <v>0</v>
      </c>
      <c r="J263" s="10">
        <v>0</v>
      </c>
      <c r="K263" s="10">
        <v>0</v>
      </c>
      <c r="L263" s="11">
        <v>0</v>
      </c>
      <c r="M263" s="10">
        <v>0</v>
      </c>
      <c r="N263" s="430">
        <v>0</v>
      </c>
      <c r="O263" s="8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430"/>
      <c r="V263" s="9">
        <v>0</v>
      </c>
      <c r="W263" s="28">
        <v>0</v>
      </c>
    </row>
    <row r="264" spans="1:23" x14ac:dyDescent="0.45">
      <c r="A264" s="64">
        <v>33451</v>
      </c>
      <c r="B264" s="14">
        <v>0</v>
      </c>
      <c r="C264" s="10">
        <v>0</v>
      </c>
      <c r="D264" s="10">
        <v>0</v>
      </c>
      <c r="E264" s="11">
        <v>0</v>
      </c>
      <c r="F264" s="10">
        <v>0</v>
      </c>
      <c r="G264" s="430">
        <v>0</v>
      </c>
      <c r="H264" s="8">
        <v>0</v>
      </c>
      <c r="I264" s="10">
        <v>0</v>
      </c>
      <c r="J264" s="10">
        <v>0</v>
      </c>
      <c r="K264" s="10">
        <v>0</v>
      </c>
      <c r="L264" s="11">
        <v>0</v>
      </c>
      <c r="M264" s="10">
        <v>0</v>
      </c>
      <c r="N264" s="430">
        <v>0</v>
      </c>
      <c r="O264" s="8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430"/>
      <c r="V264" s="9">
        <v>0</v>
      </c>
      <c r="W264" s="28">
        <v>0</v>
      </c>
    </row>
    <row r="265" spans="1:23" x14ac:dyDescent="0.45">
      <c r="A265" s="64">
        <v>33482</v>
      </c>
      <c r="B265" s="14">
        <v>0</v>
      </c>
      <c r="C265" s="10">
        <v>0</v>
      </c>
      <c r="D265" s="10">
        <v>0</v>
      </c>
      <c r="E265" s="11">
        <v>0</v>
      </c>
      <c r="F265" s="10">
        <v>0</v>
      </c>
      <c r="G265" s="430">
        <v>0</v>
      </c>
      <c r="H265" s="8">
        <v>0</v>
      </c>
      <c r="I265" s="10">
        <v>0</v>
      </c>
      <c r="J265" s="10">
        <v>0</v>
      </c>
      <c r="K265" s="10">
        <v>0</v>
      </c>
      <c r="L265" s="11">
        <v>0</v>
      </c>
      <c r="M265" s="10">
        <v>0</v>
      </c>
      <c r="N265" s="430">
        <v>0</v>
      </c>
      <c r="O265" s="8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430"/>
      <c r="V265" s="9">
        <v>0</v>
      </c>
      <c r="W265" s="28">
        <v>0</v>
      </c>
    </row>
    <row r="266" spans="1:23" x14ac:dyDescent="0.45">
      <c r="A266" s="64">
        <v>33512</v>
      </c>
      <c r="B266" s="14">
        <v>0</v>
      </c>
      <c r="C266" s="10">
        <v>0</v>
      </c>
      <c r="D266" s="10">
        <v>0</v>
      </c>
      <c r="E266" s="11">
        <v>0</v>
      </c>
      <c r="F266" s="10">
        <v>0</v>
      </c>
      <c r="G266" s="430">
        <v>0</v>
      </c>
      <c r="H266" s="8">
        <v>0</v>
      </c>
      <c r="I266" s="10">
        <v>0</v>
      </c>
      <c r="J266" s="10">
        <v>0</v>
      </c>
      <c r="K266" s="10">
        <v>0</v>
      </c>
      <c r="L266" s="11">
        <v>0</v>
      </c>
      <c r="M266" s="10">
        <v>0</v>
      </c>
      <c r="N266" s="430">
        <v>0</v>
      </c>
      <c r="O266" s="8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430"/>
      <c r="V266" s="9">
        <v>0</v>
      </c>
      <c r="W266" s="28">
        <v>0</v>
      </c>
    </row>
    <row r="267" spans="1:23" x14ac:dyDescent="0.45">
      <c r="A267" s="64">
        <v>33543</v>
      </c>
      <c r="B267" s="14">
        <v>0</v>
      </c>
      <c r="C267" s="10">
        <v>0</v>
      </c>
      <c r="D267" s="10">
        <v>0</v>
      </c>
      <c r="E267" s="11">
        <v>0</v>
      </c>
      <c r="F267" s="10">
        <v>0</v>
      </c>
      <c r="G267" s="430">
        <v>0</v>
      </c>
      <c r="H267" s="8">
        <v>0</v>
      </c>
      <c r="I267" s="10">
        <v>0</v>
      </c>
      <c r="J267" s="10">
        <v>0</v>
      </c>
      <c r="K267" s="10">
        <v>0</v>
      </c>
      <c r="L267" s="11">
        <v>0</v>
      </c>
      <c r="M267" s="10">
        <v>0</v>
      </c>
      <c r="N267" s="430">
        <v>0</v>
      </c>
      <c r="O267" s="8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430"/>
      <c r="V267" s="9">
        <v>0</v>
      </c>
      <c r="W267" s="28">
        <v>0</v>
      </c>
    </row>
    <row r="268" spans="1:23" ht="19.5" customHeight="1" thickBot="1" x14ac:dyDescent="0.5">
      <c r="A268" s="65">
        <v>33573</v>
      </c>
      <c r="B268" s="17">
        <v>0</v>
      </c>
      <c r="C268" s="18">
        <v>0</v>
      </c>
      <c r="D268" s="18">
        <v>0</v>
      </c>
      <c r="E268" s="18">
        <v>1</v>
      </c>
      <c r="F268" s="18">
        <v>0</v>
      </c>
      <c r="G268" s="432">
        <v>0</v>
      </c>
      <c r="H268" s="19">
        <v>1</v>
      </c>
      <c r="I268" s="18">
        <v>0</v>
      </c>
      <c r="J268" s="18">
        <v>0</v>
      </c>
      <c r="K268" s="18">
        <v>0</v>
      </c>
      <c r="L268" s="18">
        <v>0</v>
      </c>
      <c r="M268" s="18">
        <v>0</v>
      </c>
      <c r="N268" s="432">
        <v>0</v>
      </c>
      <c r="O268" s="19">
        <v>0</v>
      </c>
      <c r="P268" s="18">
        <v>0</v>
      </c>
      <c r="Q268" s="18">
        <v>0</v>
      </c>
      <c r="R268" s="18">
        <v>0</v>
      </c>
      <c r="S268" s="18">
        <v>1</v>
      </c>
      <c r="T268" s="18">
        <v>0</v>
      </c>
      <c r="U268" s="432"/>
      <c r="V268" s="19">
        <v>1</v>
      </c>
      <c r="W268" s="28">
        <v>1</v>
      </c>
    </row>
    <row r="269" spans="1:23" ht="19.5" customHeight="1" thickTop="1" x14ac:dyDescent="0.45">
      <c r="A269" s="63">
        <v>33604</v>
      </c>
      <c r="B269" s="14">
        <v>0</v>
      </c>
      <c r="C269" s="10">
        <v>0</v>
      </c>
      <c r="D269" s="10">
        <v>0</v>
      </c>
      <c r="E269" s="10">
        <v>0</v>
      </c>
      <c r="F269" s="10">
        <v>0</v>
      </c>
      <c r="G269" s="430">
        <v>0</v>
      </c>
      <c r="H269" s="9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430">
        <v>0</v>
      </c>
      <c r="O269" s="9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430"/>
      <c r="V269" s="9">
        <v>0</v>
      </c>
      <c r="W269" s="28">
        <v>0</v>
      </c>
    </row>
    <row r="270" spans="1:23" x14ac:dyDescent="0.45">
      <c r="A270" s="64">
        <v>33635</v>
      </c>
      <c r="B270" s="14">
        <v>0</v>
      </c>
      <c r="C270" s="10">
        <v>0</v>
      </c>
      <c r="D270" s="10">
        <v>0</v>
      </c>
      <c r="E270" s="11">
        <v>0</v>
      </c>
      <c r="F270" s="10">
        <v>0</v>
      </c>
      <c r="G270" s="430">
        <v>0</v>
      </c>
      <c r="H270" s="8">
        <v>0</v>
      </c>
      <c r="I270" s="10">
        <v>0</v>
      </c>
      <c r="J270" s="10">
        <v>0</v>
      </c>
      <c r="K270" s="10">
        <v>0</v>
      </c>
      <c r="L270" s="11">
        <v>0</v>
      </c>
      <c r="M270" s="10">
        <v>0</v>
      </c>
      <c r="N270" s="430">
        <v>0</v>
      </c>
      <c r="O270" s="8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430"/>
      <c r="V270" s="9">
        <v>0</v>
      </c>
      <c r="W270" s="28">
        <v>0</v>
      </c>
    </row>
    <row r="271" spans="1:23" x14ac:dyDescent="0.45">
      <c r="A271" s="64">
        <v>33664</v>
      </c>
      <c r="B271" s="14">
        <v>0</v>
      </c>
      <c r="C271" s="10">
        <v>0</v>
      </c>
      <c r="D271" s="10">
        <v>0</v>
      </c>
      <c r="E271" s="11">
        <v>0</v>
      </c>
      <c r="F271" s="10">
        <v>0</v>
      </c>
      <c r="G271" s="430">
        <v>0</v>
      </c>
      <c r="H271" s="8">
        <v>0</v>
      </c>
      <c r="I271" s="10">
        <v>0</v>
      </c>
      <c r="J271" s="10">
        <v>0</v>
      </c>
      <c r="K271" s="10">
        <v>0</v>
      </c>
      <c r="L271" s="11">
        <v>0</v>
      </c>
      <c r="M271" s="10">
        <v>0</v>
      </c>
      <c r="N271" s="430">
        <v>0</v>
      </c>
      <c r="O271" s="8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430"/>
      <c r="V271" s="9">
        <v>0</v>
      </c>
      <c r="W271" s="28">
        <v>0</v>
      </c>
    </row>
    <row r="272" spans="1:23" x14ac:dyDescent="0.45">
      <c r="A272" s="64">
        <v>33695</v>
      </c>
      <c r="B272" s="14">
        <v>0</v>
      </c>
      <c r="C272" s="10">
        <v>0</v>
      </c>
      <c r="D272" s="10">
        <v>0</v>
      </c>
      <c r="E272" s="11">
        <v>0</v>
      </c>
      <c r="F272" s="10">
        <v>0</v>
      </c>
      <c r="G272" s="430">
        <v>0</v>
      </c>
      <c r="H272" s="8">
        <v>0</v>
      </c>
      <c r="I272" s="10">
        <v>0</v>
      </c>
      <c r="J272" s="10">
        <v>0</v>
      </c>
      <c r="K272" s="10">
        <v>0</v>
      </c>
      <c r="L272" s="11">
        <v>0</v>
      </c>
      <c r="M272" s="10">
        <v>0</v>
      </c>
      <c r="N272" s="430">
        <v>0</v>
      </c>
      <c r="O272" s="8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430"/>
      <c r="V272" s="9">
        <v>0</v>
      </c>
      <c r="W272" s="28">
        <v>0</v>
      </c>
    </row>
    <row r="273" spans="1:23" x14ac:dyDescent="0.45">
      <c r="A273" s="64">
        <v>33725</v>
      </c>
      <c r="B273" s="14">
        <v>0</v>
      </c>
      <c r="C273" s="10">
        <v>0</v>
      </c>
      <c r="D273" s="10">
        <v>0</v>
      </c>
      <c r="E273" s="11">
        <v>0</v>
      </c>
      <c r="F273" s="10">
        <v>0</v>
      </c>
      <c r="G273" s="430">
        <v>0</v>
      </c>
      <c r="H273" s="8">
        <v>0</v>
      </c>
      <c r="I273" s="10">
        <v>0</v>
      </c>
      <c r="J273" s="10">
        <v>0</v>
      </c>
      <c r="K273" s="10">
        <v>0</v>
      </c>
      <c r="L273" s="11">
        <v>0</v>
      </c>
      <c r="M273" s="10">
        <v>0</v>
      </c>
      <c r="N273" s="430">
        <v>0</v>
      </c>
      <c r="O273" s="8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430"/>
      <c r="V273" s="9">
        <v>0</v>
      </c>
      <c r="W273" s="28">
        <v>0</v>
      </c>
    </row>
    <row r="274" spans="1:23" x14ac:dyDescent="0.45">
      <c r="A274" s="64">
        <v>33756</v>
      </c>
      <c r="B274" s="14">
        <v>0</v>
      </c>
      <c r="C274" s="10">
        <v>0</v>
      </c>
      <c r="D274" s="10">
        <v>0</v>
      </c>
      <c r="E274" s="11">
        <v>0</v>
      </c>
      <c r="F274" s="10">
        <v>0</v>
      </c>
      <c r="G274" s="430">
        <v>0</v>
      </c>
      <c r="H274" s="8">
        <v>0</v>
      </c>
      <c r="I274" s="10">
        <v>0</v>
      </c>
      <c r="J274" s="10">
        <v>0</v>
      </c>
      <c r="K274" s="10">
        <v>0</v>
      </c>
      <c r="L274" s="11">
        <v>0</v>
      </c>
      <c r="M274" s="10">
        <v>0</v>
      </c>
      <c r="N274" s="430">
        <v>0</v>
      </c>
      <c r="O274" s="8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430"/>
      <c r="V274" s="9">
        <v>0</v>
      </c>
      <c r="W274" s="28">
        <v>0</v>
      </c>
    </row>
    <row r="275" spans="1:23" x14ac:dyDescent="0.45">
      <c r="A275" s="64">
        <v>33786</v>
      </c>
      <c r="B275" s="14">
        <v>0</v>
      </c>
      <c r="C275" s="10">
        <v>0</v>
      </c>
      <c r="D275" s="10">
        <v>0</v>
      </c>
      <c r="E275" s="11">
        <v>0</v>
      </c>
      <c r="F275" s="10">
        <v>0</v>
      </c>
      <c r="G275" s="430">
        <v>0</v>
      </c>
      <c r="H275" s="8">
        <v>0</v>
      </c>
      <c r="I275" s="10">
        <v>0</v>
      </c>
      <c r="J275" s="10">
        <v>0</v>
      </c>
      <c r="K275" s="10">
        <v>0</v>
      </c>
      <c r="L275" s="11">
        <v>0</v>
      </c>
      <c r="M275" s="10">
        <v>0</v>
      </c>
      <c r="N275" s="430">
        <v>0</v>
      </c>
      <c r="O275" s="8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430"/>
      <c r="V275" s="9">
        <v>0</v>
      </c>
      <c r="W275" s="28">
        <v>0</v>
      </c>
    </row>
    <row r="276" spans="1:23" x14ac:dyDescent="0.45">
      <c r="A276" s="64">
        <v>33817</v>
      </c>
      <c r="B276" s="14">
        <v>1</v>
      </c>
      <c r="C276" s="10">
        <v>0</v>
      </c>
      <c r="D276" s="10">
        <v>0</v>
      </c>
      <c r="E276" s="11">
        <v>1</v>
      </c>
      <c r="F276" s="10">
        <v>0</v>
      </c>
      <c r="G276" s="430">
        <v>0</v>
      </c>
      <c r="H276" s="8">
        <v>2</v>
      </c>
      <c r="I276" s="10">
        <v>0</v>
      </c>
      <c r="J276" s="10">
        <v>0</v>
      </c>
      <c r="K276" s="10">
        <v>0</v>
      </c>
      <c r="L276" s="11">
        <v>0</v>
      </c>
      <c r="M276" s="10">
        <v>0</v>
      </c>
      <c r="N276" s="430">
        <v>0</v>
      </c>
      <c r="O276" s="8">
        <v>0</v>
      </c>
      <c r="P276" s="10">
        <v>1</v>
      </c>
      <c r="Q276" s="10">
        <v>0</v>
      </c>
      <c r="R276" s="10">
        <v>0</v>
      </c>
      <c r="S276" s="10">
        <v>1</v>
      </c>
      <c r="T276" s="10">
        <v>0</v>
      </c>
      <c r="U276" s="430"/>
      <c r="V276" s="9">
        <v>2</v>
      </c>
      <c r="W276" s="28">
        <v>2</v>
      </c>
    </row>
    <row r="277" spans="1:23" x14ac:dyDescent="0.45">
      <c r="A277" s="64">
        <v>33848</v>
      </c>
      <c r="B277" s="14">
        <v>0</v>
      </c>
      <c r="C277" s="10">
        <v>0</v>
      </c>
      <c r="D277" s="10">
        <v>0</v>
      </c>
      <c r="E277" s="11">
        <v>0</v>
      </c>
      <c r="F277" s="10">
        <v>0</v>
      </c>
      <c r="G277" s="430">
        <v>0</v>
      </c>
      <c r="H277" s="8">
        <v>0</v>
      </c>
      <c r="I277" s="10">
        <v>0</v>
      </c>
      <c r="J277" s="10">
        <v>0</v>
      </c>
      <c r="K277" s="10">
        <v>0</v>
      </c>
      <c r="L277" s="11">
        <v>0</v>
      </c>
      <c r="M277" s="10">
        <v>0</v>
      </c>
      <c r="N277" s="430">
        <v>0</v>
      </c>
      <c r="O277" s="8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430"/>
      <c r="V277" s="9">
        <v>0</v>
      </c>
      <c r="W277" s="28">
        <v>2</v>
      </c>
    </row>
    <row r="278" spans="1:23" x14ac:dyDescent="0.45">
      <c r="A278" s="64">
        <v>33878</v>
      </c>
      <c r="B278" s="14">
        <v>1</v>
      </c>
      <c r="C278" s="10">
        <v>0</v>
      </c>
      <c r="D278" s="10">
        <v>0</v>
      </c>
      <c r="E278" s="11">
        <v>0</v>
      </c>
      <c r="F278" s="10">
        <v>0</v>
      </c>
      <c r="G278" s="430">
        <v>0</v>
      </c>
      <c r="H278" s="8">
        <v>1</v>
      </c>
      <c r="I278" s="10">
        <v>0</v>
      </c>
      <c r="J278" s="10">
        <v>0</v>
      </c>
      <c r="K278" s="10">
        <v>0</v>
      </c>
      <c r="L278" s="11">
        <v>0</v>
      </c>
      <c r="M278" s="10">
        <v>0</v>
      </c>
      <c r="N278" s="430">
        <v>0</v>
      </c>
      <c r="O278" s="8">
        <v>0</v>
      </c>
      <c r="P278" s="10">
        <v>1</v>
      </c>
      <c r="Q278" s="10">
        <v>0</v>
      </c>
      <c r="R278" s="10">
        <v>0</v>
      </c>
      <c r="S278" s="10">
        <v>0</v>
      </c>
      <c r="T278" s="10">
        <v>0</v>
      </c>
      <c r="U278" s="430"/>
      <c r="V278" s="9">
        <v>1</v>
      </c>
      <c r="W278" s="28">
        <v>3</v>
      </c>
    </row>
    <row r="279" spans="1:23" x14ac:dyDescent="0.45">
      <c r="A279" s="64">
        <v>33909</v>
      </c>
      <c r="B279" s="14">
        <v>0</v>
      </c>
      <c r="C279" s="10">
        <v>0</v>
      </c>
      <c r="D279" s="10">
        <v>0</v>
      </c>
      <c r="E279" s="11">
        <v>0</v>
      </c>
      <c r="F279" s="10">
        <v>0</v>
      </c>
      <c r="G279" s="430">
        <v>0</v>
      </c>
      <c r="H279" s="8">
        <v>0</v>
      </c>
      <c r="I279" s="10">
        <v>0</v>
      </c>
      <c r="J279" s="10">
        <v>0</v>
      </c>
      <c r="K279" s="10">
        <v>0</v>
      </c>
      <c r="L279" s="11">
        <v>0</v>
      </c>
      <c r="M279" s="10">
        <v>0</v>
      </c>
      <c r="N279" s="430">
        <v>0</v>
      </c>
      <c r="O279" s="8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430"/>
      <c r="V279" s="9">
        <v>0</v>
      </c>
      <c r="W279" s="28">
        <v>3</v>
      </c>
    </row>
    <row r="280" spans="1:23" ht="19.5" customHeight="1" thickBot="1" x14ac:dyDescent="0.5">
      <c r="A280" s="65">
        <v>33939</v>
      </c>
      <c r="B280" s="17">
        <v>0</v>
      </c>
      <c r="C280" s="18">
        <v>0</v>
      </c>
      <c r="D280" s="18">
        <v>0</v>
      </c>
      <c r="E280" s="18">
        <v>1</v>
      </c>
      <c r="F280" s="18">
        <v>0</v>
      </c>
      <c r="G280" s="432">
        <v>0</v>
      </c>
      <c r="H280" s="19">
        <v>1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432">
        <v>0</v>
      </c>
      <c r="O280" s="19">
        <v>0</v>
      </c>
      <c r="P280" s="18">
        <v>0</v>
      </c>
      <c r="Q280" s="18">
        <v>0</v>
      </c>
      <c r="R280" s="18">
        <v>0</v>
      </c>
      <c r="S280" s="18">
        <v>1</v>
      </c>
      <c r="T280" s="18">
        <v>0</v>
      </c>
      <c r="U280" s="432"/>
      <c r="V280" s="19">
        <v>1</v>
      </c>
      <c r="W280" s="28">
        <v>4</v>
      </c>
    </row>
    <row r="281" spans="1:23" ht="19.5" customHeight="1" thickTop="1" x14ac:dyDescent="0.45">
      <c r="A281" s="63">
        <v>33970</v>
      </c>
      <c r="B281" s="14">
        <v>0</v>
      </c>
      <c r="C281" s="10">
        <v>0</v>
      </c>
      <c r="D281" s="10">
        <v>0</v>
      </c>
      <c r="E281" s="10">
        <v>0</v>
      </c>
      <c r="F281" s="10">
        <v>0</v>
      </c>
      <c r="G281" s="430">
        <v>0</v>
      </c>
      <c r="H281" s="9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430">
        <v>0</v>
      </c>
      <c r="O281" s="9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430"/>
      <c r="V281" s="9">
        <v>0</v>
      </c>
      <c r="W281" s="28">
        <v>0</v>
      </c>
    </row>
    <row r="282" spans="1:23" x14ac:dyDescent="0.45">
      <c r="A282" s="64">
        <v>34001</v>
      </c>
      <c r="B282" s="14">
        <v>0</v>
      </c>
      <c r="C282" s="10">
        <v>0</v>
      </c>
      <c r="D282" s="10">
        <v>0</v>
      </c>
      <c r="E282" s="11">
        <v>0</v>
      </c>
      <c r="F282" s="10">
        <v>0</v>
      </c>
      <c r="G282" s="430">
        <v>0</v>
      </c>
      <c r="H282" s="8">
        <v>0</v>
      </c>
      <c r="I282" s="10">
        <v>0</v>
      </c>
      <c r="J282" s="10">
        <v>0</v>
      </c>
      <c r="K282" s="10">
        <v>0</v>
      </c>
      <c r="L282" s="11">
        <v>0</v>
      </c>
      <c r="M282" s="10">
        <v>0</v>
      </c>
      <c r="N282" s="430">
        <v>0</v>
      </c>
      <c r="O282" s="8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430"/>
      <c r="V282" s="9">
        <v>0</v>
      </c>
      <c r="W282" s="28">
        <v>0</v>
      </c>
    </row>
    <row r="283" spans="1:23" x14ac:dyDescent="0.45">
      <c r="A283" s="64">
        <v>34029</v>
      </c>
      <c r="B283" s="14">
        <v>0</v>
      </c>
      <c r="C283" s="10">
        <v>0</v>
      </c>
      <c r="D283" s="10">
        <v>0</v>
      </c>
      <c r="E283" s="11">
        <v>0</v>
      </c>
      <c r="F283" s="10">
        <v>0</v>
      </c>
      <c r="G283" s="430">
        <v>0</v>
      </c>
      <c r="H283" s="8">
        <v>0</v>
      </c>
      <c r="I283" s="10">
        <v>0</v>
      </c>
      <c r="J283" s="10">
        <v>0</v>
      </c>
      <c r="K283" s="10">
        <v>0</v>
      </c>
      <c r="L283" s="11">
        <v>0</v>
      </c>
      <c r="M283" s="10">
        <v>0</v>
      </c>
      <c r="N283" s="430">
        <v>0</v>
      </c>
      <c r="O283" s="8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430"/>
      <c r="V283" s="9">
        <v>0</v>
      </c>
      <c r="W283" s="28">
        <v>0</v>
      </c>
    </row>
    <row r="284" spans="1:23" x14ac:dyDescent="0.45">
      <c r="A284" s="64">
        <v>34060</v>
      </c>
      <c r="B284" s="14">
        <v>0</v>
      </c>
      <c r="C284" s="10">
        <v>0</v>
      </c>
      <c r="D284" s="10">
        <v>0</v>
      </c>
      <c r="E284" s="11">
        <v>0</v>
      </c>
      <c r="F284" s="10">
        <v>0</v>
      </c>
      <c r="G284" s="430">
        <v>0</v>
      </c>
      <c r="H284" s="8">
        <v>0</v>
      </c>
      <c r="I284" s="10">
        <v>0</v>
      </c>
      <c r="J284" s="10">
        <v>0</v>
      </c>
      <c r="K284" s="10">
        <v>0</v>
      </c>
      <c r="L284" s="11">
        <v>0</v>
      </c>
      <c r="M284" s="10">
        <v>0</v>
      </c>
      <c r="N284" s="430">
        <v>0</v>
      </c>
      <c r="O284" s="8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430"/>
      <c r="V284" s="9">
        <v>0</v>
      </c>
      <c r="W284" s="28">
        <v>0</v>
      </c>
    </row>
    <row r="285" spans="1:23" x14ac:dyDescent="0.45">
      <c r="A285" s="64">
        <v>34090</v>
      </c>
      <c r="B285" s="14">
        <v>0</v>
      </c>
      <c r="C285" s="10">
        <v>0</v>
      </c>
      <c r="D285" s="10">
        <v>0</v>
      </c>
      <c r="E285" s="11">
        <v>0</v>
      </c>
      <c r="F285" s="10">
        <v>0</v>
      </c>
      <c r="G285" s="430">
        <v>0</v>
      </c>
      <c r="H285" s="8">
        <v>0</v>
      </c>
      <c r="I285" s="10">
        <v>0</v>
      </c>
      <c r="J285" s="10">
        <v>0</v>
      </c>
      <c r="K285" s="10">
        <v>0</v>
      </c>
      <c r="L285" s="11">
        <v>0</v>
      </c>
      <c r="M285" s="10">
        <v>0</v>
      </c>
      <c r="N285" s="430">
        <v>0</v>
      </c>
      <c r="O285" s="8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430"/>
      <c r="V285" s="9">
        <v>0</v>
      </c>
      <c r="W285" s="28">
        <v>0</v>
      </c>
    </row>
    <row r="286" spans="1:23" x14ac:dyDescent="0.45">
      <c r="A286" s="64">
        <v>34121</v>
      </c>
      <c r="B286" s="14">
        <v>0</v>
      </c>
      <c r="C286" s="10">
        <v>0</v>
      </c>
      <c r="D286" s="10">
        <v>0</v>
      </c>
      <c r="E286" s="11">
        <v>0</v>
      </c>
      <c r="F286" s="10">
        <v>0</v>
      </c>
      <c r="G286" s="430">
        <v>0</v>
      </c>
      <c r="H286" s="8">
        <v>0</v>
      </c>
      <c r="I286" s="10">
        <v>0</v>
      </c>
      <c r="J286" s="10">
        <v>0</v>
      </c>
      <c r="K286" s="10">
        <v>0</v>
      </c>
      <c r="L286" s="11">
        <v>0</v>
      </c>
      <c r="M286" s="10">
        <v>0</v>
      </c>
      <c r="N286" s="430">
        <v>0</v>
      </c>
      <c r="O286" s="8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430"/>
      <c r="V286" s="9">
        <v>0</v>
      </c>
      <c r="W286" s="28">
        <v>0</v>
      </c>
    </row>
    <row r="287" spans="1:23" x14ac:dyDescent="0.45">
      <c r="A287" s="64">
        <v>34151</v>
      </c>
      <c r="B287" s="14">
        <v>0</v>
      </c>
      <c r="C287" s="10">
        <v>0</v>
      </c>
      <c r="D287" s="10">
        <v>0</v>
      </c>
      <c r="E287" s="11">
        <v>0</v>
      </c>
      <c r="F287" s="10">
        <v>0</v>
      </c>
      <c r="G287" s="430">
        <v>0</v>
      </c>
      <c r="H287" s="8">
        <v>0</v>
      </c>
      <c r="I287" s="10">
        <v>0</v>
      </c>
      <c r="J287" s="10">
        <v>0</v>
      </c>
      <c r="K287" s="10">
        <v>0</v>
      </c>
      <c r="L287" s="11">
        <v>0</v>
      </c>
      <c r="M287" s="10">
        <v>0</v>
      </c>
      <c r="N287" s="430">
        <v>0</v>
      </c>
      <c r="O287" s="8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430"/>
      <c r="V287" s="9">
        <v>0</v>
      </c>
      <c r="W287" s="28">
        <v>0</v>
      </c>
    </row>
    <row r="288" spans="1:23" x14ac:dyDescent="0.45">
      <c r="A288" s="64">
        <v>34182</v>
      </c>
      <c r="B288" s="14">
        <v>0</v>
      </c>
      <c r="C288" s="10">
        <v>0</v>
      </c>
      <c r="D288" s="10">
        <v>0</v>
      </c>
      <c r="E288" s="11">
        <v>0</v>
      </c>
      <c r="F288" s="10">
        <v>0</v>
      </c>
      <c r="G288" s="430">
        <v>0</v>
      </c>
      <c r="H288" s="8">
        <v>0</v>
      </c>
      <c r="I288" s="10">
        <v>0</v>
      </c>
      <c r="J288" s="10">
        <v>0</v>
      </c>
      <c r="K288" s="10">
        <v>0</v>
      </c>
      <c r="L288" s="11">
        <v>0</v>
      </c>
      <c r="M288" s="10">
        <v>0</v>
      </c>
      <c r="N288" s="430">
        <v>0</v>
      </c>
      <c r="O288" s="8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430"/>
      <c r="V288" s="9">
        <v>0</v>
      </c>
      <c r="W288" s="28">
        <v>0</v>
      </c>
    </row>
    <row r="289" spans="1:23" x14ac:dyDescent="0.45">
      <c r="A289" s="64">
        <v>34213</v>
      </c>
      <c r="B289" s="14">
        <v>0</v>
      </c>
      <c r="C289" s="10">
        <v>0</v>
      </c>
      <c r="D289" s="10">
        <v>0</v>
      </c>
      <c r="E289" s="11">
        <v>0</v>
      </c>
      <c r="F289" s="10">
        <v>0</v>
      </c>
      <c r="G289" s="430">
        <v>0</v>
      </c>
      <c r="H289" s="8">
        <v>0</v>
      </c>
      <c r="I289" s="10">
        <v>0</v>
      </c>
      <c r="J289" s="10">
        <v>0</v>
      </c>
      <c r="K289" s="10">
        <v>0</v>
      </c>
      <c r="L289" s="11">
        <v>0</v>
      </c>
      <c r="M289" s="10">
        <v>0</v>
      </c>
      <c r="N289" s="430">
        <v>0</v>
      </c>
      <c r="O289" s="8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430"/>
      <c r="V289" s="9">
        <v>0</v>
      </c>
      <c r="W289" s="28">
        <v>0</v>
      </c>
    </row>
    <row r="290" spans="1:23" x14ac:dyDescent="0.45">
      <c r="A290" s="64">
        <v>34243</v>
      </c>
      <c r="B290" s="14">
        <v>1</v>
      </c>
      <c r="C290" s="10">
        <v>0</v>
      </c>
      <c r="D290" s="10">
        <v>0</v>
      </c>
      <c r="E290" s="11">
        <v>0</v>
      </c>
      <c r="F290" s="10">
        <v>0</v>
      </c>
      <c r="G290" s="430">
        <v>0</v>
      </c>
      <c r="H290" s="8">
        <v>1</v>
      </c>
      <c r="I290" s="10">
        <v>0</v>
      </c>
      <c r="J290" s="10">
        <v>0</v>
      </c>
      <c r="K290" s="10">
        <v>0</v>
      </c>
      <c r="L290" s="11">
        <v>0</v>
      </c>
      <c r="M290" s="10">
        <v>0</v>
      </c>
      <c r="N290" s="430">
        <v>0</v>
      </c>
      <c r="O290" s="8">
        <v>0</v>
      </c>
      <c r="P290" s="10">
        <v>1</v>
      </c>
      <c r="Q290" s="10">
        <v>0</v>
      </c>
      <c r="R290" s="10">
        <v>0</v>
      </c>
      <c r="S290" s="10">
        <v>0</v>
      </c>
      <c r="T290" s="10">
        <v>0</v>
      </c>
      <c r="U290" s="430"/>
      <c r="V290" s="9">
        <v>1</v>
      </c>
      <c r="W290" s="28">
        <v>1</v>
      </c>
    </row>
    <row r="291" spans="1:23" x14ac:dyDescent="0.45">
      <c r="A291" s="64">
        <v>34274</v>
      </c>
      <c r="B291" s="14">
        <v>0</v>
      </c>
      <c r="C291" s="10">
        <v>0</v>
      </c>
      <c r="D291" s="10">
        <v>0</v>
      </c>
      <c r="E291" s="11">
        <v>0</v>
      </c>
      <c r="F291" s="10">
        <v>0</v>
      </c>
      <c r="G291" s="430">
        <v>0</v>
      </c>
      <c r="H291" s="8">
        <v>0</v>
      </c>
      <c r="I291" s="10">
        <v>0</v>
      </c>
      <c r="J291" s="10">
        <v>0</v>
      </c>
      <c r="K291" s="10">
        <v>0</v>
      </c>
      <c r="L291" s="11">
        <v>0</v>
      </c>
      <c r="M291" s="10">
        <v>0</v>
      </c>
      <c r="N291" s="430">
        <v>0</v>
      </c>
      <c r="O291" s="8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430"/>
      <c r="V291" s="9">
        <v>0</v>
      </c>
      <c r="W291" s="28">
        <v>1</v>
      </c>
    </row>
    <row r="292" spans="1:23" ht="19.5" customHeight="1" thickBot="1" x14ac:dyDescent="0.5">
      <c r="A292" s="65">
        <v>34304</v>
      </c>
      <c r="B292" s="17">
        <v>0</v>
      </c>
      <c r="C292" s="18">
        <v>0</v>
      </c>
      <c r="D292" s="18">
        <v>0</v>
      </c>
      <c r="E292" s="18">
        <v>0</v>
      </c>
      <c r="F292" s="18">
        <v>0</v>
      </c>
      <c r="G292" s="432">
        <v>0</v>
      </c>
      <c r="H292" s="19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432">
        <v>0</v>
      </c>
      <c r="O292" s="19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432"/>
      <c r="V292" s="19">
        <v>0</v>
      </c>
      <c r="W292" s="28">
        <v>1</v>
      </c>
    </row>
    <row r="293" spans="1:23" ht="19.5" customHeight="1" thickTop="1" x14ac:dyDescent="0.45">
      <c r="A293" s="63">
        <v>34335</v>
      </c>
      <c r="B293" s="14">
        <v>0</v>
      </c>
      <c r="C293" s="10">
        <v>0</v>
      </c>
      <c r="D293" s="10">
        <v>0</v>
      </c>
      <c r="E293" s="10">
        <v>0</v>
      </c>
      <c r="F293" s="10">
        <v>0</v>
      </c>
      <c r="G293" s="430">
        <v>0</v>
      </c>
      <c r="H293" s="9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430">
        <v>0</v>
      </c>
      <c r="O293" s="9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430"/>
      <c r="V293" s="9">
        <v>0</v>
      </c>
      <c r="W293" s="28">
        <v>0</v>
      </c>
    </row>
    <row r="294" spans="1:23" x14ac:dyDescent="0.45">
      <c r="A294" s="64">
        <v>34366</v>
      </c>
      <c r="B294" s="14">
        <v>0</v>
      </c>
      <c r="C294" s="10">
        <v>0</v>
      </c>
      <c r="D294" s="10">
        <v>0</v>
      </c>
      <c r="E294" s="11">
        <v>1</v>
      </c>
      <c r="F294" s="10">
        <v>0</v>
      </c>
      <c r="G294" s="430">
        <v>0</v>
      </c>
      <c r="H294" s="8">
        <v>1</v>
      </c>
      <c r="I294" s="10">
        <v>0</v>
      </c>
      <c r="J294" s="10">
        <v>0</v>
      </c>
      <c r="K294" s="10">
        <v>0</v>
      </c>
      <c r="L294" s="11">
        <v>0</v>
      </c>
      <c r="M294" s="10">
        <v>0</v>
      </c>
      <c r="N294" s="430">
        <v>0</v>
      </c>
      <c r="O294" s="8">
        <v>0</v>
      </c>
      <c r="P294" s="10">
        <v>0</v>
      </c>
      <c r="Q294" s="10">
        <v>0</v>
      </c>
      <c r="R294" s="10">
        <v>0</v>
      </c>
      <c r="S294" s="10">
        <v>1</v>
      </c>
      <c r="T294" s="10">
        <v>0</v>
      </c>
      <c r="U294" s="430"/>
      <c r="V294" s="9">
        <v>1</v>
      </c>
      <c r="W294" s="28">
        <v>1</v>
      </c>
    </row>
    <row r="295" spans="1:23" x14ac:dyDescent="0.45">
      <c r="A295" s="64">
        <v>34394</v>
      </c>
      <c r="B295" s="14">
        <v>0</v>
      </c>
      <c r="C295" s="10">
        <v>0</v>
      </c>
      <c r="D295" s="10">
        <v>0</v>
      </c>
      <c r="E295" s="11">
        <v>0</v>
      </c>
      <c r="F295" s="10">
        <v>0</v>
      </c>
      <c r="G295" s="430">
        <v>0</v>
      </c>
      <c r="H295" s="8">
        <v>0</v>
      </c>
      <c r="I295" s="10">
        <v>0</v>
      </c>
      <c r="J295" s="10">
        <v>0</v>
      </c>
      <c r="K295" s="10">
        <v>0</v>
      </c>
      <c r="L295" s="11">
        <v>0</v>
      </c>
      <c r="M295" s="10">
        <v>0</v>
      </c>
      <c r="N295" s="430">
        <v>0</v>
      </c>
      <c r="O295" s="8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430"/>
      <c r="V295" s="9">
        <v>0</v>
      </c>
      <c r="W295" s="28">
        <v>1</v>
      </c>
    </row>
    <row r="296" spans="1:23" x14ac:dyDescent="0.45">
      <c r="A296" s="64">
        <v>34425</v>
      </c>
      <c r="B296" s="14">
        <v>0</v>
      </c>
      <c r="C296" s="10">
        <v>0</v>
      </c>
      <c r="D296" s="10">
        <v>0</v>
      </c>
      <c r="E296" s="11">
        <v>0</v>
      </c>
      <c r="F296" s="10">
        <v>0</v>
      </c>
      <c r="G296" s="430">
        <v>0</v>
      </c>
      <c r="H296" s="8">
        <v>0</v>
      </c>
      <c r="I296" s="10">
        <v>0</v>
      </c>
      <c r="J296" s="10">
        <v>0</v>
      </c>
      <c r="K296" s="10">
        <v>0</v>
      </c>
      <c r="L296" s="11">
        <v>0</v>
      </c>
      <c r="M296" s="10">
        <v>0</v>
      </c>
      <c r="N296" s="430">
        <v>0</v>
      </c>
      <c r="O296" s="8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430"/>
      <c r="V296" s="9">
        <v>0</v>
      </c>
      <c r="W296" s="28">
        <v>1</v>
      </c>
    </row>
    <row r="297" spans="1:23" x14ac:dyDescent="0.45">
      <c r="A297" s="64">
        <v>34455</v>
      </c>
      <c r="B297" s="14">
        <v>0</v>
      </c>
      <c r="C297" s="10">
        <v>0</v>
      </c>
      <c r="D297" s="10">
        <v>0</v>
      </c>
      <c r="E297" s="11">
        <v>0</v>
      </c>
      <c r="F297" s="10">
        <v>0</v>
      </c>
      <c r="G297" s="430">
        <v>0</v>
      </c>
      <c r="H297" s="8">
        <v>0</v>
      </c>
      <c r="I297" s="10">
        <v>0</v>
      </c>
      <c r="J297" s="10">
        <v>0</v>
      </c>
      <c r="K297" s="10">
        <v>0</v>
      </c>
      <c r="L297" s="11">
        <v>0</v>
      </c>
      <c r="M297" s="10">
        <v>0</v>
      </c>
      <c r="N297" s="430">
        <v>0</v>
      </c>
      <c r="O297" s="8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430"/>
      <c r="V297" s="9">
        <v>0</v>
      </c>
      <c r="W297" s="28">
        <v>1</v>
      </c>
    </row>
    <row r="298" spans="1:23" x14ac:dyDescent="0.45">
      <c r="A298" s="64">
        <v>34486</v>
      </c>
      <c r="B298" s="14">
        <v>0</v>
      </c>
      <c r="C298" s="10">
        <v>0</v>
      </c>
      <c r="D298" s="10">
        <v>0</v>
      </c>
      <c r="E298" s="11">
        <v>0</v>
      </c>
      <c r="F298" s="10">
        <v>0</v>
      </c>
      <c r="G298" s="430">
        <v>0</v>
      </c>
      <c r="H298" s="8">
        <v>0</v>
      </c>
      <c r="I298" s="10">
        <v>0</v>
      </c>
      <c r="J298" s="10">
        <v>0</v>
      </c>
      <c r="K298" s="10">
        <v>0</v>
      </c>
      <c r="L298" s="11">
        <v>0</v>
      </c>
      <c r="M298" s="10">
        <v>0</v>
      </c>
      <c r="N298" s="430">
        <v>0</v>
      </c>
      <c r="O298" s="8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430"/>
      <c r="V298" s="9">
        <v>0</v>
      </c>
      <c r="W298" s="28">
        <v>1</v>
      </c>
    </row>
    <row r="299" spans="1:23" x14ac:dyDescent="0.45">
      <c r="A299" s="64">
        <v>34516</v>
      </c>
      <c r="B299" s="14">
        <v>1</v>
      </c>
      <c r="C299" s="10">
        <v>0</v>
      </c>
      <c r="D299" s="10">
        <v>0</v>
      </c>
      <c r="E299" s="11">
        <v>1</v>
      </c>
      <c r="F299" s="10">
        <v>0</v>
      </c>
      <c r="G299" s="430">
        <v>0</v>
      </c>
      <c r="H299" s="8">
        <v>2</v>
      </c>
      <c r="I299" s="10">
        <v>0</v>
      </c>
      <c r="J299" s="10">
        <v>0</v>
      </c>
      <c r="K299" s="10">
        <v>0</v>
      </c>
      <c r="L299" s="11">
        <v>0</v>
      </c>
      <c r="M299" s="10">
        <v>0</v>
      </c>
      <c r="N299" s="430">
        <v>0</v>
      </c>
      <c r="O299" s="8">
        <v>0</v>
      </c>
      <c r="P299" s="10">
        <v>1</v>
      </c>
      <c r="Q299" s="10">
        <v>0</v>
      </c>
      <c r="R299" s="10">
        <v>0</v>
      </c>
      <c r="S299" s="10">
        <v>1</v>
      </c>
      <c r="T299" s="10">
        <v>0</v>
      </c>
      <c r="U299" s="430"/>
      <c r="V299" s="9">
        <v>2</v>
      </c>
      <c r="W299" s="28">
        <v>3</v>
      </c>
    </row>
    <row r="300" spans="1:23" x14ac:dyDescent="0.45">
      <c r="A300" s="64">
        <v>34547</v>
      </c>
      <c r="B300" s="14">
        <v>0</v>
      </c>
      <c r="C300" s="10">
        <v>0</v>
      </c>
      <c r="D300" s="10">
        <v>0</v>
      </c>
      <c r="E300" s="11">
        <v>1</v>
      </c>
      <c r="F300" s="10">
        <v>0</v>
      </c>
      <c r="G300" s="430">
        <v>0</v>
      </c>
      <c r="H300" s="8">
        <v>1</v>
      </c>
      <c r="I300" s="10">
        <v>0</v>
      </c>
      <c r="J300" s="10">
        <v>0</v>
      </c>
      <c r="K300" s="10">
        <v>0</v>
      </c>
      <c r="L300" s="11">
        <v>0</v>
      </c>
      <c r="M300" s="10">
        <v>0</v>
      </c>
      <c r="N300" s="430">
        <v>0</v>
      </c>
      <c r="O300" s="8">
        <v>0</v>
      </c>
      <c r="P300" s="10">
        <v>0</v>
      </c>
      <c r="Q300" s="10">
        <v>0</v>
      </c>
      <c r="R300" s="10">
        <v>0</v>
      </c>
      <c r="S300" s="10">
        <v>1</v>
      </c>
      <c r="T300" s="10">
        <v>0</v>
      </c>
      <c r="U300" s="430"/>
      <c r="V300" s="9">
        <v>1</v>
      </c>
      <c r="W300" s="28">
        <v>4</v>
      </c>
    </row>
    <row r="301" spans="1:23" x14ac:dyDescent="0.45">
      <c r="A301" s="64">
        <v>34578</v>
      </c>
      <c r="B301" s="14">
        <v>0</v>
      </c>
      <c r="C301" s="10">
        <v>0</v>
      </c>
      <c r="D301" s="10">
        <v>0</v>
      </c>
      <c r="E301" s="11">
        <v>0</v>
      </c>
      <c r="F301" s="10">
        <v>0</v>
      </c>
      <c r="G301" s="430">
        <v>0</v>
      </c>
      <c r="H301" s="8">
        <v>0</v>
      </c>
      <c r="I301" s="10">
        <v>0</v>
      </c>
      <c r="J301" s="10">
        <v>0</v>
      </c>
      <c r="K301" s="10">
        <v>0</v>
      </c>
      <c r="L301" s="11">
        <v>0</v>
      </c>
      <c r="M301" s="10">
        <v>0</v>
      </c>
      <c r="N301" s="430">
        <v>0</v>
      </c>
      <c r="O301" s="8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430"/>
      <c r="V301" s="9">
        <v>0</v>
      </c>
      <c r="W301" s="28">
        <v>4</v>
      </c>
    </row>
    <row r="302" spans="1:23" x14ac:dyDescent="0.45">
      <c r="A302" s="64">
        <v>34608</v>
      </c>
      <c r="B302" s="14">
        <v>0</v>
      </c>
      <c r="C302" s="10">
        <v>0</v>
      </c>
      <c r="D302" s="10">
        <v>0</v>
      </c>
      <c r="E302" s="11">
        <v>0</v>
      </c>
      <c r="F302" s="10">
        <v>0</v>
      </c>
      <c r="G302" s="430">
        <v>0</v>
      </c>
      <c r="H302" s="8">
        <v>0</v>
      </c>
      <c r="I302" s="10">
        <v>0</v>
      </c>
      <c r="J302" s="10">
        <v>0</v>
      </c>
      <c r="K302" s="10">
        <v>0</v>
      </c>
      <c r="L302" s="11">
        <v>0</v>
      </c>
      <c r="M302" s="10">
        <v>0</v>
      </c>
      <c r="N302" s="430">
        <v>0</v>
      </c>
      <c r="O302" s="8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430"/>
      <c r="V302" s="9">
        <v>0</v>
      </c>
      <c r="W302" s="28">
        <v>4</v>
      </c>
    </row>
    <row r="303" spans="1:23" x14ac:dyDescent="0.45">
      <c r="A303" s="64">
        <v>34639</v>
      </c>
      <c r="B303" s="14">
        <v>0</v>
      </c>
      <c r="C303" s="10">
        <v>0</v>
      </c>
      <c r="D303" s="10">
        <v>0</v>
      </c>
      <c r="E303" s="11">
        <v>1</v>
      </c>
      <c r="F303" s="10">
        <v>0</v>
      </c>
      <c r="G303" s="430">
        <v>0</v>
      </c>
      <c r="H303" s="8">
        <v>1</v>
      </c>
      <c r="I303" s="10">
        <v>0</v>
      </c>
      <c r="J303" s="10">
        <v>0</v>
      </c>
      <c r="K303" s="10">
        <v>0</v>
      </c>
      <c r="L303" s="11">
        <v>0</v>
      </c>
      <c r="M303" s="10">
        <v>0</v>
      </c>
      <c r="N303" s="430">
        <v>0</v>
      </c>
      <c r="O303" s="8">
        <v>0</v>
      </c>
      <c r="P303" s="10">
        <v>0</v>
      </c>
      <c r="Q303" s="10">
        <v>0</v>
      </c>
      <c r="R303" s="10">
        <v>0</v>
      </c>
      <c r="S303" s="10">
        <v>1</v>
      </c>
      <c r="T303" s="10">
        <v>0</v>
      </c>
      <c r="U303" s="430"/>
      <c r="V303" s="9">
        <v>1</v>
      </c>
      <c r="W303" s="28">
        <v>5</v>
      </c>
    </row>
    <row r="304" spans="1:23" ht="19.5" customHeight="1" thickBot="1" x14ac:dyDescent="0.5">
      <c r="A304" s="65">
        <v>34669</v>
      </c>
      <c r="B304" s="17">
        <v>0</v>
      </c>
      <c r="C304" s="18">
        <v>0</v>
      </c>
      <c r="D304" s="18">
        <v>0</v>
      </c>
      <c r="E304" s="18">
        <v>0</v>
      </c>
      <c r="F304" s="18">
        <v>0</v>
      </c>
      <c r="G304" s="432">
        <v>0</v>
      </c>
      <c r="H304" s="19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432">
        <v>0</v>
      </c>
      <c r="O304" s="19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432"/>
      <c r="V304" s="19">
        <v>0</v>
      </c>
      <c r="W304" s="28">
        <v>5</v>
      </c>
    </row>
    <row r="305" spans="1:23" ht="19.5" customHeight="1" thickTop="1" x14ac:dyDescent="0.45">
      <c r="A305" s="63">
        <v>34700</v>
      </c>
      <c r="B305" s="14">
        <v>0</v>
      </c>
      <c r="C305" s="10">
        <v>0</v>
      </c>
      <c r="D305" s="10">
        <v>0</v>
      </c>
      <c r="E305" s="10">
        <v>1</v>
      </c>
      <c r="F305" s="10">
        <v>0</v>
      </c>
      <c r="G305" s="430">
        <v>0</v>
      </c>
      <c r="H305" s="9">
        <v>1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430">
        <v>0</v>
      </c>
      <c r="O305" s="9">
        <v>0</v>
      </c>
      <c r="P305" s="10">
        <v>0</v>
      </c>
      <c r="Q305" s="10">
        <v>0</v>
      </c>
      <c r="R305" s="10">
        <v>0</v>
      </c>
      <c r="S305" s="10">
        <v>1</v>
      </c>
      <c r="T305" s="10">
        <v>0</v>
      </c>
      <c r="U305" s="430"/>
      <c r="V305" s="9">
        <v>1</v>
      </c>
      <c r="W305" s="28">
        <v>1</v>
      </c>
    </row>
    <row r="306" spans="1:23" x14ac:dyDescent="0.45">
      <c r="A306" s="64">
        <v>34731</v>
      </c>
      <c r="B306" s="14">
        <v>0</v>
      </c>
      <c r="C306" s="10">
        <v>0</v>
      </c>
      <c r="D306" s="10">
        <v>0</v>
      </c>
      <c r="E306" s="11">
        <v>0</v>
      </c>
      <c r="F306" s="10">
        <v>0</v>
      </c>
      <c r="G306" s="430">
        <v>0</v>
      </c>
      <c r="H306" s="8">
        <v>0</v>
      </c>
      <c r="I306" s="10">
        <v>0</v>
      </c>
      <c r="J306" s="10">
        <v>0</v>
      </c>
      <c r="K306" s="10">
        <v>0</v>
      </c>
      <c r="L306" s="11">
        <v>0</v>
      </c>
      <c r="M306" s="10">
        <v>0</v>
      </c>
      <c r="N306" s="430">
        <v>0</v>
      </c>
      <c r="O306" s="8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430"/>
      <c r="V306" s="9">
        <v>0</v>
      </c>
      <c r="W306" s="28">
        <v>1</v>
      </c>
    </row>
    <row r="307" spans="1:23" x14ac:dyDescent="0.45">
      <c r="A307" s="64">
        <v>34759</v>
      </c>
      <c r="B307" s="14">
        <v>0</v>
      </c>
      <c r="C307" s="10">
        <v>0</v>
      </c>
      <c r="D307" s="10">
        <v>0</v>
      </c>
      <c r="E307" s="11">
        <v>0</v>
      </c>
      <c r="F307" s="10">
        <v>0</v>
      </c>
      <c r="G307" s="430">
        <v>0</v>
      </c>
      <c r="H307" s="8">
        <v>0</v>
      </c>
      <c r="I307" s="10">
        <v>0</v>
      </c>
      <c r="J307" s="10">
        <v>0</v>
      </c>
      <c r="K307" s="10">
        <v>0</v>
      </c>
      <c r="L307" s="11">
        <v>0</v>
      </c>
      <c r="M307" s="10">
        <v>0</v>
      </c>
      <c r="N307" s="430">
        <v>0</v>
      </c>
      <c r="O307" s="8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430"/>
      <c r="V307" s="9">
        <v>0</v>
      </c>
      <c r="W307" s="28">
        <v>1</v>
      </c>
    </row>
    <row r="308" spans="1:23" x14ac:dyDescent="0.45">
      <c r="A308" s="64">
        <v>34790</v>
      </c>
      <c r="B308" s="14">
        <v>0</v>
      </c>
      <c r="C308" s="10">
        <v>0</v>
      </c>
      <c r="D308" s="10">
        <v>0</v>
      </c>
      <c r="E308" s="11">
        <v>0</v>
      </c>
      <c r="F308" s="10">
        <v>0</v>
      </c>
      <c r="G308" s="430">
        <v>0</v>
      </c>
      <c r="H308" s="8">
        <v>0</v>
      </c>
      <c r="I308" s="10">
        <v>0</v>
      </c>
      <c r="J308" s="10">
        <v>0</v>
      </c>
      <c r="K308" s="10">
        <v>0</v>
      </c>
      <c r="L308" s="11">
        <v>0</v>
      </c>
      <c r="M308" s="10">
        <v>0</v>
      </c>
      <c r="N308" s="430">
        <v>0</v>
      </c>
      <c r="O308" s="8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430"/>
      <c r="V308" s="9">
        <v>0</v>
      </c>
      <c r="W308" s="28">
        <v>1</v>
      </c>
    </row>
    <row r="309" spans="1:23" x14ac:dyDescent="0.45">
      <c r="A309" s="64">
        <v>34820</v>
      </c>
      <c r="B309" s="14">
        <v>0</v>
      </c>
      <c r="C309" s="10">
        <v>0</v>
      </c>
      <c r="D309" s="10">
        <v>0</v>
      </c>
      <c r="E309" s="11">
        <v>0</v>
      </c>
      <c r="F309" s="10">
        <v>0</v>
      </c>
      <c r="G309" s="430">
        <v>0</v>
      </c>
      <c r="H309" s="8">
        <v>0</v>
      </c>
      <c r="I309" s="10">
        <v>0</v>
      </c>
      <c r="J309" s="10">
        <v>0</v>
      </c>
      <c r="K309" s="10">
        <v>0</v>
      </c>
      <c r="L309" s="11">
        <v>0</v>
      </c>
      <c r="M309" s="10">
        <v>0</v>
      </c>
      <c r="N309" s="430">
        <v>0</v>
      </c>
      <c r="O309" s="8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430"/>
      <c r="V309" s="9">
        <v>0</v>
      </c>
      <c r="W309" s="28">
        <v>1</v>
      </c>
    </row>
    <row r="310" spans="1:23" x14ac:dyDescent="0.45">
      <c r="A310" s="64">
        <v>34851</v>
      </c>
      <c r="B310" s="14">
        <v>0</v>
      </c>
      <c r="C310" s="10">
        <v>0</v>
      </c>
      <c r="D310" s="10">
        <v>0</v>
      </c>
      <c r="E310" s="11">
        <v>0</v>
      </c>
      <c r="F310" s="10">
        <v>0</v>
      </c>
      <c r="G310" s="430">
        <v>0</v>
      </c>
      <c r="H310" s="8">
        <v>0</v>
      </c>
      <c r="I310" s="10">
        <v>0</v>
      </c>
      <c r="J310" s="10">
        <v>0</v>
      </c>
      <c r="K310" s="10">
        <v>0</v>
      </c>
      <c r="L310" s="11">
        <v>0</v>
      </c>
      <c r="M310" s="10">
        <v>0</v>
      </c>
      <c r="N310" s="430">
        <v>0</v>
      </c>
      <c r="O310" s="8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430"/>
      <c r="V310" s="9">
        <v>0</v>
      </c>
      <c r="W310" s="28">
        <v>1</v>
      </c>
    </row>
    <row r="311" spans="1:23" x14ac:dyDescent="0.45">
      <c r="A311" s="64">
        <v>34881</v>
      </c>
      <c r="B311" s="14">
        <v>0</v>
      </c>
      <c r="C311" s="10">
        <v>0</v>
      </c>
      <c r="D311" s="10">
        <v>0</v>
      </c>
      <c r="E311" s="11">
        <v>0</v>
      </c>
      <c r="F311" s="10">
        <v>0</v>
      </c>
      <c r="G311" s="430">
        <v>0</v>
      </c>
      <c r="H311" s="8">
        <v>0</v>
      </c>
      <c r="I311" s="10">
        <v>0</v>
      </c>
      <c r="J311" s="10">
        <v>0</v>
      </c>
      <c r="K311" s="10">
        <v>0</v>
      </c>
      <c r="L311" s="11">
        <v>0</v>
      </c>
      <c r="M311" s="10">
        <v>0</v>
      </c>
      <c r="N311" s="430">
        <v>0</v>
      </c>
      <c r="O311" s="8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430"/>
      <c r="V311" s="9">
        <v>0</v>
      </c>
      <c r="W311" s="28">
        <v>1</v>
      </c>
    </row>
    <row r="312" spans="1:23" x14ac:dyDescent="0.45">
      <c r="A312" s="64">
        <v>34912</v>
      </c>
      <c r="B312" s="14">
        <v>0</v>
      </c>
      <c r="C312" s="10">
        <v>0</v>
      </c>
      <c r="D312" s="10">
        <v>0</v>
      </c>
      <c r="E312" s="11">
        <v>0</v>
      </c>
      <c r="F312" s="10">
        <v>0</v>
      </c>
      <c r="G312" s="430">
        <v>0</v>
      </c>
      <c r="H312" s="8">
        <v>0</v>
      </c>
      <c r="I312" s="10">
        <v>0</v>
      </c>
      <c r="J312" s="10">
        <v>0</v>
      </c>
      <c r="K312" s="10">
        <v>0</v>
      </c>
      <c r="L312" s="11">
        <v>0</v>
      </c>
      <c r="M312" s="10">
        <v>0</v>
      </c>
      <c r="N312" s="430">
        <v>0</v>
      </c>
      <c r="O312" s="8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430"/>
      <c r="V312" s="9">
        <v>0</v>
      </c>
      <c r="W312" s="28">
        <v>1</v>
      </c>
    </row>
    <row r="313" spans="1:23" x14ac:dyDescent="0.45">
      <c r="A313" s="64">
        <v>34943</v>
      </c>
      <c r="B313" s="14">
        <v>0</v>
      </c>
      <c r="C313" s="10">
        <v>0</v>
      </c>
      <c r="D313" s="10">
        <v>0</v>
      </c>
      <c r="E313" s="11">
        <v>0</v>
      </c>
      <c r="F313" s="10">
        <v>0</v>
      </c>
      <c r="G313" s="430">
        <v>0</v>
      </c>
      <c r="H313" s="8">
        <v>0</v>
      </c>
      <c r="I313" s="10">
        <v>0</v>
      </c>
      <c r="J313" s="10">
        <v>0</v>
      </c>
      <c r="K313" s="10">
        <v>0</v>
      </c>
      <c r="L313" s="11">
        <v>0</v>
      </c>
      <c r="M313" s="10">
        <v>0</v>
      </c>
      <c r="N313" s="430">
        <v>0</v>
      </c>
      <c r="O313" s="8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430"/>
      <c r="V313" s="9">
        <v>0</v>
      </c>
      <c r="W313" s="28">
        <v>1</v>
      </c>
    </row>
    <row r="314" spans="1:23" x14ac:dyDescent="0.45">
      <c r="A314" s="64">
        <v>34973</v>
      </c>
      <c r="B314" s="14">
        <v>0</v>
      </c>
      <c r="C314" s="10">
        <v>0</v>
      </c>
      <c r="D314" s="10">
        <v>0</v>
      </c>
      <c r="E314" s="11">
        <v>0</v>
      </c>
      <c r="F314" s="10">
        <v>0</v>
      </c>
      <c r="G314" s="430">
        <v>0</v>
      </c>
      <c r="H314" s="8">
        <v>0</v>
      </c>
      <c r="I314" s="10">
        <v>0</v>
      </c>
      <c r="J314" s="10">
        <v>0</v>
      </c>
      <c r="K314" s="10">
        <v>0</v>
      </c>
      <c r="L314" s="11">
        <v>0</v>
      </c>
      <c r="M314" s="10">
        <v>0</v>
      </c>
      <c r="N314" s="430">
        <v>0</v>
      </c>
      <c r="O314" s="8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430"/>
      <c r="V314" s="9">
        <v>0</v>
      </c>
      <c r="W314" s="28">
        <v>1</v>
      </c>
    </row>
    <row r="315" spans="1:23" x14ac:dyDescent="0.45">
      <c r="A315" s="64">
        <v>35004</v>
      </c>
      <c r="B315" s="14">
        <v>0</v>
      </c>
      <c r="C315" s="10">
        <v>0</v>
      </c>
      <c r="D315" s="10">
        <v>0</v>
      </c>
      <c r="E315" s="11">
        <v>1</v>
      </c>
      <c r="F315" s="10">
        <v>0</v>
      </c>
      <c r="G315" s="430">
        <v>0</v>
      </c>
      <c r="H315" s="8">
        <v>1</v>
      </c>
      <c r="I315" s="10">
        <v>0</v>
      </c>
      <c r="J315" s="10">
        <v>0</v>
      </c>
      <c r="K315" s="10">
        <v>0</v>
      </c>
      <c r="L315" s="11">
        <v>0</v>
      </c>
      <c r="M315" s="10">
        <v>0</v>
      </c>
      <c r="N315" s="430">
        <v>0</v>
      </c>
      <c r="O315" s="8">
        <v>0</v>
      </c>
      <c r="P315" s="10">
        <v>0</v>
      </c>
      <c r="Q315" s="10">
        <v>0</v>
      </c>
      <c r="R315" s="10">
        <v>0</v>
      </c>
      <c r="S315" s="10">
        <v>1</v>
      </c>
      <c r="T315" s="10">
        <v>0</v>
      </c>
      <c r="U315" s="430"/>
      <c r="V315" s="9">
        <v>1</v>
      </c>
      <c r="W315" s="28">
        <v>2</v>
      </c>
    </row>
    <row r="316" spans="1:23" ht="19.5" customHeight="1" thickBot="1" x14ac:dyDescent="0.5">
      <c r="A316" s="65">
        <v>35034</v>
      </c>
      <c r="B316" s="17">
        <v>0</v>
      </c>
      <c r="C316" s="18">
        <v>0</v>
      </c>
      <c r="D316" s="18">
        <v>0</v>
      </c>
      <c r="E316" s="18">
        <v>1</v>
      </c>
      <c r="F316" s="18">
        <v>0</v>
      </c>
      <c r="G316" s="432">
        <v>0</v>
      </c>
      <c r="H316" s="19">
        <v>1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432">
        <v>0</v>
      </c>
      <c r="O316" s="19">
        <v>0</v>
      </c>
      <c r="P316" s="18">
        <v>0</v>
      </c>
      <c r="Q316" s="18">
        <v>0</v>
      </c>
      <c r="R316" s="18">
        <v>0</v>
      </c>
      <c r="S316" s="18">
        <v>1</v>
      </c>
      <c r="T316" s="18">
        <v>0</v>
      </c>
      <c r="U316" s="432"/>
      <c r="V316" s="19">
        <v>1</v>
      </c>
      <c r="W316" s="28">
        <v>3</v>
      </c>
    </row>
    <row r="317" spans="1:23" ht="19.5" customHeight="1" thickTop="1" x14ac:dyDescent="0.45">
      <c r="A317" s="63">
        <v>35065</v>
      </c>
      <c r="B317" s="14">
        <v>0</v>
      </c>
      <c r="C317" s="10">
        <v>0</v>
      </c>
      <c r="D317" s="10">
        <v>0</v>
      </c>
      <c r="E317" s="10">
        <v>0</v>
      </c>
      <c r="F317" s="10">
        <v>0</v>
      </c>
      <c r="G317" s="430">
        <v>0</v>
      </c>
      <c r="H317" s="9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430">
        <v>0</v>
      </c>
      <c r="O317" s="9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430"/>
      <c r="V317" s="9">
        <v>0</v>
      </c>
      <c r="W317" s="28">
        <v>0</v>
      </c>
    </row>
    <row r="318" spans="1:23" x14ac:dyDescent="0.45">
      <c r="A318" s="64">
        <v>35096</v>
      </c>
      <c r="B318" s="14">
        <v>0</v>
      </c>
      <c r="C318" s="10">
        <v>0</v>
      </c>
      <c r="D318" s="10">
        <v>0</v>
      </c>
      <c r="E318" s="11">
        <v>1</v>
      </c>
      <c r="F318" s="10">
        <v>0</v>
      </c>
      <c r="G318" s="430">
        <v>0</v>
      </c>
      <c r="H318" s="8">
        <v>1</v>
      </c>
      <c r="I318" s="10">
        <v>0</v>
      </c>
      <c r="J318" s="10">
        <v>0</v>
      </c>
      <c r="K318" s="10">
        <v>0</v>
      </c>
      <c r="L318" s="11">
        <v>0</v>
      </c>
      <c r="M318" s="10">
        <v>0</v>
      </c>
      <c r="N318" s="430">
        <v>0</v>
      </c>
      <c r="O318" s="8">
        <v>0</v>
      </c>
      <c r="P318" s="10">
        <v>0</v>
      </c>
      <c r="Q318" s="10">
        <v>0</v>
      </c>
      <c r="R318" s="10">
        <v>0</v>
      </c>
      <c r="S318" s="10">
        <v>1</v>
      </c>
      <c r="T318" s="10">
        <v>0</v>
      </c>
      <c r="U318" s="430"/>
      <c r="V318" s="9">
        <v>1</v>
      </c>
      <c r="W318" s="28">
        <v>1</v>
      </c>
    </row>
    <row r="319" spans="1:23" x14ac:dyDescent="0.45">
      <c r="A319" s="64">
        <v>35125</v>
      </c>
      <c r="B319" s="14">
        <v>0</v>
      </c>
      <c r="C319" s="10">
        <v>0</v>
      </c>
      <c r="D319" s="10">
        <v>0</v>
      </c>
      <c r="E319" s="11">
        <v>0</v>
      </c>
      <c r="F319" s="10">
        <v>0</v>
      </c>
      <c r="G319" s="430">
        <v>0</v>
      </c>
      <c r="H319" s="8">
        <v>0</v>
      </c>
      <c r="I319" s="10">
        <v>0</v>
      </c>
      <c r="J319" s="10">
        <v>0</v>
      </c>
      <c r="K319" s="10">
        <v>0</v>
      </c>
      <c r="L319" s="11">
        <v>0</v>
      </c>
      <c r="M319" s="10">
        <v>0</v>
      </c>
      <c r="N319" s="430">
        <v>0</v>
      </c>
      <c r="O319" s="8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430"/>
      <c r="V319" s="9">
        <v>0</v>
      </c>
      <c r="W319" s="28">
        <v>1</v>
      </c>
    </row>
    <row r="320" spans="1:23" x14ac:dyDescent="0.45">
      <c r="A320" s="64">
        <v>35156</v>
      </c>
      <c r="B320" s="14">
        <v>0</v>
      </c>
      <c r="C320" s="10">
        <v>0</v>
      </c>
      <c r="D320" s="10">
        <v>0</v>
      </c>
      <c r="E320" s="11">
        <v>0</v>
      </c>
      <c r="F320" s="10">
        <v>0</v>
      </c>
      <c r="G320" s="430">
        <v>0</v>
      </c>
      <c r="H320" s="8">
        <v>0</v>
      </c>
      <c r="I320" s="10">
        <v>0</v>
      </c>
      <c r="J320" s="10">
        <v>0</v>
      </c>
      <c r="K320" s="10">
        <v>0</v>
      </c>
      <c r="L320" s="11">
        <v>0</v>
      </c>
      <c r="M320" s="10">
        <v>0</v>
      </c>
      <c r="N320" s="430">
        <v>0</v>
      </c>
      <c r="O320" s="8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430"/>
      <c r="V320" s="9">
        <v>0</v>
      </c>
      <c r="W320" s="28">
        <v>1</v>
      </c>
    </row>
    <row r="321" spans="1:23" x14ac:dyDescent="0.45">
      <c r="A321" s="64">
        <v>35186</v>
      </c>
      <c r="B321" s="14">
        <v>0</v>
      </c>
      <c r="C321" s="10">
        <v>0</v>
      </c>
      <c r="D321" s="10">
        <v>0</v>
      </c>
      <c r="E321" s="11">
        <v>0</v>
      </c>
      <c r="F321" s="10">
        <v>0</v>
      </c>
      <c r="G321" s="430">
        <v>0</v>
      </c>
      <c r="H321" s="8">
        <v>0</v>
      </c>
      <c r="I321" s="10">
        <v>0</v>
      </c>
      <c r="J321" s="10">
        <v>0</v>
      </c>
      <c r="K321" s="10">
        <v>0</v>
      </c>
      <c r="L321" s="11">
        <v>0</v>
      </c>
      <c r="M321" s="10">
        <v>0</v>
      </c>
      <c r="N321" s="430">
        <v>0</v>
      </c>
      <c r="O321" s="8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430"/>
      <c r="V321" s="9">
        <v>0</v>
      </c>
      <c r="W321" s="28">
        <v>1</v>
      </c>
    </row>
    <row r="322" spans="1:23" x14ac:dyDescent="0.45">
      <c r="A322" s="64">
        <v>35217</v>
      </c>
      <c r="B322" s="14">
        <v>0</v>
      </c>
      <c r="C322" s="10">
        <v>0</v>
      </c>
      <c r="D322" s="10">
        <v>0</v>
      </c>
      <c r="E322" s="11">
        <v>0</v>
      </c>
      <c r="F322" s="10">
        <v>0</v>
      </c>
      <c r="G322" s="430">
        <v>0</v>
      </c>
      <c r="H322" s="8">
        <v>0</v>
      </c>
      <c r="I322" s="10">
        <v>0</v>
      </c>
      <c r="J322" s="10">
        <v>0</v>
      </c>
      <c r="K322" s="10">
        <v>0</v>
      </c>
      <c r="L322" s="11">
        <v>0</v>
      </c>
      <c r="M322" s="10">
        <v>0</v>
      </c>
      <c r="N322" s="430">
        <v>0</v>
      </c>
      <c r="O322" s="8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430"/>
      <c r="V322" s="9">
        <v>0</v>
      </c>
      <c r="W322" s="28">
        <v>1</v>
      </c>
    </row>
    <row r="323" spans="1:23" x14ac:dyDescent="0.45">
      <c r="A323" s="64">
        <v>35247</v>
      </c>
      <c r="B323" s="14">
        <v>0</v>
      </c>
      <c r="C323" s="10">
        <v>0</v>
      </c>
      <c r="D323" s="10">
        <v>0</v>
      </c>
      <c r="E323" s="11">
        <v>1</v>
      </c>
      <c r="F323" s="10">
        <v>0</v>
      </c>
      <c r="G323" s="430">
        <v>0</v>
      </c>
      <c r="H323" s="8">
        <v>1</v>
      </c>
      <c r="I323" s="10">
        <v>0</v>
      </c>
      <c r="J323" s="10">
        <v>0</v>
      </c>
      <c r="K323" s="10">
        <v>0</v>
      </c>
      <c r="L323" s="11">
        <v>0</v>
      </c>
      <c r="M323" s="10">
        <v>0</v>
      </c>
      <c r="N323" s="430">
        <v>0</v>
      </c>
      <c r="O323" s="8">
        <v>0</v>
      </c>
      <c r="P323" s="10">
        <v>0</v>
      </c>
      <c r="Q323" s="10">
        <v>0</v>
      </c>
      <c r="R323" s="10">
        <v>0</v>
      </c>
      <c r="S323" s="10">
        <v>1</v>
      </c>
      <c r="T323" s="10">
        <v>0</v>
      </c>
      <c r="U323" s="430"/>
      <c r="V323" s="9">
        <v>1</v>
      </c>
      <c r="W323" s="28">
        <v>2</v>
      </c>
    </row>
    <row r="324" spans="1:23" x14ac:dyDescent="0.45">
      <c r="A324" s="64">
        <v>35278</v>
      </c>
      <c r="B324" s="14">
        <v>0</v>
      </c>
      <c r="C324" s="10">
        <v>0</v>
      </c>
      <c r="D324" s="10">
        <v>0</v>
      </c>
      <c r="E324" s="11">
        <v>1</v>
      </c>
      <c r="F324" s="10">
        <v>0</v>
      </c>
      <c r="G324" s="430">
        <v>0</v>
      </c>
      <c r="H324" s="8">
        <v>1</v>
      </c>
      <c r="I324" s="10">
        <v>0</v>
      </c>
      <c r="J324" s="10">
        <v>0</v>
      </c>
      <c r="K324" s="10">
        <v>0</v>
      </c>
      <c r="L324" s="11">
        <v>0</v>
      </c>
      <c r="M324" s="10">
        <v>0</v>
      </c>
      <c r="N324" s="430">
        <v>0</v>
      </c>
      <c r="O324" s="8">
        <v>0</v>
      </c>
      <c r="P324" s="10">
        <v>0</v>
      </c>
      <c r="Q324" s="10">
        <v>0</v>
      </c>
      <c r="R324" s="10">
        <v>0</v>
      </c>
      <c r="S324" s="10">
        <v>1</v>
      </c>
      <c r="T324" s="10">
        <v>0</v>
      </c>
      <c r="U324" s="430"/>
      <c r="V324" s="9">
        <v>1</v>
      </c>
      <c r="W324" s="28">
        <v>3</v>
      </c>
    </row>
    <row r="325" spans="1:23" x14ac:dyDescent="0.45">
      <c r="A325" s="64">
        <v>35309</v>
      </c>
      <c r="B325" s="14">
        <v>0</v>
      </c>
      <c r="C325" s="10">
        <v>0</v>
      </c>
      <c r="D325" s="10">
        <v>0</v>
      </c>
      <c r="E325" s="11">
        <v>0</v>
      </c>
      <c r="F325" s="10">
        <v>0</v>
      </c>
      <c r="G325" s="430">
        <v>0</v>
      </c>
      <c r="H325" s="8">
        <v>0</v>
      </c>
      <c r="I325" s="10">
        <v>0</v>
      </c>
      <c r="J325" s="10">
        <v>0</v>
      </c>
      <c r="K325" s="10">
        <v>0</v>
      </c>
      <c r="L325" s="11">
        <v>0</v>
      </c>
      <c r="M325" s="10">
        <v>0</v>
      </c>
      <c r="N325" s="430">
        <v>0</v>
      </c>
      <c r="O325" s="8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430"/>
      <c r="V325" s="9">
        <v>0</v>
      </c>
      <c r="W325" s="28">
        <v>3</v>
      </c>
    </row>
    <row r="326" spans="1:23" x14ac:dyDescent="0.45">
      <c r="A326" s="64">
        <v>35339</v>
      </c>
      <c r="B326" s="14">
        <v>1</v>
      </c>
      <c r="C326" s="10">
        <v>0</v>
      </c>
      <c r="D326" s="10">
        <v>0</v>
      </c>
      <c r="E326" s="11">
        <v>0</v>
      </c>
      <c r="F326" s="10">
        <v>0</v>
      </c>
      <c r="G326" s="430">
        <v>0</v>
      </c>
      <c r="H326" s="8">
        <v>1</v>
      </c>
      <c r="I326" s="10">
        <v>0</v>
      </c>
      <c r="J326" s="10">
        <v>0</v>
      </c>
      <c r="K326" s="10">
        <v>0</v>
      </c>
      <c r="L326" s="11">
        <v>0</v>
      </c>
      <c r="M326" s="10">
        <v>0</v>
      </c>
      <c r="N326" s="430">
        <v>0</v>
      </c>
      <c r="O326" s="8">
        <v>0</v>
      </c>
      <c r="P326" s="10">
        <v>1</v>
      </c>
      <c r="Q326" s="10">
        <v>0</v>
      </c>
      <c r="R326" s="10">
        <v>0</v>
      </c>
      <c r="S326" s="10">
        <v>0</v>
      </c>
      <c r="T326" s="10">
        <v>0</v>
      </c>
      <c r="U326" s="430"/>
      <c r="V326" s="9">
        <v>1</v>
      </c>
      <c r="W326" s="28">
        <v>4</v>
      </c>
    </row>
    <row r="327" spans="1:23" x14ac:dyDescent="0.45">
      <c r="A327" s="64">
        <v>35370</v>
      </c>
      <c r="B327" s="14">
        <v>0</v>
      </c>
      <c r="C327" s="10">
        <v>0</v>
      </c>
      <c r="D327" s="10">
        <v>0</v>
      </c>
      <c r="E327" s="11">
        <v>0</v>
      </c>
      <c r="F327" s="10">
        <v>0</v>
      </c>
      <c r="G327" s="430">
        <v>0</v>
      </c>
      <c r="H327" s="8">
        <v>0</v>
      </c>
      <c r="I327" s="10">
        <v>0</v>
      </c>
      <c r="J327" s="10">
        <v>0</v>
      </c>
      <c r="K327" s="10">
        <v>0</v>
      </c>
      <c r="L327" s="11">
        <v>0</v>
      </c>
      <c r="M327" s="10">
        <v>0</v>
      </c>
      <c r="N327" s="430">
        <v>0</v>
      </c>
      <c r="O327" s="8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430"/>
      <c r="V327" s="9">
        <v>0</v>
      </c>
      <c r="W327" s="28">
        <v>4</v>
      </c>
    </row>
    <row r="328" spans="1:23" ht="19.5" customHeight="1" thickBot="1" x14ac:dyDescent="0.5">
      <c r="A328" s="65">
        <v>35400</v>
      </c>
      <c r="B328" s="17">
        <v>0</v>
      </c>
      <c r="C328" s="18">
        <v>0</v>
      </c>
      <c r="D328" s="18">
        <v>0</v>
      </c>
      <c r="E328" s="18">
        <v>0</v>
      </c>
      <c r="F328" s="18">
        <v>0</v>
      </c>
      <c r="G328" s="432">
        <v>0</v>
      </c>
      <c r="H328" s="19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432">
        <v>0</v>
      </c>
      <c r="O328" s="19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432"/>
      <c r="V328" s="19">
        <v>0</v>
      </c>
      <c r="W328" s="28">
        <v>4</v>
      </c>
    </row>
    <row r="329" spans="1:23" ht="19.5" customHeight="1" thickTop="1" x14ac:dyDescent="0.45">
      <c r="A329" s="63">
        <v>35431</v>
      </c>
      <c r="B329" s="14">
        <v>0</v>
      </c>
      <c r="C329" s="10">
        <v>0</v>
      </c>
      <c r="D329" s="10">
        <v>0</v>
      </c>
      <c r="E329" s="10">
        <v>0</v>
      </c>
      <c r="F329" s="10">
        <v>0</v>
      </c>
      <c r="G329" s="430">
        <v>0</v>
      </c>
      <c r="H329" s="9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430">
        <v>0</v>
      </c>
      <c r="O329" s="9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430"/>
      <c r="V329" s="9">
        <v>0</v>
      </c>
      <c r="W329" s="28">
        <v>0</v>
      </c>
    </row>
    <row r="330" spans="1:23" x14ac:dyDescent="0.45">
      <c r="A330" s="64">
        <v>35462</v>
      </c>
      <c r="B330" s="14">
        <v>0</v>
      </c>
      <c r="C330" s="10">
        <v>0</v>
      </c>
      <c r="D330" s="10">
        <v>0</v>
      </c>
      <c r="E330" s="11">
        <v>0</v>
      </c>
      <c r="F330" s="10">
        <v>0</v>
      </c>
      <c r="G330" s="430">
        <v>0</v>
      </c>
      <c r="H330" s="8">
        <v>0</v>
      </c>
      <c r="I330" s="10">
        <v>0</v>
      </c>
      <c r="J330" s="10">
        <v>0</v>
      </c>
      <c r="K330" s="10">
        <v>0</v>
      </c>
      <c r="L330" s="11">
        <v>0</v>
      </c>
      <c r="M330" s="10">
        <v>0</v>
      </c>
      <c r="N330" s="430">
        <v>0</v>
      </c>
      <c r="O330" s="8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430"/>
      <c r="V330" s="9">
        <v>0</v>
      </c>
      <c r="W330" s="28">
        <v>0</v>
      </c>
    </row>
    <row r="331" spans="1:23" x14ac:dyDescent="0.45">
      <c r="A331" s="64">
        <v>35490</v>
      </c>
      <c r="B331" s="14">
        <v>0</v>
      </c>
      <c r="C331" s="10">
        <v>0</v>
      </c>
      <c r="D331" s="10">
        <v>0</v>
      </c>
      <c r="E331" s="11">
        <v>0</v>
      </c>
      <c r="F331" s="10">
        <v>0</v>
      </c>
      <c r="G331" s="430">
        <v>0</v>
      </c>
      <c r="H331" s="8">
        <v>0</v>
      </c>
      <c r="I331" s="10">
        <v>0</v>
      </c>
      <c r="J331" s="10">
        <v>0</v>
      </c>
      <c r="K331" s="10">
        <v>0</v>
      </c>
      <c r="L331" s="11">
        <v>0</v>
      </c>
      <c r="M331" s="10">
        <v>0</v>
      </c>
      <c r="N331" s="430">
        <v>0</v>
      </c>
      <c r="O331" s="8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430"/>
      <c r="V331" s="9">
        <v>0</v>
      </c>
      <c r="W331" s="28">
        <v>0</v>
      </c>
    </row>
    <row r="332" spans="1:23" x14ac:dyDescent="0.45">
      <c r="A332" s="64">
        <v>35521</v>
      </c>
      <c r="B332" s="14">
        <v>0</v>
      </c>
      <c r="C332" s="10">
        <v>0</v>
      </c>
      <c r="D332" s="10">
        <v>0</v>
      </c>
      <c r="E332" s="11">
        <v>0</v>
      </c>
      <c r="F332" s="10">
        <v>0</v>
      </c>
      <c r="G332" s="430">
        <v>0</v>
      </c>
      <c r="H332" s="8">
        <v>0</v>
      </c>
      <c r="I332" s="10">
        <v>0</v>
      </c>
      <c r="J332" s="10">
        <v>0</v>
      </c>
      <c r="K332" s="10">
        <v>0</v>
      </c>
      <c r="L332" s="11">
        <v>0</v>
      </c>
      <c r="M332" s="10">
        <v>0</v>
      </c>
      <c r="N332" s="430">
        <v>0</v>
      </c>
      <c r="O332" s="8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430"/>
      <c r="V332" s="9">
        <v>0</v>
      </c>
      <c r="W332" s="28">
        <v>0</v>
      </c>
    </row>
    <row r="333" spans="1:23" x14ac:dyDescent="0.45">
      <c r="A333" s="64">
        <v>35551</v>
      </c>
      <c r="B333" s="14">
        <v>0</v>
      </c>
      <c r="C333" s="10">
        <v>0</v>
      </c>
      <c r="D333" s="10">
        <v>0</v>
      </c>
      <c r="E333" s="11">
        <v>1</v>
      </c>
      <c r="F333" s="10">
        <v>0</v>
      </c>
      <c r="G333" s="430">
        <v>0</v>
      </c>
      <c r="H333" s="8">
        <v>1</v>
      </c>
      <c r="I333" s="10">
        <v>0</v>
      </c>
      <c r="J333" s="10">
        <v>0</v>
      </c>
      <c r="K333" s="10">
        <v>0</v>
      </c>
      <c r="L333" s="11">
        <v>0</v>
      </c>
      <c r="M333" s="10">
        <v>0</v>
      </c>
      <c r="N333" s="430">
        <v>0</v>
      </c>
      <c r="O333" s="8">
        <v>0</v>
      </c>
      <c r="P333" s="10">
        <v>0</v>
      </c>
      <c r="Q333" s="10">
        <v>0</v>
      </c>
      <c r="R333" s="10">
        <v>0</v>
      </c>
      <c r="S333" s="10">
        <v>1</v>
      </c>
      <c r="T333" s="10">
        <v>0</v>
      </c>
      <c r="U333" s="430"/>
      <c r="V333" s="9">
        <v>1</v>
      </c>
      <c r="W333" s="28">
        <v>1</v>
      </c>
    </row>
    <row r="334" spans="1:23" x14ac:dyDescent="0.45">
      <c r="A334" s="64">
        <v>35582</v>
      </c>
      <c r="B334" s="14">
        <v>0</v>
      </c>
      <c r="C334" s="10">
        <v>0</v>
      </c>
      <c r="D334" s="10">
        <v>0</v>
      </c>
      <c r="E334" s="11">
        <v>1</v>
      </c>
      <c r="F334" s="10">
        <v>0</v>
      </c>
      <c r="G334" s="430">
        <v>0</v>
      </c>
      <c r="H334" s="8">
        <v>1</v>
      </c>
      <c r="I334" s="10">
        <v>0</v>
      </c>
      <c r="J334" s="10">
        <v>0</v>
      </c>
      <c r="K334" s="10">
        <v>0</v>
      </c>
      <c r="L334" s="11">
        <v>0</v>
      </c>
      <c r="M334" s="10">
        <v>0</v>
      </c>
      <c r="N334" s="430">
        <v>0</v>
      </c>
      <c r="O334" s="8">
        <v>0</v>
      </c>
      <c r="P334" s="10">
        <v>0</v>
      </c>
      <c r="Q334" s="10">
        <v>0</v>
      </c>
      <c r="R334" s="10">
        <v>0</v>
      </c>
      <c r="S334" s="10">
        <v>1</v>
      </c>
      <c r="T334" s="10">
        <v>0</v>
      </c>
      <c r="U334" s="430"/>
      <c r="V334" s="9">
        <v>1</v>
      </c>
      <c r="W334" s="28">
        <v>2</v>
      </c>
    </row>
    <row r="335" spans="1:23" x14ac:dyDescent="0.45">
      <c r="A335" s="64">
        <v>35612</v>
      </c>
      <c r="B335" s="14">
        <v>0</v>
      </c>
      <c r="C335" s="10">
        <v>0</v>
      </c>
      <c r="D335" s="10">
        <v>0</v>
      </c>
      <c r="E335" s="11">
        <v>0</v>
      </c>
      <c r="F335" s="10">
        <v>0</v>
      </c>
      <c r="G335" s="430">
        <v>0</v>
      </c>
      <c r="H335" s="8">
        <v>0</v>
      </c>
      <c r="I335" s="10">
        <v>0</v>
      </c>
      <c r="J335" s="10">
        <v>0</v>
      </c>
      <c r="K335" s="10">
        <v>0</v>
      </c>
      <c r="L335" s="11">
        <v>0</v>
      </c>
      <c r="M335" s="10">
        <v>0</v>
      </c>
      <c r="N335" s="430">
        <v>0</v>
      </c>
      <c r="O335" s="8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430"/>
      <c r="V335" s="9">
        <v>0</v>
      </c>
      <c r="W335" s="28">
        <v>2</v>
      </c>
    </row>
    <row r="336" spans="1:23" x14ac:dyDescent="0.45">
      <c r="A336" s="64">
        <v>35643</v>
      </c>
      <c r="B336" s="14">
        <v>0</v>
      </c>
      <c r="C336" s="10">
        <v>0</v>
      </c>
      <c r="D336" s="10">
        <v>0</v>
      </c>
      <c r="E336" s="11">
        <v>1</v>
      </c>
      <c r="F336" s="10">
        <v>0</v>
      </c>
      <c r="G336" s="430">
        <v>0</v>
      </c>
      <c r="H336" s="8">
        <v>1</v>
      </c>
      <c r="I336" s="10">
        <v>0</v>
      </c>
      <c r="J336" s="10">
        <v>0</v>
      </c>
      <c r="K336" s="10">
        <v>0</v>
      </c>
      <c r="L336" s="11">
        <v>0</v>
      </c>
      <c r="M336" s="10">
        <v>0</v>
      </c>
      <c r="N336" s="430">
        <v>0</v>
      </c>
      <c r="O336" s="8">
        <v>0</v>
      </c>
      <c r="P336" s="10">
        <v>0</v>
      </c>
      <c r="Q336" s="10">
        <v>0</v>
      </c>
      <c r="R336" s="10">
        <v>0</v>
      </c>
      <c r="S336" s="10">
        <v>1</v>
      </c>
      <c r="T336" s="10">
        <v>0</v>
      </c>
      <c r="U336" s="430"/>
      <c r="V336" s="9">
        <v>1</v>
      </c>
      <c r="W336" s="28">
        <v>3</v>
      </c>
    </row>
    <row r="337" spans="1:23" x14ac:dyDescent="0.45">
      <c r="A337" s="64">
        <v>35674</v>
      </c>
      <c r="B337" s="14">
        <v>0</v>
      </c>
      <c r="C337" s="10">
        <v>1</v>
      </c>
      <c r="D337" s="10">
        <v>0</v>
      </c>
      <c r="E337" s="11">
        <v>0</v>
      </c>
      <c r="F337" s="10">
        <v>0</v>
      </c>
      <c r="G337" s="430">
        <v>0</v>
      </c>
      <c r="H337" s="8">
        <v>1</v>
      </c>
      <c r="I337" s="10">
        <v>0</v>
      </c>
      <c r="J337" s="10">
        <v>0</v>
      </c>
      <c r="K337" s="10">
        <v>0</v>
      </c>
      <c r="L337" s="11">
        <v>0</v>
      </c>
      <c r="M337" s="10">
        <v>0</v>
      </c>
      <c r="N337" s="430">
        <v>0</v>
      </c>
      <c r="O337" s="8">
        <v>0</v>
      </c>
      <c r="P337" s="10">
        <v>0</v>
      </c>
      <c r="Q337" s="10">
        <v>1</v>
      </c>
      <c r="R337" s="10">
        <v>0</v>
      </c>
      <c r="S337" s="10">
        <v>0</v>
      </c>
      <c r="T337" s="10">
        <v>0</v>
      </c>
      <c r="U337" s="430"/>
      <c r="V337" s="9">
        <v>1</v>
      </c>
      <c r="W337" s="28">
        <v>4</v>
      </c>
    </row>
    <row r="338" spans="1:23" x14ac:dyDescent="0.45">
      <c r="A338" s="64">
        <v>35704</v>
      </c>
      <c r="B338" s="14">
        <v>0</v>
      </c>
      <c r="C338" s="10">
        <v>0</v>
      </c>
      <c r="D338" s="10">
        <v>0</v>
      </c>
      <c r="E338" s="11">
        <v>1</v>
      </c>
      <c r="F338" s="10">
        <v>0</v>
      </c>
      <c r="G338" s="430">
        <v>0</v>
      </c>
      <c r="H338" s="8">
        <v>1</v>
      </c>
      <c r="I338" s="10">
        <v>0</v>
      </c>
      <c r="J338" s="10">
        <v>0</v>
      </c>
      <c r="K338" s="10">
        <v>0</v>
      </c>
      <c r="L338" s="11">
        <v>0</v>
      </c>
      <c r="M338" s="10">
        <v>0</v>
      </c>
      <c r="N338" s="430">
        <v>0</v>
      </c>
      <c r="O338" s="8">
        <v>0</v>
      </c>
      <c r="P338" s="10">
        <v>0</v>
      </c>
      <c r="Q338" s="10">
        <v>0</v>
      </c>
      <c r="R338" s="10">
        <v>0</v>
      </c>
      <c r="S338" s="10">
        <v>1</v>
      </c>
      <c r="T338" s="10">
        <v>0</v>
      </c>
      <c r="U338" s="430"/>
      <c r="V338" s="9">
        <v>1</v>
      </c>
      <c r="W338" s="28">
        <v>5</v>
      </c>
    </row>
    <row r="339" spans="1:23" x14ac:dyDescent="0.45">
      <c r="A339" s="64">
        <v>35735</v>
      </c>
      <c r="B339" s="14">
        <v>0</v>
      </c>
      <c r="C339" s="10">
        <v>0</v>
      </c>
      <c r="D339" s="10">
        <v>0</v>
      </c>
      <c r="E339" s="11">
        <v>0</v>
      </c>
      <c r="F339" s="10">
        <v>0</v>
      </c>
      <c r="G339" s="430">
        <v>0</v>
      </c>
      <c r="H339" s="8">
        <v>0</v>
      </c>
      <c r="I339" s="10">
        <v>0</v>
      </c>
      <c r="J339" s="10">
        <v>0</v>
      </c>
      <c r="K339" s="10">
        <v>0</v>
      </c>
      <c r="L339" s="11">
        <v>0</v>
      </c>
      <c r="M339" s="10">
        <v>0</v>
      </c>
      <c r="N339" s="430">
        <v>0</v>
      </c>
      <c r="O339" s="8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430"/>
      <c r="V339" s="9">
        <v>0</v>
      </c>
      <c r="W339" s="28">
        <v>5</v>
      </c>
    </row>
    <row r="340" spans="1:23" ht="19.5" customHeight="1" thickBot="1" x14ac:dyDescent="0.5">
      <c r="A340" s="65">
        <v>35765</v>
      </c>
      <c r="B340" s="17">
        <v>0</v>
      </c>
      <c r="C340" s="18">
        <v>1</v>
      </c>
      <c r="D340" s="18">
        <v>0</v>
      </c>
      <c r="E340" s="18">
        <v>0</v>
      </c>
      <c r="F340" s="18">
        <v>0</v>
      </c>
      <c r="G340" s="432">
        <v>0</v>
      </c>
      <c r="H340" s="19">
        <v>1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432">
        <v>0</v>
      </c>
      <c r="O340" s="19">
        <v>0</v>
      </c>
      <c r="P340" s="18">
        <v>0</v>
      </c>
      <c r="Q340" s="18">
        <v>1</v>
      </c>
      <c r="R340" s="18">
        <v>0</v>
      </c>
      <c r="S340" s="18">
        <v>0</v>
      </c>
      <c r="T340" s="18">
        <v>0</v>
      </c>
      <c r="U340" s="432"/>
      <c r="V340" s="19">
        <v>1</v>
      </c>
      <c r="W340" s="28">
        <v>6</v>
      </c>
    </row>
    <row r="341" spans="1:23" ht="19.5" customHeight="1" thickTop="1" x14ac:dyDescent="0.45">
      <c r="A341" s="63">
        <v>35796</v>
      </c>
      <c r="B341" s="14">
        <v>0</v>
      </c>
      <c r="C341" s="10">
        <v>0</v>
      </c>
      <c r="D341" s="10">
        <v>0</v>
      </c>
      <c r="E341" s="10">
        <v>0</v>
      </c>
      <c r="F341" s="10">
        <v>0</v>
      </c>
      <c r="G341" s="430">
        <v>0</v>
      </c>
      <c r="H341" s="9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430">
        <v>0</v>
      </c>
      <c r="O341" s="9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430"/>
      <c r="V341" s="9">
        <v>0</v>
      </c>
      <c r="W341" s="28">
        <v>0</v>
      </c>
    </row>
    <row r="342" spans="1:23" x14ac:dyDescent="0.45">
      <c r="A342" s="64">
        <v>35827</v>
      </c>
      <c r="B342" s="14">
        <v>0</v>
      </c>
      <c r="C342" s="10">
        <v>0</v>
      </c>
      <c r="D342" s="10">
        <v>0</v>
      </c>
      <c r="E342" s="11">
        <v>0</v>
      </c>
      <c r="F342" s="10">
        <v>0</v>
      </c>
      <c r="G342" s="430">
        <v>0</v>
      </c>
      <c r="H342" s="8">
        <v>0</v>
      </c>
      <c r="I342" s="10">
        <v>0</v>
      </c>
      <c r="J342" s="10">
        <v>0</v>
      </c>
      <c r="K342" s="10">
        <v>0</v>
      </c>
      <c r="L342" s="11">
        <v>0</v>
      </c>
      <c r="M342" s="10">
        <v>0</v>
      </c>
      <c r="N342" s="430">
        <v>0</v>
      </c>
      <c r="O342" s="8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430"/>
      <c r="V342" s="9">
        <v>0</v>
      </c>
      <c r="W342" s="28">
        <v>0</v>
      </c>
    </row>
    <row r="343" spans="1:23" x14ac:dyDescent="0.45">
      <c r="A343" s="64">
        <v>35855</v>
      </c>
      <c r="B343" s="14">
        <v>0</v>
      </c>
      <c r="C343" s="10">
        <v>1</v>
      </c>
      <c r="D343" s="10">
        <v>0</v>
      </c>
      <c r="E343" s="11">
        <v>0</v>
      </c>
      <c r="F343" s="10">
        <v>0</v>
      </c>
      <c r="G343" s="430">
        <v>0</v>
      </c>
      <c r="H343" s="8">
        <v>1</v>
      </c>
      <c r="I343" s="10">
        <v>0</v>
      </c>
      <c r="J343" s="10">
        <v>0</v>
      </c>
      <c r="K343" s="10">
        <v>0</v>
      </c>
      <c r="L343" s="11">
        <v>0</v>
      </c>
      <c r="M343" s="10">
        <v>0</v>
      </c>
      <c r="N343" s="430">
        <v>0</v>
      </c>
      <c r="O343" s="8">
        <v>0</v>
      </c>
      <c r="P343" s="10">
        <v>0</v>
      </c>
      <c r="Q343" s="10">
        <v>1</v>
      </c>
      <c r="R343" s="10">
        <v>0</v>
      </c>
      <c r="S343" s="10">
        <v>0</v>
      </c>
      <c r="T343" s="10">
        <v>0</v>
      </c>
      <c r="U343" s="430"/>
      <c r="V343" s="9">
        <v>1</v>
      </c>
      <c r="W343" s="28">
        <v>1</v>
      </c>
    </row>
    <row r="344" spans="1:23" x14ac:dyDescent="0.45">
      <c r="A344" s="64">
        <v>35886</v>
      </c>
      <c r="B344" s="14">
        <v>0</v>
      </c>
      <c r="C344" s="10">
        <v>0</v>
      </c>
      <c r="D344" s="10">
        <v>0</v>
      </c>
      <c r="E344" s="11">
        <v>0</v>
      </c>
      <c r="F344" s="10">
        <v>0</v>
      </c>
      <c r="G344" s="430">
        <v>0</v>
      </c>
      <c r="H344" s="8">
        <v>0</v>
      </c>
      <c r="I344" s="10">
        <v>0</v>
      </c>
      <c r="J344" s="10">
        <v>0</v>
      </c>
      <c r="K344" s="10">
        <v>0</v>
      </c>
      <c r="L344" s="11">
        <v>0</v>
      </c>
      <c r="M344" s="10">
        <v>0</v>
      </c>
      <c r="N344" s="430">
        <v>0</v>
      </c>
      <c r="O344" s="8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430"/>
      <c r="V344" s="9">
        <v>0</v>
      </c>
      <c r="W344" s="28">
        <v>1</v>
      </c>
    </row>
    <row r="345" spans="1:23" x14ac:dyDescent="0.45">
      <c r="A345" s="64">
        <v>35916</v>
      </c>
      <c r="B345" s="14">
        <v>0</v>
      </c>
      <c r="C345" s="10">
        <v>1</v>
      </c>
      <c r="D345" s="10">
        <v>0</v>
      </c>
      <c r="E345" s="11">
        <v>1</v>
      </c>
      <c r="F345" s="10">
        <v>0</v>
      </c>
      <c r="G345" s="430">
        <v>0</v>
      </c>
      <c r="H345" s="8">
        <v>2</v>
      </c>
      <c r="I345" s="10">
        <v>0</v>
      </c>
      <c r="J345" s="10">
        <v>0</v>
      </c>
      <c r="K345" s="10">
        <v>0</v>
      </c>
      <c r="L345" s="11">
        <v>0</v>
      </c>
      <c r="M345" s="10">
        <v>0</v>
      </c>
      <c r="N345" s="430">
        <v>0</v>
      </c>
      <c r="O345" s="8">
        <v>0</v>
      </c>
      <c r="P345" s="10">
        <v>0</v>
      </c>
      <c r="Q345" s="10">
        <v>1</v>
      </c>
      <c r="R345" s="10">
        <v>0</v>
      </c>
      <c r="S345" s="10">
        <v>1</v>
      </c>
      <c r="T345" s="10">
        <v>0</v>
      </c>
      <c r="U345" s="430"/>
      <c r="V345" s="9">
        <v>2</v>
      </c>
      <c r="W345" s="28">
        <v>3</v>
      </c>
    </row>
    <row r="346" spans="1:23" x14ac:dyDescent="0.45">
      <c r="A346" s="64">
        <v>35947</v>
      </c>
      <c r="B346" s="14">
        <v>0</v>
      </c>
      <c r="C346" s="10">
        <v>0</v>
      </c>
      <c r="D346" s="10">
        <v>0</v>
      </c>
      <c r="E346" s="11">
        <v>0</v>
      </c>
      <c r="F346" s="10">
        <v>0</v>
      </c>
      <c r="G346" s="430">
        <v>0</v>
      </c>
      <c r="H346" s="8">
        <v>0</v>
      </c>
      <c r="I346" s="10">
        <v>0</v>
      </c>
      <c r="J346" s="10">
        <v>0</v>
      </c>
      <c r="K346" s="10">
        <v>0</v>
      </c>
      <c r="L346" s="11">
        <v>0</v>
      </c>
      <c r="M346" s="10">
        <v>0</v>
      </c>
      <c r="N346" s="430">
        <v>0</v>
      </c>
      <c r="O346" s="8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430"/>
      <c r="V346" s="9">
        <v>0</v>
      </c>
      <c r="W346" s="28">
        <v>3</v>
      </c>
    </row>
    <row r="347" spans="1:23" x14ac:dyDescent="0.45">
      <c r="A347" s="64">
        <v>35977</v>
      </c>
      <c r="B347" s="14">
        <v>0</v>
      </c>
      <c r="C347" s="10">
        <v>0</v>
      </c>
      <c r="D347" s="10">
        <v>0</v>
      </c>
      <c r="E347" s="11">
        <v>1</v>
      </c>
      <c r="F347" s="10">
        <v>0</v>
      </c>
      <c r="G347" s="430">
        <v>0</v>
      </c>
      <c r="H347" s="8">
        <v>1</v>
      </c>
      <c r="I347" s="10">
        <v>0</v>
      </c>
      <c r="J347" s="10">
        <v>0</v>
      </c>
      <c r="K347" s="10">
        <v>0</v>
      </c>
      <c r="L347" s="11">
        <v>0</v>
      </c>
      <c r="M347" s="10">
        <v>0</v>
      </c>
      <c r="N347" s="430">
        <v>0</v>
      </c>
      <c r="O347" s="8">
        <v>0</v>
      </c>
      <c r="P347" s="10">
        <v>0</v>
      </c>
      <c r="Q347" s="10">
        <v>0</v>
      </c>
      <c r="R347" s="10">
        <v>0</v>
      </c>
      <c r="S347" s="10">
        <v>1</v>
      </c>
      <c r="T347" s="10">
        <v>0</v>
      </c>
      <c r="U347" s="430"/>
      <c r="V347" s="9">
        <v>1</v>
      </c>
      <c r="W347" s="28">
        <v>4</v>
      </c>
    </row>
    <row r="348" spans="1:23" x14ac:dyDescent="0.45">
      <c r="A348" s="64">
        <v>36008</v>
      </c>
      <c r="B348" s="14">
        <v>0</v>
      </c>
      <c r="C348" s="10">
        <v>1</v>
      </c>
      <c r="D348" s="10">
        <v>0</v>
      </c>
      <c r="E348" s="11">
        <v>0</v>
      </c>
      <c r="F348" s="10">
        <v>0</v>
      </c>
      <c r="G348" s="430">
        <v>0</v>
      </c>
      <c r="H348" s="8">
        <v>1</v>
      </c>
      <c r="I348" s="10">
        <v>0</v>
      </c>
      <c r="J348" s="10">
        <v>0</v>
      </c>
      <c r="K348" s="10">
        <v>0</v>
      </c>
      <c r="L348" s="11">
        <v>0</v>
      </c>
      <c r="M348" s="10">
        <v>0</v>
      </c>
      <c r="N348" s="430">
        <v>0</v>
      </c>
      <c r="O348" s="8">
        <v>0</v>
      </c>
      <c r="P348" s="10">
        <v>0</v>
      </c>
      <c r="Q348" s="10">
        <v>1</v>
      </c>
      <c r="R348" s="10">
        <v>0</v>
      </c>
      <c r="S348" s="10">
        <v>0</v>
      </c>
      <c r="T348" s="10">
        <v>0</v>
      </c>
      <c r="U348" s="430"/>
      <c r="V348" s="9">
        <v>1</v>
      </c>
      <c r="W348" s="28">
        <v>5</v>
      </c>
    </row>
    <row r="349" spans="1:23" x14ac:dyDescent="0.45">
      <c r="A349" s="64">
        <v>36039</v>
      </c>
      <c r="B349" s="14">
        <v>0</v>
      </c>
      <c r="C349" s="10">
        <v>0</v>
      </c>
      <c r="D349" s="10">
        <v>0</v>
      </c>
      <c r="E349" s="11">
        <v>0</v>
      </c>
      <c r="F349" s="10">
        <v>0</v>
      </c>
      <c r="G349" s="430">
        <v>0</v>
      </c>
      <c r="H349" s="8">
        <v>0</v>
      </c>
      <c r="I349" s="10">
        <v>0</v>
      </c>
      <c r="J349" s="10">
        <v>0</v>
      </c>
      <c r="K349" s="10">
        <v>0</v>
      </c>
      <c r="L349" s="11">
        <v>0</v>
      </c>
      <c r="M349" s="10">
        <v>0</v>
      </c>
      <c r="N349" s="430">
        <v>0</v>
      </c>
      <c r="O349" s="8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430"/>
      <c r="V349" s="9">
        <v>0</v>
      </c>
      <c r="W349" s="28">
        <v>5</v>
      </c>
    </row>
    <row r="350" spans="1:23" x14ac:dyDescent="0.45">
      <c r="A350" s="64">
        <v>36069</v>
      </c>
      <c r="B350" s="14">
        <v>0</v>
      </c>
      <c r="C350" s="10">
        <v>0</v>
      </c>
      <c r="D350" s="10">
        <v>0</v>
      </c>
      <c r="E350" s="11">
        <v>0</v>
      </c>
      <c r="F350" s="10">
        <v>0</v>
      </c>
      <c r="G350" s="430">
        <v>0</v>
      </c>
      <c r="H350" s="8">
        <v>0</v>
      </c>
      <c r="I350" s="10">
        <v>0</v>
      </c>
      <c r="J350" s="10">
        <v>0</v>
      </c>
      <c r="K350" s="10">
        <v>0</v>
      </c>
      <c r="L350" s="11">
        <v>0</v>
      </c>
      <c r="M350" s="10">
        <v>0</v>
      </c>
      <c r="N350" s="430">
        <v>0</v>
      </c>
      <c r="O350" s="8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430"/>
      <c r="V350" s="9">
        <v>0</v>
      </c>
      <c r="W350" s="28">
        <v>5</v>
      </c>
    </row>
    <row r="351" spans="1:23" x14ac:dyDescent="0.45">
      <c r="A351" s="64">
        <v>36100</v>
      </c>
      <c r="B351" s="14">
        <v>0</v>
      </c>
      <c r="C351" s="10">
        <v>0</v>
      </c>
      <c r="D351" s="10">
        <v>0</v>
      </c>
      <c r="E351" s="11">
        <v>0</v>
      </c>
      <c r="F351" s="10">
        <v>0</v>
      </c>
      <c r="G351" s="430">
        <v>0</v>
      </c>
      <c r="H351" s="8">
        <v>0</v>
      </c>
      <c r="I351" s="10">
        <v>0</v>
      </c>
      <c r="J351" s="10">
        <v>0</v>
      </c>
      <c r="K351" s="10">
        <v>0</v>
      </c>
      <c r="L351" s="11">
        <v>0</v>
      </c>
      <c r="M351" s="10">
        <v>0</v>
      </c>
      <c r="N351" s="430">
        <v>0</v>
      </c>
      <c r="O351" s="8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430"/>
      <c r="V351" s="9">
        <v>0</v>
      </c>
      <c r="W351" s="28">
        <v>5</v>
      </c>
    </row>
    <row r="352" spans="1:23" ht="19.5" customHeight="1" thickBot="1" x14ac:dyDescent="0.5">
      <c r="A352" s="65">
        <v>36130</v>
      </c>
      <c r="B352" s="17">
        <v>0</v>
      </c>
      <c r="C352" s="18">
        <v>1</v>
      </c>
      <c r="D352" s="18">
        <v>0</v>
      </c>
      <c r="E352" s="18">
        <v>0</v>
      </c>
      <c r="F352" s="18">
        <v>0</v>
      </c>
      <c r="G352" s="432">
        <v>0</v>
      </c>
      <c r="H352" s="19">
        <v>1</v>
      </c>
      <c r="I352" s="18">
        <v>0</v>
      </c>
      <c r="J352" s="18">
        <v>0</v>
      </c>
      <c r="K352" s="18">
        <v>0</v>
      </c>
      <c r="L352" s="18">
        <v>0</v>
      </c>
      <c r="M352" s="18">
        <v>0</v>
      </c>
      <c r="N352" s="432">
        <v>0</v>
      </c>
      <c r="O352" s="19">
        <v>0</v>
      </c>
      <c r="P352" s="18">
        <v>0</v>
      </c>
      <c r="Q352" s="18">
        <v>1</v>
      </c>
      <c r="R352" s="18">
        <v>0</v>
      </c>
      <c r="S352" s="18">
        <v>0</v>
      </c>
      <c r="T352" s="18">
        <v>0</v>
      </c>
      <c r="U352" s="432"/>
      <c r="V352" s="19">
        <v>1</v>
      </c>
      <c r="W352" s="28">
        <v>6</v>
      </c>
    </row>
    <row r="353" spans="1:23" ht="19.5" customHeight="1" thickTop="1" x14ac:dyDescent="0.45">
      <c r="A353" s="63">
        <v>36161</v>
      </c>
      <c r="B353" s="14">
        <v>0</v>
      </c>
      <c r="C353" s="10">
        <v>0</v>
      </c>
      <c r="D353" s="10">
        <v>0</v>
      </c>
      <c r="E353" s="10">
        <v>0</v>
      </c>
      <c r="F353" s="10">
        <v>0</v>
      </c>
      <c r="G353" s="430">
        <v>0</v>
      </c>
      <c r="H353" s="9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430">
        <v>0</v>
      </c>
      <c r="O353" s="9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430"/>
      <c r="V353" s="9">
        <v>0</v>
      </c>
      <c r="W353" s="28">
        <v>0</v>
      </c>
    </row>
    <row r="354" spans="1:23" x14ac:dyDescent="0.45">
      <c r="A354" s="64">
        <v>36192</v>
      </c>
      <c r="B354" s="14">
        <v>0</v>
      </c>
      <c r="C354" s="10">
        <v>0</v>
      </c>
      <c r="D354" s="10">
        <v>0</v>
      </c>
      <c r="E354" s="11">
        <v>0</v>
      </c>
      <c r="F354" s="10">
        <v>0</v>
      </c>
      <c r="G354" s="430">
        <v>0</v>
      </c>
      <c r="H354" s="8">
        <v>0</v>
      </c>
      <c r="I354" s="10">
        <v>0</v>
      </c>
      <c r="J354" s="10">
        <v>0</v>
      </c>
      <c r="K354" s="10">
        <v>0</v>
      </c>
      <c r="L354" s="11">
        <v>0</v>
      </c>
      <c r="M354" s="10">
        <v>0</v>
      </c>
      <c r="N354" s="430">
        <v>0</v>
      </c>
      <c r="O354" s="8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430"/>
      <c r="V354" s="9">
        <v>0</v>
      </c>
      <c r="W354" s="28">
        <v>0</v>
      </c>
    </row>
    <row r="355" spans="1:23" x14ac:dyDescent="0.45">
      <c r="A355" s="64">
        <v>36220</v>
      </c>
      <c r="B355" s="14">
        <v>0</v>
      </c>
      <c r="C355" s="10">
        <v>0</v>
      </c>
      <c r="D355" s="10">
        <v>0</v>
      </c>
      <c r="E355" s="11">
        <v>0</v>
      </c>
      <c r="F355" s="10">
        <v>0</v>
      </c>
      <c r="G355" s="430">
        <v>0</v>
      </c>
      <c r="H355" s="8">
        <v>0</v>
      </c>
      <c r="I355" s="10">
        <v>0</v>
      </c>
      <c r="J355" s="10">
        <v>0</v>
      </c>
      <c r="K355" s="10">
        <v>0</v>
      </c>
      <c r="L355" s="11">
        <v>0</v>
      </c>
      <c r="M355" s="10">
        <v>0</v>
      </c>
      <c r="N355" s="430">
        <v>0</v>
      </c>
      <c r="O355" s="8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430"/>
      <c r="V355" s="9">
        <v>0</v>
      </c>
      <c r="W355" s="28">
        <v>0</v>
      </c>
    </row>
    <row r="356" spans="1:23" x14ac:dyDescent="0.45">
      <c r="A356" s="64">
        <v>36251</v>
      </c>
      <c r="B356" s="14">
        <v>0</v>
      </c>
      <c r="C356" s="10">
        <v>0</v>
      </c>
      <c r="D356" s="10">
        <v>0</v>
      </c>
      <c r="E356" s="11">
        <v>0</v>
      </c>
      <c r="F356" s="10">
        <v>0</v>
      </c>
      <c r="G356" s="430">
        <v>0</v>
      </c>
      <c r="H356" s="8">
        <v>0</v>
      </c>
      <c r="I356" s="10">
        <v>0</v>
      </c>
      <c r="J356" s="10">
        <v>0</v>
      </c>
      <c r="K356" s="10">
        <v>0</v>
      </c>
      <c r="L356" s="11">
        <v>0</v>
      </c>
      <c r="M356" s="10">
        <v>0</v>
      </c>
      <c r="N356" s="430">
        <v>0</v>
      </c>
      <c r="O356" s="8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430"/>
      <c r="V356" s="9">
        <v>0</v>
      </c>
      <c r="W356" s="28">
        <v>0</v>
      </c>
    </row>
    <row r="357" spans="1:23" x14ac:dyDescent="0.45">
      <c r="A357" s="64">
        <v>36281</v>
      </c>
      <c r="B357" s="14">
        <v>0</v>
      </c>
      <c r="C357" s="10">
        <v>1</v>
      </c>
      <c r="D357" s="10">
        <v>0</v>
      </c>
      <c r="E357" s="11">
        <v>0</v>
      </c>
      <c r="F357" s="10">
        <v>0</v>
      </c>
      <c r="G357" s="430">
        <v>0</v>
      </c>
      <c r="H357" s="8">
        <v>1</v>
      </c>
      <c r="I357" s="10">
        <v>0</v>
      </c>
      <c r="J357" s="10">
        <v>0</v>
      </c>
      <c r="K357" s="10">
        <v>0</v>
      </c>
      <c r="L357" s="11">
        <v>0</v>
      </c>
      <c r="M357" s="10">
        <v>0</v>
      </c>
      <c r="N357" s="430">
        <v>0</v>
      </c>
      <c r="O357" s="8">
        <v>0</v>
      </c>
      <c r="P357" s="10">
        <v>0</v>
      </c>
      <c r="Q357" s="10">
        <v>1</v>
      </c>
      <c r="R357" s="10">
        <v>0</v>
      </c>
      <c r="S357" s="10">
        <v>0</v>
      </c>
      <c r="T357" s="10">
        <v>0</v>
      </c>
      <c r="U357" s="430"/>
      <c r="V357" s="9">
        <v>1</v>
      </c>
      <c r="W357" s="28">
        <v>1</v>
      </c>
    </row>
    <row r="358" spans="1:23" x14ac:dyDescent="0.45">
      <c r="A358" s="64">
        <v>36312</v>
      </c>
      <c r="B358" s="14">
        <v>0</v>
      </c>
      <c r="C358" s="10">
        <v>1</v>
      </c>
      <c r="D358" s="10">
        <v>0</v>
      </c>
      <c r="E358" s="11">
        <v>0</v>
      </c>
      <c r="F358" s="10">
        <v>0</v>
      </c>
      <c r="G358" s="430">
        <v>0</v>
      </c>
      <c r="H358" s="8">
        <v>1</v>
      </c>
      <c r="I358" s="10">
        <v>0</v>
      </c>
      <c r="J358" s="10">
        <v>0</v>
      </c>
      <c r="K358" s="10">
        <v>0</v>
      </c>
      <c r="L358" s="11">
        <v>0</v>
      </c>
      <c r="M358" s="10">
        <v>0</v>
      </c>
      <c r="N358" s="430">
        <v>0</v>
      </c>
      <c r="O358" s="8">
        <v>0</v>
      </c>
      <c r="P358" s="10">
        <v>0</v>
      </c>
      <c r="Q358" s="10">
        <v>1</v>
      </c>
      <c r="R358" s="10">
        <v>0</v>
      </c>
      <c r="S358" s="10">
        <v>0</v>
      </c>
      <c r="T358" s="10">
        <v>0</v>
      </c>
      <c r="U358" s="430"/>
      <c r="V358" s="9">
        <v>1</v>
      </c>
      <c r="W358" s="28">
        <v>2</v>
      </c>
    </row>
    <row r="359" spans="1:23" x14ac:dyDescent="0.45">
      <c r="A359" s="64">
        <v>36342</v>
      </c>
      <c r="B359" s="14">
        <v>0</v>
      </c>
      <c r="C359" s="10">
        <v>0</v>
      </c>
      <c r="D359" s="10">
        <v>0</v>
      </c>
      <c r="E359" s="11">
        <v>0</v>
      </c>
      <c r="F359" s="10">
        <v>0</v>
      </c>
      <c r="G359" s="430">
        <v>0</v>
      </c>
      <c r="H359" s="8">
        <v>0</v>
      </c>
      <c r="I359" s="10">
        <v>0</v>
      </c>
      <c r="J359" s="10">
        <v>0</v>
      </c>
      <c r="K359" s="10">
        <v>0</v>
      </c>
      <c r="L359" s="11">
        <v>0</v>
      </c>
      <c r="M359" s="10">
        <v>0</v>
      </c>
      <c r="N359" s="430">
        <v>0</v>
      </c>
      <c r="O359" s="8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430"/>
      <c r="V359" s="9">
        <v>0</v>
      </c>
      <c r="W359" s="28">
        <v>2</v>
      </c>
    </row>
    <row r="360" spans="1:23" x14ac:dyDescent="0.45">
      <c r="A360" s="64">
        <v>36373</v>
      </c>
      <c r="B360" s="14">
        <v>0</v>
      </c>
      <c r="C360" s="10">
        <v>0</v>
      </c>
      <c r="D360" s="10">
        <v>0</v>
      </c>
      <c r="E360" s="11">
        <v>0</v>
      </c>
      <c r="F360" s="10">
        <v>0</v>
      </c>
      <c r="G360" s="430">
        <v>0</v>
      </c>
      <c r="H360" s="8">
        <v>0</v>
      </c>
      <c r="I360" s="10">
        <v>0</v>
      </c>
      <c r="J360" s="10">
        <v>0</v>
      </c>
      <c r="K360" s="10">
        <v>0</v>
      </c>
      <c r="L360" s="11">
        <v>0</v>
      </c>
      <c r="M360" s="10">
        <v>0</v>
      </c>
      <c r="N360" s="430">
        <v>0</v>
      </c>
      <c r="O360" s="8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430"/>
      <c r="V360" s="9">
        <v>0</v>
      </c>
      <c r="W360" s="28">
        <v>2</v>
      </c>
    </row>
    <row r="361" spans="1:23" x14ac:dyDescent="0.45">
      <c r="A361" s="64">
        <v>36404</v>
      </c>
      <c r="B361" s="14">
        <v>0</v>
      </c>
      <c r="C361" s="10">
        <v>0</v>
      </c>
      <c r="D361" s="10">
        <v>0</v>
      </c>
      <c r="E361" s="11">
        <v>0</v>
      </c>
      <c r="F361" s="10">
        <v>0</v>
      </c>
      <c r="G361" s="430">
        <v>0</v>
      </c>
      <c r="H361" s="8">
        <v>0</v>
      </c>
      <c r="I361" s="10">
        <v>0</v>
      </c>
      <c r="J361" s="10">
        <v>0</v>
      </c>
      <c r="K361" s="10">
        <v>0</v>
      </c>
      <c r="L361" s="11">
        <v>0</v>
      </c>
      <c r="M361" s="10">
        <v>0</v>
      </c>
      <c r="N361" s="430">
        <v>0</v>
      </c>
      <c r="O361" s="8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430"/>
      <c r="V361" s="9">
        <v>0</v>
      </c>
      <c r="W361" s="28">
        <v>2</v>
      </c>
    </row>
    <row r="362" spans="1:23" x14ac:dyDescent="0.45">
      <c r="A362" s="64">
        <v>36434</v>
      </c>
      <c r="B362" s="14">
        <v>0</v>
      </c>
      <c r="C362" s="10">
        <v>1</v>
      </c>
      <c r="D362" s="10">
        <v>0</v>
      </c>
      <c r="E362" s="11">
        <v>0</v>
      </c>
      <c r="F362" s="10">
        <v>0</v>
      </c>
      <c r="G362" s="430">
        <v>0</v>
      </c>
      <c r="H362" s="8">
        <v>1</v>
      </c>
      <c r="I362" s="10">
        <v>0</v>
      </c>
      <c r="J362" s="10">
        <v>0</v>
      </c>
      <c r="K362" s="10">
        <v>0</v>
      </c>
      <c r="L362" s="11">
        <v>0</v>
      </c>
      <c r="M362" s="10">
        <v>0</v>
      </c>
      <c r="N362" s="430">
        <v>0</v>
      </c>
      <c r="O362" s="8">
        <v>0</v>
      </c>
      <c r="P362" s="10">
        <v>0</v>
      </c>
      <c r="Q362" s="10">
        <v>1</v>
      </c>
      <c r="R362" s="10">
        <v>0</v>
      </c>
      <c r="S362" s="10">
        <v>0</v>
      </c>
      <c r="T362" s="10">
        <v>0</v>
      </c>
      <c r="U362" s="430"/>
      <c r="V362" s="9">
        <v>1</v>
      </c>
      <c r="W362" s="28">
        <v>3</v>
      </c>
    </row>
    <row r="363" spans="1:23" x14ac:dyDescent="0.45">
      <c r="A363" s="64">
        <v>36465</v>
      </c>
      <c r="B363" s="14">
        <v>1</v>
      </c>
      <c r="C363" s="10">
        <v>0</v>
      </c>
      <c r="D363" s="10">
        <v>0</v>
      </c>
      <c r="E363" s="11">
        <v>0</v>
      </c>
      <c r="F363" s="10">
        <v>0</v>
      </c>
      <c r="G363" s="430">
        <v>0</v>
      </c>
      <c r="H363" s="8">
        <v>1</v>
      </c>
      <c r="I363" s="10">
        <v>0</v>
      </c>
      <c r="J363" s="10">
        <v>0</v>
      </c>
      <c r="K363" s="10">
        <v>0</v>
      </c>
      <c r="L363" s="11">
        <v>0</v>
      </c>
      <c r="M363" s="10">
        <v>0</v>
      </c>
      <c r="N363" s="430">
        <v>0</v>
      </c>
      <c r="O363" s="8">
        <v>0</v>
      </c>
      <c r="P363" s="10">
        <v>1</v>
      </c>
      <c r="Q363" s="10">
        <v>0</v>
      </c>
      <c r="R363" s="10">
        <v>0</v>
      </c>
      <c r="S363" s="10">
        <v>0</v>
      </c>
      <c r="T363" s="10">
        <v>0</v>
      </c>
      <c r="U363" s="430"/>
      <c r="V363" s="9">
        <v>1</v>
      </c>
      <c r="W363" s="28">
        <v>4</v>
      </c>
    </row>
    <row r="364" spans="1:23" ht="19.5" customHeight="1" thickBot="1" x14ac:dyDescent="0.5">
      <c r="A364" s="65">
        <v>36495</v>
      </c>
      <c r="B364" s="17">
        <v>0</v>
      </c>
      <c r="C364" s="18">
        <v>0</v>
      </c>
      <c r="D364" s="18">
        <v>0</v>
      </c>
      <c r="E364" s="18">
        <v>0</v>
      </c>
      <c r="F364" s="18">
        <v>0</v>
      </c>
      <c r="G364" s="432">
        <v>0</v>
      </c>
      <c r="H364" s="19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432">
        <v>0</v>
      </c>
      <c r="O364" s="19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432"/>
      <c r="V364" s="19">
        <v>0</v>
      </c>
      <c r="W364" s="28">
        <v>4</v>
      </c>
    </row>
    <row r="365" spans="1:23" ht="19.5" customHeight="1" thickTop="1" x14ac:dyDescent="0.45">
      <c r="A365" s="63">
        <v>36526</v>
      </c>
      <c r="B365" s="14">
        <v>0</v>
      </c>
      <c r="C365" s="10">
        <v>0</v>
      </c>
      <c r="D365" s="10">
        <v>0</v>
      </c>
      <c r="E365" s="10">
        <v>1</v>
      </c>
      <c r="F365" s="10">
        <v>0</v>
      </c>
      <c r="G365" s="430">
        <v>0</v>
      </c>
      <c r="H365" s="9">
        <v>1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430">
        <v>0</v>
      </c>
      <c r="O365" s="9">
        <v>0</v>
      </c>
      <c r="P365" s="10">
        <v>0</v>
      </c>
      <c r="Q365" s="10">
        <v>0</v>
      </c>
      <c r="R365" s="10">
        <v>0</v>
      </c>
      <c r="S365" s="10">
        <v>1</v>
      </c>
      <c r="T365" s="10">
        <v>0</v>
      </c>
      <c r="U365" s="430"/>
      <c r="V365" s="9">
        <v>1</v>
      </c>
      <c r="W365" s="28">
        <v>1</v>
      </c>
    </row>
    <row r="366" spans="1:23" x14ac:dyDescent="0.45">
      <c r="A366" s="64">
        <v>36557</v>
      </c>
      <c r="B366" s="14">
        <v>0</v>
      </c>
      <c r="C366" s="10">
        <v>0</v>
      </c>
      <c r="D366" s="10">
        <v>0</v>
      </c>
      <c r="E366" s="11">
        <v>0</v>
      </c>
      <c r="F366" s="10">
        <v>0</v>
      </c>
      <c r="G366" s="430">
        <v>0</v>
      </c>
      <c r="H366" s="8">
        <v>0</v>
      </c>
      <c r="I366" s="10">
        <v>0</v>
      </c>
      <c r="J366" s="10">
        <v>0</v>
      </c>
      <c r="K366" s="10">
        <v>0</v>
      </c>
      <c r="L366" s="11">
        <v>0</v>
      </c>
      <c r="M366" s="10">
        <v>0</v>
      </c>
      <c r="N366" s="430">
        <v>0</v>
      </c>
      <c r="O366" s="8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430"/>
      <c r="V366" s="9">
        <v>0</v>
      </c>
      <c r="W366" s="28">
        <v>1</v>
      </c>
    </row>
    <row r="367" spans="1:23" x14ac:dyDescent="0.45">
      <c r="A367" s="64">
        <v>36586</v>
      </c>
      <c r="B367" s="14">
        <v>0</v>
      </c>
      <c r="C367" s="10">
        <v>0</v>
      </c>
      <c r="D367" s="10">
        <v>0</v>
      </c>
      <c r="E367" s="11">
        <v>0</v>
      </c>
      <c r="F367" s="10">
        <v>0</v>
      </c>
      <c r="G367" s="430">
        <v>0</v>
      </c>
      <c r="H367" s="8">
        <v>0</v>
      </c>
      <c r="I367" s="10">
        <v>0</v>
      </c>
      <c r="J367" s="10">
        <v>0</v>
      </c>
      <c r="K367" s="10">
        <v>0</v>
      </c>
      <c r="L367" s="11">
        <v>0</v>
      </c>
      <c r="M367" s="10">
        <v>0</v>
      </c>
      <c r="N367" s="430">
        <v>0</v>
      </c>
      <c r="O367" s="8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430"/>
      <c r="V367" s="9">
        <v>0</v>
      </c>
      <c r="W367" s="28">
        <v>1</v>
      </c>
    </row>
    <row r="368" spans="1:23" x14ac:dyDescent="0.45">
      <c r="A368" s="64">
        <v>36617</v>
      </c>
      <c r="B368" s="14">
        <v>0</v>
      </c>
      <c r="C368" s="10">
        <v>0</v>
      </c>
      <c r="D368" s="10">
        <v>0</v>
      </c>
      <c r="E368" s="11">
        <v>0</v>
      </c>
      <c r="F368" s="10">
        <v>0</v>
      </c>
      <c r="G368" s="430">
        <v>0</v>
      </c>
      <c r="H368" s="8">
        <v>0</v>
      </c>
      <c r="I368" s="10">
        <v>0</v>
      </c>
      <c r="J368" s="10">
        <v>0</v>
      </c>
      <c r="K368" s="10">
        <v>0</v>
      </c>
      <c r="L368" s="11">
        <v>0</v>
      </c>
      <c r="M368" s="10">
        <v>0</v>
      </c>
      <c r="N368" s="430">
        <v>0</v>
      </c>
      <c r="O368" s="8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430"/>
      <c r="V368" s="9">
        <v>0</v>
      </c>
      <c r="W368" s="28">
        <v>1</v>
      </c>
    </row>
    <row r="369" spans="1:23" x14ac:dyDescent="0.45">
      <c r="A369" s="64">
        <v>36647</v>
      </c>
      <c r="B369" s="14">
        <v>0</v>
      </c>
      <c r="C369" s="10">
        <v>0</v>
      </c>
      <c r="D369" s="10">
        <v>0</v>
      </c>
      <c r="E369" s="11">
        <v>0</v>
      </c>
      <c r="F369" s="10">
        <v>0</v>
      </c>
      <c r="G369" s="430">
        <v>0</v>
      </c>
      <c r="H369" s="8">
        <v>0</v>
      </c>
      <c r="I369" s="10">
        <v>0</v>
      </c>
      <c r="J369" s="10">
        <v>0</v>
      </c>
      <c r="K369" s="10">
        <v>0</v>
      </c>
      <c r="L369" s="11">
        <v>0</v>
      </c>
      <c r="M369" s="10">
        <v>0</v>
      </c>
      <c r="N369" s="430">
        <v>0</v>
      </c>
      <c r="O369" s="8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430"/>
      <c r="V369" s="9">
        <v>0</v>
      </c>
      <c r="W369" s="28">
        <v>1</v>
      </c>
    </row>
    <row r="370" spans="1:23" x14ac:dyDescent="0.45">
      <c r="A370" s="64">
        <v>36678</v>
      </c>
      <c r="B370" s="14">
        <v>0</v>
      </c>
      <c r="C370" s="10">
        <v>0</v>
      </c>
      <c r="D370" s="10">
        <v>0</v>
      </c>
      <c r="E370" s="11">
        <v>1</v>
      </c>
      <c r="F370" s="10">
        <v>0</v>
      </c>
      <c r="G370" s="430">
        <v>0</v>
      </c>
      <c r="H370" s="8">
        <v>1</v>
      </c>
      <c r="I370" s="10">
        <v>0</v>
      </c>
      <c r="J370" s="10">
        <v>0</v>
      </c>
      <c r="K370" s="10">
        <v>0</v>
      </c>
      <c r="L370" s="11">
        <v>0</v>
      </c>
      <c r="M370" s="10">
        <v>0</v>
      </c>
      <c r="N370" s="430">
        <v>0</v>
      </c>
      <c r="O370" s="8">
        <v>0</v>
      </c>
      <c r="P370" s="10">
        <v>0</v>
      </c>
      <c r="Q370" s="10">
        <v>0</v>
      </c>
      <c r="R370" s="10">
        <v>0</v>
      </c>
      <c r="S370" s="10">
        <v>1</v>
      </c>
      <c r="T370" s="10">
        <v>0</v>
      </c>
      <c r="U370" s="430"/>
      <c r="V370" s="9">
        <v>1</v>
      </c>
      <c r="W370" s="28">
        <v>2</v>
      </c>
    </row>
    <row r="371" spans="1:23" x14ac:dyDescent="0.45">
      <c r="A371" s="64">
        <v>36708</v>
      </c>
      <c r="B371" s="14">
        <v>0</v>
      </c>
      <c r="C371" s="10">
        <v>0</v>
      </c>
      <c r="D371" s="10">
        <v>0</v>
      </c>
      <c r="E371" s="11">
        <v>0</v>
      </c>
      <c r="F371" s="10">
        <v>0</v>
      </c>
      <c r="G371" s="430">
        <v>0</v>
      </c>
      <c r="H371" s="8">
        <v>0</v>
      </c>
      <c r="I371" s="10">
        <v>0</v>
      </c>
      <c r="J371" s="10">
        <v>0</v>
      </c>
      <c r="K371" s="10">
        <v>0</v>
      </c>
      <c r="L371" s="11">
        <v>0</v>
      </c>
      <c r="M371" s="10">
        <v>0</v>
      </c>
      <c r="N371" s="430">
        <v>0</v>
      </c>
      <c r="O371" s="8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430"/>
      <c r="V371" s="9">
        <v>0</v>
      </c>
      <c r="W371" s="28">
        <v>2</v>
      </c>
    </row>
    <row r="372" spans="1:23" x14ac:dyDescent="0.45">
      <c r="A372" s="64">
        <v>36739</v>
      </c>
      <c r="B372" s="14">
        <v>0</v>
      </c>
      <c r="C372" s="10">
        <v>0</v>
      </c>
      <c r="D372" s="10">
        <v>0</v>
      </c>
      <c r="E372" s="11">
        <v>0</v>
      </c>
      <c r="F372" s="10">
        <v>0</v>
      </c>
      <c r="G372" s="430">
        <v>0</v>
      </c>
      <c r="H372" s="8">
        <v>0</v>
      </c>
      <c r="I372" s="10">
        <v>0</v>
      </c>
      <c r="J372" s="10">
        <v>0</v>
      </c>
      <c r="K372" s="10">
        <v>0</v>
      </c>
      <c r="L372" s="11">
        <v>0</v>
      </c>
      <c r="M372" s="10">
        <v>0</v>
      </c>
      <c r="N372" s="430">
        <v>0</v>
      </c>
      <c r="O372" s="8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430"/>
      <c r="V372" s="9">
        <v>0</v>
      </c>
      <c r="W372" s="28">
        <v>2</v>
      </c>
    </row>
    <row r="373" spans="1:23" x14ac:dyDescent="0.45">
      <c r="A373" s="64">
        <v>36770</v>
      </c>
      <c r="B373" s="14">
        <v>0</v>
      </c>
      <c r="C373" s="10">
        <v>1</v>
      </c>
      <c r="D373" s="10">
        <v>0</v>
      </c>
      <c r="E373" s="11">
        <v>0</v>
      </c>
      <c r="F373" s="10">
        <v>0</v>
      </c>
      <c r="G373" s="430">
        <v>0</v>
      </c>
      <c r="H373" s="8">
        <v>1</v>
      </c>
      <c r="I373" s="10">
        <v>0</v>
      </c>
      <c r="J373" s="10">
        <v>0</v>
      </c>
      <c r="K373" s="10">
        <v>0</v>
      </c>
      <c r="L373" s="11">
        <v>0</v>
      </c>
      <c r="M373" s="10">
        <v>0</v>
      </c>
      <c r="N373" s="430">
        <v>0</v>
      </c>
      <c r="O373" s="8">
        <v>0</v>
      </c>
      <c r="P373" s="10">
        <v>0</v>
      </c>
      <c r="Q373" s="10">
        <v>1</v>
      </c>
      <c r="R373" s="10">
        <v>0</v>
      </c>
      <c r="S373" s="10">
        <v>0</v>
      </c>
      <c r="T373" s="10">
        <v>0</v>
      </c>
      <c r="U373" s="430"/>
      <c r="V373" s="9">
        <v>1</v>
      </c>
      <c r="W373" s="28">
        <v>3</v>
      </c>
    </row>
    <row r="374" spans="1:23" x14ac:dyDescent="0.45">
      <c r="A374" s="64">
        <v>36800</v>
      </c>
      <c r="B374" s="14">
        <v>0</v>
      </c>
      <c r="C374" s="10">
        <v>0</v>
      </c>
      <c r="D374" s="10">
        <v>0</v>
      </c>
      <c r="E374" s="11">
        <v>1</v>
      </c>
      <c r="F374" s="10">
        <v>0</v>
      </c>
      <c r="G374" s="430">
        <v>0</v>
      </c>
      <c r="H374" s="8">
        <v>1</v>
      </c>
      <c r="I374" s="10">
        <v>0</v>
      </c>
      <c r="J374" s="10">
        <v>0</v>
      </c>
      <c r="K374" s="10">
        <v>0</v>
      </c>
      <c r="L374" s="11">
        <v>0</v>
      </c>
      <c r="M374" s="10">
        <v>0</v>
      </c>
      <c r="N374" s="430">
        <v>0</v>
      </c>
      <c r="O374" s="8">
        <v>0</v>
      </c>
      <c r="P374" s="10">
        <v>0</v>
      </c>
      <c r="Q374" s="10">
        <v>0</v>
      </c>
      <c r="R374" s="10">
        <v>0</v>
      </c>
      <c r="S374" s="10">
        <v>1</v>
      </c>
      <c r="T374" s="10">
        <v>0</v>
      </c>
      <c r="U374" s="430"/>
      <c r="V374" s="9">
        <v>1</v>
      </c>
      <c r="W374" s="28">
        <v>4</v>
      </c>
    </row>
    <row r="375" spans="1:23" x14ac:dyDescent="0.45">
      <c r="A375" s="64">
        <v>36831</v>
      </c>
      <c r="B375" s="14">
        <v>0</v>
      </c>
      <c r="C375" s="10">
        <v>0</v>
      </c>
      <c r="D375" s="10">
        <v>0</v>
      </c>
      <c r="E375" s="11">
        <v>0</v>
      </c>
      <c r="F375" s="10">
        <v>0</v>
      </c>
      <c r="G375" s="430">
        <v>0</v>
      </c>
      <c r="H375" s="8">
        <v>0</v>
      </c>
      <c r="I375" s="10">
        <v>0</v>
      </c>
      <c r="J375" s="10">
        <v>0</v>
      </c>
      <c r="K375" s="10">
        <v>0</v>
      </c>
      <c r="L375" s="11">
        <v>0</v>
      </c>
      <c r="M375" s="10">
        <v>0</v>
      </c>
      <c r="N375" s="430">
        <v>0</v>
      </c>
      <c r="O375" s="8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430"/>
      <c r="V375" s="9">
        <v>0</v>
      </c>
      <c r="W375" s="28">
        <v>4</v>
      </c>
    </row>
    <row r="376" spans="1:23" ht="19.5" customHeight="1" thickBot="1" x14ac:dyDescent="0.5">
      <c r="A376" s="65">
        <v>36861</v>
      </c>
      <c r="B376" s="17">
        <v>0</v>
      </c>
      <c r="C376" s="18">
        <v>0</v>
      </c>
      <c r="D376" s="18">
        <v>0</v>
      </c>
      <c r="E376" s="18">
        <v>1</v>
      </c>
      <c r="F376" s="18">
        <v>0</v>
      </c>
      <c r="G376" s="432">
        <v>0</v>
      </c>
      <c r="H376" s="19">
        <v>1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432">
        <v>0</v>
      </c>
      <c r="O376" s="19">
        <v>0</v>
      </c>
      <c r="P376" s="18">
        <v>0</v>
      </c>
      <c r="Q376" s="18">
        <v>0</v>
      </c>
      <c r="R376" s="18">
        <v>0</v>
      </c>
      <c r="S376" s="18">
        <v>1</v>
      </c>
      <c r="T376" s="18">
        <v>0</v>
      </c>
      <c r="U376" s="432"/>
      <c r="V376" s="19">
        <v>1</v>
      </c>
      <c r="W376" s="28">
        <v>5</v>
      </c>
    </row>
    <row r="377" spans="1:23" ht="19.5" customHeight="1" thickTop="1" x14ac:dyDescent="0.45">
      <c r="A377" s="63">
        <v>36892</v>
      </c>
      <c r="B377" s="14">
        <v>1</v>
      </c>
      <c r="C377" s="10">
        <v>0</v>
      </c>
      <c r="D377" s="10">
        <v>0</v>
      </c>
      <c r="E377" s="10">
        <v>0</v>
      </c>
      <c r="F377" s="10">
        <v>0</v>
      </c>
      <c r="G377" s="430">
        <v>0</v>
      </c>
      <c r="H377" s="9">
        <v>1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430">
        <v>0</v>
      </c>
      <c r="O377" s="9">
        <v>0</v>
      </c>
      <c r="P377" s="10">
        <v>1</v>
      </c>
      <c r="Q377" s="10">
        <v>0</v>
      </c>
      <c r="R377" s="10">
        <v>0</v>
      </c>
      <c r="S377" s="10">
        <v>0</v>
      </c>
      <c r="T377" s="10">
        <v>0</v>
      </c>
      <c r="U377" s="430"/>
      <c r="V377" s="9">
        <v>1</v>
      </c>
      <c r="W377" s="28">
        <v>1</v>
      </c>
    </row>
    <row r="378" spans="1:23" x14ac:dyDescent="0.45">
      <c r="A378" s="64">
        <v>36923</v>
      </c>
      <c r="B378" s="14">
        <v>0</v>
      </c>
      <c r="C378" s="10">
        <v>0</v>
      </c>
      <c r="D378" s="10">
        <v>0</v>
      </c>
      <c r="E378" s="11">
        <v>0</v>
      </c>
      <c r="F378" s="10">
        <v>0</v>
      </c>
      <c r="G378" s="430">
        <v>0</v>
      </c>
      <c r="H378" s="8">
        <v>0</v>
      </c>
      <c r="I378" s="10">
        <v>0</v>
      </c>
      <c r="J378" s="10">
        <v>0</v>
      </c>
      <c r="K378" s="10">
        <v>0</v>
      </c>
      <c r="L378" s="11">
        <v>0</v>
      </c>
      <c r="M378" s="10">
        <v>0</v>
      </c>
      <c r="N378" s="430">
        <v>0</v>
      </c>
      <c r="O378" s="8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430"/>
      <c r="V378" s="9">
        <v>0</v>
      </c>
      <c r="W378" s="28">
        <v>1</v>
      </c>
    </row>
    <row r="379" spans="1:23" x14ac:dyDescent="0.45">
      <c r="A379" s="64">
        <v>36951</v>
      </c>
      <c r="B379" s="14">
        <v>0</v>
      </c>
      <c r="C379" s="10">
        <v>0</v>
      </c>
      <c r="D379" s="10">
        <v>0</v>
      </c>
      <c r="E379" s="11">
        <v>0</v>
      </c>
      <c r="F379" s="10">
        <v>0</v>
      </c>
      <c r="G379" s="430">
        <v>0</v>
      </c>
      <c r="H379" s="8">
        <v>0</v>
      </c>
      <c r="I379" s="10">
        <v>0</v>
      </c>
      <c r="J379" s="10">
        <v>0</v>
      </c>
      <c r="K379" s="10">
        <v>0</v>
      </c>
      <c r="L379" s="11">
        <v>0</v>
      </c>
      <c r="M379" s="10">
        <v>0</v>
      </c>
      <c r="N379" s="430">
        <v>0</v>
      </c>
      <c r="O379" s="8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430"/>
      <c r="V379" s="9">
        <v>0</v>
      </c>
      <c r="W379" s="28">
        <v>1</v>
      </c>
    </row>
    <row r="380" spans="1:23" x14ac:dyDescent="0.45">
      <c r="A380" s="64">
        <v>36982</v>
      </c>
      <c r="B380" s="14">
        <v>0</v>
      </c>
      <c r="C380" s="10">
        <v>0</v>
      </c>
      <c r="D380" s="10">
        <v>0</v>
      </c>
      <c r="E380" s="11">
        <v>0</v>
      </c>
      <c r="F380" s="10">
        <v>0</v>
      </c>
      <c r="G380" s="430">
        <v>0</v>
      </c>
      <c r="H380" s="8">
        <v>0</v>
      </c>
      <c r="I380" s="10">
        <v>0</v>
      </c>
      <c r="J380" s="10">
        <v>0</v>
      </c>
      <c r="K380" s="10">
        <v>0</v>
      </c>
      <c r="L380" s="11">
        <v>0</v>
      </c>
      <c r="M380" s="10">
        <v>0</v>
      </c>
      <c r="N380" s="430">
        <v>0</v>
      </c>
      <c r="O380" s="8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430"/>
      <c r="V380" s="9">
        <v>0</v>
      </c>
      <c r="W380" s="28">
        <v>1</v>
      </c>
    </row>
    <row r="381" spans="1:23" x14ac:dyDescent="0.45">
      <c r="A381" s="64">
        <v>37012</v>
      </c>
      <c r="B381" s="14">
        <v>0</v>
      </c>
      <c r="C381" s="10">
        <v>0</v>
      </c>
      <c r="D381" s="10">
        <v>0</v>
      </c>
      <c r="E381" s="11">
        <v>0</v>
      </c>
      <c r="F381" s="10">
        <v>0</v>
      </c>
      <c r="G381" s="430">
        <v>0</v>
      </c>
      <c r="H381" s="8">
        <v>0</v>
      </c>
      <c r="I381" s="10">
        <v>0</v>
      </c>
      <c r="J381" s="10">
        <v>0</v>
      </c>
      <c r="K381" s="10">
        <v>0</v>
      </c>
      <c r="L381" s="11">
        <v>0</v>
      </c>
      <c r="M381" s="10">
        <v>0</v>
      </c>
      <c r="N381" s="430">
        <v>0</v>
      </c>
      <c r="O381" s="8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430"/>
      <c r="V381" s="9">
        <v>0</v>
      </c>
      <c r="W381" s="28">
        <v>1</v>
      </c>
    </row>
    <row r="382" spans="1:23" x14ac:dyDescent="0.45">
      <c r="A382" s="64">
        <v>37043</v>
      </c>
      <c r="B382" s="14">
        <v>0</v>
      </c>
      <c r="C382" s="10">
        <v>0</v>
      </c>
      <c r="D382" s="10">
        <v>0</v>
      </c>
      <c r="E382" s="11">
        <v>0</v>
      </c>
      <c r="F382" s="10">
        <v>0</v>
      </c>
      <c r="G382" s="430">
        <v>0</v>
      </c>
      <c r="H382" s="8">
        <v>0</v>
      </c>
      <c r="I382" s="10">
        <v>0</v>
      </c>
      <c r="J382" s="10">
        <v>0</v>
      </c>
      <c r="K382" s="10">
        <v>0</v>
      </c>
      <c r="L382" s="11">
        <v>0</v>
      </c>
      <c r="M382" s="10">
        <v>0</v>
      </c>
      <c r="N382" s="430">
        <v>0</v>
      </c>
      <c r="O382" s="8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430"/>
      <c r="V382" s="9">
        <v>0</v>
      </c>
      <c r="W382" s="28">
        <v>1</v>
      </c>
    </row>
    <row r="383" spans="1:23" x14ac:dyDescent="0.45">
      <c r="A383" s="64">
        <v>37073</v>
      </c>
      <c r="B383" s="14">
        <v>0</v>
      </c>
      <c r="C383" s="10">
        <v>0</v>
      </c>
      <c r="D383" s="10">
        <v>0</v>
      </c>
      <c r="E383" s="11">
        <v>0</v>
      </c>
      <c r="F383" s="10">
        <v>0</v>
      </c>
      <c r="G383" s="430">
        <v>0</v>
      </c>
      <c r="H383" s="8">
        <v>0</v>
      </c>
      <c r="I383" s="10">
        <v>0</v>
      </c>
      <c r="J383" s="10">
        <v>0</v>
      </c>
      <c r="K383" s="10">
        <v>0</v>
      </c>
      <c r="L383" s="11">
        <v>0</v>
      </c>
      <c r="M383" s="10">
        <v>0</v>
      </c>
      <c r="N383" s="430">
        <v>0</v>
      </c>
      <c r="O383" s="8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430"/>
      <c r="V383" s="9">
        <v>0</v>
      </c>
      <c r="W383" s="28">
        <v>1</v>
      </c>
    </row>
    <row r="384" spans="1:23" x14ac:dyDescent="0.45">
      <c r="A384" s="64">
        <v>37104</v>
      </c>
      <c r="B384" s="14">
        <v>0</v>
      </c>
      <c r="C384" s="10">
        <v>0</v>
      </c>
      <c r="D384" s="10">
        <v>0</v>
      </c>
      <c r="E384" s="11">
        <v>0</v>
      </c>
      <c r="F384" s="10">
        <v>0</v>
      </c>
      <c r="G384" s="430">
        <v>0</v>
      </c>
      <c r="H384" s="8">
        <v>0</v>
      </c>
      <c r="I384" s="10">
        <v>0</v>
      </c>
      <c r="J384" s="10">
        <v>0</v>
      </c>
      <c r="K384" s="10">
        <v>0</v>
      </c>
      <c r="L384" s="11">
        <v>0</v>
      </c>
      <c r="M384" s="10">
        <v>0</v>
      </c>
      <c r="N384" s="430">
        <v>0</v>
      </c>
      <c r="O384" s="8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430"/>
      <c r="V384" s="9">
        <v>0</v>
      </c>
      <c r="W384" s="28">
        <v>1</v>
      </c>
    </row>
    <row r="385" spans="1:23" x14ac:dyDescent="0.45">
      <c r="A385" s="64">
        <v>37135</v>
      </c>
      <c r="B385" s="14">
        <v>0</v>
      </c>
      <c r="C385" s="10">
        <v>0</v>
      </c>
      <c r="D385" s="10">
        <v>0</v>
      </c>
      <c r="E385" s="11">
        <v>0</v>
      </c>
      <c r="F385" s="10">
        <v>0</v>
      </c>
      <c r="G385" s="430">
        <v>0</v>
      </c>
      <c r="H385" s="8">
        <v>0</v>
      </c>
      <c r="I385" s="10">
        <v>0</v>
      </c>
      <c r="J385" s="10">
        <v>0</v>
      </c>
      <c r="K385" s="10">
        <v>0</v>
      </c>
      <c r="L385" s="11">
        <v>0</v>
      </c>
      <c r="M385" s="10">
        <v>0</v>
      </c>
      <c r="N385" s="430">
        <v>0</v>
      </c>
      <c r="O385" s="8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430"/>
      <c r="V385" s="9">
        <v>0</v>
      </c>
      <c r="W385" s="28">
        <v>1</v>
      </c>
    </row>
    <row r="386" spans="1:23" x14ac:dyDescent="0.45">
      <c r="A386" s="64">
        <v>37165</v>
      </c>
      <c r="B386" s="14">
        <v>0</v>
      </c>
      <c r="C386" s="10">
        <v>0</v>
      </c>
      <c r="D386" s="10">
        <v>0</v>
      </c>
      <c r="E386" s="11">
        <v>0</v>
      </c>
      <c r="F386" s="10">
        <v>0</v>
      </c>
      <c r="G386" s="430">
        <v>0</v>
      </c>
      <c r="H386" s="8">
        <v>0</v>
      </c>
      <c r="I386" s="10">
        <v>0</v>
      </c>
      <c r="J386" s="10">
        <v>0</v>
      </c>
      <c r="K386" s="10">
        <v>0</v>
      </c>
      <c r="L386" s="11">
        <v>0</v>
      </c>
      <c r="M386" s="10">
        <v>0</v>
      </c>
      <c r="N386" s="430">
        <v>0</v>
      </c>
      <c r="O386" s="8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430"/>
      <c r="V386" s="9">
        <v>0</v>
      </c>
      <c r="W386" s="28">
        <v>1</v>
      </c>
    </row>
    <row r="387" spans="1:23" x14ac:dyDescent="0.45">
      <c r="A387" s="64">
        <v>37196</v>
      </c>
      <c r="B387" s="14">
        <v>0</v>
      </c>
      <c r="C387" s="10">
        <v>0</v>
      </c>
      <c r="D387" s="10">
        <v>0</v>
      </c>
      <c r="E387" s="11">
        <v>0</v>
      </c>
      <c r="F387" s="10">
        <v>0</v>
      </c>
      <c r="G387" s="430">
        <v>0</v>
      </c>
      <c r="H387" s="8">
        <v>0</v>
      </c>
      <c r="I387" s="10">
        <v>0</v>
      </c>
      <c r="J387" s="10">
        <v>0</v>
      </c>
      <c r="K387" s="10">
        <v>0</v>
      </c>
      <c r="L387" s="11">
        <v>0</v>
      </c>
      <c r="M387" s="10">
        <v>0</v>
      </c>
      <c r="N387" s="430">
        <v>0</v>
      </c>
      <c r="O387" s="8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430"/>
      <c r="V387" s="9">
        <v>0</v>
      </c>
      <c r="W387" s="28">
        <v>1</v>
      </c>
    </row>
    <row r="388" spans="1:23" ht="19.5" customHeight="1" thickBot="1" x14ac:dyDescent="0.5">
      <c r="A388" s="65">
        <v>37226</v>
      </c>
      <c r="B388" s="17">
        <v>0</v>
      </c>
      <c r="C388" s="18">
        <v>0</v>
      </c>
      <c r="D388" s="18">
        <v>0</v>
      </c>
      <c r="E388" s="18">
        <v>0</v>
      </c>
      <c r="F388" s="18">
        <v>0</v>
      </c>
      <c r="G388" s="432">
        <v>0</v>
      </c>
      <c r="H388" s="19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  <c r="N388" s="432">
        <v>0</v>
      </c>
      <c r="O388" s="19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432"/>
      <c r="V388" s="19">
        <v>0</v>
      </c>
      <c r="W388" s="28">
        <v>1</v>
      </c>
    </row>
    <row r="389" spans="1:23" ht="19.5" customHeight="1" thickTop="1" x14ac:dyDescent="0.45">
      <c r="A389" s="63">
        <v>37257</v>
      </c>
      <c r="B389" s="14">
        <v>0</v>
      </c>
      <c r="C389" s="10">
        <v>0</v>
      </c>
      <c r="D389" s="10">
        <v>0</v>
      </c>
      <c r="E389" s="10">
        <v>0</v>
      </c>
      <c r="F389" s="10">
        <v>0</v>
      </c>
      <c r="G389" s="430">
        <v>0</v>
      </c>
      <c r="H389" s="9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430">
        <v>0</v>
      </c>
      <c r="O389" s="9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430"/>
      <c r="V389" s="9">
        <v>0</v>
      </c>
      <c r="W389" s="28">
        <v>0</v>
      </c>
    </row>
    <row r="390" spans="1:23" x14ac:dyDescent="0.45">
      <c r="A390" s="64">
        <v>37288</v>
      </c>
      <c r="B390" s="14">
        <v>0</v>
      </c>
      <c r="C390" s="10">
        <v>0</v>
      </c>
      <c r="D390" s="10">
        <v>0</v>
      </c>
      <c r="E390" s="11">
        <v>0</v>
      </c>
      <c r="F390" s="10">
        <v>0</v>
      </c>
      <c r="G390" s="430">
        <v>0</v>
      </c>
      <c r="H390" s="8">
        <v>0</v>
      </c>
      <c r="I390" s="10">
        <v>0</v>
      </c>
      <c r="J390" s="10">
        <v>0</v>
      </c>
      <c r="K390" s="10">
        <v>0</v>
      </c>
      <c r="L390" s="11">
        <v>0</v>
      </c>
      <c r="M390" s="10">
        <v>0</v>
      </c>
      <c r="N390" s="430">
        <v>0</v>
      </c>
      <c r="O390" s="8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430"/>
      <c r="V390" s="9">
        <v>0</v>
      </c>
      <c r="W390" s="28">
        <v>0</v>
      </c>
    </row>
    <row r="391" spans="1:23" x14ac:dyDescent="0.45">
      <c r="A391" s="64">
        <v>37316</v>
      </c>
      <c r="B391" s="14">
        <v>1</v>
      </c>
      <c r="C391" s="10">
        <v>0</v>
      </c>
      <c r="D391" s="10">
        <v>0</v>
      </c>
      <c r="E391" s="11">
        <v>0</v>
      </c>
      <c r="F391" s="10">
        <v>0</v>
      </c>
      <c r="G391" s="430">
        <v>0</v>
      </c>
      <c r="H391" s="8">
        <v>1</v>
      </c>
      <c r="I391" s="10">
        <v>0</v>
      </c>
      <c r="J391" s="10">
        <v>0</v>
      </c>
      <c r="K391" s="10">
        <v>0</v>
      </c>
      <c r="L391" s="11">
        <v>0</v>
      </c>
      <c r="M391" s="10">
        <v>0</v>
      </c>
      <c r="N391" s="430">
        <v>0</v>
      </c>
      <c r="O391" s="8">
        <v>0</v>
      </c>
      <c r="P391" s="10">
        <v>1</v>
      </c>
      <c r="Q391" s="10">
        <v>0</v>
      </c>
      <c r="R391" s="10">
        <v>0</v>
      </c>
      <c r="S391" s="10">
        <v>0</v>
      </c>
      <c r="T391" s="10">
        <v>0</v>
      </c>
      <c r="U391" s="430"/>
      <c r="V391" s="9">
        <v>1</v>
      </c>
      <c r="W391" s="28">
        <v>1</v>
      </c>
    </row>
    <row r="392" spans="1:23" x14ac:dyDescent="0.45">
      <c r="A392" s="64">
        <v>37347</v>
      </c>
      <c r="B392" s="14">
        <v>0</v>
      </c>
      <c r="C392" s="10">
        <v>0</v>
      </c>
      <c r="D392" s="10">
        <v>0</v>
      </c>
      <c r="E392" s="11">
        <v>0</v>
      </c>
      <c r="F392" s="10">
        <v>0</v>
      </c>
      <c r="G392" s="430">
        <v>0</v>
      </c>
      <c r="H392" s="8">
        <v>0</v>
      </c>
      <c r="I392" s="10">
        <v>0</v>
      </c>
      <c r="J392" s="10">
        <v>0</v>
      </c>
      <c r="K392" s="10">
        <v>0</v>
      </c>
      <c r="L392" s="11">
        <v>0</v>
      </c>
      <c r="M392" s="10">
        <v>0</v>
      </c>
      <c r="N392" s="430">
        <v>0</v>
      </c>
      <c r="O392" s="8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430"/>
      <c r="V392" s="9">
        <v>0</v>
      </c>
      <c r="W392" s="28">
        <v>1</v>
      </c>
    </row>
    <row r="393" spans="1:23" x14ac:dyDescent="0.45">
      <c r="A393" s="64">
        <v>37377</v>
      </c>
      <c r="B393" s="14">
        <v>0</v>
      </c>
      <c r="C393" s="10">
        <v>1</v>
      </c>
      <c r="D393" s="10">
        <v>0</v>
      </c>
      <c r="E393" s="11">
        <v>0</v>
      </c>
      <c r="F393" s="10">
        <v>0</v>
      </c>
      <c r="G393" s="430">
        <v>0</v>
      </c>
      <c r="H393" s="8">
        <v>1</v>
      </c>
      <c r="I393" s="10">
        <v>0</v>
      </c>
      <c r="J393" s="10">
        <v>0</v>
      </c>
      <c r="K393" s="10">
        <v>0</v>
      </c>
      <c r="L393" s="11">
        <v>0</v>
      </c>
      <c r="M393" s="10">
        <v>0</v>
      </c>
      <c r="N393" s="430">
        <v>0</v>
      </c>
      <c r="O393" s="8">
        <v>0</v>
      </c>
      <c r="P393" s="10">
        <v>0</v>
      </c>
      <c r="Q393" s="10">
        <v>1</v>
      </c>
      <c r="R393" s="10">
        <v>0</v>
      </c>
      <c r="S393" s="10">
        <v>0</v>
      </c>
      <c r="T393" s="10">
        <v>0</v>
      </c>
      <c r="U393" s="430"/>
      <c r="V393" s="9">
        <v>1</v>
      </c>
      <c r="W393" s="28">
        <v>2</v>
      </c>
    </row>
    <row r="394" spans="1:23" x14ac:dyDescent="0.45">
      <c r="A394" s="64">
        <v>37408</v>
      </c>
      <c r="B394" s="14">
        <v>0</v>
      </c>
      <c r="C394" s="10">
        <v>0</v>
      </c>
      <c r="D394" s="10">
        <v>0</v>
      </c>
      <c r="E394" s="11">
        <v>0</v>
      </c>
      <c r="F394" s="10">
        <v>0</v>
      </c>
      <c r="G394" s="430">
        <v>0</v>
      </c>
      <c r="H394" s="8">
        <v>0</v>
      </c>
      <c r="I394" s="10">
        <v>0</v>
      </c>
      <c r="J394" s="10">
        <v>0</v>
      </c>
      <c r="K394" s="10">
        <v>0</v>
      </c>
      <c r="L394" s="11">
        <v>0</v>
      </c>
      <c r="M394" s="10">
        <v>0</v>
      </c>
      <c r="N394" s="430">
        <v>0</v>
      </c>
      <c r="O394" s="8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430"/>
      <c r="V394" s="9">
        <v>0</v>
      </c>
      <c r="W394" s="28">
        <v>2</v>
      </c>
    </row>
    <row r="395" spans="1:23" x14ac:dyDescent="0.45">
      <c r="A395" s="64">
        <v>37438</v>
      </c>
      <c r="B395" s="14">
        <v>0</v>
      </c>
      <c r="C395" s="10">
        <v>0</v>
      </c>
      <c r="D395" s="10">
        <v>0</v>
      </c>
      <c r="E395" s="11">
        <v>0</v>
      </c>
      <c r="F395" s="10">
        <v>0</v>
      </c>
      <c r="G395" s="430">
        <v>0</v>
      </c>
      <c r="H395" s="8">
        <v>0</v>
      </c>
      <c r="I395" s="10">
        <v>0</v>
      </c>
      <c r="J395" s="10">
        <v>0</v>
      </c>
      <c r="K395" s="10">
        <v>0</v>
      </c>
      <c r="L395" s="11">
        <v>0</v>
      </c>
      <c r="M395" s="10">
        <v>0</v>
      </c>
      <c r="N395" s="430">
        <v>0</v>
      </c>
      <c r="O395" s="8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430"/>
      <c r="V395" s="9">
        <v>0</v>
      </c>
      <c r="W395" s="28">
        <v>2</v>
      </c>
    </row>
    <row r="396" spans="1:23" x14ac:dyDescent="0.45">
      <c r="A396" s="64">
        <v>37469</v>
      </c>
      <c r="B396" s="14">
        <v>0</v>
      </c>
      <c r="C396" s="10">
        <v>0</v>
      </c>
      <c r="D396" s="10">
        <v>0</v>
      </c>
      <c r="E396" s="11">
        <v>0</v>
      </c>
      <c r="F396" s="10">
        <v>0</v>
      </c>
      <c r="G396" s="430">
        <v>0</v>
      </c>
      <c r="H396" s="8">
        <v>0</v>
      </c>
      <c r="I396" s="10">
        <v>0</v>
      </c>
      <c r="J396" s="10">
        <v>0</v>
      </c>
      <c r="K396" s="10">
        <v>0</v>
      </c>
      <c r="L396" s="11">
        <v>0</v>
      </c>
      <c r="M396" s="10">
        <v>0</v>
      </c>
      <c r="N396" s="430">
        <v>0</v>
      </c>
      <c r="O396" s="8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430"/>
      <c r="V396" s="9">
        <v>0</v>
      </c>
      <c r="W396" s="28">
        <v>2</v>
      </c>
    </row>
    <row r="397" spans="1:23" x14ac:dyDescent="0.45">
      <c r="A397" s="64">
        <v>37500</v>
      </c>
      <c r="B397" s="14">
        <v>0</v>
      </c>
      <c r="C397" s="10">
        <v>0</v>
      </c>
      <c r="D397" s="10">
        <v>0</v>
      </c>
      <c r="E397" s="11">
        <v>0</v>
      </c>
      <c r="F397" s="10">
        <v>0</v>
      </c>
      <c r="G397" s="430">
        <v>0</v>
      </c>
      <c r="H397" s="8">
        <v>0</v>
      </c>
      <c r="I397" s="10">
        <v>0</v>
      </c>
      <c r="J397" s="10">
        <v>1</v>
      </c>
      <c r="K397" s="10">
        <v>0</v>
      </c>
      <c r="L397" s="11">
        <v>0</v>
      </c>
      <c r="M397" s="10">
        <v>0</v>
      </c>
      <c r="N397" s="430">
        <v>0</v>
      </c>
      <c r="O397" s="8">
        <v>1</v>
      </c>
      <c r="P397" s="10">
        <v>0</v>
      </c>
      <c r="Q397" s="10">
        <v>1</v>
      </c>
      <c r="R397" s="10">
        <v>0</v>
      </c>
      <c r="S397" s="10">
        <v>0</v>
      </c>
      <c r="T397" s="10">
        <v>0</v>
      </c>
      <c r="U397" s="430"/>
      <c r="V397" s="9">
        <v>1</v>
      </c>
      <c r="W397" s="28">
        <v>3</v>
      </c>
    </row>
    <row r="398" spans="1:23" x14ac:dyDescent="0.45">
      <c r="A398" s="64">
        <v>37530</v>
      </c>
      <c r="B398" s="14">
        <v>0</v>
      </c>
      <c r="C398" s="10">
        <v>1</v>
      </c>
      <c r="D398" s="10">
        <v>0</v>
      </c>
      <c r="E398" s="11">
        <v>0</v>
      </c>
      <c r="F398" s="10">
        <v>0</v>
      </c>
      <c r="G398" s="430">
        <v>0</v>
      </c>
      <c r="H398" s="8">
        <v>1</v>
      </c>
      <c r="I398" s="10">
        <v>0</v>
      </c>
      <c r="J398" s="10">
        <v>0</v>
      </c>
      <c r="K398" s="10">
        <v>0</v>
      </c>
      <c r="L398" s="11">
        <v>0</v>
      </c>
      <c r="M398" s="10">
        <v>0</v>
      </c>
      <c r="N398" s="430">
        <v>0</v>
      </c>
      <c r="O398" s="8">
        <v>0</v>
      </c>
      <c r="P398" s="10">
        <v>0</v>
      </c>
      <c r="Q398" s="10">
        <v>1</v>
      </c>
      <c r="R398" s="10">
        <v>0</v>
      </c>
      <c r="S398" s="10">
        <v>0</v>
      </c>
      <c r="T398" s="10">
        <v>0</v>
      </c>
      <c r="U398" s="430"/>
      <c r="V398" s="9">
        <v>1</v>
      </c>
      <c r="W398" s="28">
        <v>4</v>
      </c>
    </row>
    <row r="399" spans="1:23" x14ac:dyDescent="0.45">
      <c r="A399" s="64">
        <v>37561</v>
      </c>
      <c r="B399" s="14">
        <v>0</v>
      </c>
      <c r="C399" s="10">
        <v>0</v>
      </c>
      <c r="D399" s="10">
        <v>0</v>
      </c>
      <c r="E399" s="11">
        <v>0</v>
      </c>
      <c r="F399" s="10">
        <v>0</v>
      </c>
      <c r="G399" s="430">
        <v>0</v>
      </c>
      <c r="H399" s="8">
        <v>0</v>
      </c>
      <c r="I399" s="10">
        <v>0</v>
      </c>
      <c r="J399" s="10">
        <v>0</v>
      </c>
      <c r="K399" s="10">
        <v>0</v>
      </c>
      <c r="L399" s="11">
        <v>0</v>
      </c>
      <c r="M399" s="10">
        <v>0</v>
      </c>
      <c r="N399" s="430">
        <v>0</v>
      </c>
      <c r="O399" s="8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430"/>
      <c r="V399" s="9">
        <v>0</v>
      </c>
      <c r="W399" s="28">
        <v>4</v>
      </c>
    </row>
    <row r="400" spans="1:23" ht="19.5" customHeight="1" thickBot="1" x14ac:dyDescent="0.5">
      <c r="A400" s="65">
        <v>37591</v>
      </c>
      <c r="B400" s="17">
        <v>1</v>
      </c>
      <c r="C400" s="18">
        <v>0</v>
      </c>
      <c r="D400" s="18">
        <v>0</v>
      </c>
      <c r="E400" s="18">
        <v>0</v>
      </c>
      <c r="F400" s="18">
        <v>0</v>
      </c>
      <c r="G400" s="432">
        <v>0</v>
      </c>
      <c r="H400" s="19">
        <v>1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432">
        <v>0</v>
      </c>
      <c r="O400" s="19">
        <v>0</v>
      </c>
      <c r="P400" s="18">
        <v>1</v>
      </c>
      <c r="Q400" s="18">
        <v>0</v>
      </c>
      <c r="R400" s="18">
        <v>0</v>
      </c>
      <c r="S400" s="18">
        <v>0</v>
      </c>
      <c r="T400" s="18">
        <v>0</v>
      </c>
      <c r="U400" s="432"/>
      <c r="V400" s="19">
        <v>1</v>
      </c>
      <c r="W400" s="28">
        <v>5</v>
      </c>
    </row>
    <row r="401" spans="1:23" ht="19.5" customHeight="1" thickTop="1" x14ac:dyDescent="0.45">
      <c r="A401" s="63">
        <v>37622</v>
      </c>
      <c r="B401" s="14">
        <v>0</v>
      </c>
      <c r="C401" s="10">
        <v>0</v>
      </c>
      <c r="D401" s="10">
        <v>0</v>
      </c>
      <c r="E401" s="10">
        <v>0</v>
      </c>
      <c r="F401" s="10">
        <v>0</v>
      </c>
      <c r="G401" s="430">
        <v>0</v>
      </c>
      <c r="H401" s="9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430">
        <v>0</v>
      </c>
      <c r="O401" s="9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430"/>
      <c r="V401" s="9">
        <v>0</v>
      </c>
      <c r="W401" s="28">
        <v>0</v>
      </c>
    </row>
    <row r="402" spans="1:23" x14ac:dyDescent="0.45">
      <c r="A402" s="64">
        <v>37653</v>
      </c>
      <c r="B402" s="14">
        <v>0</v>
      </c>
      <c r="C402" s="10">
        <v>0</v>
      </c>
      <c r="D402" s="10">
        <v>0</v>
      </c>
      <c r="E402" s="11">
        <v>0</v>
      </c>
      <c r="F402" s="10">
        <v>0</v>
      </c>
      <c r="G402" s="430">
        <v>0</v>
      </c>
      <c r="H402" s="8">
        <v>0</v>
      </c>
      <c r="I402" s="10">
        <v>0</v>
      </c>
      <c r="J402" s="10">
        <v>0</v>
      </c>
      <c r="K402" s="10">
        <v>0</v>
      </c>
      <c r="L402" s="11">
        <v>0</v>
      </c>
      <c r="M402" s="10">
        <v>0</v>
      </c>
      <c r="N402" s="430">
        <v>0</v>
      </c>
      <c r="O402" s="8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430"/>
      <c r="V402" s="9">
        <v>0</v>
      </c>
      <c r="W402" s="28">
        <v>0</v>
      </c>
    </row>
    <row r="403" spans="1:23" x14ac:dyDescent="0.45">
      <c r="A403" s="64">
        <v>37681</v>
      </c>
      <c r="B403" s="14">
        <v>0</v>
      </c>
      <c r="C403" s="10">
        <v>0</v>
      </c>
      <c r="D403" s="10">
        <v>0</v>
      </c>
      <c r="E403" s="11">
        <v>0</v>
      </c>
      <c r="F403" s="10">
        <v>0</v>
      </c>
      <c r="G403" s="430">
        <v>0</v>
      </c>
      <c r="H403" s="8">
        <v>0</v>
      </c>
      <c r="I403" s="10">
        <v>0</v>
      </c>
      <c r="J403" s="10">
        <v>0</v>
      </c>
      <c r="K403" s="10">
        <v>0</v>
      </c>
      <c r="L403" s="11">
        <v>0</v>
      </c>
      <c r="M403" s="10">
        <v>0</v>
      </c>
      <c r="N403" s="430">
        <v>0</v>
      </c>
      <c r="O403" s="8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430"/>
      <c r="V403" s="9">
        <v>0</v>
      </c>
      <c r="W403" s="28">
        <v>0</v>
      </c>
    </row>
    <row r="404" spans="1:23" x14ac:dyDescent="0.45">
      <c r="A404" s="64">
        <v>37712</v>
      </c>
      <c r="B404" s="14">
        <v>0</v>
      </c>
      <c r="C404" s="10">
        <v>0</v>
      </c>
      <c r="D404" s="10">
        <v>0</v>
      </c>
      <c r="E404" s="11">
        <v>0</v>
      </c>
      <c r="F404" s="10">
        <v>0</v>
      </c>
      <c r="G404" s="430">
        <v>0</v>
      </c>
      <c r="H404" s="8">
        <v>0</v>
      </c>
      <c r="I404" s="10">
        <v>0</v>
      </c>
      <c r="J404" s="10">
        <v>0</v>
      </c>
      <c r="K404" s="10">
        <v>0</v>
      </c>
      <c r="L404" s="11">
        <v>0</v>
      </c>
      <c r="M404" s="10">
        <v>0</v>
      </c>
      <c r="N404" s="430">
        <v>0</v>
      </c>
      <c r="O404" s="8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430"/>
      <c r="V404" s="9">
        <v>0</v>
      </c>
      <c r="W404" s="28">
        <v>0</v>
      </c>
    </row>
    <row r="405" spans="1:23" x14ac:dyDescent="0.45">
      <c r="A405" s="64">
        <v>37742</v>
      </c>
      <c r="B405" s="14">
        <v>0</v>
      </c>
      <c r="C405" s="10">
        <v>0</v>
      </c>
      <c r="D405" s="10">
        <v>0</v>
      </c>
      <c r="E405" s="11">
        <v>1</v>
      </c>
      <c r="F405" s="10">
        <v>0</v>
      </c>
      <c r="G405" s="430">
        <v>0</v>
      </c>
      <c r="H405" s="8">
        <v>1</v>
      </c>
      <c r="I405" s="10">
        <v>0</v>
      </c>
      <c r="J405" s="10">
        <v>0</v>
      </c>
      <c r="K405" s="10">
        <v>0</v>
      </c>
      <c r="L405" s="11">
        <v>0</v>
      </c>
      <c r="M405" s="10">
        <v>0</v>
      </c>
      <c r="N405" s="430">
        <v>0</v>
      </c>
      <c r="O405" s="8">
        <v>0</v>
      </c>
      <c r="P405" s="10">
        <v>0</v>
      </c>
      <c r="Q405" s="10">
        <v>0</v>
      </c>
      <c r="R405" s="10">
        <v>0</v>
      </c>
      <c r="S405" s="10">
        <v>1</v>
      </c>
      <c r="T405" s="10">
        <v>0</v>
      </c>
      <c r="U405" s="430"/>
      <c r="V405" s="9">
        <v>1</v>
      </c>
      <c r="W405" s="28">
        <v>1</v>
      </c>
    </row>
    <row r="406" spans="1:23" x14ac:dyDescent="0.45">
      <c r="A406" s="64">
        <v>37773</v>
      </c>
      <c r="B406" s="14">
        <v>0</v>
      </c>
      <c r="C406" s="10">
        <v>0</v>
      </c>
      <c r="D406" s="10">
        <v>0</v>
      </c>
      <c r="E406" s="11">
        <v>0</v>
      </c>
      <c r="F406" s="10">
        <v>0</v>
      </c>
      <c r="G406" s="430">
        <v>0</v>
      </c>
      <c r="H406" s="8">
        <v>0</v>
      </c>
      <c r="I406" s="10">
        <v>0</v>
      </c>
      <c r="J406" s="10">
        <v>0</v>
      </c>
      <c r="K406" s="10">
        <v>0</v>
      </c>
      <c r="L406" s="11">
        <v>0</v>
      </c>
      <c r="M406" s="10">
        <v>0</v>
      </c>
      <c r="N406" s="430">
        <v>0</v>
      </c>
      <c r="O406" s="8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430"/>
      <c r="V406" s="9">
        <v>0</v>
      </c>
      <c r="W406" s="28">
        <v>1</v>
      </c>
    </row>
    <row r="407" spans="1:23" x14ac:dyDescent="0.45">
      <c r="A407" s="64">
        <v>37803</v>
      </c>
      <c r="B407" s="14">
        <v>0</v>
      </c>
      <c r="C407" s="10">
        <v>0</v>
      </c>
      <c r="D407" s="10">
        <v>0</v>
      </c>
      <c r="E407" s="11">
        <v>0</v>
      </c>
      <c r="F407" s="10">
        <v>0</v>
      </c>
      <c r="G407" s="430">
        <v>0</v>
      </c>
      <c r="H407" s="8">
        <v>0</v>
      </c>
      <c r="I407" s="10">
        <v>0</v>
      </c>
      <c r="J407" s="10">
        <v>0</v>
      </c>
      <c r="K407" s="10">
        <v>0</v>
      </c>
      <c r="L407" s="11">
        <v>0</v>
      </c>
      <c r="M407" s="10">
        <v>0</v>
      </c>
      <c r="N407" s="430">
        <v>0</v>
      </c>
      <c r="O407" s="8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430"/>
      <c r="V407" s="9">
        <v>0</v>
      </c>
      <c r="W407" s="28">
        <v>1</v>
      </c>
    </row>
    <row r="408" spans="1:23" x14ac:dyDescent="0.45">
      <c r="A408" s="64">
        <v>37834</v>
      </c>
      <c r="B408" s="14">
        <v>0</v>
      </c>
      <c r="C408" s="10">
        <v>0</v>
      </c>
      <c r="D408" s="10">
        <v>0</v>
      </c>
      <c r="E408" s="11">
        <v>0</v>
      </c>
      <c r="F408" s="10">
        <v>0</v>
      </c>
      <c r="G408" s="430">
        <v>0</v>
      </c>
      <c r="H408" s="8">
        <v>0</v>
      </c>
      <c r="I408" s="10">
        <v>0</v>
      </c>
      <c r="J408" s="10">
        <v>0</v>
      </c>
      <c r="K408" s="10">
        <v>0</v>
      </c>
      <c r="L408" s="11">
        <v>0</v>
      </c>
      <c r="M408" s="10">
        <v>0</v>
      </c>
      <c r="N408" s="430">
        <v>0</v>
      </c>
      <c r="O408" s="8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430"/>
      <c r="V408" s="9">
        <v>0</v>
      </c>
      <c r="W408" s="28">
        <v>1</v>
      </c>
    </row>
    <row r="409" spans="1:23" x14ac:dyDescent="0.45">
      <c r="A409" s="64">
        <v>37865</v>
      </c>
      <c r="B409" s="14">
        <v>0</v>
      </c>
      <c r="C409" s="10">
        <v>0</v>
      </c>
      <c r="D409" s="10">
        <v>0</v>
      </c>
      <c r="E409" s="11">
        <v>0</v>
      </c>
      <c r="F409" s="10">
        <v>0</v>
      </c>
      <c r="G409" s="430">
        <v>0</v>
      </c>
      <c r="H409" s="8">
        <v>0</v>
      </c>
      <c r="I409" s="10">
        <v>0</v>
      </c>
      <c r="J409" s="10">
        <v>1</v>
      </c>
      <c r="K409" s="10">
        <v>0</v>
      </c>
      <c r="L409" s="11">
        <v>0</v>
      </c>
      <c r="M409" s="10">
        <v>0</v>
      </c>
      <c r="N409" s="430">
        <v>0</v>
      </c>
      <c r="O409" s="8">
        <v>1</v>
      </c>
      <c r="P409" s="10">
        <v>0</v>
      </c>
      <c r="Q409" s="10">
        <v>1</v>
      </c>
      <c r="R409" s="10">
        <v>0</v>
      </c>
      <c r="S409" s="10">
        <v>0</v>
      </c>
      <c r="T409" s="10">
        <v>0</v>
      </c>
      <c r="U409" s="430"/>
      <c r="V409" s="9">
        <v>1</v>
      </c>
      <c r="W409" s="28">
        <v>2</v>
      </c>
    </row>
    <row r="410" spans="1:23" x14ac:dyDescent="0.45">
      <c r="A410" s="64">
        <v>37895</v>
      </c>
      <c r="B410" s="14">
        <v>1</v>
      </c>
      <c r="C410" s="10">
        <v>1</v>
      </c>
      <c r="D410" s="10">
        <v>0</v>
      </c>
      <c r="E410" s="11">
        <v>0</v>
      </c>
      <c r="F410" s="10">
        <v>0</v>
      </c>
      <c r="G410" s="430">
        <v>0</v>
      </c>
      <c r="H410" s="8">
        <v>2</v>
      </c>
      <c r="I410" s="10">
        <v>0</v>
      </c>
      <c r="J410" s="10">
        <v>0</v>
      </c>
      <c r="K410" s="10">
        <v>0</v>
      </c>
      <c r="L410" s="11">
        <v>0</v>
      </c>
      <c r="M410" s="10">
        <v>0</v>
      </c>
      <c r="N410" s="430">
        <v>0</v>
      </c>
      <c r="O410" s="8">
        <v>0</v>
      </c>
      <c r="P410" s="10">
        <v>1</v>
      </c>
      <c r="Q410" s="10">
        <v>1</v>
      </c>
      <c r="R410" s="10">
        <v>0</v>
      </c>
      <c r="S410" s="10">
        <v>0</v>
      </c>
      <c r="T410" s="10">
        <v>0</v>
      </c>
      <c r="U410" s="430"/>
      <c r="V410" s="9">
        <v>2</v>
      </c>
      <c r="W410" s="28">
        <v>4</v>
      </c>
    </row>
    <row r="411" spans="1:23" x14ac:dyDescent="0.45">
      <c r="A411" s="64">
        <v>37926</v>
      </c>
      <c r="B411" s="14">
        <v>1</v>
      </c>
      <c r="C411" s="10">
        <v>0</v>
      </c>
      <c r="D411" s="10">
        <v>0</v>
      </c>
      <c r="E411" s="11">
        <v>1</v>
      </c>
      <c r="F411" s="10">
        <v>0</v>
      </c>
      <c r="G411" s="430">
        <v>0</v>
      </c>
      <c r="H411" s="8">
        <v>2</v>
      </c>
      <c r="I411" s="10">
        <v>0</v>
      </c>
      <c r="J411" s="10">
        <v>0</v>
      </c>
      <c r="K411" s="10">
        <v>0</v>
      </c>
      <c r="L411" s="11">
        <v>0</v>
      </c>
      <c r="M411" s="10">
        <v>0</v>
      </c>
      <c r="N411" s="430">
        <v>0</v>
      </c>
      <c r="O411" s="8">
        <v>0</v>
      </c>
      <c r="P411" s="10">
        <v>1</v>
      </c>
      <c r="Q411" s="10">
        <v>0</v>
      </c>
      <c r="R411" s="10">
        <v>0</v>
      </c>
      <c r="S411" s="10">
        <v>1</v>
      </c>
      <c r="T411" s="10">
        <v>0</v>
      </c>
      <c r="U411" s="430"/>
      <c r="V411" s="9">
        <v>2</v>
      </c>
      <c r="W411" s="28">
        <v>6</v>
      </c>
    </row>
    <row r="412" spans="1:23" ht="19.5" customHeight="1" thickBot="1" x14ac:dyDescent="0.5">
      <c r="A412" s="65">
        <v>37956</v>
      </c>
      <c r="B412" s="17">
        <v>0</v>
      </c>
      <c r="C412" s="18">
        <v>0</v>
      </c>
      <c r="D412" s="18">
        <v>0</v>
      </c>
      <c r="E412" s="18">
        <v>1</v>
      </c>
      <c r="F412" s="18">
        <v>0</v>
      </c>
      <c r="G412" s="432">
        <v>0</v>
      </c>
      <c r="H412" s="19">
        <v>1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432">
        <v>0</v>
      </c>
      <c r="O412" s="19">
        <v>0</v>
      </c>
      <c r="P412" s="18">
        <v>0</v>
      </c>
      <c r="Q412" s="18">
        <v>0</v>
      </c>
      <c r="R412" s="18">
        <v>0</v>
      </c>
      <c r="S412" s="18">
        <v>1</v>
      </c>
      <c r="T412" s="18">
        <v>0</v>
      </c>
      <c r="U412" s="432"/>
      <c r="V412" s="19">
        <v>1</v>
      </c>
      <c r="W412" s="28">
        <v>7</v>
      </c>
    </row>
    <row r="413" spans="1:23" ht="19.5" customHeight="1" thickTop="1" x14ac:dyDescent="0.45">
      <c r="A413" s="63">
        <v>37987</v>
      </c>
      <c r="B413" s="14">
        <v>0</v>
      </c>
      <c r="C413" s="10">
        <v>0</v>
      </c>
      <c r="D413" s="10">
        <v>0</v>
      </c>
      <c r="E413" s="10">
        <v>0</v>
      </c>
      <c r="F413" s="10">
        <v>0</v>
      </c>
      <c r="G413" s="430">
        <v>0</v>
      </c>
      <c r="H413" s="9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430">
        <v>0</v>
      </c>
      <c r="O413" s="9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430"/>
      <c r="V413" s="9">
        <v>0</v>
      </c>
      <c r="W413" s="28">
        <v>0</v>
      </c>
    </row>
    <row r="414" spans="1:23" x14ac:dyDescent="0.45">
      <c r="A414" s="64">
        <v>38018</v>
      </c>
      <c r="B414" s="14">
        <v>0</v>
      </c>
      <c r="C414" s="10">
        <v>0</v>
      </c>
      <c r="D414" s="10">
        <v>0</v>
      </c>
      <c r="E414" s="11">
        <v>0</v>
      </c>
      <c r="F414" s="10">
        <v>0</v>
      </c>
      <c r="G414" s="430">
        <v>0</v>
      </c>
      <c r="H414" s="8">
        <v>0</v>
      </c>
      <c r="I414" s="10">
        <v>0</v>
      </c>
      <c r="J414" s="10">
        <v>0</v>
      </c>
      <c r="K414" s="10">
        <v>0</v>
      </c>
      <c r="L414" s="11">
        <v>0</v>
      </c>
      <c r="M414" s="10">
        <v>0</v>
      </c>
      <c r="N414" s="430">
        <v>0</v>
      </c>
      <c r="O414" s="8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430"/>
      <c r="V414" s="9">
        <v>0</v>
      </c>
      <c r="W414" s="28">
        <v>0</v>
      </c>
    </row>
    <row r="415" spans="1:23" x14ac:dyDescent="0.45">
      <c r="A415" s="64">
        <v>38047</v>
      </c>
      <c r="B415" s="14">
        <v>0</v>
      </c>
      <c r="C415" s="10">
        <v>0</v>
      </c>
      <c r="D415" s="10">
        <v>0</v>
      </c>
      <c r="E415" s="11">
        <v>0</v>
      </c>
      <c r="F415" s="10">
        <v>0</v>
      </c>
      <c r="G415" s="430">
        <v>0</v>
      </c>
      <c r="H415" s="8">
        <v>0</v>
      </c>
      <c r="I415" s="10">
        <v>0</v>
      </c>
      <c r="J415" s="10">
        <v>0</v>
      </c>
      <c r="K415" s="10">
        <v>0</v>
      </c>
      <c r="L415" s="11">
        <v>0</v>
      </c>
      <c r="M415" s="10">
        <v>0</v>
      </c>
      <c r="N415" s="430">
        <v>0</v>
      </c>
      <c r="O415" s="8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430"/>
      <c r="V415" s="9">
        <v>0</v>
      </c>
      <c r="W415" s="28">
        <v>0</v>
      </c>
    </row>
    <row r="416" spans="1:23" x14ac:dyDescent="0.45">
      <c r="A416" s="64">
        <v>38078</v>
      </c>
      <c r="B416" s="14">
        <v>0</v>
      </c>
      <c r="C416" s="10">
        <v>0</v>
      </c>
      <c r="D416" s="10">
        <v>0</v>
      </c>
      <c r="E416" s="11">
        <v>1</v>
      </c>
      <c r="F416" s="10">
        <v>0</v>
      </c>
      <c r="G416" s="430">
        <v>0</v>
      </c>
      <c r="H416" s="8">
        <v>1</v>
      </c>
      <c r="I416" s="10">
        <v>0</v>
      </c>
      <c r="J416" s="10">
        <v>0</v>
      </c>
      <c r="K416" s="10">
        <v>0</v>
      </c>
      <c r="L416" s="11">
        <v>0</v>
      </c>
      <c r="M416" s="10">
        <v>0</v>
      </c>
      <c r="N416" s="430">
        <v>0</v>
      </c>
      <c r="O416" s="8">
        <v>0</v>
      </c>
      <c r="P416" s="10">
        <v>0</v>
      </c>
      <c r="Q416" s="10">
        <v>0</v>
      </c>
      <c r="R416" s="10">
        <v>0</v>
      </c>
      <c r="S416" s="10">
        <v>1</v>
      </c>
      <c r="T416" s="10">
        <v>0</v>
      </c>
      <c r="U416" s="430"/>
      <c r="V416" s="9">
        <v>1</v>
      </c>
      <c r="W416" s="28">
        <v>1</v>
      </c>
    </row>
    <row r="417" spans="1:23" x14ac:dyDescent="0.45">
      <c r="A417" s="64">
        <v>38108</v>
      </c>
      <c r="B417" s="14">
        <v>0</v>
      </c>
      <c r="C417" s="10">
        <v>0</v>
      </c>
      <c r="D417" s="10">
        <v>0</v>
      </c>
      <c r="E417" s="11">
        <v>0</v>
      </c>
      <c r="F417" s="10">
        <v>0</v>
      </c>
      <c r="G417" s="430">
        <v>0</v>
      </c>
      <c r="H417" s="8">
        <v>0</v>
      </c>
      <c r="I417" s="10">
        <v>0</v>
      </c>
      <c r="J417" s="10">
        <v>0</v>
      </c>
      <c r="K417" s="10">
        <v>0</v>
      </c>
      <c r="L417" s="11">
        <v>0</v>
      </c>
      <c r="M417" s="10">
        <v>0</v>
      </c>
      <c r="N417" s="430">
        <v>0</v>
      </c>
      <c r="O417" s="8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430"/>
      <c r="V417" s="9">
        <v>0</v>
      </c>
      <c r="W417" s="28">
        <v>1</v>
      </c>
    </row>
    <row r="418" spans="1:23" x14ac:dyDescent="0.45">
      <c r="A418" s="64">
        <v>38139</v>
      </c>
      <c r="B418" s="14">
        <v>0</v>
      </c>
      <c r="C418" s="10">
        <v>0</v>
      </c>
      <c r="D418" s="10">
        <v>0</v>
      </c>
      <c r="E418" s="11">
        <v>0</v>
      </c>
      <c r="F418" s="10">
        <v>0</v>
      </c>
      <c r="G418" s="430">
        <v>0</v>
      </c>
      <c r="H418" s="8">
        <v>0</v>
      </c>
      <c r="I418" s="10">
        <v>0</v>
      </c>
      <c r="J418" s="10">
        <v>0</v>
      </c>
      <c r="K418" s="10">
        <v>0</v>
      </c>
      <c r="L418" s="11">
        <v>0</v>
      </c>
      <c r="M418" s="10">
        <v>0</v>
      </c>
      <c r="N418" s="430">
        <v>0</v>
      </c>
      <c r="O418" s="8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430"/>
      <c r="V418" s="9">
        <v>0</v>
      </c>
      <c r="W418" s="28">
        <v>1</v>
      </c>
    </row>
    <row r="419" spans="1:23" x14ac:dyDescent="0.45">
      <c r="A419" s="64">
        <v>38169</v>
      </c>
      <c r="B419" s="14">
        <v>0</v>
      </c>
      <c r="C419" s="10">
        <v>1</v>
      </c>
      <c r="D419" s="10">
        <v>0</v>
      </c>
      <c r="E419" s="11">
        <v>0</v>
      </c>
      <c r="F419" s="10">
        <v>0</v>
      </c>
      <c r="G419" s="430">
        <v>0</v>
      </c>
      <c r="H419" s="8">
        <v>1</v>
      </c>
      <c r="I419" s="10">
        <v>0</v>
      </c>
      <c r="J419" s="10">
        <v>0</v>
      </c>
      <c r="K419" s="10">
        <v>0</v>
      </c>
      <c r="L419" s="11">
        <v>0</v>
      </c>
      <c r="M419" s="10">
        <v>0</v>
      </c>
      <c r="N419" s="430">
        <v>0</v>
      </c>
      <c r="O419" s="8">
        <v>0</v>
      </c>
      <c r="P419" s="10">
        <v>0</v>
      </c>
      <c r="Q419" s="10">
        <v>1</v>
      </c>
      <c r="R419" s="10">
        <v>0</v>
      </c>
      <c r="S419" s="10">
        <v>0</v>
      </c>
      <c r="T419" s="10">
        <v>0</v>
      </c>
      <c r="U419" s="430"/>
      <c r="V419" s="9">
        <v>1</v>
      </c>
      <c r="W419" s="28">
        <v>2</v>
      </c>
    </row>
    <row r="420" spans="1:23" x14ac:dyDescent="0.45">
      <c r="A420" s="64">
        <v>38200</v>
      </c>
      <c r="B420" s="14">
        <v>1</v>
      </c>
      <c r="C420" s="10">
        <v>0</v>
      </c>
      <c r="D420" s="10">
        <v>0</v>
      </c>
      <c r="E420" s="11">
        <v>0</v>
      </c>
      <c r="F420" s="10">
        <v>0</v>
      </c>
      <c r="G420" s="430">
        <v>0</v>
      </c>
      <c r="H420" s="8">
        <v>1</v>
      </c>
      <c r="I420" s="10">
        <v>0</v>
      </c>
      <c r="J420" s="10">
        <v>0</v>
      </c>
      <c r="K420" s="10">
        <v>0</v>
      </c>
      <c r="L420" s="11">
        <v>0</v>
      </c>
      <c r="M420" s="10">
        <v>0</v>
      </c>
      <c r="N420" s="430">
        <v>0</v>
      </c>
      <c r="O420" s="8">
        <v>0</v>
      </c>
      <c r="P420" s="10">
        <v>1</v>
      </c>
      <c r="Q420" s="10">
        <v>0</v>
      </c>
      <c r="R420" s="10">
        <v>0</v>
      </c>
      <c r="S420" s="10">
        <v>0</v>
      </c>
      <c r="T420" s="10">
        <v>0</v>
      </c>
      <c r="U420" s="430"/>
      <c r="V420" s="9">
        <v>1</v>
      </c>
      <c r="W420" s="28">
        <v>3</v>
      </c>
    </row>
    <row r="421" spans="1:23" x14ac:dyDescent="0.45">
      <c r="A421" s="64">
        <v>38231</v>
      </c>
      <c r="B421" s="14">
        <v>1</v>
      </c>
      <c r="C421" s="10">
        <v>1</v>
      </c>
      <c r="D421" s="10">
        <v>0</v>
      </c>
      <c r="E421" s="11">
        <v>0</v>
      </c>
      <c r="F421" s="10">
        <v>0</v>
      </c>
      <c r="G421" s="430">
        <v>0</v>
      </c>
      <c r="H421" s="8">
        <v>2</v>
      </c>
      <c r="I421" s="10">
        <v>0</v>
      </c>
      <c r="J421" s="10">
        <v>0</v>
      </c>
      <c r="K421" s="10">
        <v>0</v>
      </c>
      <c r="L421" s="11">
        <v>0</v>
      </c>
      <c r="M421" s="10">
        <v>0</v>
      </c>
      <c r="N421" s="430">
        <v>0</v>
      </c>
      <c r="O421" s="8">
        <v>0</v>
      </c>
      <c r="P421" s="10">
        <v>1</v>
      </c>
      <c r="Q421" s="10">
        <v>1</v>
      </c>
      <c r="R421" s="10">
        <v>0</v>
      </c>
      <c r="S421" s="10">
        <v>0</v>
      </c>
      <c r="T421" s="10">
        <v>0</v>
      </c>
      <c r="U421" s="430"/>
      <c r="V421" s="9">
        <v>2</v>
      </c>
      <c r="W421" s="28">
        <v>5</v>
      </c>
    </row>
    <row r="422" spans="1:23" x14ac:dyDescent="0.45">
      <c r="A422" s="64">
        <v>38261</v>
      </c>
      <c r="B422" s="14">
        <v>0</v>
      </c>
      <c r="C422" s="10">
        <v>0</v>
      </c>
      <c r="D422" s="10">
        <v>0</v>
      </c>
      <c r="E422" s="11">
        <v>1</v>
      </c>
      <c r="F422" s="10">
        <v>0</v>
      </c>
      <c r="G422" s="430">
        <v>0</v>
      </c>
      <c r="H422" s="8">
        <v>1</v>
      </c>
      <c r="I422" s="10">
        <v>0</v>
      </c>
      <c r="J422" s="10">
        <v>0</v>
      </c>
      <c r="K422" s="10">
        <v>0</v>
      </c>
      <c r="L422" s="11">
        <v>0</v>
      </c>
      <c r="M422" s="10">
        <v>0</v>
      </c>
      <c r="N422" s="430">
        <v>0</v>
      </c>
      <c r="O422" s="8">
        <v>0</v>
      </c>
      <c r="P422" s="10">
        <v>0</v>
      </c>
      <c r="Q422" s="10">
        <v>0</v>
      </c>
      <c r="R422" s="10">
        <v>0</v>
      </c>
      <c r="S422" s="10">
        <v>1</v>
      </c>
      <c r="T422" s="10">
        <v>0</v>
      </c>
      <c r="U422" s="430"/>
      <c r="V422" s="9">
        <v>1</v>
      </c>
      <c r="W422" s="28">
        <v>6</v>
      </c>
    </row>
    <row r="423" spans="1:23" x14ac:dyDescent="0.45">
      <c r="A423" s="64">
        <v>38292</v>
      </c>
      <c r="B423" s="14">
        <v>0</v>
      </c>
      <c r="C423" s="10">
        <v>1</v>
      </c>
      <c r="D423" s="10">
        <v>0</v>
      </c>
      <c r="E423" s="11">
        <v>1</v>
      </c>
      <c r="F423" s="10">
        <v>0</v>
      </c>
      <c r="G423" s="430">
        <v>0</v>
      </c>
      <c r="H423" s="8">
        <v>2</v>
      </c>
      <c r="I423" s="10">
        <v>0</v>
      </c>
      <c r="J423" s="10">
        <v>0</v>
      </c>
      <c r="K423" s="10">
        <v>0</v>
      </c>
      <c r="L423" s="11">
        <v>0</v>
      </c>
      <c r="M423" s="10">
        <v>0</v>
      </c>
      <c r="N423" s="430">
        <v>0</v>
      </c>
      <c r="O423" s="8">
        <v>0</v>
      </c>
      <c r="P423" s="10">
        <v>0</v>
      </c>
      <c r="Q423" s="10">
        <v>1</v>
      </c>
      <c r="R423" s="10">
        <v>0</v>
      </c>
      <c r="S423" s="10">
        <v>1</v>
      </c>
      <c r="T423" s="10">
        <v>0</v>
      </c>
      <c r="U423" s="430"/>
      <c r="V423" s="9">
        <v>2</v>
      </c>
      <c r="W423" s="28">
        <v>8</v>
      </c>
    </row>
    <row r="424" spans="1:23" ht="19.5" customHeight="1" thickBot="1" x14ac:dyDescent="0.5">
      <c r="A424" s="65">
        <v>38322</v>
      </c>
      <c r="B424" s="17">
        <v>0</v>
      </c>
      <c r="C424" s="18">
        <v>0</v>
      </c>
      <c r="D424" s="18">
        <v>0</v>
      </c>
      <c r="E424" s="18">
        <v>0</v>
      </c>
      <c r="F424" s="18">
        <v>0</v>
      </c>
      <c r="G424" s="432">
        <v>0</v>
      </c>
      <c r="H424" s="19">
        <v>0</v>
      </c>
      <c r="I424" s="18">
        <v>0</v>
      </c>
      <c r="J424" s="18">
        <v>0</v>
      </c>
      <c r="K424" s="18">
        <v>0</v>
      </c>
      <c r="L424" s="18">
        <v>0</v>
      </c>
      <c r="M424" s="18">
        <v>0</v>
      </c>
      <c r="N424" s="432">
        <v>0</v>
      </c>
      <c r="O424" s="19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432"/>
      <c r="V424" s="19">
        <v>0</v>
      </c>
      <c r="W424" s="28">
        <v>8</v>
      </c>
    </row>
    <row r="425" spans="1:23" ht="19.5" customHeight="1" thickTop="1" x14ac:dyDescent="0.45">
      <c r="A425" s="63">
        <v>38353</v>
      </c>
      <c r="B425" s="14">
        <v>0</v>
      </c>
      <c r="C425" s="10">
        <v>0</v>
      </c>
      <c r="D425" s="10">
        <v>0</v>
      </c>
      <c r="E425" s="10">
        <v>0</v>
      </c>
      <c r="F425" s="10">
        <v>0</v>
      </c>
      <c r="G425" s="430">
        <v>0</v>
      </c>
      <c r="H425" s="9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430">
        <v>0</v>
      </c>
      <c r="O425" s="9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430"/>
      <c r="V425" s="9">
        <v>0</v>
      </c>
      <c r="W425" s="28">
        <v>0</v>
      </c>
    </row>
    <row r="426" spans="1:23" x14ac:dyDescent="0.45">
      <c r="A426" s="64">
        <v>38384</v>
      </c>
      <c r="B426" s="14">
        <v>0</v>
      </c>
      <c r="C426" s="10">
        <v>0</v>
      </c>
      <c r="D426" s="10">
        <v>0</v>
      </c>
      <c r="E426" s="11">
        <v>0</v>
      </c>
      <c r="F426" s="10">
        <v>0</v>
      </c>
      <c r="G426" s="430">
        <v>0</v>
      </c>
      <c r="H426" s="8">
        <v>0</v>
      </c>
      <c r="I426" s="10">
        <v>0</v>
      </c>
      <c r="J426" s="10">
        <v>0</v>
      </c>
      <c r="K426" s="10">
        <v>0</v>
      </c>
      <c r="L426" s="11">
        <v>0</v>
      </c>
      <c r="M426" s="10">
        <v>0</v>
      </c>
      <c r="N426" s="430">
        <v>0</v>
      </c>
      <c r="O426" s="8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430"/>
      <c r="V426" s="9">
        <v>0</v>
      </c>
      <c r="W426" s="28">
        <v>0</v>
      </c>
    </row>
    <row r="427" spans="1:23" x14ac:dyDescent="0.45">
      <c r="A427" s="64">
        <v>38412</v>
      </c>
      <c r="B427" s="14">
        <v>0</v>
      </c>
      <c r="C427" s="10">
        <v>0</v>
      </c>
      <c r="D427" s="10">
        <v>0</v>
      </c>
      <c r="E427" s="11">
        <v>0</v>
      </c>
      <c r="F427" s="10">
        <v>0</v>
      </c>
      <c r="G427" s="430">
        <v>0</v>
      </c>
      <c r="H427" s="8">
        <v>0</v>
      </c>
      <c r="I427" s="10">
        <v>0</v>
      </c>
      <c r="J427" s="10">
        <v>0</v>
      </c>
      <c r="K427" s="10">
        <v>0</v>
      </c>
      <c r="L427" s="11">
        <v>0</v>
      </c>
      <c r="M427" s="10">
        <v>0</v>
      </c>
      <c r="N427" s="430">
        <v>0</v>
      </c>
      <c r="O427" s="8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430"/>
      <c r="V427" s="9">
        <v>0</v>
      </c>
      <c r="W427" s="28">
        <v>0</v>
      </c>
    </row>
    <row r="428" spans="1:23" x14ac:dyDescent="0.45">
      <c r="A428" s="64">
        <v>38443</v>
      </c>
      <c r="B428" s="14">
        <v>0</v>
      </c>
      <c r="C428" s="10">
        <v>0</v>
      </c>
      <c r="D428" s="10">
        <v>0</v>
      </c>
      <c r="E428" s="11">
        <v>1</v>
      </c>
      <c r="F428" s="10">
        <v>0</v>
      </c>
      <c r="G428" s="430">
        <v>0</v>
      </c>
      <c r="H428" s="8">
        <v>1</v>
      </c>
      <c r="I428" s="10">
        <v>0</v>
      </c>
      <c r="J428" s="10">
        <v>0</v>
      </c>
      <c r="K428" s="10">
        <v>0</v>
      </c>
      <c r="L428" s="11">
        <v>0</v>
      </c>
      <c r="M428" s="10">
        <v>0</v>
      </c>
      <c r="N428" s="430">
        <v>0</v>
      </c>
      <c r="O428" s="8">
        <v>0</v>
      </c>
      <c r="P428" s="10">
        <v>0</v>
      </c>
      <c r="Q428" s="10">
        <v>0</v>
      </c>
      <c r="R428" s="10">
        <v>0</v>
      </c>
      <c r="S428" s="10">
        <v>1</v>
      </c>
      <c r="T428" s="10">
        <v>0</v>
      </c>
      <c r="U428" s="430"/>
      <c r="V428" s="9">
        <v>1</v>
      </c>
      <c r="W428" s="28">
        <v>1</v>
      </c>
    </row>
    <row r="429" spans="1:23" x14ac:dyDescent="0.45">
      <c r="A429" s="64">
        <v>38473</v>
      </c>
      <c r="B429" s="14">
        <v>0</v>
      </c>
      <c r="C429" s="10">
        <v>0</v>
      </c>
      <c r="D429" s="10">
        <v>0</v>
      </c>
      <c r="E429" s="11">
        <v>0</v>
      </c>
      <c r="F429" s="10">
        <v>0</v>
      </c>
      <c r="G429" s="430">
        <v>0</v>
      </c>
      <c r="H429" s="8">
        <v>0</v>
      </c>
      <c r="I429" s="10">
        <v>0</v>
      </c>
      <c r="J429" s="10">
        <v>0</v>
      </c>
      <c r="K429" s="10">
        <v>0</v>
      </c>
      <c r="L429" s="11">
        <v>0</v>
      </c>
      <c r="M429" s="10">
        <v>0</v>
      </c>
      <c r="N429" s="430">
        <v>0</v>
      </c>
      <c r="O429" s="8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430"/>
      <c r="V429" s="9">
        <v>0</v>
      </c>
      <c r="W429" s="28">
        <v>1</v>
      </c>
    </row>
    <row r="430" spans="1:23" x14ac:dyDescent="0.45">
      <c r="A430" s="64">
        <v>38504</v>
      </c>
      <c r="B430" s="14">
        <v>0</v>
      </c>
      <c r="C430" s="10">
        <v>0</v>
      </c>
      <c r="D430" s="10">
        <v>0</v>
      </c>
      <c r="E430" s="11">
        <v>0</v>
      </c>
      <c r="F430" s="10">
        <v>0</v>
      </c>
      <c r="G430" s="430">
        <v>0</v>
      </c>
      <c r="H430" s="8">
        <v>0</v>
      </c>
      <c r="I430" s="10">
        <v>0</v>
      </c>
      <c r="J430" s="10">
        <v>1</v>
      </c>
      <c r="K430" s="10">
        <v>0</v>
      </c>
      <c r="L430" s="11">
        <v>0</v>
      </c>
      <c r="M430" s="10">
        <v>0</v>
      </c>
      <c r="N430" s="430">
        <v>0</v>
      </c>
      <c r="O430" s="8">
        <v>1</v>
      </c>
      <c r="P430" s="10">
        <v>0</v>
      </c>
      <c r="Q430" s="10">
        <v>1</v>
      </c>
      <c r="R430" s="10">
        <v>0</v>
      </c>
      <c r="S430" s="10">
        <v>0</v>
      </c>
      <c r="T430" s="10">
        <v>0</v>
      </c>
      <c r="U430" s="430"/>
      <c r="V430" s="9">
        <v>1</v>
      </c>
      <c r="W430" s="28">
        <v>2</v>
      </c>
    </row>
    <row r="431" spans="1:23" x14ac:dyDescent="0.45">
      <c r="A431" s="64">
        <v>38534</v>
      </c>
      <c r="B431" s="14">
        <v>1</v>
      </c>
      <c r="C431" s="10">
        <v>0</v>
      </c>
      <c r="D431" s="10">
        <v>0</v>
      </c>
      <c r="E431" s="11">
        <v>0</v>
      </c>
      <c r="F431" s="10">
        <v>0</v>
      </c>
      <c r="G431" s="430">
        <v>0</v>
      </c>
      <c r="H431" s="8">
        <v>1</v>
      </c>
      <c r="I431" s="10">
        <v>0</v>
      </c>
      <c r="J431" s="10">
        <v>0</v>
      </c>
      <c r="K431" s="10">
        <v>0</v>
      </c>
      <c r="L431" s="11">
        <v>0</v>
      </c>
      <c r="M431" s="10">
        <v>0</v>
      </c>
      <c r="N431" s="430">
        <v>0</v>
      </c>
      <c r="O431" s="8">
        <v>0</v>
      </c>
      <c r="P431" s="10">
        <v>1</v>
      </c>
      <c r="Q431" s="10">
        <v>0</v>
      </c>
      <c r="R431" s="10">
        <v>0</v>
      </c>
      <c r="S431" s="10">
        <v>0</v>
      </c>
      <c r="T431" s="10">
        <v>0</v>
      </c>
      <c r="U431" s="430"/>
      <c r="V431" s="9">
        <v>1</v>
      </c>
      <c r="W431" s="28">
        <v>3</v>
      </c>
    </row>
    <row r="432" spans="1:23" x14ac:dyDescent="0.45">
      <c r="A432" s="64">
        <v>38565</v>
      </c>
      <c r="B432" s="14">
        <v>2</v>
      </c>
      <c r="C432" s="10">
        <v>0</v>
      </c>
      <c r="D432" s="10">
        <v>0</v>
      </c>
      <c r="E432" s="11">
        <v>0</v>
      </c>
      <c r="F432" s="10">
        <v>0</v>
      </c>
      <c r="G432" s="430">
        <v>0</v>
      </c>
      <c r="H432" s="8">
        <v>2</v>
      </c>
      <c r="I432" s="10">
        <v>0</v>
      </c>
      <c r="J432" s="10">
        <v>0</v>
      </c>
      <c r="K432" s="10">
        <v>0</v>
      </c>
      <c r="L432" s="11">
        <v>0</v>
      </c>
      <c r="M432" s="10">
        <v>0</v>
      </c>
      <c r="N432" s="430">
        <v>0</v>
      </c>
      <c r="O432" s="8">
        <v>0</v>
      </c>
      <c r="P432" s="10">
        <v>2</v>
      </c>
      <c r="Q432" s="10">
        <v>0</v>
      </c>
      <c r="R432" s="10">
        <v>0</v>
      </c>
      <c r="S432" s="10">
        <v>0</v>
      </c>
      <c r="T432" s="10">
        <v>0</v>
      </c>
      <c r="U432" s="430"/>
      <c r="V432" s="9">
        <v>2</v>
      </c>
      <c r="W432" s="28">
        <v>5</v>
      </c>
    </row>
    <row r="433" spans="1:23" x14ac:dyDescent="0.45">
      <c r="A433" s="64">
        <v>38596</v>
      </c>
      <c r="B433" s="14">
        <v>0</v>
      </c>
      <c r="C433" s="10">
        <v>0</v>
      </c>
      <c r="D433" s="10">
        <v>0</v>
      </c>
      <c r="E433" s="11">
        <v>0</v>
      </c>
      <c r="F433" s="10">
        <v>0</v>
      </c>
      <c r="G433" s="430">
        <v>0</v>
      </c>
      <c r="H433" s="8">
        <v>0</v>
      </c>
      <c r="I433" s="10">
        <v>0</v>
      </c>
      <c r="J433" s="10">
        <v>0</v>
      </c>
      <c r="K433" s="10">
        <v>0</v>
      </c>
      <c r="L433" s="11">
        <v>0</v>
      </c>
      <c r="M433" s="10">
        <v>0</v>
      </c>
      <c r="N433" s="430">
        <v>0</v>
      </c>
      <c r="O433" s="8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430"/>
      <c r="V433" s="9">
        <v>0</v>
      </c>
      <c r="W433" s="28">
        <v>5</v>
      </c>
    </row>
    <row r="434" spans="1:23" x14ac:dyDescent="0.45">
      <c r="A434" s="64">
        <v>38626</v>
      </c>
      <c r="B434" s="14">
        <v>1</v>
      </c>
      <c r="C434" s="10">
        <v>0</v>
      </c>
      <c r="D434" s="10">
        <v>0</v>
      </c>
      <c r="E434" s="11">
        <v>0</v>
      </c>
      <c r="F434" s="10">
        <v>0</v>
      </c>
      <c r="G434" s="430">
        <v>0</v>
      </c>
      <c r="H434" s="8">
        <v>1</v>
      </c>
      <c r="I434" s="10">
        <v>0</v>
      </c>
      <c r="J434" s="10">
        <v>0</v>
      </c>
      <c r="K434" s="10">
        <v>0</v>
      </c>
      <c r="L434" s="11">
        <v>0</v>
      </c>
      <c r="M434" s="10">
        <v>0</v>
      </c>
      <c r="N434" s="430">
        <v>0</v>
      </c>
      <c r="O434" s="8">
        <v>0</v>
      </c>
      <c r="P434" s="10">
        <v>1</v>
      </c>
      <c r="Q434" s="10">
        <v>0</v>
      </c>
      <c r="R434" s="10">
        <v>0</v>
      </c>
      <c r="S434" s="10">
        <v>0</v>
      </c>
      <c r="T434" s="10">
        <v>0</v>
      </c>
      <c r="U434" s="430"/>
      <c r="V434" s="9">
        <v>1</v>
      </c>
      <c r="W434" s="28">
        <v>6</v>
      </c>
    </row>
    <row r="435" spans="1:23" x14ac:dyDescent="0.45">
      <c r="A435" s="64">
        <v>38657</v>
      </c>
      <c r="B435" s="14">
        <v>0</v>
      </c>
      <c r="C435" s="10">
        <v>0</v>
      </c>
      <c r="D435" s="10">
        <v>0</v>
      </c>
      <c r="E435" s="11">
        <v>0</v>
      </c>
      <c r="F435" s="10">
        <v>0</v>
      </c>
      <c r="G435" s="430">
        <v>0</v>
      </c>
      <c r="H435" s="8">
        <v>0</v>
      </c>
      <c r="I435" s="10">
        <v>0</v>
      </c>
      <c r="J435" s="10">
        <v>0</v>
      </c>
      <c r="K435" s="10">
        <v>0</v>
      </c>
      <c r="L435" s="11">
        <v>0</v>
      </c>
      <c r="M435" s="10">
        <v>0</v>
      </c>
      <c r="N435" s="430">
        <v>0</v>
      </c>
      <c r="O435" s="8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430"/>
      <c r="V435" s="9">
        <v>0</v>
      </c>
      <c r="W435" s="28">
        <v>6</v>
      </c>
    </row>
    <row r="436" spans="1:23" ht="19.5" customHeight="1" thickBot="1" x14ac:dyDescent="0.5">
      <c r="A436" s="65">
        <v>38687</v>
      </c>
      <c r="B436" s="17">
        <v>0</v>
      </c>
      <c r="C436" s="18">
        <v>0</v>
      </c>
      <c r="D436" s="18">
        <v>0</v>
      </c>
      <c r="E436" s="18">
        <v>0</v>
      </c>
      <c r="F436" s="18">
        <v>0</v>
      </c>
      <c r="G436" s="432">
        <v>0</v>
      </c>
      <c r="H436" s="19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432">
        <v>0</v>
      </c>
      <c r="O436" s="19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432"/>
      <c r="V436" s="19">
        <v>0</v>
      </c>
      <c r="W436" s="28">
        <v>6</v>
      </c>
    </row>
    <row r="437" spans="1:23" ht="19.5" customHeight="1" thickTop="1" x14ac:dyDescent="0.45">
      <c r="A437" s="63">
        <v>38718</v>
      </c>
      <c r="B437" s="14">
        <v>0</v>
      </c>
      <c r="C437" s="10">
        <v>0</v>
      </c>
      <c r="D437" s="10">
        <v>0</v>
      </c>
      <c r="E437" s="10">
        <v>0</v>
      </c>
      <c r="F437" s="10">
        <v>0</v>
      </c>
      <c r="G437" s="430">
        <v>0</v>
      </c>
      <c r="H437" s="9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430">
        <v>0</v>
      </c>
      <c r="O437" s="9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430"/>
      <c r="V437" s="9">
        <v>0</v>
      </c>
      <c r="W437" s="28">
        <v>0</v>
      </c>
    </row>
    <row r="438" spans="1:23" x14ac:dyDescent="0.45">
      <c r="A438" s="64">
        <v>38749</v>
      </c>
      <c r="B438" s="14">
        <v>0</v>
      </c>
      <c r="C438" s="10">
        <v>0</v>
      </c>
      <c r="D438" s="10">
        <v>0</v>
      </c>
      <c r="E438" s="11">
        <v>0</v>
      </c>
      <c r="F438" s="10">
        <v>0</v>
      </c>
      <c r="G438" s="430">
        <v>0</v>
      </c>
      <c r="H438" s="8">
        <v>0</v>
      </c>
      <c r="I438" s="10">
        <v>0</v>
      </c>
      <c r="J438" s="10">
        <v>0</v>
      </c>
      <c r="K438" s="10">
        <v>0</v>
      </c>
      <c r="L438" s="11">
        <v>0</v>
      </c>
      <c r="M438" s="10">
        <v>0</v>
      </c>
      <c r="N438" s="430">
        <v>0</v>
      </c>
      <c r="O438" s="8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430"/>
      <c r="V438" s="9">
        <v>0</v>
      </c>
      <c r="W438" s="28">
        <v>0</v>
      </c>
    </row>
    <row r="439" spans="1:23" x14ac:dyDescent="0.45">
      <c r="A439" s="64">
        <v>38777</v>
      </c>
      <c r="B439" s="14">
        <v>0</v>
      </c>
      <c r="C439" s="10">
        <v>0</v>
      </c>
      <c r="D439" s="10">
        <v>0</v>
      </c>
      <c r="E439" s="11">
        <v>0</v>
      </c>
      <c r="F439" s="10">
        <v>0</v>
      </c>
      <c r="G439" s="430">
        <v>0</v>
      </c>
      <c r="H439" s="8">
        <v>0</v>
      </c>
      <c r="I439" s="10">
        <v>0</v>
      </c>
      <c r="J439" s="10">
        <v>0</v>
      </c>
      <c r="K439" s="10">
        <v>0</v>
      </c>
      <c r="L439" s="11">
        <v>0</v>
      </c>
      <c r="M439" s="10">
        <v>0</v>
      </c>
      <c r="N439" s="430">
        <v>0</v>
      </c>
      <c r="O439" s="8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430"/>
      <c r="V439" s="9">
        <v>0</v>
      </c>
      <c r="W439" s="28">
        <v>0</v>
      </c>
    </row>
    <row r="440" spans="1:23" x14ac:dyDescent="0.45">
      <c r="A440" s="64">
        <v>38808</v>
      </c>
      <c r="B440" s="14">
        <v>0</v>
      </c>
      <c r="C440" s="10">
        <v>1</v>
      </c>
      <c r="D440" s="10">
        <v>0</v>
      </c>
      <c r="E440" s="11">
        <v>0</v>
      </c>
      <c r="F440" s="10">
        <v>0</v>
      </c>
      <c r="G440" s="430">
        <v>0</v>
      </c>
      <c r="H440" s="8">
        <v>1</v>
      </c>
      <c r="I440" s="10">
        <v>0</v>
      </c>
      <c r="J440" s="10">
        <v>0</v>
      </c>
      <c r="K440" s="10">
        <v>0</v>
      </c>
      <c r="L440" s="11">
        <v>0</v>
      </c>
      <c r="M440" s="10">
        <v>0</v>
      </c>
      <c r="N440" s="430">
        <v>0</v>
      </c>
      <c r="O440" s="8">
        <v>0</v>
      </c>
      <c r="P440" s="10">
        <v>0</v>
      </c>
      <c r="Q440" s="10">
        <v>1</v>
      </c>
      <c r="R440" s="10">
        <v>0</v>
      </c>
      <c r="S440" s="10">
        <v>0</v>
      </c>
      <c r="T440" s="10">
        <v>0</v>
      </c>
      <c r="U440" s="430"/>
      <c r="V440" s="9">
        <v>1</v>
      </c>
      <c r="W440" s="28">
        <v>1</v>
      </c>
    </row>
    <row r="441" spans="1:23" x14ac:dyDescent="0.45">
      <c r="A441" s="64">
        <v>38838</v>
      </c>
      <c r="B441" s="14">
        <v>0</v>
      </c>
      <c r="C441" s="10">
        <v>0</v>
      </c>
      <c r="D441" s="10">
        <v>0</v>
      </c>
      <c r="E441" s="11">
        <v>0</v>
      </c>
      <c r="F441" s="10">
        <v>0</v>
      </c>
      <c r="G441" s="430">
        <v>0</v>
      </c>
      <c r="H441" s="8">
        <v>0</v>
      </c>
      <c r="I441" s="10">
        <v>0</v>
      </c>
      <c r="J441" s="10">
        <v>0</v>
      </c>
      <c r="K441" s="10">
        <v>0</v>
      </c>
      <c r="L441" s="11">
        <v>0</v>
      </c>
      <c r="M441" s="10">
        <v>0</v>
      </c>
      <c r="N441" s="430">
        <v>0</v>
      </c>
      <c r="O441" s="8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430"/>
      <c r="V441" s="9">
        <v>0</v>
      </c>
      <c r="W441" s="28">
        <v>1</v>
      </c>
    </row>
    <row r="442" spans="1:23" x14ac:dyDescent="0.45">
      <c r="A442" s="64">
        <v>38869</v>
      </c>
      <c r="B442" s="14">
        <v>0</v>
      </c>
      <c r="C442" s="10">
        <v>0</v>
      </c>
      <c r="D442" s="10">
        <v>0</v>
      </c>
      <c r="E442" s="11">
        <v>0</v>
      </c>
      <c r="F442" s="10">
        <v>0</v>
      </c>
      <c r="G442" s="430">
        <v>0</v>
      </c>
      <c r="H442" s="8">
        <v>0</v>
      </c>
      <c r="I442" s="10">
        <v>0</v>
      </c>
      <c r="J442" s="10">
        <v>0</v>
      </c>
      <c r="K442" s="10">
        <v>0</v>
      </c>
      <c r="L442" s="11">
        <v>0</v>
      </c>
      <c r="M442" s="10">
        <v>0</v>
      </c>
      <c r="N442" s="430">
        <v>0</v>
      </c>
      <c r="O442" s="8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430"/>
      <c r="V442" s="9">
        <v>0</v>
      </c>
      <c r="W442" s="28">
        <v>1</v>
      </c>
    </row>
    <row r="443" spans="1:23" x14ac:dyDescent="0.45">
      <c r="A443" s="64">
        <v>38899</v>
      </c>
      <c r="B443" s="14">
        <v>0</v>
      </c>
      <c r="C443" s="10">
        <v>0</v>
      </c>
      <c r="D443" s="10">
        <v>0</v>
      </c>
      <c r="E443" s="11">
        <v>0</v>
      </c>
      <c r="F443" s="10">
        <v>0</v>
      </c>
      <c r="G443" s="430">
        <v>0</v>
      </c>
      <c r="H443" s="8">
        <v>0</v>
      </c>
      <c r="I443" s="10">
        <v>0</v>
      </c>
      <c r="J443" s="10">
        <v>0</v>
      </c>
      <c r="K443" s="10">
        <v>0</v>
      </c>
      <c r="L443" s="11">
        <v>0</v>
      </c>
      <c r="M443" s="10">
        <v>0</v>
      </c>
      <c r="N443" s="430">
        <v>0</v>
      </c>
      <c r="O443" s="8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430"/>
      <c r="V443" s="9">
        <v>0</v>
      </c>
      <c r="W443" s="28">
        <v>1</v>
      </c>
    </row>
    <row r="444" spans="1:23" x14ac:dyDescent="0.45">
      <c r="A444" s="64">
        <v>38930</v>
      </c>
      <c r="B444" s="14">
        <v>0</v>
      </c>
      <c r="C444" s="10">
        <v>0</v>
      </c>
      <c r="D444" s="10">
        <v>0</v>
      </c>
      <c r="E444" s="11">
        <v>0</v>
      </c>
      <c r="F444" s="10">
        <v>0</v>
      </c>
      <c r="G444" s="430">
        <v>0</v>
      </c>
      <c r="H444" s="8">
        <v>0</v>
      </c>
      <c r="I444" s="10">
        <v>0</v>
      </c>
      <c r="J444" s="10">
        <v>0</v>
      </c>
      <c r="K444" s="10">
        <v>0</v>
      </c>
      <c r="L444" s="11">
        <v>0</v>
      </c>
      <c r="M444" s="10">
        <v>0</v>
      </c>
      <c r="N444" s="430">
        <v>0</v>
      </c>
      <c r="O444" s="8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430"/>
      <c r="V444" s="9">
        <v>0</v>
      </c>
      <c r="W444" s="28">
        <v>1</v>
      </c>
    </row>
    <row r="445" spans="1:23" x14ac:dyDescent="0.45">
      <c r="A445" s="64">
        <v>38961</v>
      </c>
      <c r="B445" s="14">
        <v>1</v>
      </c>
      <c r="C445" s="10">
        <v>0</v>
      </c>
      <c r="D445" s="10">
        <v>0</v>
      </c>
      <c r="E445" s="11">
        <v>1</v>
      </c>
      <c r="F445" s="10">
        <v>0</v>
      </c>
      <c r="G445" s="430">
        <v>0</v>
      </c>
      <c r="H445" s="8">
        <v>2</v>
      </c>
      <c r="I445" s="10">
        <v>0</v>
      </c>
      <c r="J445" s="10">
        <v>0</v>
      </c>
      <c r="K445" s="10">
        <v>0</v>
      </c>
      <c r="L445" s="11">
        <v>0</v>
      </c>
      <c r="M445" s="10">
        <v>0</v>
      </c>
      <c r="N445" s="430">
        <v>0</v>
      </c>
      <c r="O445" s="8">
        <v>0</v>
      </c>
      <c r="P445" s="10">
        <v>1</v>
      </c>
      <c r="Q445" s="10">
        <v>0</v>
      </c>
      <c r="R445" s="10">
        <v>0</v>
      </c>
      <c r="S445" s="10">
        <v>1</v>
      </c>
      <c r="T445" s="10">
        <v>0</v>
      </c>
      <c r="U445" s="430"/>
      <c r="V445" s="9">
        <v>2</v>
      </c>
      <c r="W445" s="28">
        <v>3</v>
      </c>
    </row>
    <row r="446" spans="1:23" x14ac:dyDescent="0.45">
      <c r="A446" s="64">
        <v>38991</v>
      </c>
      <c r="B446" s="14">
        <v>0</v>
      </c>
      <c r="C446" s="10">
        <v>1</v>
      </c>
      <c r="D446" s="10">
        <v>0</v>
      </c>
      <c r="E446" s="11">
        <v>1</v>
      </c>
      <c r="F446" s="10">
        <v>0</v>
      </c>
      <c r="G446" s="430">
        <v>0</v>
      </c>
      <c r="H446" s="8">
        <v>2</v>
      </c>
      <c r="I446" s="10">
        <v>0</v>
      </c>
      <c r="J446" s="10">
        <v>0</v>
      </c>
      <c r="K446" s="10">
        <v>0</v>
      </c>
      <c r="L446" s="11">
        <v>0</v>
      </c>
      <c r="M446" s="10">
        <v>0</v>
      </c>
      <c r="N446" s="430">
        <v>0</v>
      </c>
      <c r="O446" s="8">
        <v>0</v>
      </c>
      <c r="P446" s="10">
        <v>0</v>
      </c>
      <c r="Q446" s="10">
        <v>1</v>
      </c>
      <c r="R446" s="10">
        <v>0</v>
      </c>
      <c r="S446" s="10">
        <v>1</v>
      </c>
      <c r="T446" s="10">
        <v>0</v>
      </c>
      <c r="U446" s="430"/>
      <c r="V446" s="9">
        <v>2</v>
      </c>
      <c r="W446" s="28">
        <v>5</v>
      </c>
    </row>
    <row r="447" spans="1:23" x14ac:dyDescent="0.45">
      <c r="A447" s="64">
        <v>39022</v>
      </c>
      <c r="B447" s="14">
        <v>0</v>
      </c>
      <c r="C447" s="10">
        <v>0</v>
      </c>
      <c r="D447" s="10">
        <v>0</v>
      </c>
      <c r="E447" s="11">
        <v>0</v>
      </c>
      <c r="F447" s="10">
        <v>0</v>
      </c>
      <c r="G447" s="430">
        <v>0</v>
      </c>
      <c r="H447" s="8">
        <v>0</v>
      </c>
      <c r="I447" s="10">
        <v>0</v>
      </c>
      <c r="J447" s="10">
        <v>0</v>
      </c>
      <c r="K447" s="10">
        <v>0</v>
      </c>
      <c r="L447" s="11">
        <v>0</v>
      </c>
      <c r="M447" s="10">
        <v>0</v>
      </c>
      <c r="N447" s="430">
        <v>0</v>
      </c>
      <c r="O447" s="8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430"/>
      <c r="V447" s="9">
        <v>0</v>
      </c>
      <c r="W447" s="28">
        <v>5</v>
      </c>
    </row>
    <row r="448" spans="1:23" ht="19.5" customHeight="1" thickBot="1" x14ac:dyDescent="0.5">
      <c r="A448" s="65">
        <v>39052</v>
      </c>
      <c r="B448" s="17">
        <v>0</v>
      </c>
      <c r="C448" s="18">
        <v>0</v>
      </c>
      <c r="D448" s="18">
        <v>0</v>
      </c>
      <c r="E448" s="18">
        <v>1</v>
      </c>
      <c r="F448" s="18">
        <v>0</v>
      </c>
      <c r="G448" s="432">
        <v>0</v>
      </c>
      <c r="H448" s="19">
        <v>1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432">
        <v>0</v>
      </c>
      <c r="O448" s="19">
        <v>0</v>
      </c>
      <c r="P448" s="18">
        <v>0</v>
      </c>
      <c r="Q448" s="18">
        <v>0</v>
      </c>
      <c r="R448" s="18">
        <v>0</v>
      </c>
      <c r="S448" s="18">
        <v>1</v>
      </c>
      <c r="T448" s="18">
        <v>0</v>
      </c>
      <c r="U448" s="432"/>
      <c r="V448" s="19">
        <v>1</v>
      </c>
      <c r="W448" s="28">
        <v>6</v>
      </c>
    </row>
    <row r="449" spans="1:23" ht="19.5" customHeight="1" thickTop="1" x14ac:dyDescent="0.45">
      <c r="A449" s="63">
        <v>39083</v>
      </c>
      <c r="B449" s="14">
        <v>0</v>
      </c>
      <c r="C449" s="10">
        <v>0</v>
      </c>
      <c r="D449" s="10">
        <v>0</v>
      </c>
      <c r="E449" s="10">
        <v>0</v>
      </c>
      <c r="F449" s="10">
        <v>0</v>
      </c>
      <c r="G449" s="430">
        <v>0</v>
      </c>
      <c r="H449" s="9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430">
        <v>0</v>
      </c>
      <c r="O449" s="9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430"/>
      <c r="V449" s="9">
        <v>0</v>
      </c>
      <c r="W449" s="28">
        <v>0</v>
      </c>
    </row>
    <row r="450" spans="1:23" x14ac:dyDescent="0.45">
      <c r="A450" s="64">
        <v>39114</v>
      </c>
      <c r="B450" s="14">
        <v>0</v>
      </c>
      <c r="C450" s="10">
        <v>0</v>
      </c>
      <c r="D450" s="10">
        <v>0</v>
      </c>
      <c r="E450" s="11">
        <v>1</v>
      </c>
      <c r="F450" s="10">
        <v>0</v>
      </c>
      <c r="G450" s="430">
        <v>0</v>
      </c>
      <c r="H450" s="8">
        <v>1</v>
      </c>
      <c r="I450" s="10">
        <v>0</v>
      </c>
      <c r="J450" s="10">
        <v>0</v>
      </c>
      <c r="K450" s="10">
        <v>0</v>
      </c>
      <c r="L450" s="11">
        <v>0</v>
      </c>
      <c r="M450" s="10">
        <v>0</v>
      </c>
      <c r="N450" s="430">
        <v>0</v>
      </c>
      <c r="O450" s="8">
        <v>0</v>
      </c>
      <c r="P450" s="10">
        <v>0</v>
      </c>
      <c r="Q450" s="10">
        <v>0</v>
      </c>
      <c r="R450" s="10">
        <v>0</v>
      </c>
      <c r="S450" s="10">
        <v>1</v>
      </c>
      <c r="T450" s="10">
        <v>0</v>
      </c>
      <c r="U450" s="430"/>
      <c r="V450" s="9">
        <v>1</v>
      </c>
      <c r="W450" s="28">
        <v>1</v>
      </c>
    </row>
    <row r="451" spans="1:23" x14ac:dyDescent="0.45">
      <c r="A451" s="64">
        <v>39142</v>
      </c>
      <c r="B451" s="14">
        <v>0</v>
      </c>
      <c r="C451" s="10">
        <v>0</v>
      </c>
      <c r="D451" s="10">
        <v>0</v>
      </c>
      <c r="E451" s="11">
        <v>0</v>
      </c>
      <c r="F451" s="10">
        <v>0</v>
      </c>
      <c r="G451" s="430">
        <v>0</v>
      </c>
      <c r="H451" s="8">
        <v>0</v>
      </c>
      <c r="I451" s="10">
        <v>0</v>
      </c>
      <c r="J451" s="10">
        <v>0</v>
      </c>
      <c r="K451" s="10">
        <v>0</v>
      </c>
      <c r="L451" s="11">
        <v>0</v>
      </c>
      <c r="M451" s="10">
        <v>0</v>
      </c>
      <c r="N451" s="430">
        <v>0</v>
      </c>
      <c r="O451" s="8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430"/>
      <c r="V451" s="9">
        <v>0</v>
      </c>
      <c r="W451" s="28">
        <v>1</v>
      </c>
    </row>
    <row r="452" spans="1:23" x14ac:dyDescent="0.45">
      <c r="A452" s="64">
        <v>39173</v>
      </c>
      <c r="B452" s="14">
        <v>0</v>
      </c>
      <c r="C452" s="10">
        <v>1</v>
      </c>
      <c r="D452" s="10">
        <v>0</v>
      </c>
      <c r="E452" s="11">
        <v>1</v>
      </c>
      <c r="F452" s="10">
        <v>0</v>
      </c>
      <c r="G452" s="430">
        <v>0</v>
      </c>
      <c r="H452" s="8">
        <v>2</v>
      </c>
      <c r="I452" s="10">
        <v>0</v>
      </c>
      <c r="J452" s="10">
        <v>0</v>
      </c>
      <c r="K452" s="10">
        <v>0</v>
      </c>
      <c r="L452" s="11">
        <v>0</v>
      </c>
      <c r="M452" s="10">
        <v>0</v>
      </c>
      <c r="N452" s="430">
        <v>0</v>
      </c>
      <c r="O452" s="8">
        <v>0</v>
      </c>
      <c r="P452" s="10">
        <v>0</v>
      </c>
      <c r="Q452" s="10">
        <v>1</v>
      </c>
      <c r="R452" s="10">
        <v>0</v>
      </c>
      <c r="S452" s="10">
        <v>1</v>
      </c>
      <c r="T452" s="10">
        <v>0</v>
      </c>
      <c r="U452" s="430"/>
      <c r="V452" s="9">
        <v>2</v>
      </c>
      <c r="W452" s="28">
        <v>3</v>
      </c>
    </row>
    <row r="453" spans="1:23" x14ac:dyDescent="0.45">
      <c r="A453" s="64">
        <v>39203</v>
      </c>
      <c r="B453" s="14">
        <v>1</v>
      </c>
      <c r="C453" s="10">
        <v>0</v>
      </c>
      <c r="D453" s="10">
        <v>0</v>
      </c>
      <c r="E453" s="11">
        <v>1</v>
      </c>
      <c r="F453" s="10">
        <v>0</v>
      </c>
      <c r="G453" s="430">
        <v>0</v>
      </c>
      <c r="H453" s="8">
        <v>2</v>
      </c>
      <c r="I453" s="10">
        <v>0</v>
      </c>
      <c r="J453" s="10">
        <v>0</v>
      </c>
      <c r="K453" s="10">
        <v>0</v>
      </c>
      <c r="L453" s="11">
        <v>0</v>
      </c>
      <c r="M453" s="10">
        <v>0</v>
      </c>
      <c r="N453" s="430">
        <v>0</v>
      </c>
      <c r="O453" s="8">
        <v>0</v>
      </c>
      <c r="P453" s="10">
        <v>1</v>
      </c>
      <c r="Q453" s="10">
        <v>0</v>
      </c>
      <c r="R453" s="10">
        <v>0</v>
      </c>
      <c r="S453" s="10">
        <v>1</v>
      </c>
      <c r="T453" s="10">
        <v>0</v>
      </c>
      <c r="U453" s="430"/>
      <c r="V453" s="9">
        <v>2</v>
      </c>
      <c r="W453" s="28">
        <v>5</v>
      </c>
    </row>
    <row r="454" spans="1:23" x14ac:dyDescent="0.45">
      <c r="A454" s="64">
        <v>39234</v>
      </c>
      <c r="B454" s="14">
        <v>0</v>
      </c>
      <c r="C454" s="10">
        <v>0</v>
      </c>
      <c r="D454" s="10">
        <v>0</v>
      </c>
      <c r="E454" s="11">
        <v>1</v>
      </c>
      <c r="F454" s="10">
        <v>0</v>
      </c>
      <c r="G454" s="430">
        <v>0</v>
      </c>
      <c r="H454" s="8">
        <v>1</v>
      </c>
      <c r="I454" s="10">
        <v>0</v>
      </c>
      <c r="J454" s="10">
        <v>0</v>
      </c>
      <c r="K454" s="10">
        <v>0</v>
      </c>
      <c r="L454" s="11">
        <v>0</v>
      </c>
      <c r="M454" s="10">
        <v>0</v>
      </c>
      <c r="N454" s="430">
        <v>0</v>
      </c>
      <c r="O454" s="8">
        <v>0</v>
      </c>
      <c r="P454" s="10">
        <v>0</v>
      </c>
      <c r="Q454" s="10">
        <v>0</v>
      </c>
      <c r="R454" s="10">
        <v>0</v>
      </c>
      <c r="S454" s="10">
        <v>1</v>
      </c>
      <c r="T454" s="10">
        <v>0</v>
      </c>
      <c r="U454" s="430"/>
      <c r="V454" s="9">
        <v>1</v>
      </c>
      <c r="W454" s="28">
        <v>6</v>
      </c>
    </row>
    <row r="455" spans="1:23" x14ac:dyDescent="0.45">
      <c r="A455" s="64">
        <v>39264</v>
      </c>
      <c r="B455" s="14">
        <v>0</v>
      </c>
      <c r="C455" s="10">
        <v>0</v>
      </c>
      <c r="D455" s="10">
        <v>0</v>
      </c>
      <c r="E455" s="11">
        <v>1</v>
      </c>
      <c r="F455" s="10">
        <v>0</v>
      </c>
      <c r="G455" s="430">
        <v>0</v>
      </c>
      <c r="H455" s="8">
        <v>1</v>
      </c>
      <c r="I455" s="10">
        <v>0</v>
      </c>
      <c r="J455" s="10">
        <v>0</v>
      </c>
      <c r="K455" s="10">
        <v>0</v>
      </c>
      <c r="L455" s="11">
        <v>0</v>
      </c>
      <c r="M455" s="10">
        <v>0</v>
      </c>
      <c r="N455" s="430">
        <v>0</v>
      </c>
      <c r="O455" s="8">
        <v>0</v>
      </c>
      <c r="P455" s="10">
        <v>0</v>
      </c>
      <c r="Q455" s="10">
        <v>0</v>
      </c>
      <c r="R455" s="10">
        <v>0</v>
      </c>
      <c r="S455" s="10">
        <v>1</v>
      </c>
      <c r="T455" s="10">
        <v>0</v>
      </c>
      <c r="U455" s="430"/>
      <c r="V455" s="9">
        <v>1</v>
      </c>
      <c r="W455" s="28">
        <v>7</v>
      </c>
    </row>
    <row r="456" spans="1:23" x14ac:dyDescent="0.45">
      <c r="A456" s="64">
        <v>39295</v>
      </c>
      <c r="B456" s="14">
        <v>0</v>
      </c>
      <c r="C456" s="10">
        <v>0</v>
      </c>
      <c r="D456" s="10">
        <v>0</v>
      </c>
      <c r="E456" s="11">
        <v>0</v>
      </c>
      <c r="F456" s="10">
        <v>0</v>
      </c>
      <c r="G456" s="430">
        <v>0</v>
      </c>
      <c r="H456" s="8">
        <v>0</v>
      </c>
      <c r="I456" s="10">
        <v>0</v>
      </c>
      <c r="J456" s="10">
        <v>0</v>
      </c>
      <c r="K456" s="10">
        <v>0</v>
      </c>
      <c r="L456" s="11">
        <v>0</v>
      </c>
      <c r="M456" s="10">
        <v>0</v>
      </c>
      <c r="N456" s="430">
        <v>0</v>
      </c>
      <c r="O456" s="8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430"/>
      <c r="V456" s="9">
        <v>0</v>
      </c>
      <c r="W456" s="28">
        <v>7</v>
      </c>
    </row>
    <row r="457" spans="1:23" x14ac:dyDescent="0.45">
      <c r="A457" s="64">
        <v>39326</v>
      </c>
      <c r="B457" s="14">
        <v>0</v>
      </c>
      <c r="C457" s="10">
        <v>1</v>
      </c>
      <c r="D457" s="10">
        <v>0</v>
      </c>
      <c r="E457" s="11">
        <v>0</v>
      </c>
      <c r="F457" s="10">
        <v>0</v>
      </c>
      <c r="G457" s="430">
        <v>0</v>
      </c>
      <c r="H457" s="8">
        <v>1</v>
      </c>
      <c r="I457" s="10">
        <v>0</v>
      </c>
      <c r="J457" s="10">
        <v>0</v>
      </c>
      <c r="K457" s="10">
        <v>0</v>
      </c>
      <c r="L457" s="11">
        <v>0</v>
      </c>
      <c r="M457" s="10">
        <v>0</v>
      </c>
      <c r="N457" s="430">
        <v>0</v>
      </c>
      <c r="O457" s="8">
        <v>0</v>
      </c>
      <c r="P457" s="10">
        <v>0</v>
      </c>
      <c r="Q457" s="10">
        <v>1</v>
      </c>
      <c r="R457" s="10">
        <v>0</v>
      </c>
      <c r="S457" s="10">
        <v>0</v>
      </c>
      <c r="T457" s="10">
        <v>0</v>
      </c>
      <c r="U457" s="430"/>
      <c r="V457" s="9">
        <v>1</v>
      </c>
      <c r="W457" s="28">
        <v>8</v>
      </c>
    </row>
    <row r="458" spans="1:23" x14ac:dyDescent="0.45">
      <c r="A458" s="64">
        <v>39356</v>
      </c>
      <c r="B458" s="14">
        <v>0</v>
      </c>
      <c r="C458" s="10">
        <v>0</v>
      </c>
      <c r="D458" s="10">
        <v>0</v>
      </c>
      <c r="E458" s="11">
        <v>1</v>
      </c>
      <c r="F458" s="10">
        <v>0</v>
      </c>
      <c r="G458" s="430">
        <v>0</v>
      </c>
      <c r="H458" s="8">
        <v>1</v>
      </c>
      <c r="I458" s="10">
        <v>0</v>
      </c>
      <c r="J458" s="10">
        <v>0</v>
      </c>
      <c r="K458" s="10">
        <v>0</v>
      </c>
      <c r="L458" s="11">
        <v>0</v>
      </c>
      <c r="M458" s="10">
        <v>0</v>
      </c>
      <c r="N458" s="430">
        <v>0</v>
      </c>
      <c r="O458" s="8">
        <v>0</v>
      </c>
      <c r="P458" s="10">
        <v>0</v>
      </c>
      <c r="Q458" s="10">
        <v>0</v>
      </c>
      <c r="R458" s="10">
        <v>0</v>
      </c>
      <c r="S458" s="10">
        <v>1</v>
      </c>
      <c r="T458" s="10">
        <v>0</v>
      </c>
      <c r="U458" s="430"/>
      <c r="V458" s="9">
        <v>1</v>
      </c>
      <c r="W458" s="28">
        <v>9</v>
      </c>
    </row>
    <row r="459" spans="1:23" x14ac:dyDescent="0.45">
      <c r="A459" s="64">
        <v>39387</v>
      </c>
      <c r="B459" s="14">
        <v>0</v>
      </c>
      <c r="C459" s="10">
        <v>1</v>
      </c>
      <c r="D459" s="10">
        <v>0</v>
      </c>
      <c r="E459" s="11">
        <v>0</v>
      </c>
      <c r="F459" s="10">
        <v>0</v>
      </c>
      <c r="G459" s="430">
        <v>0</v>
      </c>
      <c r="H459" s="8">
        <v>1</v>
      </c>
      <c r="I459" s="10">
        <v>0</v>
      </c>
      <c r="J459" s="10">
        <v>0</v>
      </c>
      <c r="K459" s="10">
        <v>0</v>
      </c>
      <c r="L459" s="11">
        <v>0</v>
      </c>
      <c r="M459" s="10">
        <v>0</v>
      </c>
      <c r="N459" s="430">
        <v>0</v>
      </c>
      <c r="O459" s="8">
        <v>0</v>
      </c>
      <c r="P459" s="10">
        <v>0</v>
      </c>
      <c r="Q459" s="10">
        <v>1</v>
      </c>
      <c r="R459" s="10">
        <v>0</v>
      </c>
      <c r="S459" s="10">
        <v>0</v>
      </c>
      <c r="T459" s="10">
        <v>0</v>
      </c>
      <c r="U459" s="430"/>
      <c r="V459" s="9">
        <v>1</v>
      </c>
      <c r="W459" s="28">
        <v>10</v>
      </c>
    </row>
    <row r="460" spans="1:23" ht="19.5" customHeight="1" thickBot="1" x14ac:dyDescent="0.5">
      <c r="A460" s="65">
        <v>39417</v>
      </c>
      <c r="B460" s="17">
        <v>0</v>
      </c>
      <c r="C460" s="18">
        <v>0</v>
      </c>
      <c r="D460" s="18">
        <v>0</v>
      </c>
      <c r="E460" s="18">
        <v>0</v>
      </c>
      <c r="F460" s="18">
        <v>0</v>
      </c>
      <c r="G460" s="432">
        <v>0</v>
      </c>
      <c r="H460" s="19">
        <v>0</v>
      </c>
      <c r="I460" s="18">
        <v>0</v>
      </c>
      <c r="J460" s="18">
        <v>0</v>
      </c>
      <c r="K460" s="18">
        <v>0</v>
      </c>
      <c r="L460" s="18">
        <v>0</v>
      </c>
      <c r="M460" s="18">
        <v>0</v>
      </c>
      <c r="N460" s="432">
        <v>0</v>
      </c>
      <c r="O460" s="19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432"/>
      <c r="V460" s="19">
        <v>0</v>
      </c>
      <c r="W460" s="28">
        <v>10</v>
      </c>
    </row>
    <row r="461" spans="1:23" ht="19.5" customHeight="1" thickTop="1" x14ac:dyDescent="0.45">
      <c r="A461" s="63">
        <v>39448</v>
      </c>
      <c r="B461" s="14">
        <v>0</v>
      </c>
      <c r="C461" s="10">
        <v>0</v>
      </c>
      <c r="D461" s="10">
        <v>0</v>
      </c>
      <c r="E461" s="10">
        <v>0</v>
      </c>
      <c r="F461" s="10">
        <v>0</v>
      </c>
      <c r="G461" s="430">
        <v>0</v>
      </c>
      <c r="H461" s="9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430">
        <v>0</v>
      </c>
      <c r="O461" s="9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430"/>
      <c r="V461" s="9">
        <v>0</v>
      </c>
      <c r="W461" s="28">
        <v>0</v>
      </c>
    </row>
    <row r="462" spans="1:23" x14ac:dyDescent="0.45">
      <c r="A462" s="64">
        <v>39479</v>
      </c>
      <c r="B462" s="14">
        <v>0</v>
      </c>
      <c r="C462" s="10">
        <v>0</v>
      </c>
      <c r="D462" s="10">
        <v>0</v>
      </c>
      <c r="E462" s="11">
        <v>0</v>
      </c>
      <c r="F462" s="10">
        <v>0</v>
      </c>
      <c r="G462" s="430">
        <v>0</v>
      </c>
      <c r="H462" s="8">
        <v>0</v>
      </c>
      <c r="I462" s="10">
        <v>0</v>
      </c>
      <c r="J462" s="10">
        <v>0</v>
      </c>
      <c r="K462" s="10">
        <v>0</v>
      </c>
      <c r="L462" s="11">
        <v>0</v>
      </c>
      <c r="M462" s="10">
        <v>0</v>
      </c>
      <c r="N462" s="430">
        <v>0</v>
      </c>
      <c r="O462" s="8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430"/>
      <c r="V462" s="9">
        <v>0</v>
      </c>
      <c r="W462" s="28">
        <v>0</v>
      </c>
    </row>
    <row r="463" spans="1:23" x14ac:dyDescent="0.45">
      <c r="A463" s="64">
        <v>39508</v>
      </c>
      <c r="B463" s="14">
        <v>0</v>
      </c>
      <c r="C463" s="10">
        <v>0</v>
      </c>
      <c r="D463" s="10">
        <v>0</v>
      </c>
      <c r="E463" s="11">
        <v>0</v>
      </c>
      <c r="F463" s="10">
        <v>0</v>
      </c>
      <c r="G463" s="430">
        <v>0</v>
      </c>
      <c r="H463" s="8">
        <v>0</v>
      </c>
      <c r="I463" s="10">
        <v>0</v>
      </c>
      <c r="J463" s="10">
        <v>0</v>
      </c>
      <c r="K463" s="10">
        <v>0</v>
      </c>
      <c r="L463" s="11">
        <v>0</v>
      </c>
      <c r="M463" s="10">
        <v>0</v>
      </c>
      <c r="N463" s="430">
        <v>0</v>
      </c>
      <c r="O463" s="8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430"/>
      <c r="V463" s="9">
        <v>0</v>
      </c>
      <c r="W463" s="28">
        <v>0</v>
      </c>
    </row>
    <row r="464" spans="1:23" x14ac:dyDescent="0.45">
      <c r="A464" s="64">
        <v>39539</v>
      </c>
      <c r="B464" s="14">
        <v>0</v>
      </c>
      <c r="C464" s="10">
        <v>0</v>
      </c>
      <c r="D464" s="10">
        <v>0</v>
      </c>
      <c r="E464" s="11">
        <v>1</v>
      </c>
      <c r="F464" s="10">
        <v>0</v>
      </c>
      <c r="G464" s="430">
        <v>0</v>
      </c>
      <c r="H464" s="8">
        <v>1</v>
      </c>
      <c r="I464" s="10">
        <v>0</v>
      </c>
      <c r="J464" s="10">
        <v>0</v>
      </c>
      <c r="K464" s="10">
        <v>0</v>
      </c>
      <c r="L464" s="11">
        <v>0</v>
      </c>
      <c r="M464" s="10">
        <v>0</v>
      </c>
      <c r="N464" s="430">
        <v>0</v>
      </c>
      <c r="O464" s="8">
        <v>0</v>
      </c>
      <c r="P464" s="10">
        <v>0</v>
      </c>
      <c r="Q464" s="10">
        <v>0</v>
      </c>
      <c r="R464" s="10">
        <v>0</v>
      </c>
      <c r="S464" s="10">
        <v>1</v>
      </c>
      <c r="T464" s="10">
        <v>0</v>
      </c>
      <c r="U464" s="430"/>
      <c r="V464" s="9">
        <v>1</v>
      </c>
      <c r="W464" s="28">
        <v>1</v>
      </c>
    </row>
    <row r="465" spans="1:23" x14ac:dyDescent="0.45">
      <c r="A465" s="64">
        <v>39569</v>
      </c>
      <c r="B465" s="14">
        <v>0</v>
      </c>
      <c r="C465" s="10">
        <v>1</v>
      </c>
      <c r="D465" s="10">
        <v>0</v>
      </c>
      <c r="E465" s="11">
        <v>0</v>
      </c>
      <c r="F465" s="10">
        <v>0</v>
      </c>
      <c r="G465" s="430">
        <v>0</v>
      </c>
      <c r="H465" s="8">
        <v>1</v>
      </c>
      <c r="I465" s="10">
        <v>0</v>
      </c>
      <c r="J465" s="10">
        <v>0</v>
      </c>
      <c r="K465" s="10">
        <v>0</v>
      </c>
      <c r="L465" s="11">
        <v>0</v>
      </c>
      <c r="M465" s="10">
        <v>0</v>
      </c>
      <c r="N465" s="430">
        <v>0</v>
      </c>
      <c r="O465" s="8">
        <v>0</v>
      </c>
      <c r="P465" s="10">
        <v>0</v>
      </c>
      <c r="Q465" s="10">
        <v>1</v>
      </c>
      <c r="R465" s="10">
        <v>0</v>
      </c>
      <c r="S465" s="10">
        <v>0</v>
      </c>
      <c r="T465" s="10">
        <v>0</v>
      </c>
      <c r="U465" s="430"/>
      <c r="V465" s="9">
        <v>1</v>
      </c>
      <c r="W465" s="28">
        <v>2</v>
      </c>
    </row>
    <row r="466" spans="1:23" x14ac:dyDescent="0.45">
      <c r="A466" s="64">
        <v>39600</v>
      </c>
      <c r="B466" s="14">
        <v>0</v>
      </c>
      <c r="C466" s="10">
        <v>0</v>
      </c>
      <c r="D466" s="10">
        <v>0</v>
      </c>
      <c r="E466" s="11">
        <v>1</v>
      </c>
      <c r="F466" s="10">
        <v>0</v>
      </c>
      <c r="G466" s="430">
        <v>0</v>
      </c>
      <c r="H466" s="8">
        <v>1</v>
      </c>
      <c r="I466" s="10">
        <v>0</v>
      </c>
      <c r="J466" s="10">
        <v>0</v>
      </c>
      <c r="K466" s="10">
        <v>0</v>
      </c>
      <c r="L466" s="11">
        <v>0</v>
      </c>
      <c r="M466" s="10">
        <v>0</v>
      </c>
      <c r="N466" s="430">
        <v>0</v>
      </c>
      <c r="O466" s="8">
        <v>0</v>
      </c>
      <c r="P466" s="10">
        <v>0</v>
      </c>
      <c r="Q466" s="10">
        <v>0</v>
      </c>
      <c r="R466" s="10">
        <v>0</v>
      </c>
      <c r="S466" s="10">
        <v>1</v>
      </c>
      <c r="T466" s="10">
        <v>0</v>
      </c>
      <c r="U466" s="430"/>
      <c r="V466" s="9">
        <v>1</v>
      </c>
      <c r="W466" s="28">
        <v>3</v>
      </c>
    </row>
    <row r="467" spans="1:23" x14ac:dyDescent="0.45">
      <c r="A467" s="64">
        <v>39630</v>
      </c>
      <c r="B467" s="14">
        <v>0</v>
      </c>
      <c r="C467" s="10">
        <v>0</v>
      </c>
      <c r="D467" s="10">
        <v>0</v>
      </c>
      <c r="E467" s="11">
        <v>0</v>
      </c>
      <c r="F467" s="10">
        <v>0</v>
      </c>
      <c r="G467" s="430">
        <v>0</v>
      </c>
      <c r="H467" s="8">
        <v>0</v>
      </c>
      <c r="I467" s="10">
        <v>0</v>
      </c>
      <c r="J467" s="10">
        <v>0</v>
      </c>
      <c r="K467" s="10">
        <v>0</v>
      </c>
      <c r="L467" s="11">
        <v>0</v>
      </c>
      <c r="M467" s="10">
        <v>0</v>
      </c>
      <c r="N467" s="430">
        <v>0</v>
      </c>
      <c r="O467" s="8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430"/>
      <c r="V467" s="9">
        <v>0</v>
      </c>
      <c r="W467" s="28">
        <v>3</v>
      </c>
    </row>
    <row r="468" spans="1:23" x14ac:dyDescent="0.45">
      <c r="A468" s="64">
        <v>39661</v>
      </c>
      <c r="B468" s="14">
        <v>0</v>
      </c>
      <c r="C468" s="10">
        <v>0</v>
      </c>
      <c r="D468" s="10">
        <v>0</v>
      </c>
      <c r="E468" s="11">
        <v>0</v>
      </c>
      <c r="F468" s="10">
        <v>0</v>
      </c>
      <c r="G468" s="430">
        <v>0</v>
      </c>
      <c r="H468" s="8">
        <v>0</v>
      </c>
      <c r="I468" s="10">
        <v>0</v>
      </c>
      <c r="J468" s="10">
        <v>0</v>
      </c>
      <c r="K468" s="10">
        <v>0</v>
      </c>
      <c r="L468" s="11">
        <v>0</v>
      </c>
      <c r="M468" s="10">
        <v>0</v>
      </c>
      <c r="N468" s="430">
        <v>0</v>
      </c>
      <c r="O468" s="8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430"/>
      <c r="V468" s="9">
        <v>0</v>
      </c>
      <c r="W468" s="28">
        <v>3</v>
      </c>
    </row>
    <row r="469" spans="1:23" x14ac:dyDescent="0.45">
      <c r="A469" s="64">
        <v>39692</v>
      </c>
      <c r="B469" s="14">
        <v>1</v>
      </c>
      <c r="C469" s="10">
        <v>1</v>
      </c>
      <c r="D469" s="10">
        <v>0</v>
      </c>
      <c r="E469" s="11">
        <v>0</v>
      </c>
      <c r="F469" s="10">
        <v>0</v>
      </c>
      <c r="G469" s="430">
        <v>0</v>
      </c>
      <c r="H469" s="8">
        <v>2</v>
      </c>
      <c r="I469" s="10">
        <v>0</v>
      </c>
      <c r="J469" s="10">
        <v>0</v>
      </c>
      <c r="K469" s="10">
        <v>0</v>
      </c>
      <c r="L469" s="11">
        <v>0</v>
      </c>
      <c r="M469" s="10">
        <v>0</v>
      </c>
      <c r="N469" s="430">
        <v>0</v>
      </c>
      <c r="O469" s="8">
        <v>0</v>
      </c>
      <c r="P469" s="10">
        <v>1</v>
      </c>
      <c r="Q469" s="10">
        <v>1</v>
      </c>
      <c r="R469" s="10">
        <v>0</v>
      </c>
      <c r="S469" s="10">
        <v>0</v>
      </c>
      <c r="T469" s="10">
        <v>0</v>
      </c>
      <c r="U469" s="430"/>
      <c r="V469" s="9">
        <v>2</v>
      </c>
      <c r="W469" s="28">
        <v>5</v>
      </c>
    </row>
    <row r="470" spans="1:23" x14ac:dyDescent="0.45">
      <c r="A470" s="64">
        <v>39722</v>
      </c>
      <c r="B470" s="14">
        <v>0</v>
      </c>
      <c r="C470" s="10">
        <v>1</v>
      </c>
      <c r="D470" s="10">
        <v>0</v>
      </c>
      <c r="E470" s="11">
        <v>1</v>
      </c>
      <c r="F470" s="10">
        <v>0</v>
      </c>
      <c r="G470" s="430">
        <v>0</v>
      </c>
      <c r="H470" s="8">
        <v>2</v>
      </c>
      <c r="I470" s="10">
        <v>0</v>
      </c>
      <c r="J470" s="10">
        <v>0</v>
      </c>
      <c r="K470" s="10">
        <v>0</v>
      </c>
      <c r="L470" s="11">
        <v>0</v>
      </c>
      <c r="M470" s="10">
        <v>0</v>
      </c>
      <c r="N470" s="430">
        <v>0</v>
      </c>
      <c r="O470" s="8">
        <v>0</v>
      </c>
      <c r="P470" s="10">
        <v>0</v>
      </c>
      <c r="Q470" s="10">
        <v>1</v>
      </c>
      <c r="R470" s="10">
        <v>0</v>
      </c>
      <c r="S470" s="10">
        <v>1</v>
      </c>
      <c r="T470" s="10">
        <v>0</v>
      </c>
      <c r="U470" s="430"/>
      <c r="V470" s="9">
        <v>2</v>
      </c>
      <c r="W470" s="28">
        <v>7</v>
      </c>
    </row>
    <row r="471" spans="1:23" x14ac:dyDescent="0.45">
      <c r="A471" s="64">
        <v>39753</v>
      </c>
      <c r="B471" s="14">
        <v>1</v>
      </c>
      <c r="C471" s="10">
        <v>0</v>
      </c>
      <c r="D471" s="10">
        <v>0</v>
      </c>
      <c r="E471" s="11">
        <v>0</v>
      </c>
      <c r="F471" s="10">
        <v>0</v>
      </c>
      <c r="G471" s="430">
        <v>0</v>
      </c>
      <c r="H471" s="8">
        <v>1</v>
      </c>
      <c r="I471" s="10">
        <v>0</v>
      </c>
      <c r="J471" s="10">
        <v>0</v>
      </c>
      <c r="K471" s="10">
        <v>0</v>
      </c>
      <c r="L471" s="11">
        <v>0</v>
      </c>
      <c r="M471" s="10">
        <v>0</v>
      </c>
      <c r="N471" s="430">
        <v>0</v>
      </c>
      <c r="O471" s="8">
        <v>0</v>
      </c>
      <c r="P471" s="10">
        <v>1</v>
      </c>
      <c r="Q471" s="10">
        <v>0</v>
      </c>
      <c r="R471" s="10">
        <v>0</v>
      </c>
      <c r="S471" s="10">
        <v>0</v>
      </c>
      <c r="T471" s="10">
        <v>0</v>
      </c>
      <c r="U471" s="430"/>
      <c r="V471" s="9">
        <v>1</v>
      </c>
      <c r="W471" s="28">
        <v>8</v>
      </c>
    </row>
    <row r="472" spans="1:23" ht="19.5" customHeight="1" thickBot="1" x14ac:dyDescent="0.5">
      <c r="A472" s="65">
        <v>39783</v>
      </c>
      <c r="B472" s="17">
        <v>1</v>
      </c>
      <c r="C472" s="18">
        <v>1</v>
      </c>
      <c r="D472" s="18">
        <v>0</v>
      </c>
      <c r="E472" s="18">
        <v>1</v>
      </c>
      <c r="F472" s="18">
        <v>0</v>
      </c>
      <c r="G472" s="432">
        <v>0</v>
      </c>
      <c r="H472" s="19">
        <v>3</v>
      </c>
      <c r="I472" s="18">
        <v>0</v>
      </c>
      <c r="J472" s="18">
        <v>0</v>
      </c>
      <c r="K472" s="18">
        <v>0</v>
      </c>
      <c r="L472" s="18">
        <v>0</v>
      </c>
      <c r="M472" s="18">
        <v>0</v>
      </c>
      <c r="N472" s="432">
        <v>0</v>
      </c>
      <c r="O472" s="19">
        <v>0</v>
      </c>
      <c r="P472" s="18">
        <v>1</v>
      </c>
      <c r="Q472" s="18">
        <v>1</v>
      </c>
      <c r="R472" s="18">
        <v>0</v>
      </c>
      <c r="S472" s="18">
        <v>1</v>
      </c>
      <c r="T472" s="18">
        <v>0</v>
      </c>
      <c r="U472" s="432"/>
      <c r="V472" s="19">
        <v>3</v>
      </c>
      <c r="W472" s="28">
        <v>11</v>
      </c>
    </row>
    <row r="473" spans="1:23" ht="19.5" customHeight="1" thickTop="1" x14ac:dyDescent="0.45">
      <c r="A473" s="63">
        <v>39814</v>
      </c>
      <c r="B473" s="14">
        <v>0</v>
      </c>
      <c r="C473" s="10">
        <v>0</v>
      </c>
      <c r="D473" s="10">
        <v>0</v>
      </c>
      <c r="E473" s="10">
        <v>0</v>
      </c>
      <c r="F473" s="10">
        <v>0</v>
      </c>
      <c r="G473" s="430">
        <v>0</v>
      </c>
      <c r="H473" s="9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430">
        <v>0</v>
      </c>
      <c r="O473" s="9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430"/>
      <c r="V473" s="9">
        <v>0</v>
      </c>
      <c r="W473" s="28">
        <v>0</v>
      </c>
    </row>
    <row r="474" spans="1:23" x14ac:dyDescent="0.45">
      <c r="A474" s="64">
        <v>39845</v>
      </c>
      <c r="B474" s="14">
        <v>0</v>
      </c>
      <c r="C474" s="10">
        <v>0</v>
      </c>
      <c r="D474" s="10">
        <v>0</v>
      </c>
      <c r="E474" s="11">
        <v>0</v>
      </c>
      <c r="F474" s="10">
        <v>0</v>
      </c>
      <c r="G474" s="430">
        <v>0</v>
      </c>
      <c r="H474" s="8">
        <v>0</v>
      </c>
      <c r="I474" s="10">
        <v>0</v>
      </c>
      <c r="J474" s="10">
        <v>0</v>
      </c>
      <c r="K474" s="10">
        <v>0</v>
      </c>
      <c r="L474" s="11">
        <v>0</v>
      </c>
      <c r="M474" s="10">
        <v>0</v>
      </c>
      <c r="N474" s="430">
        <v>0</v>
      </c>
      <c r="O474" s="8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430"/>
      <c r="V474" s="9">
        <v>0</v>
      </c>
      <c r="W474" s="28">
        <v>0</v>
      </c>
    </row>
    <row r="475" spans="1:23" x14ac:dyDescent="0.45">
      <c r="A475" s="64">
        <v>39873</v>
      </c>
      <c r="B475" s="14">
        <v>0</v>
      </c>
      <c r="C475" s="10">
        <v>0</v>
      </c>
      <c r="D475" s="10">
        <v>0</v>
      </c>
      <c r="E475" s="11">
        <v>0</v>
      </c>
      <c r="F475" s="10">
        <v>0</v>
      </c>
      <c r="G475" s="430">
        <v>0</v>
      </c>
      <c r="H475" s="8">
        <v>0</v>
      </c>
      <c r="I475" s="10">
        <v>0</v>
      </c>
      <c r="J475" s="10">
        <v>0</v>
      </c>
      <c r="K475" s="10">
        <v>0</v>
      </c>
      <c r="L475" s="11">
        <v>0</v>
      </c>
      <c r="M475" s="10">
        <v>0</v>
      </c>
      <c r="N475" s="430">
        <v>0</v>
      </c>
      <c r="O475" s="8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430"/>
      <c r="V475" s="9">
        <v>0</v>
      </c>
      <c r="W475" s="28">
        <v>0</v>
      </c>
    </row>
    <row r="476" spans="1:23" x14ac:dyDescent="0.45">
      <c r="A476" s="64">
        <v>39904</v>
      </c>
      <c r="B476" s="14">
        <v>0</v>
      </c>
      <c r="C476" s="10">
        <v>1</v>
      </c>
      <c r="D476" s="10">
        <v>0</v>
      </c>
      <c r="E476" s="11">
        <v>1</v>
      </c>
      <c r="F476" s="10">
        <v>0</v>
      </c>
      <c r="G476" s="430">
        <v>0</v>
      </c>
      <c r="H476" s="8">
        <v>2</v>
      </c>
      <c r="I476" s="10">
        <v>0</v>
      </c>
      <c r="J476" s="10">
        <v>0</v>
      </c>
      <c r="K476" s="10">
        <v>0</v>
      </c>
      <c r="L476" s="11">
        <v>0</v>
      </c>
      <c r="M476" s="10">
        <v>0</v>
      </c>
      <c r="N476" s="430">
        <v>0</v>
      </c>
      <c r="O476" s="8">
        <v>0</v>
      </c>
      <c r="P476" s="10">
        <v>0</v>
      </c>
      <c r="Q476" s="10">
        <v>1</v>
      </c>
      <c r="R476" s="10">
        <v>0</v>
      </c>
      <c r="S476" s="10">
        <v>1</v>
      </c>
      <c r="T476" s="10">
        <v>0</v>
      </c>
      <c r="U476" s="430"/>
      <c r="V476" s="9">
        <v>2</v>
      </c>
      <c r="W476" s="28">
        <v>2</v>
      </c>
    </row>
    <row r="477" spans="1:23" x14ac:dyDescent="0.45">
      <c r="A477" s="64">
        <v>39934</v>
      </c>
      <c r="B477" s="14">
        <v>0</v>
      </c>
      <c r="C477" s="10">
        <v>0</v>
      </c>
      <c r="D477" s="10">
        <v>0</v>
      </c>
      <c r="E477" s="11">
        <v>0</v>
      </c>
      <c r="F477" s="10">
        <v>0</v>
      </c>
      <c r="G477" s="430">
        <v>0</v>
      </c>
      <c r="H477" s="8">
        <v>0</v>
      </c>
      <c r="I477" s="10">
        <v>0</v>
      </c>
      <c r="J477" s="10">
        <v>0</v>
      </c>
      <c r="K477" s="10">
        <v>0</v>
      </c>
      <c r="L477" s="11">
        <v>0</v>
      </c>
      <c r="M477" s="10">
        <v>0</v>
      </c>
      <c r="N477" s="430">
        <v>0</v>
      </c>
      <c r="O477" s="8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430"/>
      <c r="V477" s="9">
        <v>0</v>
      </c>
      <c r="W477" s="28">
        <v>2</v>
      </c>
    </row>
    <row r="478" spans="1:23" x14ac:dyDescent="0.45">
      <c r="A478" s="64">
        <v>39965</v>
      </c>
      <c r="B478" s="14">
        <v>0</v>
      </c>
      <c r="C478" s="10">
        <v>0</v>
      </c>
      <c r="D478" s="10">
        <v>0</v>
      </c>
      <c r="E478" s="11">
        <v>0</v>
      </c>
      <c r="F478" s="10">
        <v>0</v>
      </c>
      <c r="G478" s="430">
        <v>0</v>
      </c>
      <c r="H478" s="8">
        <v>0</v>
      </c>
      <c r="I478" s="10">
        <v>0</v>
      </c>
      <c r="J478" s="10">
        <v>0</v>
      </c>
      <c r="K478" s="10">
        <v>0</v>
      </c>
      <c r="L478" s="11">
        <v>0</v>
      </c>
      <c r="M478" s="10">
        <v>0</v>
      </c>
      <c r="N478" s="430">
        <v>0</v>
      </c>
      <c r="O478" s="8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430"/>
      <c r="V478" s="9">
        <v>0</v>
      </c>
      <c r="W478" s="28">
        <v>2</v>
      </c>
    </row>
    <row r="479" spans="1:23" x14ac:dyDescent="0.45">
      <c r="A479" s="64">
        <v>39995</v>
      </c>
      <c r="B479" s="14">
        <v>0</v>
      </c>
      <c r="C479" s="10">
        <v>0</v>
      </c>
      <c r="D479" s="10">
        <v>0</v>
      </c>
      <c r="E479" s="11">
        <v>0</v>
      </c>
      <c r="F479" s="10">
        <v>0</v>
      </c>
      <c r="G479" s="430">
        <v>0</v>
      </c>
      <c r="H479" s="8">
        <v>0</v>
      </c>
      <c r="I479" s="10">
        <v>0</v>
      </c>
      <c r="J479" s="10">
        <v>0</v>
      </c>
      <c r="K479" s="10">
        <v>0</v>
      </c>
      <c r="L479" s="11">
        <v>0</v>
      </c>
      <c r="M479" s="10">
        <v>0</v>
      </c>
      <c r="N479" s="430">
        <v>0</v>
      </c>
      <c r="O479" s="8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430"/>
      <c r="V479" s="9">
        <v>0</v>
      </c>
      <c r="W479" s="28">
        <v>2</v>
      </c>
    </row>
    <row r="480" spans="1:23" x14ac:dyDescent="0.45">
      <c r="A480" s="64">
        <v>40026</v>
      </c>
      <c r="B480" s="14">
        <v>0</v>
      </c>
      <c r="C480" s="10">
        <v>0</v>
      </c>
      <c r="D480" s="10">
        <v>0</v>
      </c>
      <c r="E480" s="11">
        <v>1</v>
      </c>
      <c r="F480" s="10">
        <v>0</v>
      </c>
      <c r="G480" s="430">
        <v>0</v>
      </c>
      <c r="H480" s="8">
        <v>1</v>
      </c>
      <c r="I480" s="10">
        <v>0</v>
      </c>
      <c r="J480" s="10">
        <v>0</v>
      </c>
      <c r="K480" s="10">
        <v>0</v>
      </c>
      <c r="L480" s="11">
        <v>0</v>
      </c>
      <c r="M480" s="10">
        <v>0</v>
      </c>
      <c r="N480" s="430">
        <v>0</v>
      </c>
      <c r="O480" s="8">
        <v>0</v>
      </c>
      <c r="P480" s="10">
        <v>0</v>
      </c>
      <c r="Q480" s="10">
        <v>0</v>
      </c>
      <c r="R480" s="10">
        <v>0</v>
      </c>
      <c r="S480" s="10">
        <v>1</v>
      </c>
      <c r="T480" s="10">
        <v>0</v>
      </c>
      <c r="U480" s="430"/>
      <c r="V480" s="9">
        <v>1</v>
      </c>
      <c r="W480" s="28">
        <v>3</v>
      </c>
    </row>
    <row r="481" spans="1:23" x14ac:dyDescent="0.45">
      <c r="A481" s="64">
        <v>40057</v>
      </c>
      <c r="B481" s="14">
        <v>0</v>
      </c>
      <c r="C481" s="10">
        <v>0</v>
      </c>
      <c r="D481" s="10">
        <v>0</v>
      </c>
      <c r="E481" s="11">
        <v>0</v>
      </c>
      <c r="F481" s="10">
        <v>0</v>
      </c>
      <c r="G481" s="430">
        <v>0</v>
      </c>
      <c r="H481" s="8">
        <v>0</v>
      </c>
      <c r="I481" s="10">
        <v>0</v>
      </c>
      <c r="J481" s="10">
        <v>0</v>
      </c>
      <c r="K481" s="10">
        <v>0</v>
      </c>
      <c r="L481" s="11">
        <v>0</v>
      </c>
      <c r="M481" s="10">
        <v>0</v>
      </c>
      <c r="N481" s="430">
        <v>0</v>
      </c>
      <c r="O481" s="8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430"/>
      <c r="V481" s="9">
        <v>0</v>
      </c>
      <c r="W481" s="28">
        <v>3</v>
      </c>
    </row>
    <row r="482" spans="1:23" x14ac:dyDescent="0.45">
      <c r="A482" s="64">
        <v>40087</v>
      </c>
      <c r="B482" s="14">
        <v>0</v>
      </c>
      <c r="C482" s="10">
        <v>0</v>
      </c>
      <c r="D482" s="10">
        <v>0</v>
      </c>
      <c r="E482" s="11">
        <v>0</v>
      </c>
      <c r="F482" s="10">
        <v>0</v>
      </c>
      <c r="G482" s="430">
        <v>0</v>
      </c>
      <c r="H482" s="8">
        <v>0</v>
      </c>
      <c r="I482" s="10">
        <v>0</v>
      </c>
      <c r="J482" s="10">
        <v>0</v>
      </c>
      <c r="K482" s="10">
        <v>0</v>
      </c>
      <c r="L482" s="11">
        <v>0</v>
      </c>
      <c r="M482" s="10">
        <v>0</v>
      </c>
      <c r="N482" s="430">
        <v>0</v>
      </c>
      <c r="O482" s="8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430"/>
      <c r="V482" s="9">
        <v>0</v>
      </c>
      <c r="W482" s="28">
        <v>3</v>
      </c>
    </row>
    <row r="483" spans="1:23" x14ac:dyDescent="0.45">
      <c r="A483" s="64">
        <v>40118</v>
      </c>
      <c r="B483" s="14">
        <v>1</v>
      </c>
      <c r="C483" s="10">
        <v>0</v>
      </c>
      <c r="D483" s="10">
        <v>0</v>
      </c>
      <c r="E483" s="11">
        <v>0</v>
      </c>
      <c r="F483" s="10">
        <v>0</v>
      </c>
      <c r="G483" s="430">
        <v>0</v>
      </c>
      <c r="H483" s="8">
        <v>1</v>
      </c>
      <c r="I483" s="10">
        <v>0</v>
      </c>
      <c r="J483" s="10">
        <v>0</v>
      </c>
      <c r="K483" s="10">
        <v>0</v>
      </c>
      <c r="L483" s="11">
        <v>0</v>
      </c>
      <c r="M483" s="10">
        <v>0</v>
      </c>
      <c r="N483" s="430">
        <v>0</v>
      </c>
      <c r="O483" s="8">
        <v>0</v>
      </c>
      <c r="P483" s="10">
        <v>1</v>
      </c>
      <c r="Q483" s="10">
        <v>0</v>
      </c>
      <c r="R483" s="10">
        <v>0</v>
      </c>
      <c r="S483" s="10">
        <v>0</v>
      </c>
      <c r="T483" s="10">
        <v>0</v>
      </c>
      <c r="U483" s="430"/>
      <c r="V483" s="9">
        <v>1</v>
      </c>
      <c r="W483" s="28">
        <v>4</v>
      </c>
    </row>
    <row r="484" spans="1:23" ht="19.5" customHeight="1" thickBot="1" x14ac:dyDescent="0.5">
      <c r="A484" s="65">
        <v>40148</v>
      </c>
      <c r="B484" s="17">
        <v>1</v>
      </c>
      <c r="C484" s="18">
        <v>1</v>
      </c>
      <c r="D484" s="18">
        <v>0</v>
      </c>
      <c r="E484" s="18">
        <v>0</v>
      </c>
      <c r="F484" s="18">
        <v>0</v>
      </c>
      <c r="G484" s="432">
        <v>0</v>
      </c>
      <c r="H484" s="19">
        <v>2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432">
        <v>0</v>
      </c>
      <c r="O484" s="19">
        <v>0</v>
      </c>
      <c r="P484" s="18">
        <v>1</v>
      </c>
      <c r="Q484" s="18">
        <v>1</v>
      </c>
      <c r="R484" s="18">
        <v>0</v>
      </c>
      <c r="S484" s="18">
        <v>0</v>
      </c>
      <c r="T484" s="18">
        <v>0</v>
      </c>
      <c r="U484" s="432"/>
      <c r="V484" s="19">
        <v>2</v>
      </c>
      <c r="W484" s="28">
        <v>6</v>
      </c>
    </row>
    <row r="485" spans="1:23" ht="19.5" customHeight="1" thickTop="1" x14ac:dyDescent="0.45">
      <c r="A485" s="63">
        <v>40179</v>
      </c>
      <c r="B485" s="14">
        <v>0</v>
      </c>
      <c r="C485" s="10">
        <v>0</v>
      </c>
      <c r="D485" s="10">
        <v>0</v>
      </c>
      <c r="E485" s="10">
        <v>1</v>
      </c>
      <c r="F485" s="10">
        <v>0</v>
      </c>
      <c r="G485" s="430">
        <v>0</v>
      </c>
      <c r="H485" s="9">
        <v>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430">
        <v>0</v>
      </c>
      <c r="O485" s="9">
        <v>0</v>
      </c>
      <c r="P485" s="10">
        <v>0</v>
      </c>
      <c r="Q485" s="10">
        <v>0</v>
      </c>
      <c r="R485" s="10">
        <v>0</v>
      </c>
      <c r="S485" s="10">
        <v>1</v>
      </c>
      <c r="T485" s="10">
        <v>0</v>
      </c>
      <c r="U485" s="430"/>
      <c r="V485" s="9">
        <v>1</v>
      </c>
      <c r="W485" s="28">
        <v>1</v>
      </c>
    </row>
    <row r="486" spans="1:23" x14ac:dyDescent="0.45">
      <c r="A486" s="64">
        <v>40210</v>
      </c>
      <c r="B486" s="14">
        <v>0</v>
      </c>
      <c r="C486" s="10">
        <v>0</v>
      </c>
      <c r="D486" s="10">
        <v>0</v>
      </c>
      <c r="E486" s="11">
        <v>0</v>
      </c>
      <c r="F486" s="10">
        <v>0</v>
      </c>
      <c r="G486" s="430">
        <v>0</v>
      </c>
      <c r="H486" s="8">
        <v>0</v>
      </c>
      <c r="I486" s="10">
        <v>0</v>
      </c>
      <c r="J486" s="10">
        <v>0</v>
      </c>
      <c r="K486" s="10">
        <v>0</v>
      </c>
      <c r="L486" s="11">
        <v>0</v>
      </c>
      <c r="M486" s="10">
        <v>0</v>
      </c>
      <c r="N486" s="430">
        <v>0</v>
      </c>
      <c r="O486" s="8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430"/>
      <c r="V486" s="9">
        <v>0</v>
      </c>
      <c r="W486" s="28">
        <v>1</v>
      </c>
    </row>
    <row r="487" spans="1:23" x14ac:dyDescent="0.45">
      <c r="A487" s="64">
        <v>40238</v>
      </c>
      <c r="B487" s="14">
        <v>1</v>
      </c>
      <c r="C487" s="10">
        <v>0</v>
      </c>
      <c r="D487" s="10">
        <v>0</v>
      </c>
      <c r="E487" s="11">
        <v>0</v>
      </c>
      <c r="F487" s="10">
        <v>0</v>
      </c>
      <c r="G487" s="430">
        <v>0</v>
      </c>
      <c r="H487" s="8">
        <v>1</v>
      </c>
      <c r="I487" s="10">
        <v>0</v>
      </c>
      <c r="J487" s="10">
        <v>0</v>
      </c>
      <c r="K487" s="10">
        <v>0</v>
      </c>
      <c r="L487" s="11">
        <v>0</v>
      </c>
      <c r="M487" s="10">
        <v>0</v>
      </c>
      <c r="N487" s="430">
        <v>0</v>
      </c>
      <c r="O487" s="8">
        <v>0</v>
      </c>
      <c r="P487" s="10">
        <v>1</v>
      </c>
      <c r="Q487" s="10">
        <v>0</v>
      </c>
      <c r="R487" s="10">
        <v>0</v>
      </c>
      <c r="S487" s="10">
        <v>0</v>
      </c>
      <c r="T487" s="10">
        <v>0</v>
      </c>
      <c r="U487" s="430"/>
      <c r="V487" s="9">
        <v>1</v>
      </c>
      <c r="W487" s="28">
        <v>2</v>
      </c>
    </row>
    <row r="488" spans="1:23" x14ac:dyDescent="0.45">
      <c r="A488" s="64">
        <v>40269</v>
      </c>
      <c r="B488" s="14">
        <v>0</v>
      </c>
      <c r="C488" s="10">
        <v>0</v>
      </c>
      <c r="D488" s="10">
        <v>0</v>
      </c>
      <c r="E488" s="11">
        <v>0</v>
      </c>
      <c r="F488" s="10">
        <v>0</v>
      </c>
      <c r="G488" s="430">
        <v>0</v>
      </c>
      <c r="H488" s="8">
        <v>0</v>
      </c>
      <c r="I488" s="10">
        <v>0</v>
      </c>
      <c r="J488" s="10">
        <v>0</v>
      </c>
      <c r="K488" s="10">
        <v>0</v>
      </c>
      <c r="L488" s="11">
        <v>0</v>
      </c>
      <c r="M488" s="10">
        <v>0</v>
      </c>
      <c r="N488" s="430">
        <v>0</v>
      </c>
      <c r="O488" s="8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430"/>
      <c r="V488" s="9">
        <v>0</v>
      </c>
      <c r="W488" s="28">
        <v>2</v>
      </c>
    </row>
    <row r="489" spans="1:23" x14ac:dyDescent="0.45">
      <c r="A489" s="64">
        <v>40299</v>
      </c>
      <c r="B489" s="14">
        <v>0</v>
      </c>
      <c r="C489" s="10">
        <v>0</v>
      </c>
      <c r="D489" s="10">
        <v>0</v>
      </c>
      <c r="E489" s="11">
        <v>0</v>
      </c>
      <c r="F489" s="10">
        <v>0</v>
      </c>
      <c r="G489" s="430">
        <v>0</v>
      </c>
      <c r="H489" s="8">
        <v>0</v>
      </c>
      <c r="I489" s="10">
        <v>0</v>
      </c>
      <c r="J489" s="10">
        <v>0</v>
      </c>
      <c r="K489" s="10">
        <v>0</v>
      </c>
      <c r="L489" s="11">
        <v>0</v>
      </c>
      <c r="M489" s="10">
        <v>0</v>
      </c>
      <c r="N489" s="430">
        <v>0</v>
      </c>
      <c r="O489" s="8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430"/>
      <c r="V489" s="9">
        <v>0</v>
      </c>
      <c r="W489" s="28">
        <v>2</v>
      </c>
    </row>
    <row r="490" spans="1:23" x14ac:dyDescent="0.45">
      <c r="A490" s="64">
        <v>40330</v>
      </c>
      <c r="B490" s="14">
        <v>1</v>
      </c>
      <c r="C490" s="10">
        <v>0</v>
      </c>
      <c r="D490" s="10">
        <v>0</v>
      </c>
      <c r="E490" s="11">
        <v>1</v>
      </c>
      <c r="F490" s="10">
        <v>0</v>
      </c>
      <c r="G490" s="430">
        <v>0</v>
      </c>
      <c r="H490" s="8">
        <v>2</v>
      </c>
      <c r="I490" s="10">
        <v>0</v>
      </c>
      <c r="J490" s="10">
        <v>0</v>
      </c>
      <c r="K490" s="10">
        <v>0</v>
      </c>
      <c r="L490" s="11">
        <v>0</v>
      </c>
      <c r="M490" s="10">
        <v>0</v>
      </c>
      <c r="N490" s="430">
        <v>0</v>
      </c>
      <c r="O490" s="8">
        <v>0</v>
      </c>
      <c r="P490" s="10">
        <v>1</v>
      </c>
      <c r="Q490" s="10">
        <v>0</v>
      </c>
      <c r="R490" s="10">
        <v>0</v>
      </c>
      <c r="S490" s="10">
        <v>1</v>
      </c>
      <c r="T490" s="10">
        <v>0</v>
      </c>
      <c r="U490" s="430"/>
      <c r="V490" s="9">
        <v>2</v>
      </c>
      <c r="W490" s="28">
        <v>4</v>
      </c>
    </row>
    <row r="491" spans="1:23" x14ac:dyDescent="0.45">
      <c r="A491" s="64">
        <v>40360</v>
      </c>
      <c r="B491" s="14">
        <v>0</v>
      </c>
      <c r="C491" s="10">
        <v>0</v>
      </c>
      <c r="D491" s="10">
        <v>0</v>
      </c>
      <c r="E491" s="11">
        <v>0</v>
      </c>
      <c r="F491" s="10">
        <v>0</v>
      </c>
      <c r="G491" s="430">
        <v>0</v>
      </c>
      <c r="H491" s="8">
        <v>0</v>
      </c>
      <c r="I491" s="10">
        <v>0</v>
      </c>
      <c r="J491" s="10">
        <v>0</v>
      </c>
      <c r="K491" s="10">
        <v>0</v>
      </c>
      <c r="L491" s="11">
        <v>0</v>
      </c>
      <c r="M491" s="10">
        <v>0</v>
      </c>
      <c r="N491" s="430">
        <v>0</v>
      </c>
      <c r="O491" s="8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430"/>
      <c r="V491" s="9">
        <v>0</v>
      </c>
      <c r="W491" s="28">
        <v>4</v>
      </c>
    </row>
    <row r="492" spans="1:23" x14ac:dyDescent="0.45">
      <c r="A492" s="64">
        <v>40391</v>
      </c>
      <c r="B492" s="14">
        <v>1</v>
      </c>
      <c r="C492" s="10">
        <v>1</v>
      </c>
      <c r="D492" s="10">
        <v>0</v>
      </c>
      <c r="E492" s="11">
        <v>1</v>
      </c>
      <c r="F492" s="10">
        <v>0</v>
      </c>
      <c r="G492" s="430">
        <v>0</v>
      </c>
      <c r="H492" s="8">
        <v>3</v>
      </c>
      <c r="I492" s="10">
        <v>0</v>
      </c>
      <c r="J492" s="10">
        <v>0</v>
      </c>
      <c r="K492" s="10">
        <v>0</v>
      </c>
      <c r="L492" s="11">
        <v>0</v>
      </c>
      <c r="M492" s="10">
        <v>0</v>
      </c>
      <c r="N492" s="430">
        <v>0</v>
      </c>
      <c r="O492" s="8">
        <v>0</v>
      </c>
      <c r="P492" s="10">
        <v>1</v>
      </c>
      <c r="Q492" s="10">
        <v>1</v>
      </c>
      <c r="R492" s="10">
        <v>0</v>
      </c>
      <c r="S492" s="10">
        <v>1</v>
      </c>
      <c r="T492" s="10">
        <v>0</v>
      </c>
      <c r="U492" s="430"/>
      <c r="V492" s="9">
        <v>3</v>
      </c>
      <c r="W492" s="28">
        <v>7</v>
      </c>
    </row>
    <row r="493" spans="1:23" x14ac:dyDescent="0.45">
      <c r="A493" s="64">
        <v>40422</v>
      </c>
      <c r="B493" s="14">
        <v>1</v>
      </c>
      <c r="C493" s="10">
        <v>0</v>
      </c>
      <c r="D493" s="10">
        <v>0</v>
      </c>
      <c r="E493" s="11">
        <v>1</v>
      </c>
      <c r="F493" s="10">
        <v>0</v>
      </c>
      <c r="G493" s="430">
        <v>0</v>
      </c>
      <c r="H493" s="8">
        <v>2</v>
      </c>
      <c r="I493" s="10">
        <v>0</v>
      </c>
      <c r="J493" s="10">
        <v>0</v>
      </c>
      <c r="K493" s="10">
        <v>0</v>
      </c>
      <c r="L493" s="11">
        <v>0</v>
      </c>
      <c r="M493" s="10">
        <v>0</v>
      </c>
      <c r="N493" s="430">
        <v>0</v>
      </c>
      <c r="O493" s="8">
        <v>0</v>
      </c>
      <c r="P493" s="10">
        <v>1</v>
      </c>
      <c r="Q493" s="10">
        <v>0</v>
      </c>
      <c r="R493" s="10">
        <v>0</v>
      </c>
      <c r="S493" s="10">
        <v>1</v>
      </c>
      <c r="T493" s="10">
        <v>0</v>
      </c>
      <c r="U493" s="430"/>
      <c r="V493" s="9">
        <v>2</v>
      </c>
      <c r="W493" s="28">
        <v>9</v>
      </c>
    </row>
    <row r="494" spans="1:23" x14ac:dyDescent="0.45">
      <c r="A494" s="64">
        <v>40452</v>
      </c>
      <c r="B494" s="14">
        <v>0</v>
      </c>
      <c r="C494" s="10">
        <v>1</v>
      </c>
      <c r="D494" s="10">
        <v>0</v>
      </c>
      <c r="E494" s="11">
        <v>1</v>
      </c>
      <c r="F494" s="10">
        <v>0</v>
      </c>
      <c r="G494" s="430">
        <v>0</v>
      </c>
      <c r="H494" s="8">
        <v>2</v>
      </c>
      <c r="I494" s="10">
        <v>0</v>
      </c>
      <c r="J494" s="10">
        <v>0</v>
      </c>
      <c r="K494" s="10">
        <v>0</v>
      </c>
      <c r="L494" s="11">
        <v>0</v>
      </c>
      <c r="M494" s="10">
        <v>0</v>
      </c>
      <c r="N494" s="430">
        <v>0</v>
      </c>
      <c r="O494" s="8">
        <v>0</v>
      </c>
      <c r="P494" s="10">
        <v>0</v>
      </c>
      <c r="Q494" s="10">
        <v>1</v>
      </c>
      <c r="R494" s="10">
        <v>0</v>
      </c>
      <c r="S494" s="10">
        <v>1</v>
      </c>
      <c r="T494" s="10">
        <v>0</v>
      </c>
      <c r="U494" s="430"/>
      <c r="V494" s="9">
        <v>2</v>
      </c>
      <c r="W494" s="28">
        <v>11</v>
      </c>
    </row>
    <row r="495" spans="1:23" x14ac:dyDescent="0.45">
      <c r="A495" s="64">
        <v>40483</v>
      </c>
      <c r="B495" s="14">
        <v>0</v>
      </c>
      <c r="C495" s="10">
        <v>1</v>
      </c>
      <c r="D495" s="10">
        <v>0</v>
      </c>
      <c r="E495" s="11">
        <v>2</v>
      </c>
      <c r="F495" s="10">
        <v>0</v>
      </c>
      <c r="G495" s="430">
        <v>0</v>
      </c>
      <c r="H495" s="8">
        <v>3</v>
      </c>
      <c r="I495" s="10">
        <v>0</v>
      </c>
      <c r="J495" s="10">
        <v>0</v>
      </c>
      <c r="K495" s="10">
        <v>0</v>
      </c>
      <c r="L495" s="11">
        <v>0</v>
      </c>
      <c r="M495" s="10">
        <v>0</v>
      </c>
      <c r="N495" s="430">
        <v>0</v>
      </c>
      <c r="O495" s="8">
        <v>0</v>
      </c>
      <c r="P495" s="10">
        <v>0</v>
      </c>
      <c r="Q495" s="10">
        <v>1</v>
      </c>
      <c r="R495" s="10">
        <v>0</v>
      </c>
      <c r="S495" s="10">
        <v>2</v>
      </c>
      <c r="T495" s="10">
        <v>0</v>
      </c>
      <c r="U495" s="430"/>
      <c r="V495" s="9">
        <v>3</v>
      </c>
      <c r="W495" s="28">
        <v>14</v>
      </c>
    </row>
    <row r="496" spans="1:23" ht="19.5" customHeight="1" x14ac:dyDescent="0.45">
      <c r="A496" s="69">
        <v>40513</v>
      </c>
      <c r="B496" s="16">
        <v>0</v>
      </c>
      <c r="C496" s="42">
        <v>0</v>
      </c>
      <c r="D496" s="42">
        <v>0</v>
      </c>
      <c r="E496" s="42">
        <v>1</v>
      </c>
      <c r="F496" s="42">
        <v>0</v>
      </c>
      <c r="G496" s="438">
        <v>0</v>
      </c>
      <c r="H496" s="43">
        <v>1</v>
      </c>
      <c r="I496" s="42">
        <v>0</v>
      </c>
      <c r="J496" s="42">
        <v>0</v>
      </c>
      <c r="K496" s="42">
        <v>0</v>
      </c>
      <c r="L496" s="42">
        <v>0</v>
      </c>
      <c r="M496" s="42">
        <v>0</v>
      </c>
      <c r="N496" s="438">
        <v>0</v>
      </c>
      <c r="O496" s="43">
        <v>0</v>
      </c>
      <c r="P496" s="42">
        <v>0</v>
      </c>
      <c r="Q496" s="42">
        <v>0</v>
      </c>
      <c r="R496" s="42">
        <v>0</v>
      </c>
      <c r="S496" s="42">
        <v>1</v>
      </c>
      <c r="T496" s="42">
        <v>0</v>
      </c>
      <c r="U496" s="438"/>
      <c r="V496" s="43">
        <v>1</v>
      </c>
      <c r="W496" s="95">
        <v>15</v>
      </c>
    </row>
    <row r="497" spans="1:23" s="52" customFormat="1" ht="19.5" customHeight="1" thickBot="1" x14ac:dyDescent="0.5">
      <c r="A497" s="92" t="s">
        <v>1094</v>
      </c>
      <c r="B497" s="39">
        <v>4</v>
      </c>
      <c r="C497" s="40">
        <v>3</v>
      </c>
      <c r="D497" s="40">
        <v>0</v>
      </c>
      <c r="E497" s="40">
        <v>8</v>
      </c>
      <c r="F497" s="40">
        <v>0</v>
      </c>
      <c r="G497" s="439">
        <v>0</v>
      </c>
      <c r="H497" s="41">
        <v>15</v>
      </c>
      <c r="I497" s="40">
        <v>0</v>
      </c>
      <c r="J497" s="40">
        <v>0</v>
      </c>
      <c r="K497" s="40">
        <v>0</v>
      </c>
      <c r="L497" s="40">
        <v>0</v>
      </c>
      <c r="M497" s="40">
        <v>0</v>
      </c>
      <c r="N497" s="439">
        <v>0</v>
      </c>
      <c r="O497" s="41">
        <v>0</v>
      </c>
      <c r="P497" s="40">
        <v>4</v>
      </c>
      <c r="Q497" s="40">
        <v>3</v>
      </c>
      <c r="R497" s="40">
        <v>0</v>
      </c>
      <c r="S497" s="40">
        <v>8</v>
      </c>
      <c r="T497" s="40">
        <v>0</v>
      </c>
      <c r="U497" s="439"/>
      <c r="V497" s="41">
        <v>15</v>
      </c>
      <c r="W497" s="93"/>
    </row>
    <row r="498" spans="1:23" ht="19.5" customHeight="1" thickTop="1" x14ac:dyDescent="0.45">
      <c r="A498" s="63">
        <v>40544</v>
      </c>
      <c r="B498" s="14">
        <v>0</v>
      </c>
      <c r="C498" s="10">
        <v>0</v>
      </c>
      <c r="D498" s="10">
        <v>0</v>
      </c>
      <c r="E498" s="10">
        <v>0</v>
      </c>
      <c r="F498" s="10">
        <v>0</v>
      </c>
      <c r="G498" s="430">
        <v>0</v>
      </c>
      <c r="H498" s="9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430">
        <v>0</v>
      </c>
      <c r="O498" s="9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430"/>
      <c r="V498" s="9">
        <v>0</v>
      </c>
      <c r="W498" s="28">
        <v>0</v>
      </c>
    </row>
    <row r="499" spans="1:23" x14ac:dyDescent="0.45">
      <c r="A499" s="64">
        <v>40575</v>
      </c>
      <c r="B499" s="14">
        <v>0</v>
      </c>
      <c r="C499" s="10">
        <v>0</v>
      </c>
      <c r="D499" s="10">
        <v>0</v>
      </c>
      <c r="E499" s="11">
        <v>0</v>
      </c>
      <c r="F499" s="10">
        <v>0</v>
      </c>
      <c r="G499" s="430">
        <v>0</v>
      </c>
      <c r="H499" s="8">
        <v>0</v>
      </c>
      <c r="I499" s="10">
        <v>0</v>
      </c>
      <c r="J499" s="10">
        <v>0</v>
      </c>
      <c r="K499" s="10">
        <v>0</v>
      </c>
      <c r="L499" s="11">
        <v>0</v>
      </c>
      <c r="M499" s="10">
        <v>0</v>
      </c>
      <c r="N499" s="430">
        <v>0</v>
      </c>
      <c r="O499" s="8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430"/>
      <c r="V499" s="9">
        <v>0</v>
      </c>
      <c r="W499" s="28">
        <v>0</v>
      </c>
    </row>
    <row r="500" spans="1:23" x14ac:dyDescent="0.45">
      <c r="A500" s="64">
        <v>40603</v>
      </c>
      <c r="B500" s="14">
        <v>0</v>
      </c>
      <c r="C500" s="10">
        <v>0</v>
      </c>
      <c r="D500" s="10">
        <v>0</v>
      </c>
      <c r="E500" s="11">
        <v>0</v>
      </c>
      <c r="F500" s="10">
        <v>0</v>
      </c>
      <c r="G500" s="430">
        <v>0</v>
      </c>
      <c r="H500" s="8">
        <v>0</v>
      </c>
      <c r="I500" s="10">
        <v>0</v>
      </c>
      <c r="J500" s="10">
        <v>0</v>
      </c>
      <c r="K500" s="10">
        <v>0</v>
      </c>
      <c r="L500" s="11">
        <v>0</v>
      </c>
      <c r="M500" s="10">
        <v>0</v>
      </c>
      <c r="N500" s="430">
        <v>0</v>
      </c>
      <c r="O500" s="8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430"/>
      <c r="V500" s="9">
        <v>0</v>
      </c>
      <c r="W500" s="28">
        <v>0</v>
      </c>
    </row>
    <row r="501" spans="1:23" x14ac:dyDescent="0.45">
      <c r="A501" s="64">
        <v>40634</v>
      </c>
      <c r="B501" s="14">
        <v>0</v>
      </c>
      <c r="C501" s="10">
        <v>0</v>
      </c>
      <c r="D501" s="10">
        <v>0</v>
      </c>
      <c r="E501" s="11">
        <v>1</v>
      </c>
      <c r="F501" s="10">
        <v>0</v>
      </c>
      <c r="G501" s="430">
        <v>0</v>
      </c>
      <c r="H501" s="8">
        <v>1</v>
      </c>
      <c r="I501" s="10">
        <v>0</v>
      </c>
      <c r="J501" s="10">
        <v>0</v>
      </c>
      <c r="K501" s="10">
        <v>0</v>
      </c>
      <c r="L501" s="11">
        <v>0</v>
      </c>
      <c r="M501" s="10">
        <v>0</v>
      </c>
      <c r="N501" s="430">
        <v>0</v>
      </c>
      <c r="O501" s="8">
        <v>0</v>
      </c>
      <c r="P501" s="10">
        <v>0</v>
      </c>
      <c r="Q501" s="10">
        <v>0</v>
      </c>
      <c r="R501" s="10">
        <v>0</v>
      </c>
      <c r="S501" s="10">
        <v>1</v>
      </c>
      <c r="T501" s="10">
        <v>0</v>
      </c>
      <c r="U501" s="430"/>
      <c r="V501" s="9">
        <v>1</v>
      </c>
      <c r="W501" s="28">
        <v>1</v>
      </c>
    </row>
    <row r="502" spans="1:23" x14ac:dyDescent="0.45">
      <c r="A502" s="64">
        <v>40664</v>
      </c>
      <c r="B502" s="14">
        <v>0</v>
      </c>
      <c r="C502" s="10">
        <v>0</v>
      </c>
      <c r="D502" s="10">
        <v>0</v>
      </c>
      <c r="E502" s="11">
        <v>0</v>
      </c>
      <c r="F502" s="10">
        <v>0</v>
      </c>
      <c r="G502" s="430">
        <v>0</v>
      </c>
      <c r="H502" s="8">
        <v>0</v>
      </c>
      <c r="I502" s="10">
        <v>0</v>
      </c>
      <c r="J502" s="10">
        <v>0</v>
      </c>
      <c r="K502" s="10">
        <v>0</v>
      </c>
      <c r="L502" s="11">
        <v>0</v>
      </c>
      <c r="M502" s="10">
        <v>0</v>
      </c>
      <c r="N502" s="430">
        <v>0</v>
      </c>
      <c r="O502" s="8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430"/>
      <c r="V502" s="9">
        <v>0</v>
      </c>
      <c r="W502" s="28">
        <v>1</v>
      </c>
    </row>
    <row r="503" spans="1:23" x14ac:dyDescent="0.45">
      <c r="A503" s="64">
        <v>40695</v>
      </c>
      <c r="B503" s="14">
        <v>0</v>
      </c>
      <c r="C503" s="10">
        <v>0</v>
      </c>
      <c r="D503" s="10">
        <v>0</v>
      </c>
      <c r="E503" s="11">
        <v>1</v>
      </c>
      <c r="F503" s="10">
        <v>0</v>
      </c>
      <c r="G503" s="430">
        <v>0</v>
      </c>
      <c r="H503" s="8">
        <v>1</v>
      </c>
      <c r="I503" s="10">
        <v>0</v>
      </c>
      <c r="J503" s="10">
        <v>0</v>
      </c>
      <c r="K503" s="10">
        <v>0</v>
      </c>
      <c r="L503" s="11">
        <v>0</v>
      </c>
      <c r="M503" s="10">
        <v>0</v>
      </c>
      <c r="N503" s="430">
        <v>0</v>
      </c>
      <c r="O503" s="8">
        <v>0</v>
      </c>
      <c r="P503" s="10">
        <v>0</v>
      </c>
      <c r="Q503" s="10">
        <v>0</v>
      </c>
      <c r="R503" s="10">
        <v>0</v>
      </c>
      <c r="S503" s="10">
        <v>1</v>
      </c>
      <c r="T503" s="10">
        <v>0</v>
      </c>
      <c r="U503" s="430"/>
      <c r="V503" s="9">
        <v>1</v>
      </c>
      <c r="W503" s="28">
        <v>2</v>
      </c>
    </row>
    <row r="504" spans="1:23" x14ac:dyDescent="0.45">
      <c r="A504" s="64">
        <v>40725</v>
      </c>
      <c r="B504" s="14">
        <v>2</v>
      </c>
      <c r="C504" s="10">
        <v>0</v>
      </c>
      <c r="D504" s="10">
        <v>0</v>
      </c>
      <c r="E504" s="11">
        <v>2</v>
      </c>
      <c r="F504" s="10">
        <v>0</v>
      </c>
      <c r="G504" s="430">
        <v>0</v>
      </c>
      <c r="H504" s="8">
        <v>4</v>
      </c>
      <c r="I504" s="10">
        <v>0</v>
      </c>
      <c r="J504" s="10">
        <v>0</v>
      </c>
      <c r="K504" s="10">
        <v>0</v>
      </c>
      <c r="L504" s="11">
        <v>0</v>
      </c>
      <c r="M504" s="10">
        <v>0</v>
      </c>
      <c r="N504" s="430">
        <v>0</v>
      </c>
      <c r="O504" s="8">
        <v>0</v>
      </c>
      <c r="P504" s="10">
        <v>2</v>
      </c>
      <c r="Q504" s="10">
        <v>0</v>
      </c>
      <c r="R504" s="10">
        <v>0</v>
      </c>
      <c r="S504" s="10">
        <v>2</v>
      </c>
      <c r="T504" s="10">
        <v>0</v>
      </c>
      <c r="U504" s="430"/>
      <c r="V504" s="9">
        <v>4</v>
      </c>
      <c r="W504" s="28">
        <v>6</v>
      </c>
    </row>
    <row r="505" spans="1:23" x14ac:dyDescent="0.45">
      <c r="A505" s="64">
        <v>40756</v>
      </c>
      <c r="B505" s="14">
        <v>1</v>
      </c>
      <c r="C505" s="10">
        <v>1</v>
      </c>
      <c r="D505" s="10">
        <v>0</v>
      </c>
      <c r="E505" s="11">
        <v>1</v>
      </c>
      <c r="F505" s="10">
        <v>0</v>
      </c>
      <c r="G505" s="430">
        <v>0</v>
      </c>
      <c r="H505" s="8">
        <v>3</v>
      </c>
      <c r="I505" s="10">
        <v>0</v>
      </c>
      <c r="J505" s="10">
        <v>0</v>
      </c>
      <c r="K505" s="10">
        <v>0</v>
      </c>
      <c r="L505" s="11">
        <v>0</v>
      </c>
      <c r="M505" s="10">
        <v>0</v>
      </c>
      <c r="N505" s="430">
        <v>0</v>
      </c>
      <c r="O505" s="8">
        <v>0</v>
      </c>
      <c r="P505" s="10">
        <v>1</v>
      </c>
      <c r="Q505" s="10">
        <v>1</v>
      </c>
      <c r="R505" s="10">
        <v>0</v>
      </c>
      <c r="S505" s="10">
        <v>1</v>
      </c>
      <c r="T505" s="10">
        <v>0</v>
      </c>
      <c r="U505" s="430"/>
      <c r="V505" s="9">
        <v>3</v>
      </c>
      <c r="W505" s="28">
        <v>9</v>
      </c>
    </row>
    <row r="506" spans="1:23" x14ac:dyDescent="0.45">
      <c r="A506" s="64">
        <v>40787</v>
      </c>
      <c r="B506" s="14">
        <v>1</v>
      </c>
      <c r="C506" s="10">
        <v>0</v>
      </c>
      <c r="D506" s="10">
        <v>0</v>
      </c>
      <c r="E506" s="11">
        <v>1</v>
      </c>
      <c r="F506" s="10">
        <v>0</v>
      </c>
      <c r="G506" s="430">
        <v>0</v>
      </c>
      <c r="H506" s="8">
        <v>2</v>
      </c>
      <c r="I506" s="10">
        <v>0</v>
      </c>
      <c r="J506" s="10">
        <v>0</v>
      </c>
      <c r="K506" s="10">
        <v>0</v>
      </c>
      <c r="L506" s="11">
        <v>0</v>
      </c>
      <c r="M506" s="10">
        <v>0</v>
      </c>
      <c r="N506" s="430">
        <v>0</v>
      </c>
      <c r="O506" s="8">
        <v>0</v>
      </c>
      <c r="P506" s="10">
        <v>1</v>
      </c>
      <c r="Q506" s="10">
        <v>0</v>
      </c>
      <c r="R506" s="10">
        <v>0</v>
      </c>
      <c r="S506" s="10">
        <v>1</v>
      </c>
      <c r="T506" s="10">
        <v>0</v>
      </c>
      <c r="U506" s="430"/>
      <c r="V506" s="9">
        <v>2</v>
      </c>
      <c r="W506" s="28">
        <v>11</v>
      </c>
    </row>
    <row r="507" spans="1:23" x14ac:dyDescent="0.45">
      <c r="A507" s="64">
        <v>40817</v>
      </c>
      <c r="B507" s="14">
        <v>0</v>
      </c>
      <c r="C507" s="10">
        <v>0</v>
      </c>
      <c r="D507" s="10">
        <v>0</v>
      </c>
      <c r="E507" s="11">
        <v>1</v>
      </c>
      <c r="F507" s="10">
        <v>0</v>
      </c>
      <c r="G507" s="430">
        <v>0</v>
      </c>
      <c r="H507" s="8">
        <v>1</v>
      </c>
      <c r="I507" s="10">
        <v>0</v>
      </c>
      <c r="J507" s="10">
        <v>0</v>
      </c>
      <c r="K507" s="10">
        <v>0</v>
      </c>
      <c r="L507" s="11">
        <v>0</v>
      </c>
      <c r="M507" s="10">
        <v>0</v>
      </c>
      <c r="N507" s="430">
        <v>0</v>
      </c>
      <c r="O507" s="8">
        <v>0</v>
      </c>
      <c r="P507" s="10">
        <v>0</v>
      </c>
      <c r="Q507" s="10">
        <v>0</v>
      </c>
      <c r="R507" s="10">
        <v>0</v>
      </c>
      <c r="S507" s="10">
        <v>1</v>
      </c>
      <c r="T507" s="10">
        <v>0</v>
      </c>
      <c r="U507" s="430"/>
      <c r="V507" s="9">
        <v>1</v>
      </c>
      <c r="W507" s="28">
        <v>12</v>
      </c>
    </row>
    <row r="508" spans="1:23" x14ac:dyDescent="0.45">
      <c r="A508" s="64">
        <v>40848</v>
      </c>
      <c r="B508" s="14">
        <v>2</v>
      </c>
      <c r="C508" s="10">
        <v>2</v>
      </c>
      <c r="D508" s="10">
        <v>0</v>
      </c>
      <c r="E508" s="11">
        <v>0</v>
      </c>
      <c r="F508" s="10">
        <v>0</v>
      </c>
      <c r="G508" s="430">
        <v>0</v>
      </c>
      <c r="H508" s="8">
        <v>4</v>
      </c>
      <c r="I508" s="10">
        <v>0</v>
      </c>
      <c r="J508" s="10">
        <v>0</v>
      </c>
      <c r="K508" s="10">
        <v>0</v>
      </c>
      <c r="L508" s="11">
        <v>0</v>
      </c>
      <c r="M508" s="10">
        <v>0</v>
      </c>
      <c r="N508" s="430">
        <v>0</v>
      </c>
      <c r="O508" s="8">
        <v>0</v>
      </c>
      <c r="P508" s="10">
        <v>2</v>
      </c>
      <c r="Q508" s="10">
        <v>2</v>
      </c>
      <c r="R508" s="10">
        <v>0</v>
      </c>
      <c r="S508" s="10">
        <v>0</v>
      </c>
      <c r="T508" s="10">
        <v>0</v>
      </c>
      <c r="U508" s="430"/>
      <c r="V508" s="9">
        <v>4</v>
      </c>
      <c r="W508" s="28">
        <v>16</v>
      </c>
    </row>
    <row r="509" spans="1:23" ht="19.5" customHeight="1" x14ac:dyDescent="0.45">
      <c r="A509" s="69">
        <v>40878</v>
      </c>
      <c r="B509" s="16">
        <v>0</v>
      </c>
      <c r="C509" s="42">
        <v>1</v>
      </c>
      <c r="D509" s="42">
        <v>0</v>
      </c>
      <c r="E509" s="42">
        <v>2</v>
      </c>
      <c r="F509" s="42">
        <v>0</v>
      </c>
      <c r="G509" s="438">
        <v>0</v>
      </c>
      <c r="H509" s="43">
        <v>3</v>
      </c>
      <c r="I509" s="42">
        <v>0</v>
      </c>
      <c r="J509" s="42">
        <v>0</v>
      </c>
      <c r="K509" s="42">
        <v>0</v>
      </c>
      <c r="L509" s="42">
        <v>0</v>
      </c>
      <c r="M509" s="42">
        <v>0</v>
      </c>
      <c r="N509" s="438">
        <v>0</v>
      </c>
      <c r="O509" s="43">
        <v>0</v>
      </c>
      <c r="P509" s="42">
        <v>0</v>
      </c>
      <c r="Q509" s="42">
        <v>1</v>
      </c>
      <c r="R509" s="42">
        <v>0</v>
      </c>
      <c r="S509" s="42">
        <v>2</v>
      </c>
      <c r="T509" s="42">
        <v>0</v>
      </c>
      <c r="U509" s="438"/>
      <c r="V509" s="43">
        <v>3</v>
      </c>
      <c r="W509" s="95">
        <v>19</v>
      </c>
    </row>
    <row r="510" spans="1:23" s="52" customFormat="1" ht="19.5" customHeight="1" thickBot="1" x14ac:dyDescent="0.5">
      <c r="A510" s="92" t="s">
        <v>1095</v>
      </c>
      <c r="B510" s="39">
        <v>6</v>
      </c>
      <c r="C510" s="40">
        <v>4</v>
      </c>
      <c r="D510" s="40">
        <v>0</v>
      </c>
      <c r="E510" s="40">
        <v>9</v>
      </c>
      <c r="F510" s="40">
        <v>0</v>
      </c>
      <c r="G510" s="439">
        <v>0</v>
      </c>
      <c r="H510" s="41">
        <v>19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39">
        <v>0</v>
      </c>
      <c r="O510" s="41">
        <v>0</v>
      </c>
      <c r="P510" s="40">
        <v>6</v>
      </c>
      <c r="Q510" s="40">
        <v>4</v>
      </c>
      <c r="R510" s="40">
        <v>0</v>
      </c>
      <c r="S510" s="40">
        <v>9</v>
      </c>
      <c r="T510" s="40">
        <v>0</v>
      </c>
      <c r="U510" s="439"/>
      <c r="V510" s="41">
        <v>19</v>
      </c>
      <c r="W510" s="93"/>
    </row>
    <row r="511" spans="1:23" ht="19.5" customHeight="1" thickTop="1" x14ac:dyDescent="0.45">
      <c r="A511" s="63">
        <v>40909</v>
      </c>
      <c r="B511" s="14">
        <v>0</v>
      </c>
      <c r="C511" s="10">
        <v>1</v>
      </c>
      <c r="D511" s="10">
        <v>0</v>
      </c>
      <c r="E511" s="10">
        <v>1</v>
      </c>
      <c r="F511" s="10">
        <v>0</v>
      </c>
      <c r="G511" s="430">
        <v>0</v>
      </c>
      <c r="H511" s="9">
        <v>2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430">
        <v>0</v>
      </c>
      <c r="O511" s="9">
        <v>0</v>
      </c>
      <c r="P511" s="10">
        <v>0</v>
      </c>
      <c r="Q511" s="10">
        <v>1</v>
      </c>
      <c r="R511" s="10">
        <v>0</v>
      </c>
      <c r="S511" s="10">
        <v>1</v>
      </c>
      <c r="T511" s="10">
        <v>0</v>
      </c>
      <c r="U511" s="430"/>
      <c r="V511" s="9">
        <v>2</v>
      </c>
      <c r="W511" s="28">
        <v>2</v>
      </c>
    </row>
    <row r="512" spans="1:23" x14ac:dyDescent="0.45">
      <c r="A512" s="64">
        <v>40940</v>
      </c>
      <c r="B512" s="14">
        <v>0</v>
      </c>
      <c r="C512" s="10">
        <v>0</v>
      </c>
      <c r="D512" s="10">
        <v>0</v>
      </c>
      <c r="E512" s="11">
        <v>1</v>
      </c>
      <c r="F512" s="10">
        <v>0</v>
      </c>
      <c r="G512" s="430">
        <v>0</v>
      </c>
      <c r="H512" s="8">
        <v>1</v>
      </c>
      <c r="I512" s="10">
        <v>0</v>
      </c>
      <c r="J512" s="10">
        <v>0</v>
      </c>
      <c r="K512" s="10">
        <v>0</v>
      </c>
      <c r="L512" s="11">
        <v>0</v>
      </c>
      <c r="M512" s="10">
        <v>0</v>
      </c>
      <c r="N512" s="430">
        <v>0</v>
      </c>
      <c r="O512" s="8">
        <v>0</v>
      </c>
      <c r="P512" s="10">
        <v>0</v>
      </c>
      <c r="Q512" s="10">
        <v>0</v>
      </c>
      <c r="R512" s="10">
        <v>0</v>
      </c>
      <c r="S512" s="10">
        <v>1</v>
      </c>
      <c r="T512" s="10">
        <v>0</v>
      </c>
      <c r="U512" s="430"/>
      <c r="V512" s="9">
        <v>1</v>
      </c>
      <c r="W512" s="28">
        <v>3</v>
      </c>
    </row>
    <row r="513" spans="1:23" x14ac:dyDescent="0.45">
      <c r="A513" s="64">
        <v>40969</v>
      </c>
      <c r="B513" s="14">
        <v>0</v>
      </c>
      <c r="C513" s="10">
        <v>0</v>
      </c>
      <c r="D513" s="10">
        <v>0</v>
      </c>
      <c r="E513" s="11">
        <v>1</v>
      </c>
      <c r="F513" s="10">
        <v>0</v>
      </c>
      <c r="G513" s="430">
        <v>0</v>
      </c>
      <c r="H513" s="8">
        <v>1</v>
      </c>
      <c r="I513" s="10">
        <v>0</v>
      </c>
      <c r="J513" s="10">
        <v>0</v>
      </c>
      <c r="K513" s="10">
        <v>0</v>
      </c>
      <c r="L513" s="11">
        <v>0</v>
      </c>
      <c r="M513" s="10">
        <v>0</v>
      </c>
      <c r="N513" s="430">
        <v>0</v>
      </c>
      <c r="O513" s="8">
        <v>0</v>
      </c>
      <c r="P513" s="10">
        <v>1</v>
      </c>
      <c r="Q513" s="10">
        <v>0</v>
      </c>
      <c r="R513" s="10">
        <v>0</v>
      </c>
      <c r="S513" s="10">
        <v>1</v>
      </c>
      <c r="T513" s="10">
        <v>0</v>
      </c>
      <c r="U513" s="430"/>
      <c r="V513" s="9">
        <v>1</v>
      </c>
      <c r="W513" s="28">
        <v>4</v>
      </c>
    </row>
    <row r="514" spans="1:23" x14ac:dyDescent="0.45">
      <c r="A514" s="64">
        <v>41000</v>
      </c>
      <c r="B514" s="14">
        <v>0</v>
      </c>
      <c r="C514" s="10">
        <v>0</v>
      </c>
      <c r="D514" s="10">
        <v>0</v>
      </c>
      <c r="E514" s="11">
        <v>1</v>
      </c>
      <c r="F514" s="10">
        <v>0</v>
      </c>
      <c r="G514" s="430">
        <v>0</v>
      </c>
      <c r="H514" s="8">
        <v>1</v>
      </c>
      <c r="I514" s="10">
        <v>0</v>
      </c>
      <c r="J514" s="10">
        <v>0</v>
      </c>
      <c r="K514" s="10">
        <v>0</v>
      </c>
      <c r="L514" s="11">
        <v>0</v>
      </c>
      <c r="M514" s="10">
        <v>0</v>
      </c>
      <c r="N514" s="430">
        <v>0</v>
      </c>
      <c r="O514" s="8">
        <v>0</v>
      </c>
      <c r="P514" s="10">
        <v>0</v>
      </c>
      <c r="Q514" s="10">
        <v>0</v>
      </c>
      <c r="R514" s="10">
        <v>0</v>
      </c>
      <c r="S514" s="10">
        <v>1</v>
      </c>
      <c r="T514" s="10">
        <v>0</v>
      </c>
      <c r="U514" s="430"/>
      <c r="V514" s="9">
        <v>1</v>
      </c>
      <c r="W514" s="28">
        <v>5</v>
      </c>
    </row>
    <row r="515" spans="1:23" x14ac:dyDescent="0.45">
      <c r="A515" s="64">
        <v>41030</v>
      </c>
      <c r="B515" s="14">
        <v>1</v>
      </c>
      <c r="C515" s="10">
        <v>2</v>
      </c>
      <c r="D515" s="10">
        <v>0</v>
      </c>
      <c r="E515" s="11">
        <v>1</v>
      </c>
      <c r="F515" s="10">
        <v>0</v>
      </c>
      <c r="G515" s="430">
        <v>0</v>
      </c>
      <c r="H515" s="8">
        <v>4</v>
      </c>
      <c r="I515" s="10">
        <v>0</v>
      </c>
      <c r="J515" s="10">
        <v>0</v>
      </c>
      <c r="K515" s="10">
        <v>0</v>
      </c>
      <c r="L515" s="11">
        <v>0</v>
      </c>
      <c r="M515" s="10">
        <v>0</v>
      </c>
      <c r="N515" s="430">
        <v>0</v>
      </c>
      <c r="O515" s="8">
        <v>0</v>
      </c>
      <c r="P515" s="10">
        <v>1</v>
      </c>
      <c r="Q515" s="10">
        <v>2</v>
      </c>
      <c r="R515" s="10">
        <v>0</v>
      </c>
      <c r="S515" s="10">
        <v>1</v>
      </c>
      <c r="T515" s="10">
        <v>0</v>
      </c>
      <c r="U515" s="430"/>
      <c r="V515" s="9">
        <v>4</v>
      </c>
      <c r="W515" s="28">
        <v>9</v>
      </c>
    </row>
    <row r="516" spans="1:23" x14ac:dyDescent="0.45">
      <c r="A516" s="64">
        <v>41061</v>
      </c>
      <c r="B516" s="14">
        <v>1</v>
      </c>
      <c r="C516" s="10">
        <v>0</v>
      </c>
      <c r="D516" s="10">
        <v>0</v>
      </c>
      <c r="E516" s="11">
        <v>0</v>
      </c>
      <c r="F516" s="10">
        <v>0</v>
      </c>
      <c r="G516" s="430">
        <v>0</v>
      </c>
      <c r="H516" s="8">
        <v>1</v>
      </c>
      <c r="I516" s="10">
        <v>0</v>
      </c>
      <c r="J516" s="10">
        <v>0</v>
      </c>
      <c r="K516" s="10">
        <v>0</v>
      </c>
      <c r="L516" s="11">
        <v>0</v>
      </c>
      <c r="M516" s="10">
        <v>0</v>
      </c>
      <c r="N516" s="430">
        <v>0</v>
      </c>
      <c r="O516" s="8">
        <v>0</v>
      </c>
      <c r="P516" s="10">
        <v>1</v>
      </c>
      <c r="Q516" s="10">
        <v>0</v>
      </c>
      <c r="R516" s="10">
        <v>0</v>
      </c>
      <c r="S516" s="10">
        <v>0</v>
      </c>
      <c r="T516" s="10">
        <v>0</v>
      </c>
      <c r="U516" s="430"/>
      <c r="V516" s="9">
        <v>1</v>
      </c>
      <c r="W516" s="28">
        <v>10</v>
      </c>
    </row>
    <row r="517" spans="1:23" x14ac:dyDescent="0.45">
      <c r="A517" s="64">
        <v>41091</v>
      </c>
      <c r="B517" s="14">
        <v>0</v>
      </c>
      <c r="C517" s="10">
        <v>0</v>
      </c>
      <c r="D517" s="10">
        <v>0</v>
      </c>
      <c r="E517" s="11">
        <v>1</v>
      </c>
      <c r="F517" s="10">
        <v>0</v>
      </c>
      <c r="G517" s="430">
        <v>0</v>
      </c>
      <c r="H517" s="8">
        <v>1</v>
      </c>
      <c r="I517" s="10">
        <v>0</v>
      </c>
      <c r="J517" s="10">
        <v>0</v>
      </c>
      <c r="K517" s="10">
        <v>0</v>
      </c>
      <c r="L517" s="11">
        <v>0</v>
      </c>
      <c r="M517" s="10">
        <v>0</v>
      </c>
      <c r="N517" s="430">
        <v>0</v>
      </c>
      <c r="O517" s="8">
        <v>0</v>
      </c>
      <c r="P517" s="10">
        <v>0</v>
      </c>
      <c r="Q517" s="10">
        <v>0</v>
      </c>
      <c r="R517" s="10">
        <v>0</v>
      </c>
      <c r="S517" s="10">
        <v>1</v>
      </c>
      <c r="T517" s="10">
        <v>0</v>
      </c>
      <c r="U517" s="430"/>
      <c r="V517" s="9">
        <v>1</v>
      </c>
      <c r="W517" s="28">
        <v>11</v>
      </c>
    </row>
    <row r="518" spans="1:23" x14ac:dyDescent="0.45">
      <c r="A518" s="64">
        <v>41122</v>
      </c>
      <c r="B518" s="14">
        <v>0</v>
      </c>
      <c r="C518" s="10">
        <v>0</v>
      </c>
      <c r="D518" s="10">
        <v>0</v>
      </c>
      <c r="E518" s="11">
        <v>0</v>
      </c>
      <c r="F518" s="10">
        <v>0</v>
      </c>
      <c r="G518" s="430">
        <v>0</v>
      </c>
      <c r="H518" s="8">
        <v>0</v>
      </c>
      <c r="I518" s="10">
        <v>0</v>
      </c>
      <c r="J518" s="10">
        <v>0</v>
      </c>
      <c r="K518" s="10">
        <v>0</v>
      </c>
      <c r="L518" s="11">
        <v>0</v>
      </c>
      <c r="M518" s="10">
        <v>0</v>
      </c>
      <c r="N518" s="430">
        <v>0</v>
      </c>
      <c r="O518" s="8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430"/>
      <c r="V518" s="9">
        <v>0</v>
      </c>
      <c r="W518" s="28">
        <v>11</v>
      </c>
    </row>
    <row r="519" spans="1:23" x14ac:dyDescent="0.45">
      <c r="A519" s="64">
        <v>41153</v>
      </c>
      <c r="B519" s="14">
        <v>1</v>
      </c>
      <c r="C519" s="10">
        <v>0</v>
      </c>
      <c r="D519" s="10">
        <v>0</v>
      </c>
      <c r="E519" s="11">
        <v>1</v>
      </c>
      <c r="F519" s="10">
        <v>0</v>
      </c>
      <c r="G519" s="430">
        <v>0</v>
      </c>
      <c r="H519" s="8">
        <v>2</v>
      </c>
      <c r="I519" s="10">
        <v>0</v>
      </c>
      <c r="J519" s="10">
        <v>0</v>
      </c>
      <c r="K519" s="10">
        <v>0</v>
      </c>
      <c r="L519" s="11">
        <v>0</v>
      </c>
      <c r="M519" s="10">
        <v>0</v>
      </c>
      <c r="N519" s="430">
        <v>0</v>
      </c>
      <c r="O519" s="8">
        <v>0</v>
      </c>
      <c r="P519" s="10">
        <v>1</v>
      </c>
      <c r="Q519" s="10">
        <v>0</v>
      </c>
      <c r="R519" s="10">
        <v>0</v>
      </c>
      <c r="S519" s="10">
        <v>1</v>
      </c>
      <c r="T519" s="10">
        <v>0</v>
      </c>
      <c r="U519" s="430"/>
      <c r="V519" s="9">
        <v>2</v>
      </c>
      <c r="W519" s="28">
        <v>13</v>
      </c>
    </row>
    <row r="520" spans="1:23" x14ac:dyDescent="0.45">
      <c r="A520" s="64">
        <v>41183</v>
      </c>
      <c r="B520" s="14">
        <v>0</v>
      </c>
      <c r="C520" s="10">
        <v>1</v>
      </c>
      <c r="D520" s="10">
        <v>0</v>
      </c>
      <c r="E520" s="11">
        <v>1</v>
      </c>
      <c r="F520" s="10">
        <v>0</v>
      </c>
      <c r="G520" s="430">
        <v>0</v>
      </c>
      <c r="H520" s="8">
        <v>2</v>
      </c>
      <c r="I520" s="10">
        <v>0</v>
      </c>
      <c r="J520" s="10">
        <v>0</v>
      </c>
      <c r="K520" s="10">
        <v>0</v>
      </c>
      <c r="L520" s="11">
        <v>0</v>
      </c>
      <c r="M520" s="10">
        <v>0</v>
      </c>
      <c r="N520" s="430">
        <v>0</v>
      </c>
      <c r="O520" s="8">
        <v>0</v>
      </c>
      <c r="P520" s="10">
        <v>0</v>
      </c>
      <c r="Q520" s="10">
        <v>1</v>
      </c>
      <c r="R520" s="10">
        <v>0</v>
      </c>
      <c r="S520" s="10">
        <v>1</v>
      </c>
      <c r="T520" s="10">
        <v>0</v>
      </c>
      <c r="U520" s="430"/>
      <c r="V520" s="9">
        <v>2</v>
      </c>
      <c r="W520" s="28">
        <v>15</v>
      </c>
    </row>
    <row r="521" spans="1:23" x14ac:dyDescent="0.45">
      <c r="A521" s="64">
        <v>41214</v>
      </c>
      <c r="B521" s="14">
        <v>1</v>
      </c>
      <c r="C521" s="10">
        <v>1</v>
      </c>
      <c r="D521" s="10">
        <v>0</v>
      </c>
      <c r="E521" s="11">
        <v>1</v>
      </c>
      <c r="F521" s="10">
        <v>0</v>
      </c>
      <c r="G521" s="430">
        <v>0</v>
      </c>
      <c r="H521" s="8">
        <v>3</v>
      </c>
      <c r="I521" s="10">
        <v>0</v>
      </c>
      <c r="J521" s="10">
        <v>0</v>
      </c>
      <c r="K521" s="10">
        <v>0</v>
      </c>
      <c r="L521" s="11">
        <v>0</v>
      </c>
      <c r="M521" s="10">
        <v>0</v>
      </c>
      <c r="N521" s="430">
        <v>0</v>
      </c>
      <c r="O521" s="8">
        <v>0</v>
      </c>
      <c r="P521" s="10">
        <v>1</v>
      </c>
      <c r="Q521" s="10">
        <v>1</v>
      </c>
      <c r="R521" s="10">
        <v>0</v>
      </c>
      <c r="S521" s="10">
        <v>1</v>
      </c>
      <c r="T521" s="10">
        <v>0</v>
      </c>
      <c r="U521" s="430"/>
      <c r="V521" s="9">
        <v>3</v>
      </c>
      <c r="W521" s="28">
        <v>18</v>
      </c>
    </row>
    <row r="522" spans="1:23" ht="19.5" customHeight="1" x14ac:dyDescent="0.45">
      <c r="A522" s="69">
        <v>41244</v>
      </c>
      <c r="B522" s="16">
        <v>1</v>
      </c>
      <c r="C522" s="42">
        <v>0</v>
      </c>
      <c r="D522" s="42">
        <v>0</v>
      </c>
      <c r="E522" s="42">
        <v>0</v>
      </c>
      <c r="F522" s="42">
        <v>0</v>
      </c>
      <c r="G522" s="438">
        <v>0</v>
      </c>
      <c r="H522" s="43">
        <v>1</v>
      </c>
      <c r="I522" s="42">
        <v>0</v>
      </c>
      <c r="J522" s="42">
        <v>0</v>
      </c>
      <c r="K522" s="42">
        <v>0</v>
      </c>
      <c r="L522" s="42">
        <v>0</v>
      </c>
      <c r="M522" s="42">
        <v>0</v>
      </c>
      <c r="N522" s="438">
        <v>0</v>
      </c>
      <c r="O522" s="43">
        <v>0</v>
      </c>
      <c r="P522" s="42">
        <v>1</v>
      </c>
      <c r="Q522" s="42">
        <v>0</v>
      </c>
      <c r="R522" s="42">
        <v>0</v>
      </c>
      <c r="S522" s="42">
        <v>0</v>
      </c>
      <c r="T522" s="42">
        <v>0</v>
      </c>
      <c r="U522" s="438"/>
      <c r="V522" s="43">
        <v>1</v>
      </c>
      <c r="W522" s="95">
        <v>19</v>
      </c>
    </row>
    <row r="523" spans="1:23" s="52" customFormat="1" ht="19.5" customHeight="1" thickBot="1" x14ac:dyDescent="0.5">
      <c r="A523" s="92" t="s">
        <v>1096</v>
      </c>
      <c r="B523" s="39">
        <v>5</v>
      </c>
      <c r="C523" s="40">
        <v>5</v>
      </c>
      <c r="D523" s="40">
        <v>0</v>
      </c>
      <c r="E523" s="40">
        <v>9</v>
      </c>
      <c r="F523" s="40">
        <v>0</v>
      </c>
      <c r="G523" s="439">
        <v>0</v>
      </c>
      <c r="H523" s="41">
        <v>19</v>
      </c>
      <c r="I523" s="40">
        <v>1</v>
      </c>
      <c r="J523" s="40">
        <v>0</v>
      </c>
      <c r="K523" s="40">
        <v>0</v>
      </c>
      <c r="L523" s="40">
        <v>0</v>
      </c>
      <c r="M523" s="40">
        <v>0</v>
      </c>
      <c r="N523" s="439">
        <v>0</v>
      </c>
      <c r="O523" s="41">
        <v>1</v>
      </c>
      <c r="P523" s="40">
        <v>6</v>
      </c>
      <c r="Q523" s="40">
        <v>5</v>
      </c>
      <c r="R523" s="40">
        <v>0</v>
      </c>
      <c r="S523" s="40">
        <v>9</v>
      </c>
      <c r="T523" s="40">
        <v>0</v>
      </c>
      <c r="U523" s="439"/>
      <c r="V523" s="41">
        <v>19</v>
      </c>
      <c r="W523" s="93"/>
    </row>
    <row r="524" spans="1:23" ht="19.5" customHeight="1" thickTop="1" x14ac:dyDescent="0.45">
      <c r="A524" s="63">
        <v>41275</v>
      </c>
      <c r="B524" s="14">
        <v>0</v>
      </c>
      <c r="C524" s="10">
        <v>0</v>
      </c>
      <c r="D524" s="10">
        <v>0</v>
      </c>
      <c r="E524" s="10">
        <v>0</v>
      </c>
      <c r="F524" s="10">
        <v>0</v>
      </c>
      <c r="G524" s="430">
        <v>0</v>
      </c>
      <c r="H524" s="9">
        <v>0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430">
        <v>0</v>
      </c>
      <c r="O524" s="9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430"/>
      <c r="V524" s="9">
        <v>0</v>
      </c>
      <c r="W524" s="28">
        <v>0</v>
      </c>
    </row>
    <row r="525" spans="1:23" x14ac:dyDescent="0.45">
      <c r="A525" s="64">
        <v>41306</v>
      </c>
      <c r="B525" s="14">
        <v>0</v>
      </c>
      <c r="C525" s="10">
        <v>0</v>
      </c>
      <c r="D525" s="10">
        <v>0</v>
      </c>
      <c r="E525" s="11">
        <v>0</v>
      </c>
      <c r="F525" s="10">
        <v>0</v>
      </c>
      <c r="G525" s="430">
        <v>0</v>
      </c>
      <c r="H525" s="8">
        <v>0</v>
      </c>
      <c r="I525" s="10">
        <v>0</v>
      </c>
      <c r="J525" s="10">
        <v>0</v>
      </c>
      <c r="K525" s="10">
        <v>0</v>
      </c>
      <c r="L525" s="11">
        <v>0</v>
      </c>
      <c r="M525" s="10">
        <v>0</v>
      </c>
      <c r="N525" s="430">
        <v>0</v>
      </c>
      <c r="O525" s="8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430"/>
      <c r="V525" s="9">
        <v>0</v>
      </c>
      <c r="W525" s="28">
        <v>0</v>
      </c>
    </row>
    <row r="526" spans="1:23" x14ac:dyDescent="0.45">
      <c r="A526" s="64">
        <v>41334</v>
      </c>
      <c r="B526" s="14">
        <v>0</v>
      </c>
      <c r="C526" s="10">
        <v>0</v>
      </c>
      <c r="D526" s="10">
        <v>0</v>
      </c>
      <c r="E526" s="11">
        <v>0</v>
      </c>
      <c r="F526" s="10">
        <v>0</v>
      </c>
      <c r="G526" s="430">
        <v>0</v>
      </c>
      <c r="H526" s="8">
        <v>0</v>
      </c>
      <c r="I526" s="10">
        <v>0</v>
      </c>
      <c r="J526" s="10">
        <v>0</v>
      </c>
      <c r="K526" s="10">
        <v>0</v>
      </c>
      <c r="L526" s="11">
        <v>0</v>
      </c>
      <c r="M526" s="10">
        <v>0</v>
      </c>
      <c r="N526" s="430">
        <v>0</v>
      </c>
      <c r="O526" s="8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430"/>
      <c r="V526" s="9">
        <v>0</v>
      </c>
      <c r="W526" s="28">
        <v>0</v>
      </c>
    </row>
    <row r="527" spans="1:23" x14ac:dyDescent="0.45">
      <c r="A527" s="64">
        <v>41365</v>
      </c>
      <c r="B527" s="14">
        <v>1</v>
      </c>
      <c r="C527" s="10">
        <v>0</v>
      </c>
      <c r="D527" s="10">
        <v>0</v>
      </c>
      <c r="E527" s="11">
        <v>0</v>
      </c>
      <c r="F527" s="10">
        <v>0</v>
      </c>
      <c r="G527" s="430">
        <v>0</v>
      </c>
      <c r="H527" s="8">
        <v>1</v>
      </c>
      <c r="I527" s="10">
        <v>0</v>
      </c>
      <c r="J527" s="10">
        <v>0</v>
      </c>
      <c r="K527" s="10">
        <v>0</v>
      </c>
      <c r="L527" s="11">
        <v>0</v>
      </c>
      <c r="M527" s="10">
        <v>0</v>
      </c>
      <c r="N527" s="430">
        <v>0</v>
      </c>
      <c r="O527" s="8">
        <v>0</v>
      </c>
      <c r="P527" s="10">
        <v>1</v>
      </c>
      <c r="Q527" s="10">
        <v>0</v>
      </c>
      <c r="R527" s="10">
        <v>0</v>
      </c>
      <c r="S527" s="10">
        <v>0</v>
      </c>
      <c r="T527" s="10">
        <v>0</v>
      </c>
      <c r="U527" s="430"/>
      <c r="V527" s="9">
        <v>1</v>
      </c>
      <c r="W527" s="28">
        <v>1</v>
      </c>
    </row>
    <row r="528" spans="1:23" x14ac:dyDescent="0.45">
      <c r="A528" s="64">
        <v>41395</v>
      </c>
      <c r="B528" s="14">
        <v>0</v>
      </c>
      <c r="C528" s="10">
        <v>0</v>
      </c>
      <c r="D528" s="10">
        <v>0</v>
      </c>
      <c r="E528" s="11">
        <v>1</v>
      </c>
      <c r="F528" s="10">
        <v>0</v>
      </c>
      <c r="G528" s="430">
        <v>0</v>
      </c>
      <c r="H528" s="8">
        <v>1</v>
      </c>
      <c r="I528" s="10">
        <v>0</v>
      </c>
      <c r="J528" s="10">
        <v>0</v>
      </c>
      <c r="K528" s="10">
        <v>0</v>
      </c>
      <c r="L528" s="11">
        <v>0</v>
      </c>
      <c r="M528" s="10">
        <v>0</v>
      </c>
      <c r="N528" s="430">
        <v>0</v>
      </c>
      <c r="O528" s="8">
        <v>0</v>
      </c>
      <c r="P528" s="10">
        <v>0</v>
      </c>
      <c r="Q528" s="10">
        <v>0</v>
      </c>
      <c r="R528" s="10">
        <v>0</v>
      </c>
      <c r="S528" s="10">
        <v>1</v>
      </c>
      <c r="T528" s="10">
        <v>0</v>
      </c>
      <c r="U528" s="430"/>
      <c r="V528" s="9">
        <v>1</v>
      </c>
      <c r="W528" s="28">
        <v>2</v>
      </c>
    </row>
    <row r="529" spans="1:23" x14ac:dyDescent="0.45">
      <c r="A529" s="64">
        <v>41426</v>
      </c>
      <c r="B529" s="14">
        <v>1</v>
      </c>
      <c r="C529" s="10">
        <v>0</v>
      </c>
      <c r="D529" s="10">
        <v>0</v>
      </c>
      <c r="E529" s="11">
        <v>0</v>
      </c>
      <c r="F529" s="10">
        <v>0</v>
      </c>
      <c r="G529" s="430">
        <v>0</v>
      </c>
      <c r="H529" s="8">
        <v>1</v>
      </c>
      <c r="I529" s="10">
        <v>0</v>
      </c>
      <c r="J529" s="10">
        <v>0</v>
      </c>
      <c r="K529" s="10">
        <v>0</v>
      </c>
      <c r="L529" s="11">
        <v>0</v>
      </c>
      <c r="M529" s="10">
        <v>0</v>
      </c>
      <c r="N529" s="430">
        <v>0</v>
      </c>
      <c r="O529" s="8">
        <v>0</v>
      </c>
      <c r="P529" s="10">
        <v>1</v>
      </c>
      <c r="Q529" s="10">
        <v>0</v>
      </c>
      <c r="R529" s="10">
        <v>0</v>
      </c>
      <c r="S529" s="10">
        <v>0</v>
      </c>
      <c r="T529" s="10">
        <v>0</v>
      </c>
      <c r="U529" s="430"/>
      <c r="V529" s="9">
        <v>1</v>
      </c>
      <c r="W529" s="28">
        <v>3</v>
      </c>
    </row>
    <row r="530" spans="1:23" x14ac:dyDescent="0.45">
      <c r="A530" s="64">
        <v>41456</v>
      </c>
      <c r="B530" s="14">
        <v>1</v>
      </c>
      <c r="C530" s="10">
        <v>1</v>
      </c>
      <c r="D530" s="10">
        <v>0</v>
      </c>
      <c r="E530" s="11">
        <v>0</v>
      </c>
      <c r="F530" s="10">
        <v>0</v>
      </c>
      <c r="G530" s="430">
        <v>0</v>
      </c>
      <c r="H530" s="8">
        <v>2</v>
      </c>
      <c r="I530" s="10">
        <v>0</v>
      </c>
      <c r="J530" s="10">
        <v>0</v>
      </c>
      <c r="K530" s="10">
        <v>0</v>
      </c>
      <c r="L530" s="11">
        <v>0</v>
      </c>
      <c r="M530" s="10">
        <v>0</v>
      </c>
      <c r="N530" s="430">
        <v>0</v>
      </c>
      <c r="O530" s="8">
        <v>0</v>
      </c>
      <c r="P530" s="10">
        <v>1</v>
      </c>
      <c r="Q530" s="10">
        <v>1</v>
      </c>
      <c r="R530" s="10">
        <v>0</v>
      </c>
      <c r="S530" s="10">
        <v>0</v>
      </c>
      <c r="T530" s="10">
        <v>0</v>
      </c>
      <c r="U530" s="430"/>
      <c r="V530" s="9">
        <v>2</v>
      </c>
      <c r="W530" s="28">
        <v>5</v>
      </c>
    </row>
    <row r="531" spans="1:23" x14ac:dyDescent="0.45">
      <c r="A531" s="64">
        <v>41487</v>
      </c>
      <c r="B531" s="14">
        <v>0</v>
      </c>
      <c r="C531" s="10">
        <v>0</v>
      </c>
      <c r="D531" s="10">
        <v>0</v>
      </c>
      <c r="E531" s="11">
        <v>0</v>
      </c>
      <c r="F531" s="10">
        <v>0</v>
      </c>
      <c r="G531" s="430">
        <v>0</v>
      </c>
      <c r="H531" s="8">
        <v>0</v>
      </c>
      <c r="I531" s="10">
        <v>0</v>
      </c>
      <c r="J531" s="10">
        <v>0</v>
      </c>
      <c r="K531" s="10">
        <v>0</v>
      </c>
      <c r="L531" s="11">
        <v>0</v>
      </c>
      <c r="M531" s="10">
        <v>0</v>
      </c>
      <c r="N531" s="430">
        <v>0</v>
      </c>
      <c r="O531" s="8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430"/>
      <c r="V531" s="9">
        <v>0</v>
      </c>
      <c r="W531" s="28">
        <v>5</v>
      </c>
    </row>
    <row r="532" spans="1:23" x14ac:dyDescent="0.45">
      <c r="A532" s="64">
        <v>41518</v>
      </c>
      <c r="B532" s="14">
        <v>1</v>
      </c>
      <c r="C532" s="10">
        <v>1</v>
      </c>
      <c r="D532" s="10">
        <v>0</v>
      </c>
      <c r="E532" s="11">
        <v>0</v>
      </c>
      <c r="F532" s="10">
        <v>0</v>
      </c>
      <c r="G532" s="430">
        <v>0</v>
      </c>
      <c r="H532" s="8">
        <v>2</v>
      </c>
      <c r="I532" s="10">
        <v>1</v>
      </c>
      <c r="J532" s="10">
        <v>0</v>
      </c>
      <c r="K532" s="10">
        <v>0</v>
      </c>
      <c r="L532" s="11">
        <v>0</v>
      </c>
      <c r="M532" s="10">
        <v>0</v>
      </c>
      <c r="N532" s="430">
        <v>0</v>
      </c>
      <c r="O532" s="8">
        <v>1</v>
      </c>
      <c r="P532" s="10">
        <v>2</v>
      </c>
      <c r="Q532" s="10">
        <v>1</v>
      </c>
      <c r="R532" s="10">
        <v>0</v>
      </c>
      <c r="S532" s="10">
        <v>0</v>
      </c>
      <c r="T532" s="10">
        <v>0</v>
      </c>
      <c r="U532" s="430"/>
      <c r="V532" s="9">
        <v>3</v>
      </c>
      <c r="W532" s="28">
        <v>8</v>
      </c>
    </row>
    <row r="533" spans="1:23" x14ac:dyDescent="0.45">
      <c r="A533" s="64">
        <v>41548</v>
      </c>
      <c r="B533" s="14">
        <v>1</v>
      </c>
      <c r="C533" s="10">
        <v>1</v>
      </c>
      <c r="D533" s="10">
        <v>0</v>
      </c>
      <c r="E533" s="11">
        <v>0</v>
      </c>
      <c r="F533" s="10">
        <v>0</v>
      </c>
      <c r="G533" s="430">
        <v>0</v>
      </c>
      <c r="H533" s="8">
        <v>2</v>
      </c>
      <c r="I533" s="10">
        <v>0</v>
      </c>
      <c r="J533" s="10">
        <v>0</v>
      </c>
      <c r="K533" s="10">
        <v>0</v>
      </c>
      <c r="L533" s="11">
        <v>0</v>
      </c>
      <c r="M533" s="10">
        <v>0</v>
      </c>
      <c r="N533" s="430">
        <v>0</v>
      </c>
      <c r="O533" s="8">
        <v>0</v>
      </c>
      <c r="P533" s="10">
        <v>1</v>
      </c>
      <c r="Q533" s="10">
        <v>1</v>
      </c>
      <c r="R533" s="10">
        <v>0</v>
      </c>
      <c r="S533" s="10">
        <v>0</v>
      </c>
      <c r="T533" s="10">
        <v>0</v>
      </c>
      <c r="U533" s="430"/>
      <c r="V533" s="9">
        <v>2</v>
      </c>
      <c r="W533" s="28">
        <v>10</v>
      </c>
    </row>
    <row r="534" spans="1:23" x14ac:dyDescent="0.45">
      <c r="A534" s="64">
        <v>41579</v>
      </c>
      <c r="B534" s="14">
        <v>1</v>
      </c>
      <c r="C534" s="10">
        <v>1</v>
      </c>
      <c r="D534" s="10">
        <v>0</v>
      </c>
      <c r="E534" s="11">
        <v>0</v>
      </c>
      <c r="F534" s="10">
        <v>0</v>
      </c>
      <c r="G534" s="430">
        <v>0</v>
      </c>
      <c r="H534" s="8">
        <v>2</v>
      </c>
      <c r="I534" s="10">
        <v>0</v>
      </c>
      <c r="J534" s="10">
        <v>0</v>
      </c>
      <c r="K534" s="10">
        <v>0</v>
      </c>
      <c r="L534" s="11">
        <v>0</v>
      </c>
      <c r="M534" s="10">
        <v>0</v>
      </c>
      <c r="N534" s="430">
        <v>0</v>
      </c>
      <c r="O534" s="8">
        <v>0</v>
      </c>
      <c r="P534" s="10">
        <v>1</v>
      </c>
      <c r="Q534" s="10">
        <v>1</v>
      </c>
      <c r="R534" s="10">
        <v>0</v>
      </c>
      <c r="S534" s="10">
        <v>0</v>
      </c>
      <c r="T534" s="10">
        <v>0</v>
      </c>
      <c r="U534" s="430"/>
      <c r="V534" s="9">
        <v>2</v>
      </c>
      <c r="W534" s="28">
        <v>12</v>
      </c>
    </row>
    <row r="535" spans="1:23" ht="19.5" customHeight="1" x14ac:dyDescent="0.45">
      <c r="A535" s="69">
        <v>41609</v>
      </c>
      <c r="B535" s="16">
        <v>0</v>
      </c>
      <c r="C535" s="42">
        <v>1</v>
      </c>
      <c r="D535" s="42">
        <v>0</v>
      </c>
      <c r="E535" s="42">
        <v>2</v>
      </c>
      <c r="F535" s="42">
        <v>0</v>
      </c>
      <c r="G535" s="438">
        <v>0</v>
      </c>
      <c r="H535" s="43">
        <v>3</v>
      </c>
      <c r="I535" s="42">
        <v>0</v>
      </c>
      <c r="J535" s="42">
        <v>0</v>
      </c>
      <c r="K535" s="42">
        <v>0</v>
      </c>
      <c r="L535" s="42">
        <v>0</v>
      </c>
      <c r="M535" s="42">
        <v>0</v>
      </c>
      <c r="N535" s="438">
        <v>0</v>
      </c>
      <c r="O535" s="43">
        <v>0</v>
      </c>
      <c r="P535" s="42">
        <v>0</v>
      </c>
      <c r="Q535" s="42">
        <v>1</v>
      </c>
      <c r="R535" s="42">
        <v>0</v>
      </c>
      <c r="S535" s="42">
        <v>2</v>
      </c>
      <c r="T535" s="42">
        <v>0</v>
      </c>
      <c r="U535" s="438"/>
      <c r="V535" s="43">
        <v>3</v>
      </c>
      <c r="W535" s="95">
        <v>15</v>
      </c>
    </row>
    <row r="536" spans="1:23" s="52" customFormat="1" ht="19.5" customHeight="1" thickBot="1" x14ac:dyDescent="0.5">
      <c r="A536" s="92" t="s">
        <v>1097</v>
      </c>
      <c r="B536" s="39">
        <v>6</v>
      </c>
      <c r="C536" s="40">
        <v>5</v>
      </c>
      <c r="D536" s="40">
        <v>0</v>
      </c>
      <c r="E536" s="40">
        <v>3</v>
      </c>
      <c r="F536" s="40">
        <v>0</v>
      </c>
      <c r="G536" s="439">
        <v>0</v>
      </c>
      <c r="H536" s="41">
        <v>14</v>
      </c>
      <c r="I536" s="40">
        <v>1</v>
      </c>
      <c r="J536" s="40">
        <v>0</v>
      </c>
      <c r="K536" s="40">
        <v>0</v>
      </c>
      <c r="L536" s="40">
        <v>0</v>
      </c>
      <c r="M536" s="40">
        <v>0</v>
      </c>
      <c r="N536" s="439">
        <v>0</v>
      </c>
      <c r="O536" s="41">
        <v>1</v>
      </c>
      <c r="P536" s="40">
        <v>7</v>
      </c>
      <c r="Q536" s="40">
        <v>5</v>
      </c>
      <c r="R536" s="40">
        <v>0</v>
      </c>
      <c r="S536" s="40">
        <v>3</v>
      </c>
      <c r="T536" s="40">
        <v>0</v>
      </c>
      <c r="U536" s="439"/>
      <c r="V536" s="41">
        <v>15</v>
      </c>
      <c r="W536" s="93"/>
    </row>
    <row r="537" spans="1:23" ht="19.5" customHeight="1" thickTop="1" x14ac:dyDescent="0.45">
      <c r="A537" s="63">
        <v>41640</v>
      </c>
      <c r="B537" s="14">
        <v>0</v>
      </c>
      <c r="C537" s="10">
        <v>0</v>
      </c>
      <c r="D537" s="10">
        <v>0</v>
      </c>
      <c r="E537" s="10">
        <v>0</v>
      </c>
      <c r="F537" s="10">
        <v>0</v>
      </c>
      <c r="G537" s="430">
        <v>0</v>
      </c>
      <c r="H537" s="9">
        <v>0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430">
        <v>0</v>
      </c>
      <c r="O537" s="9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430"/>
      <c r="V537" s="9">
        <v>0</v>
      </c>
      <c r="W537" s="28">
        <v>0</v>
      </c>
    </row>
    <row r="538" spans="1:23" x14ac:dyDescent="0.45">
      <c r="A538" s="64">
        <v>41671</v>
      </c>
      <c r="B538" s="14">
        <v>0</v>
      </c>
      <c r="C538" s="10">
        <v>0</v>
      </c>
      <c r="D538" s="10">
        <v>0</v>
      </c>
      <c r="E538" s="11">
        <v>0</v>
      </c>
      <c r="F538" s="10">
        <v>0</v>
      </c>
      <c r="G538" s="430">
        <v>0</v>
      </c>
      <c r="H538" s="8">
        <v>0</v>
      </c>
      <c r="I538" s="10">
        <v>0</v>
      </c>
      <c r="J538" s="10">
        <v>0</v>
      </c>
      <c r="K538" s="10">
        <v>0</v>
      </c>
      <c r="L538" s="11">
        <v>0</v>
      </c>
      <c r="M538" s="10">
        <v>0</v>
      </c>
      <c r="N538" s="430">
        <v>0</v>
      </c>
      <c r="O538" s="8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430"/>
      <c r="V538" s="9">
        <v>0</v>
      </c>
      <c r="W538" s="28">
        <v>0</v>
      </c>
    </row>
    <row r="539" spans="1:23" x14ac:dyDescent="0.45">
      <c r="A539" s="64">
        <v>41699</v>
      </c>
      <c r="B539" s="14">
        <v>1</v>
      </c>
      <c r="C539" s="10">
        <v>0</v>
      </c>
      <c r="D539" s="10">
        <v>0</v>
      </c>
      <c r="E539" s="11">
        <v>0</v>
      </c>
      <c r="F539" s="10">
        <v>0</v>
      </c>
      <c r="G539" s="430">
        <v>0</v>
      </c>
      <c r="H539" s="8">
        <v>1</v>
      </c>
      <c r="I539" s="10">
        <v>0</v>
      </c>
      <c r="J539" s="10">
        <v>0</v>
      </c>
      <c r="K539" s="10">
        <v>0</v>
      </c>
      <c r="L539" s="11">
        <v>0</v>
      </c>
      <c r="M539" s="10">
        <v>0</v>
      </c>
      <c r="N539" s="430">
        <v>0</v>
      </c>
      <c r="O539" s="8">
        <v>0</v>
      </c>
      <c r="P539" s="10">
        <v>1</v>
      </c>
      <c r="Q539" s="10">
        <v>0</v>
      </c>
      <c r="R539" s="10">
        <v>0</v>
      </c>
      <c r="S539" s="10">
        <v>0</v>
      </c>
      <c r="T539" s="10">
        <v>0</v>
      </c>
      <c r="U539" s="430"/>
      <c r="V539" s="9">
        <v>1</v>
      </c>
      <c r="W539" s="28">
        <v>1</v>
      </c>
    </row>
    <row r="540" spans="1:23" x14ac:dyDescent="0.45">
      <c r="A540" s="64">
        <v>41730</v>
      </c>
      <c r="B540" s="14">
        <v>0</v>
      </c>
      <c r="C540" s="10">
        <v>0</v>
      </c>
      <c r="D540" s="10">
        <v>0</v>
      </c>
      <c r="E540" s="11">
        <v>0</v>
      </c>
      <c r="F540" s="10">
        <v>0</v>
      </c>
      <c r="G540" s="430">
        <v>0</v>
      </c>
      <c r="H540" s="8">
        <v>0</v>
      </c>
      <c r="I540" s="10">
        <v>0</v>
      </c>
      <c r="J540" s="10">
        <v>0</v>
      </c>
      <c r="K540" s="10">
        <v>0</v>
      </c>
      <c r="L540" s="11">
        <v>0</v>
      </c>
      <c r="M540" s="10">
        <v>0</v>
      </c>
      <c r="N540" s="430">
        <v>0</v>
      </c>
      <c r="O540" s="8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430"/>
      <c r="V540" s="9">
        <v>0</v>
      </c>
      <c r="W540" s="28">
        <v>1</v>
      </c>
    </row>
    <row r="541" spans="1:23" x14ac:dyDescent="0.45">
      <c r="A541" s="64">
        <v>41760</v>
      </c>
      <c r="B541" s="14">
        <v>0</v>
      </c>
      <c r="C541" s="10">
        <v>0</v>
      </c>
      <c r="D541" s="10">
        <v>0</v>
      </c>
      <c r="E541" s="11">
        <v>0</v>
      </c>
      <c r="F541" s="10">
        <v>0</v>
      </c>
      <c r="G541" s="430">
        <v>0</v>
      </c>
      <c r="H541" s="8">
        <v>0</v>
      </c>
      <c r="I541" s="10">
        <v>0</v>
      </c>
      <c r="J541" s="10">
        <v>0</v>
      </c>
      <c r="K541" s="10">
        <v>0</v>
      </c>
      <c r="L541" s="11">
        <v>0</v>
      </c>
      <c r="M541" s="10">
        <v>0</v>
      </c>
      <c r="N541" s="430">
        <v>0</v>
      </c>
      <c r="O541" s="8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430"/>
      <c r="V541" s="9">
        <v>0</v>
      </c>
      <c r="W541" s="28">
        <v>1</v>
      </c>
    </row>
    <row r="542" spans="1:23" x14ac:dyDescent="0.45">
      <c r="A542" s="64">
        <v>41791</v>
      </c>
      <c r="B542" s="14">
        <v>0</v>
      </c>
      <c r="C542" s="10">
        <v>0</v>
      </c>
      <c r="D542" s="10">
        <v>0</v>
      </c>
      <c r="E542" s="11">
        <v>0</v>
      </c>
      <c r="F542" s="10">
        <v>0</v>
      </c>
      <c r="G542" s="430">
        <v>0</v>
      </c>
      <c r="H542" s="8">
        <v>0</v>
      </c>
      <c r="I542" s="10">
        <v>0</v>
      </c>
      <c r="J542" s="10">
        <v>0</v>
      </c>
      <c r="K542" s="10">
        <v>0</v>
      </c>
      <c r="L542" s="11">
        <v>0</v>
      </c>
      <c r="M542" s="10">
        <v>0</v>
      </c>
      <c r="N542" s="430">
        <v>0</v>
      </c>
      <c r="O542" s="8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430"/>
      <c r="V542" s="9">
        <v>0</v>
      </c>
      <c r="W542" s="28">
        <v>1</v>
      </c>
    </row>
    <row r="543" spans="1:23" x14ac:dyDescent="0.45">
      <c r="A543" s="64">
        <v>41821</v>
      </c>
      <c r="B543" s="14">
        <v>0</v>
      </c>
      <c r="C543" s="10">
        <v>0</v>
      </c>
      <c r="D543" s="10">
        <v>0</v>
      </c>
      <c r="E543" s="11">
        <v>0</v>
      </c>
      <c r="F543" s="10">
        <v>0</v>
      </c>
      <c r="G543" s="430">
        <v>0</v>
      </c>
      <c r="H543" s="8">
        <v>0</v>
      </c>
      <c r="I543" s="10">
        <v>0</v>
      </c>
      <c r="J543" s="10">
        <v>0</v>
      </c>
      <c r="K543" s="10">
        <v>0</v>
      </c>
      <c r="L543" s="11">
        <v>0</v>
      </c>
      <c r="M543" s="10">
        <v>0</v>
      </c>
      <c r="N543" s="430">
        <v>0</v>
      </c>
      <c r="O543" s="8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430"/>
      <c r="V543" s="9">
        <v>0</v>
      </c>
      <c r="W543" s="28">
        <v>1</v>
      </c>
    </row>
    <row r="544" spans="1:23" x14ac:dyDescent="0.45">
      <c r="A544" s="64">
        <v>41852</v>
      </c>
      <c r="B544" s="14">
        <v>1</v>
      </c>
      <c r="C544" s="10">
        <v>1</v>
      </c>
      <c r="D544" s="10">
        <v>0</v>
      </c>
      <c r="E544" s="11">
        <v>0</v>
      </c>
      <c r="F544" s="10">
        <v>0</v>
      </c>
      <c r="G544" s="430">
        <v>0</v>
      </c>
      <c r="H544" s="8">
        <v>2</v>
      </c>
      <c r="I544" s="10">
        <v>0</v>
      </c>
      <c r="J544" s="10">
        <v>0</v>
      </c>
      <c r="K544" s="10">
        <v>0</v>
      </c>
      <c r="L544" s="11">
        <v>0</v>
      </c>
      <c r="M544" s="10">
        <v>0</v>
      </c>
      <c r="N544" s="430">
        <v>0</v>
      </c>
      <c r="O544" s="8">
        <v>0</v>
      </c>
      <c r="P544" s="10">
        <v>1</v>
      </c>
      <c r="Q544" s="10">
        <v>1</v>
      </c>
      <c r="R544" s="10">
        <v>0</v>
      </c>
      <c r="S544" s="10">
        <v>0</v>
      </c>
      <c r="T544" s="10">
        <v>0</v>
      </c>
      <c r="U544" s="430"/>
      <c r="V544" s="9">
        <v>2</v>
      </c>
      <c r="W544" s="28">
        <v>3</v>
      </c>
    </row>
    <row r="545" spans="1:23" x14ac:dyDescent="0.45">
      <c r="A545" s="64">
        <v>41883</v>
      </c>
      <c r="B545" s="14">
        <v>2</v>
      </c>
      <c r="C545" s="10">
        <v>1</v>
      </c>
      <c r="D545" s="10">
        <v>0</v>
      </c>
      <c r="E545" s="11">
        <v>0</v>
      </c>
      <c r="F545" s="10">
        <v>0</v>
      </c>
      <c r="G545" s="430">
        <v>0</v>
      </c>
      <c r="H545" s="8">
        <v>3</v>
      </c>
      <c r="I545" s="10">
        <v>0</v>
      </c>
      <c r="J545" s="10">
        <v>0</v>
      </c>
      <c r="K545" s="10">
        <v>0</v>
      </c>
      <c r="L545" s="11">
        <v>0</v>
      </c>
      <c r="M545" s="10">
        <v>0</v>
      </c>
      <c r="N545" s="430">
        <v>0</v>
      </c>
      <c r="O545" s="8">
        <v>0</v>
      </c>
      <c r="P545" s="10">
        <v>2</v>
      </c>
      <c r="Q545" s="10">
        <v>1</v>
      </c>
      <c r="R545" s="10">
        <v>0</v>
      </c>
      <c r="S545" s="10">
        <v>0</v>
      </c>
      <c r="T545" s="10">
        <v>0</v>
      </c>
      <c r="U545" s="430"/>
      <c r="V545" s="9">
        <v>3</v>
      </c>
      <c r="W545" s="28">
        <v>6</v>
      </c>
    </row>
    <row r="546" spans="1:23" x14ac:dyDescent="0.45">
      <c r="A546" s="64">
        <v>41913</v>
      </c>
      <c r="B546" s="14">
        <v>1</v>
      </c>
      <c r="C546" s="10">
        <v>1</v>
      </c>
      <c r="D546" s="10">
        <v>0</v>
      </c>
      <c r="E546" s="11">
        <v>1</v>
      </c>
      <c r="F546" s="10">
        <v>0</v>
      </c>
      <c r="G546" s="430">
        <v>0</v>
      </c>
      <c r="H546" s="8">
        <v>3</v>
      </c>
      <c r="I546" s="10">
        <v>0</v>
      </c>
      <c r="J546" s="10">
        <v>0</v>
      </c>
      <c r="K546" s="10">
        <v>0</v>
      </c>
      <c r="L546" s="11">
        <v>0</v>
      </c>
      <c r="M546" s="10">
        <v>0</v>
      </c>
      <c r="N546" s="430">
        <v>0</v>
      </c>
      <c r="O546" s="8">
        <v>0</v>
      </c>
      <c r="P546" s="10">
        <v>1</v>
      </c>
      <c r="Q546" s="10">
        <v>1</v>
      </c>
      <c r="R546" s="10">
        <v>0</v>
      </c>
      <c r="S546" s="10">
        <v>1</v>
      </c>
      <c r="T546" s="10">
        <v>0</v>
      </c>
      <c r="U546" s="430"/>
      <c r="V546" s="9">
        <v>3</v>
      </c>
      <c r="W546" s="28">
        <v>9</v>
      </c>
    </row>
    <row r="547" spans="1:23" x14ac:dyDescent="0.45">
      <c r="A547" s="64">
        <v>41944</v>
      </c>
      <c r="B547" s="14">
        <v>1</v>
      </c>
      <c r="C547" s="10">
        <v>1</v>
      </c>
      <c r="D547" s="10">
        <v>0</v>
      </c>
      <c r="E547" s="11">
        <v>0</v>
      </c>
      <c r="F547" s="10">
        <v>0</v>
      </c>
      <c r="G547" s="430">
        <v>0</v>
      </c>
      <c r="H547" s="8">
        <v>2</v>
      </c>
      <c r="I547" s="10">
        <v>1</v>
      </c>
      <c r="J547" s="10">
        <v>0</v>
      </c>
      <c r="K547" s="10">
        <v>0</v>
      </c>
      <c r="L547" s="11">
        <v>0</v>
      </c>
      <c r="M547" s="10">
        <v>0</v>
      </c>
      <c r="N547" s="430">
        <v>0</v>
      </c>
      <c r="O547" s="8">
        <v>1</v>
      </c>
      <c r="P547" s="10">
        <v>2</v>
      </c>
      <c r="Q547" s="10">
        <v>1</v>
      </c>
      <c r="R547" s="10">
        <v>0</v>
      </c>
      <c r="S547" s="10">
        <v>0</v>
      </c>
      <c r="T547" s="10">
        <v>0</v>
      </c>
      <c r="U547" s="430"/>
      <c r="V547" s="9">
        <v>3</v>
      </c>
      <c r="W547" s="28">
        <v>12</v>
      </c>
    </row>
    <row r="548" spans="1:23" ht="19.5" customHeight="1" x14ac:dyDescent="0.45">
      <c r="A548" s="69">
        <v>41974</v>
      </c>
      <c r="B548" s="16">
        <v>1</v>
      </c>
      <c r="C548" s="42">
        <v>2</v>
      </c>
      <c r="D548" s="42">
        <v>0</v>
      </c>
      <c r="E548" s="42">
        <v>1</v>
      </c>
      <c r="F548" s="42">
        <v>0</v>
      </c>
      <c r="G548" s="438">
        <v>0</v>
      </c>
      <c r="H548" s="43">
        <v>4</v>
      </c>
      <c r="I548" s="42">
        <v>0</v>
      </c>
      <c r="J548" s="42">
        <v>0</v>
      </c>
      <c r="K548" s="42">
        <v>0</v>
      </c>
      <c r="L548" s="42">
        <v>0</v>
      </c>
      <c r="M548" s="42">
        <v>0</v>
      </c>
      <c r="N548" s="438">
        <v>0</v>
      </c>
      <c r="O548" s="43">
        <v>0</v>
      </c>
      <c r="P548" s="42">
        <v>1</v>
      </c>
      <c r="Q548" s="42">
        <v>2</v>
      </c>
      <c r="R548" s="42">
        <v>0</v>
      </c>
      <c r="S548" s="42">
        <v>1</v>
      </c>
      <c r="T548" s="42">
        <v>0</v>
      </c>
      <c r="U548" s="438"/>
      <c r="V548" s="43">
        <v>4</v>
      </c>
      <c r="W548" s="95">
        <v>16</v>
      </c>
    </row>
    <row r="549" spans="1:23" s="52" customFormat="1" ht="19.5" customHeight="1" thickBot="1" x14ac:dyDescent="0.5">
      <c r="A549" s="92" t="s">
        <v>1098</v>
      </c>
      <c r="B549" s="39">
        <v>7</v>
      </c>
      <c r="C549" s="40">
        <v>6</v>
      </c>
      <c r="D549" s="40">
        <v>0</v>
      </c>
      <c r="E549" s="40">
        <v>2</v>
      </c>
      <c r="F549" s="40">
        <v>0</v>
      </c>
      <c r="G549" s="439">
        <v>0</v>
      </c>
      <c r="H549" s="41">
        <v>15</v>
      </c>
      <c r="I549" s="40">
        <v>1</v>
      </c>
      <c r="J549" s="40">
        <v>0</v>
      </c>
      <c r="K549" s="40">
        <v>0</v>
      </c>
      <c r="L549" s="40">
        <v>0</v>
      </c>
      <c r="M549" s="40">
        <v>0</v>
      </c>
      <c r="N549" s="439">
        <v>0</v>
      </c>
      <c r="O549" s="41">
        <v>1</v>
      </c>
      <c r="P549" s="40">
        <v>8</v>
      </c>
      <c r="Q549" s="40">
        <v>6</v>
      </c>
      <c r="R549" s="40">
        <v>0</v>
      </c>
      <c r="S549" s="40">
        <v>2</v>
      </c>
      <c r="T549" s="40">
        <v>0</v>
      </c>
      <c r="U549" s="439"/>
      <c r="V549" s="41">
        <v>16</v>
      </c>
      <c r="W549" s="93"/>
    </row>
    <row r="550" spans="1:23" ht="19.5" customHeight="1" thickTop="1" x14ac:dyDescent="0.45">
      <c r="A550" s="63">
        <v>42005</v>
      </c>
      <c r="B550" s="14">
        <v>0</v>
      </c>
      <c r="C550" s="10">
        <v>0</v>
      </c>
      <c r="D550" s="10">
        <v>0</v>
      </c>
      <c r="E550" s="10">
        <v>0</v>
      </c>
      <c r="F550" s="10">
        <v>0</v>
      </c>
      <c r="G550" s="430">
        <v>0</v>
      </c>
      <c r="H550" s="9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430">
        <v>0</v>
      </c>
      <c r="O550" s="9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430"/>
      <c r="V550" s="9">
        <v>0</v>
      </c>
      <c r="W550" s="28">
        <v>0</v>
      </c>
    </row>
    <row r="551" spans="1:23" x14ac:dyDescent="0.45">
      <c r="A551" s="64">
        <v>42036</v>
      </c>
      <c r="B551" s="14">
        <v>0</v>
      </c>
      <c r="C551" s="10">
        <v>0</v>
      </c>
      <c r="D551" s="10">
        <v>0</v>
      </c>
      <c r="E551" s="11">
        <v>0</v>
      </c>
      <c r="F551" s="10">
        <v>0</v>
      </c>
      <c r="G551" s="430">
        <v>0</v>
      </c>
      <c r="H551" s="8">
        <v>0</v>
      </c>
      <c r="I551" s="10">
        <v>0</v>
      </c>
      <c r="J551" s="10">
        <v>0</v>
      </c>
      <c r="K551" s="10">
        <v>0</v>
      </c>
      <c r="L551" s="11">
        <v>0</v>
      </c>
      <c r="M551" s="10">
        <v>0</v>
      </c>
      <c r="N551" s="430">
        <v>0</v>
      </c>
      <c r="O551" s="8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430"/>
      <c r="V551" s="9">
        <v>0</v>
      </c>
      <c r="W551" s="28">
        <v>0</v>
      </c>
    </row>
    <row r="552" spans="1:23" x14ac:dyDescent="0.45">
      <c r="A552" s="64">
        <v>42064</v>
      </c>
      <c r="B552" s="14">
        <v>0</v>
      </c>
      <c r="C552" s="10">
        <v>0</v>
      </c>
      <c r="D552" s="10">
        <v>0</v>
      </c>
      <c r="E552" s="11">
        <v>1</v>
      </c>
      <c r="F552" s="10">
        <v>0</v>
      </c>
      <c r="G552" s="430">
        <v>0</v>
      </c>
      <c r="H552" s="8">
        <v>1</v>
      </c>
      <c r="I552" s="10">
        <v>0</v>
      </c>
      <c r="J552" s="10">
        <v>0</v>
      </c>
      <c r="K552" s="10">
        <v>0</v>
      </c>
      <c r="L552" s="11">
        <v>0</v>
      </c>
      <c r="M552" s="10">
        <v>0</v>
      </c>
      <c r="N552" s="430">
        <v>0</v>
      </c>
      <c r="O552" s="8">
        <v>0</v>
      </c>
      <c r="P552" s="10">
        <v>0</v>
      </c>
      <c r="Q552" s="10">
        <v>0</v>
      </c>
      <c r="R552" s="10">
        <v>0</v>
      </c>
      <c r="S552" s="10">
        <v>1</v>
      </c>
      <c r="T552" s="10">
        <v>0</v>
      </c>
      <c r="U552" s="430"/>
      <c r="V552" s="9">
        <v>1</v>
      </c>
      <c r="W552" s="28">
        <v>1</v>
      </c>
    </row>
    <row r="553" spans="1:23" x14ac:dyDescent="0.45">
      <c r="A553" s="64">
        <v>42095</v>
      </c>
      <c r="B553" s="14">
        <v>0</v>
      </c>
      <c r="C553" s="10">
        <v>0</v>
      </c>
      <c r="D553" s="10">
        <v>0</v>
      </c>
      <c r="E553" s="11">
        <v>0</v>
      </c>
      <c r="F553" s="10">
        <v>0</v>
      </c>
      <c r="G553" s="430">
        <v>0</v>
      </c>
      <c r="H553" s="8">
        <v>0</v>
      </c>
      <c r="I553" s="10">
        <v>0</v>
      </c>
      <c r="J553" s="10">
        <v>0</v>
      </c>
      <c r="K553" s="10">
        <v>0</v>
      </c>
      <c r="L553" s="11">
        <v>0</v>
      </c>
      <c r="M553" s="10">
        <v>0</v>
      </c>
      <c r="N553" s="430">
        <v>0</v>
      </c>
      <c r="O553" s="8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430"/>
      <c r="V553" s="9">
        <v>0</v>
      </c>
      <c r="W553" s="28">
        <v>1</v>
      </c>
    </row>
    <row r="554" spans="1:23" x14ac:dyDescent="0.45">
      <c r="A554" s="64">
        <v>42125</v>
      </c>
      <c r="B554" s="14">
        <v>0</v>
      </c>
      <c r="C554" s="10">
        <v>0</v>
      </c>
      <c r="D554" s="10">
        <v>0</v>
      </c>
      <c r="E554" s="11">
        <v>0</v>
      </c>
      <c r="F554" s="10">
        <v>0</v>
      </c>
      <c r="G554" s="430">
        <v>0</v>
      </c>
      <c r="H554" s="8">
        <v>0</v>
      </c>
      <c r="I554" s="10">
        <v>0</v>
      </c>
      <c r="J554" s="10">
        <v>0</v>
      </c>
      <c r="K554" s="10">
        <v>0</v>
      </c>
      <c r="L554" s="11">
        <v>0</v>
      </c>
      <c r="M554" s="10">
        <v>0</v>
      </c>
      <c r="N554" s="430">
        <v>0</v>
      </c>
      <c r="O554" s="8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430"/>
      <c r="V554" s="9">
        <v>0</v>
      </c>
      <c r="W554" s="28">
        <v>1</v>
      </c>
    </row>
    <row r="555" spans="1:23" x14ac:dyDescent="0.45">
      <c r="A555" s="64">
        <v>42156</v>
      </c>
      <c r="B555" s="14">
        <v>0</v>
      </c>
      <c r="C555" s="10">
        <v>1</v>
      </c>
      <c r="D555" s="10">
        <v>0</v>
      </c>
      <c r="E555" s="11">
        <v>0</v>
      </c>
      <c r="F555" s="10">
        <v>0</v>
      </c>
      <c r="G555" s="430">
        <v>0</v>
      </c>
      <c r="H555" s="8">
        <v>1</v>
      </c>
      <c r="I555" s="10">
        <v>0</v>
      </c>
      <c r="J555" s="10">
        <v>0</v>
      </c>
      <c r="K555" s="10">
        <v>0</v>
      </c>
      <c r="L555" s="11">
        <v>0</v>
      </c>
      <c r="M555" s="10">
        <v>0</v>
      </c>
      <c r="N555" s="430">
        <v>0</v>
      </c>
      <c r="O555" s="8">
        <v>0</v>
      </c>
      <c r="P555" s="10">
        <v>0</v>
      </c>
      <c r="Q555" s="10">
        <v>1</v>
      </c>
      <c r="R555" s="10">
        <v>0</v>
      </c>
      <c r="S555" s="10">
        <v>0</v>
      </c>
      <c r="T555" s="10">
        <v>0</v>
      </c>
      <c r="U555" s="430"/>
      <c r="V555" s="9">
        <v>1</v>
      </c>
      <c r="W555" s="28">
        <v>2</v>
      </c>
    </row>
    <row r="556" spans="1:23" x14ac:dyDescent="0.45">
      <c r="A556" s="64">
        <v>42186</v>
      </c>
      <c r="B556" s="14">
        <v>0</v>
      </c>
      <c r="C556" s="10">
        <v>0</v>
      </c>
      <c r="D556" s="10">
        <v>0</v>
      </c>
      <c r="E556" s="11">
        <v>1</v>
      </c>
      <c r="F556" s="10">
        <v>0</v>
      </c>
      <c r="G556" s="430">
        <v>0</v>
      </c>
      <c r="H556" s="8">
        <v>1</v>
      </c>
      <c r="I556" s="10">
        <v>0</v>
      </c>
      <c r="J556" s="10">
        <v>0</v>
      </c>
      <c r="K556" s="10">
        <v>0</v>
      </c>
      <c r="L556" s="11">
        <v>0</v>
      </c>
      <c r="M556" s="10">
        <v>0</v>
      </c>
      <c r="N556" s="430">
        <v>0</v>
      </c>
      <c r="O556" s="8">
        <v>0</v>
      </c>
      <c r="P556" s="10">
        <v>0</v>
      </c>
      <c r="Q556" s="10">
        <v>0</v>
      </c>
      <c r="R556" s="10">
        <v>0</v>
      </c>
      <c r="S556" s="10">
        <v>1</v>
      </c>
      <c r="T556" s="10">
        <v>0</v>
      </c>
      <c r="U556" s="430"/>
      <c r="V556" s="9">
        <v>1</v>
      </c>
      <c r="W556" s="28">
        <v>3</v>
      </c>
    </row>
    <row r="557" spans="1:23" x14ac:dyDescent="0.45">
      <c r="A557" s="64">
        <v>42217</v>
      </c>
      <c r="B557" s="14">
        <v>0</v>
      </c>
      <c r="C557" s="10">
        <v>1</v>
      </c>
      <c r="D557" s="10">
        <v>0</v>
      </c>
      <c r="E557" s="11">
        <v>0</v>
      </c>
      <c r="F557" s="10">
        <v>0</v>
      </c>
      <c r="G557" s="430">
        <v>0</v>
      </c>
      <c r="H557" s="8">
        <v>1</v>
      </c>
      <c r="I557" s="10">
        <v>0</v>
      </c>
      <c r="J557" s="10">
        <v>0</v>
      </c>
      <c r="K557" s="10">
        <v>0</v>
      </c>
      <c r="L557" s="11">
        <v>0</v>
      </c>
      <c r="M557" s="10">
        <v>0</v>
      </c>
      <c r="N557" s="430">
        <v>0</v>
      </c>
      <c r="O557" s="8">
        <v>0</v>
      </c>
      <c r="P557" s="10">
        <v>0</v>
      </c>
      <c r="Q557" s="10">
        <v>1</v>
      </c>
      <c r="R557" s="10">
        <v>0</v>
      </c>
      <c r="S557" s="10">
        <v>0</v>
      </c>
      <c r="T557" s="10">
        <v>0</v>
      </c>
      <c r="U557" s="430"/>
      <c r="V557" s="9">
        <v>1</v>
      </c>
      <c r="W557" s="28">
        <v>4</v>
      </c>
    </row>
    <row r="558" spans="1:23" x14ac:dyDescent="0.45">
      <c r="A558" s="64">
        <v>42248</v>
      </c>
      <c r="B558" s="14">
        <v>2</v>
      </c>
      <c r="C558" s="10">
        <v>1</v>
      </c>
      <c r="D558" s="10">
        <v>0</v>
      </c>
      <c r="E558" s="11">
        <v>2</v>
      </c>
      <c r="F558" s="10">
        <v>0</v>
      </c>
      <c r="G558" s="430">
        <v>0</v>
      </c>
      <c r="H558" s="8">
        <v>5</v>
      </c>
      <c r="I558" s="10">
        <v>0</v>
      </c>
      <c r="J558" s="10">
        <v>0</v>
      </c>
      <c r="K558" s="10">
        <v>0</v>
      </c>
      <c r="L558" s="11">
        <v>0</v>
      </c>
      <c r="M558" s="10">
        <v>0</v>
      </c>
      <c r="N558" s="430">
        <v>0</v>
      </c>
      <c r="O558" s="8">
        <v>0</v>
      </c>
      <c r="P558" s="10">
        <v>2</v>
      </c>
      <c r="Q558" s="10">
        <v>1</v>
      </c>
      <c r="R558" s="10">
        <v>0</v>
      </c>
      <c r="S558" s="10">
        <v>2</v>
      </c>
      <c r="T558" s="10">
        <v>0</v>
      </c>
      <c r="U558" s="430"/>
      <c r="V558" s="9">
        <v>5</v>
      </c>
      <c r="W558" s="28">
        <v>9</v>
      </c>
    </row>
    <row r="559" spans="1:23" x14ac:dyDescent="0.45">
      <c r="A559" s="64">
        <v>42278</v>
      </c>
      <c r="B559" s="14">
        <v>2</v>
      </c>
      <c r="C559" s="10">
        <v>0</v>
      </c>
      <c r="D559" s="10">
        <v>0</v>
      </c>
      <c r="E559" s="11">
        <v>1</v>
      </c>
      <c r="F559" s="10">
        <v>0</v>
      </c>
      <c r="G559" s="430">
        <v>0</v>
      </c>
      <c r="H559" s="8">
        <v>3</v>
      </c>
      <c r="I559" s="10">
        <v>0</v>
      </c>
      <c r="J559" s="10">
        <v>0</v>
      </c>
      <c r="K559" s="10">
        <v>0</v>
      </c>
      <c r="L559" s="11">
        <v>0</v>
      </c>
      <c r="M559" s="10">
        <v>0</v>
      </c>
      <c r="N559" s="430">
        <v>0</v>
      </c>
      <c r="O559" s="8">
        <v>0</v>
      </c>
      <c r="P559" s="10">
        <v>2</v>
      </c>
      <c r="Q559" s="10">
        <v>0</v>
      </c>
      <c r="R559" s="10">
        <v>0</v>
      </c>
      <c r="S559" s="10">
        <v>1</v>
      </c>
      <c r="T559" s="10">
        <v>0</v>
      </c>
      <c r="U559" s="430"/>
      <c r="V559" s="9">
        <v>3</v>
      </c>
      <c r="W559" s="28">
        <v>12</v>
      </c>
    </row>
    <row r="560" spans="1:23" x14ac:dyDescent="0.45">
      <c r="A560" s="64">
        <v>42309</v>
      </c>
      <c r="B560" s="14">
        <v>0</v>
      </c>
      <c r="C560" s="10">
        <v>2</v>
      </c>
      <c r="D560" s="10">
        <v>0</v>
      </c>
      <c r="E560" s="11">
        <v>2</v>
      </c>
      <c r="F560" s="10">
        <v>0</v>
      </c>
      <c r="G560" s="430">
        <v>0</v>
      </c>
      <c r="H560" s="8">
        <v>4</v>
      </c>
      <c r="I560" s="10">
        <v>0</v>
      </c>
      <c r="J560" s="10">
        <v>0</v>
      </c>
      <c r="K560" s="10">
        <v>0</v>
      </c>
      <c r="L560" s="11">
        <v>0</v>
      </c>
      <c r="M560" s="10">
        <v>0</v>
      </c>
      <c r="N560" s="430">
        <v>0</v>
      </c>
      <c r="O560" s="8">
        <v>0</v>
      </c>
      <c r="P560" s="10">
        <v>0</v>
      </c>
      <c r="Q560" s="10">
        <v>2</v>
      </c>
      <c r="R560" s="10">
        <v>0</v>
      </c>
      <c r="S560" s="10">
        <v>2</v>
      </c>
      <c r="T560" s="10">
        <v>0</v>
      </c>
      <c r="U560" s="430"/>
      <c r="V560" s="9">
        <v>4</v>
      </c>
      <c r="W560" s="28">
        <v>16</v>
      </c>
    </row>
    <row r="561" spans="1:23" ht="19.5" customHeight="1" x14ac:dyDescent="0.45">
      <c r="A561" s="69">
        <v>42339</v>
      </c>
      <c r="B561" s="16">
        <v>1</v>
      </c>
      <c r="C561" s="42">
        <v>0</v>
      </c>
      <c r="D561" s="42">
        <v>0</v>
      </c>
      <c r="E561" s="42">
        <v>2</v>
      </c>
      <c r="F561" s="42">
        <v>0</v>
      </c>
      <c r="G561" s="438">
        <v>0</v>
      </c>
      <c r="H561" s="43">
        <v>3</v>
      </c>
      <c r="I561" s="42">
        <v>0</v>
      </c>
      <c r="J561" s="42">
        <v>0</v>
      </c>
      <c r="K561" s="42">
        <v>0</v>
      </c>
      <c r="L561" s="42">
        <v>0</v>
      </c>
      <c r="M561" s="42">
        <v>0</v>
      </c>
      <c r="N561" s="438">
        <v>0</v>
      </c>
      <c r="O561" s="43">
        <v>0</v>
      </c>
      <c r="P561" s="42">
        <v>1</v>
      </c>
      <c r="Q561" s="42">
        <v>0</v>
      </c>
      <c r="R561" s="42">
        <v>0</v>
      </c>
      <c r="S561" s="42">
        <v>2</v>
      </c>
      <c r="T561" s="42">
        <v>0</v>
      </c>
      <c r="U561" s="438"/>
      <c r="V561" s="43">
        <v>3</v>
      </c>
      <c r="W561" s="95">
        <v>19</v>
      </c>
    </row>
    <row r="562" spans="1:23" s="52" customFormat="1" ht="19.5" customHeight="1" thickBot="1" x14ac:dyDescent="0.5">
      <c r="A562" s="92" t="s">
        <v>1099</v>
      </c>
      <c r="B562" s="39">
        <v>5</v>
      </c>
      <c r="C562" s="40">
        <v>5</v>
      </c>
      <c r="D562" s="40">
        <v>0</v>
      </c>
      <c r="E562" s="40">
        <v>9</v>
      </c>
      <c r="F562" s="40">
        <v>0</v>
      </c>
      <c r="G562" s="439">
        <v>0</v>
      </c>
      <c r="H562" s="41">
        <v>19</v>
      </c>
      <c r="I562" s="40">
        <v>0</v>
      </c>
      <c r="J562" s="40">
        <v>0</v>
      </c>
      <c r="K562" s="40">
        <v>0</v>
      </c>
      <c r="L562" s="40">
        <v>0</v>
      </c>
      <c r="M562" s="40">
        <v>0</v>
      </c>
      <c r="N562" s="439">
        <v>0</v>
      </c>
      <c r="O562" s="41">
        <v>0</v>
      </c>
      <c r="P562" s="40">
        <v>5</v>
      </c>
      <c r="Q562" s="40">
        <v>5</v>
      </c>
      <c r="R562" s="40">
        <v>0</v>
      </c>
      <c r="S562" s="40">
        <v>9</v>
      </c>
      <c r="T562" s="40">
        <v>0</v>
      </c>
      <c r="U562" s="439"/>
      <c r="V562" s="41">
        <v>19</v>
      </c>
      <c r="W562" s="93"/>
    </row>
    <row r="563" spans="1:23" ht="19.5" customHeight="1" thickTop="1" x14ac:dyDescent="0.45">
      <c r="A563" s="63">
        <v>42370</v>
      </c>
      <c r="B563" s="14">
        <v>0</v>
      </c>
      <c r="C563" s="10">
        <v>0</v>
      </c>
      <c r="D563" s="10">
        <v>0</v>
      </c>
      <c r="E563" s="10">
        <v>1</v>
      </c>
      <c r="F563" s="10">
        <v>0</v>
      </c>
      <c r="G563" s="430">
        <v>0</v>
      </c>
      <c r="H563" s="9">
        <v>1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430">
        <v>0</v>
      </c>
      <c r="O563" s="9">
        <v>0</v>
      </c>
      <c r="P563" s="10">
        <v>0</v>
      </c>
      <c r="Q563" s="10">
        <v>0</v>
      </c>
      <c r="R563" s="10">
        <v>0</v>
      </c>
      <c r="S563" s="10">
        <v>1</v>
      </c>
      <c r="T563" s="10">
        <v>0</v>
      </c>
      <c r="U563" s="430"/>
      <c r="V563" s="9">
        <v>1</v>
      </c>
      <c r="W563" s="28">
        <v>1</v>
      </c>
    </row>
    <row r="564" spans="1:23" x14ac:dyDescent="0.45">
      <c r="A564" s="64">
        <v>42401</v>
      </c>
      <c r="B564" s="14">
        <v>0</v>
      </c>
      <c r="C564" s="10">
        <v>0</v>
      </c>
      <c r="D564" s="10">
        <v>0</v>
      </c>
      <c r="E564" s="11">
        <v>1</v>
      </c>
      <c r="F564" s="10">
        <v>0</v>
      </c>
      <c r="G564" s="430">
        <v>0</v>
      </c>
      <c r="H564" s="8">
        <v>1</v>
      </c>
      <c r="I564" s="10">
        <v>0</v>
      </c>
      <c r="J564" s="10">
        <v>0</v>
      </c>
      <c r="K564" s="10">
        <v>0</v>
      </c>
      <c r="L564" s="11">
        <v>0</v>
      </c>
      <c r="M564" s="10">
        <v>0</v>
      </c>
      <c r="N564" s="430">
        <v>0</v>
      </c>
      <c r="O564" s="8">
        <v>0</v>
      </c>
      <c r="P564" s="10">
        <v>0</v>
      </c>
      <c r="Q564" s="10">
        <v>0</v>
      </c>
      <c r="R564" s="10">
        <v>0</v>
      </c>
      <c r="S564" s="10">
        <v>1</v>
      </c>
      <c r="T564" s="10">
        <v>0</v>
      </c>
      <c r="U564" s="430"/>
      <c r="V564" s="9">
        <v>1</v>
      </c>
      <c r="W564" s="28">
        <v>2</v>
      </c>
    </row>
    <row r="565" spans="1:23" x14ac:dyDescent="0.45">
      <c r="A565" s="64">
        <v>42430</v>
      </c>
      <c r="B565" s="14">
        <v>0</v>
      </c>
      <c r="C565" s="10">
        <v>0</v>
      </c>
      <c r="D565" s="10">
        <v>0</v>
      </c>
      <c r="E565" s="11">
        <v>1</v>
      </c>
      <c r="F565" s="10">
        <v>0</v>
      </c>
      <c r="G565" s="430">
        <v>0</v>
      </c>
      <c r="H565" s="8">
        <v>1</v>
      </c>
      <c r="I565" s="10">
        <v>0</v>
      </c>
      <c r="J565" s="10">
        <v>0</v>
      </c>
      <c r="K565" s="10">
        <v>0</v>
      </c>
      <c r="L565" s="11">
        <v>0</v>
      </c>
      <c r="M565" s="10">
        <v>0</v>
      </c>
      <c r="N565" s="430">
        <v>0</v>
      </c>
      <c r="O565" s="8">
        <v>0</v>
      </c>
      <c r="P565" s="10">
        <v>0</v>
      </c>
      <c r="Q565" s="10">
        <v>0</v>
      </c>
      <c r="R565" s="10">
        <v>0</v>
      </c>
      <c r="S565" s="10">
        <v>1</v>
      </c>
      <c r="T565" s="10">
        <v>0</v>
      </c>
      <c r="U565" s="430"/>
      <c r="V565" s="9">
        <v>1</v>
      </c>
      <c r="W565" s="28">
        <v>3</v>
      </c>
    </row>
    <row r="566" spans="1:23" x14ac:dyDescent="0.45">
      <c r="A566" s="64">
        <v>42461</v>
      </c>
      <c r="B566" s="14">
        <v>1</v>
      </c>
      <c r="C566" s="10">
        <v>0</v>
      </c>
      <c r="D566" s="10">
        <v>0</v>
      </c>
      <c r="E566" s="11">
        <v>0</v>
      </c>
      <c r="F566" s="10">
        <v>0</v>
      </c>
      <c r="G566" s="430">
        <v>0</v>
      </c>
      <c r="H566" s="8">
        <v>1</v>
      </c>
      <c r="I566" s="10">
        <v>0</v>
      </c>
      <c r="J566" s="10">
        <v>0</v>
      </c>
      <c r="K566" s="10">
        <v>0</v>
      </c>
      <c r="L566" s="11">
        <v>0</v>
      </c>
      <c r="M566" s="10">
        <v>0</v>
      </c>
      <c r="N566" s="430">
        <v>0</v>
      </c>
      <c r="O566" s="8">
        <v>0</v>
      </c>
      <c r="P566" s="10">
        <v>1</v>
      </c>
      <c r="Q566" s="10">
        <v>0</v>
      </c>
      <c r="R566" s="10">
        <v>0</v>
      </c>
      <c r="S566" s="10">
        <v>0</v>
      </c>
      <c r="T566" s="10">
        <v>0</v>
      </c>
      <c r="U566" s="430"/>
      <c r="V566" s="9">
        <v>1</v>
      </c>
      <c r="W566" s="28">
        <v>4</v>
      </c>
    </row>
    <row r="567" spans="1:23" x14ac:dyDescent="0.45">
      <c r="A567" s="64">
        <v>42491</v>
      </c>
      <c r="B567" s="14">
        <v>1</v>
      </c>
      <c r="C567" s="10">
        <v>1</v>
      </c>
      <c r="D567" s="10">
        <v>0</v>
      </c>
      <c r="E567" s="11">
        <v>0</v>
      </c>
      <c r="F567" s="10">
        <v>0</v>
      </c>
      <c r="G567" s="430">
        <v>0</v>
      </c>
      <c r="H567" s="8">
        <v>2</v>
      </c>
      <c r="I567" s="10">
        <v>0</v>
      </c>
      <c r="J567" s="10">
        <v>0</v>
      </c>
      <c r="K567" s="10">
        <v>0</v>
      </c>
      <c r="L567" s="11">
        <v>0</v>
      </c>
      <c r="M567" s="10">
        <v>0</v>
      </c>
      <c r="N567" s="430">
        <v>0</v>
      </c>
      <c r="O567" s="8">
        <v>0</v>
      </c>
      <c r="P567" s="10">
        <v>1</v>
      </c>
      <c r="Q567" s="10">
        <v>1</v>
      </c>
      <c r="R567" s="10">
        <v>0</v>
      </c>
      <c r="S567" s="10">
        <v>0</v>
      </c>
      <c r="T567" s="10">
        <v>0</v>
      </c>
      <c r="U567" s="430"/>
      <c r="V567" s="9">
        <v>2</v>
      </c>
      <c r="W567" s="28">
        <v>6</v>
      </c>
    </row>
    <row r="568" spans="1:23" x14ac:dyDescent="0.45">
      <c r="A568" s="64">
        <v>42522</v>
      </c>
      <c r="B568" s="14">
        <v>1</v>
      </c>
      <c r="C568" s="10">
        <v>0</v>
      </c>
      <c r="D568" s="10">
        <v>0</v>
      </c>
      <c r="E568" s="11">
        <v>1</v>
      </c>
      <c r="F568" s="10">
        <v>1</v>
      </c>
      <c r="G568" s="430">
        <v>1</v>
      </c>
      <c r="H568" s="8">
        <v>3</v>
      </c>
      <c r="I568" s="10">
        <v>0</v>
      </c>
      <c r="J568" s="10">
        <v>0</v>
      </c>
      <c r="K568" s="10">
        <v>0</v>
      </c>
      <c r="L568" s="11">
        <v>0</v>
      </c>
      <c r="M568" s="10">
        <v>0</v>
      </c>
      <c r="N568" s="430">
        <v>0</v>
      </c>
      <c r="O568" s="8">
        <v>0</v>
      </c>
      <c r="P568" s="10">
        <v>1</v>
      </c>
      <c r="Q568" s="10">
        <v>0</v>
      </c>
      <c r="R568" s="10">
        <v>0</v>
      </c>
      <c r="S568" s="10">
        <v>1</v>
      </c>
      <c r="T568" s="10">
        <v>1</v>
      </c>
      <c r="U568" s="430"/>
      <c r="V568" s="9">
        <v>3</v>
      </c>
      <c r="W568" s="28">
        <v>9</v>
      </c>
    </row>
    <row r="569" spans="1:23" x14ac:dyDescent="0.45">
      <c r="A569" s="64">
        <v>42552</v>
      </c>
      <c r="B569" s="14">
        <v>0</v>
      </c>
      <c r="C569" s="10">
        <v>0</v>
      </c>
      <c r="D569" s="10">
        <v>0</v>
      </c>
      <c r="E569" s="11">
        <v>0</v>
      </c>
      <c r="F569" s="10">
        <v>0</v>
      </c>
      <c r="G569" s="430">
        <v>0</v>
      </c>
      <c r="H569" s="8">
        <v>0</v>
      </c>
      <c r="I569" s="10">
        <v>0</v>
      </c>
      <c r="J569" s="10">
        <v>0</v>
      </c>
      <c r="K569" s="10">
        <v>0</v>
      </c>
      <c r="L569" s="11">
        <v>0</v>
      </c>
      <c r="M569" s="10">
        <v>0</v>
      </c>
      <c r="N569" s="430">
        <v>0</v>
      </c>
      <c r="O569" s="8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430"/>
      <c r="V569" s="9">
        <v>0</v>
      </c>
      <c r="W569" s="28">
        <v>9</v>
      </c>
    </row>
    <row r="570" spans="1:23" x14ac:dyDescent="0.45">
      <c r="A570" s="64">
        <v>42583</v>
      </c>
      <c r="B570" s="14">
        <v>1</v>
      </c>
      <c r="C570" s="10">
        <v>1</v>
      </c>
      <c r="D570" s="10">
        <v>0</v>
      </c>
      <c r="E570" s="11">
        <v>1</v>
      </c>
      <c r="F570" s="10">
        <v>0</v>
      </c>
      <c r="G570" s="430">
        <v>0</v>
      </c>
      <c r="H570" s="8">
        <v>3</v>
      </c>
      <c r="I570" s="10">
        <v>0</v>
      </c>
      <c r="J570" s="10">
        <v>0</v>
      </c>
      <c r="K570" s="10">
        <v>0</v>
      </c>
      <c r="L570" s="11">
        <v>0</v>
      </c>
      <c r="M570" s="10">
        <v>0</v>
      </c>
      <c r="N570" s="430">
        <v>0</v>
      </c>
      <c r="O570" s="8">
        <v>0</v>
      </c>
      <c r="P570" s="10">
        <v>1</v>
      </c>
      <c r="Q570" s="10">
        <v>1</v>
      </c>
      <c r="R570" s="10">
        <v>0</v>
      </c>
      <c r="S570" s="10">
        <v>1</v>
      </c>
      <c r="T570" s="10">
        <v>0</v>
      </c>
      <c r="U570" s="430"/>
      <c r="V570" s="9">
        <v>3</v>
      </c>
      <c r="W570" s="28">
        <v>12</v>
      </c>
    </row>
    <row r="571" spans="1:23" x14ac:dyDescent="0.45">
      <c r="A571" s="64">
        <v>42614</v>
      </c>
      <c r="B571" s="14">
        <v>1</v>
      </c>
      <c r="C571" s="10">
        <v>1</v>
      </c>
      <c r="D571" s="10">
        <v>0</v>
      </c>
      <c r="E571" s="11">
        <v>0</v>
      </c>
      <c r="F571" s="10">
        <v>0</v>
      </c>
      <c r="G571" s="430">
        <v>0</v>
      </c>
      <c r="H571" s="8">
        <v>2</v>
      </c>
      <c r="I571" s="10">
        <v>0</v>
      </c>
      <c r="J571" s="10">
        <v>0</v>
      </c>
      <c r="K571" s="10">
        <v>0</v>
      </c>
      <c r="L571" s="11">
        <v>0</v>
      </c>
      <c r="M571" s="10">
        <v>0</v>
      </c>
      <c r="N571" s="430">
        <v>0</v>
      </c>
      <c r="O571" s="8">
        <v>0</v>
      </c>
      <c r="P571" s="10">
        <v>1</v>
      </c>
      <c r="Q571" s="10">
        <v>1</v>
      </c>
      <c r="R571" s="10">
        <v>0</v>
      </c>
      <c r="S571" s="10">
        <v>0</v>
      </c>
      <c r="T571" s="10">
        <v>0</v>
      </c>
      <c r="U571" s="430"/>
      <c r="V571" s="9">
        <v>2</v>
      </c>
      <c r="W571" s="28">
        <v>14</v>
      </c>
    </row>
    <row r="572" spans="1:23" x14ac:dyDescent="0.45">
      <c r="A572" s="64">
        <v>42644</v>
      </c>
      <c r="B572" s="14">
        <v>1</v>
      </c>
      <c r="C572" s="10">
        <v>0</v>
      </c>
      <c r="D572" s="10">
        <v>0</v>
      </c>
      <c r="E572" s="11">
        <v>0</v>
      </c>
      <c r="F572" s="10">
        <v>0</v>
      </c>
      <c r="G572" s="430">
        <v>0</v>
      </c>
      <c r="H572" s="8">
        <v>1</v>
      </c>
      <c r="I572" s="10">
        <v>0</v>
      </c>
      <c r="J572" s="10">
        <v>0</v>
      </c>
      <c r="K572" s="10">
        <v>0</v>
      </c>
      <c r="L572" s="11">
        <v>0</v>
      </c>
      <c r="M572" s="10">
        <v>0</v>
      </c>
      <c r="N572" s="430">
        <v>0</v>
      </c>
      <c r="O572" s="8">
        <v>0</v>
      </c>
      <c r="P572" s="10">
        <v>1</v>
      </c>
      <c r="Q572" s="10">
        <v>0</v>
      </c>
      <c r="R572" s="10">
        <v>0</v>
      </c>
      <c r="S572" s="10">
        <v>0</v>
      </c>
      <c r="T572" s="10">
        <v>0</v>
      </c>
      <c r="U572" s="430"/>
      <c r="V572" s="9">
        <v>1</v>
      </c>
      <c r="W572" s="28">
        <v>15</v>
      </c>
    </row>
    <row r="573" spans="1:23" x14ac:dyDescent="0.45">
      <c r="A573" s="64">
        <v>42675</v>
      </c>
      <c r="B573" s="14">
        <v>2</v>
      </c>
      <c r="C573" s="10">
        <v>0</v>
      </c>
      <c r="D573" s="10">
        <v>0</v>
      </c>
      <c r="E573" s="11">
        <v>1</v>
      </c>
      <c r="F573" s="10">
        <v>1</v>
      </c>
      <c r="G573" s="430">
        <v>1</v>
      </c>
      <c r="H573" s="8">
        <v>4</v>
      </c>
      <c r="I573" s="10">
        <v>0</v>
      </c>
      <c r="J573" s="10">
        <v>0</v>
      </c>
      <c r="K573" s="10">
        <v>0</v>
      </c>
      <c r="L573" s="11">
        <v>0</v>
      </c>
      <c r="M573" s="10">
        <v>0</v>
      </c>
      <c r="N573" s="430">
        <v>0</v>
      </c>
      <c r="O573" s="8">
        <v>0</v>
      </c>
      <c r="P573" s="10">
        <v>2</v>
      </c>
      <c r="Q573" s="10">
        <v>0</v>
      </c>
      <c r="R573" s="10">
        <v>0</v>
      </c>
      <c r="S573" s="10">
        <v>1</v>
      </c>
      <c r="T573" s="10">
        <v>1</v>
      </c>
      <c r="U573" s="430"/>
      <c r="V573" s="9">
        <v>4</v>
      </c>
      <c r="W573" s="28">
        <v>19</v>
      </c>
    </row>
    <row r="574" spans="1:23" ht="19.5" customHeight="1" x14ac:dyDescent="0.45">
      <c r="A574" s="69">
        <v>42705</v>
      </c>
      <c r="B574" s="16">
        <v>1</v>
      </c>
      <c r="C574" s="42">
        <v>1</v>
      </c>
      <c r="D574" s="42">
        <v>0</v>
      </c>
      <c r="E574" s="42">
        <v>1</v>
      </c>
      <c r="F574" s="42">
        <v>0</v>
      </c>
      <c r="G574" s="438">
        <v>0</v>
      </c>
      <c r="H574" s="43">
        <v>3</v>
      </c>
      <c r="I574" s="42">
        <v>0</v>
      </c>
      <c r="J574" s="42">
        <v>0</v>
      </c>
      <c r="K574" s="42">
        <v>0</v>
      </c>
      <c r="L574" s="42">
        <v>0</v>
      </c>
      <c r="M574" s="42">
        <v>0</v>
      </c>
      <c r="N574" s="438">
        <v>0</v>
      </c>
      <c r="O574" s="43">
        <v>0</v>
      </c>
      <c r="P574" s="42">
        <v>1</v>
      </c>
      <c r="Q574" s="42">
        <v>1</v>
      </c>
      <c r="R574" s="42">
        <v>0</v>
      </c>
      <c r="S574" s="42">
        <v>1</v>
      </c>
      <c r="T574" s="42">
        <v>0</v>
      </c>
      <c r="U574" s="438"/>
      <c r="V574" s="43">
        <v>3</v>
      </c>
      <c r="W574" s="95">
        <v>22</v>
      </c>
    </row>
    <row r="575" spans="1:23" s="52" customFormat="1" ht="19.5" customHeight="1" thickBot="1" x14ac:dyDescent="0.5">
      <c r="A575" s="92" t="s">
        <v>1100</v>
      </c>
      <c r="B575" s="39">
        <v>9</v>
      </c>
      <c r="C575" s="40">
        <v>4</v>
      </c>
      <c r="D575" s="40">
        <v>0</v>
      </c>
      <c r="E575" s="40">
        <v>7</v>
      </c>
      <c r="F575" s="40">
        <v>2</v>
      </c>
      <c r="G575" s="439">
        <v>2</v>
      </c>
      <c r="H575" s="41">
        <v>22</v>
      </c>
      <c r="I575" s="40">
        <v>0</v>
      </c>
      <c r="J575" s="40">
        <v>0</v>
      </c>
      <c r="K575" s="40">
        <v>0</v>
      </c>
      <c r="L575" s="40">
        <v>0</v>
      </c>
      <c r="M575" s="40">
        <v>0</v>
      </c>
      <c r="N575" s="439">
        <v>0</v>
      </c>
      <c r="O575" s="41">
        <v>0</v>
      </c>
      <c r="P575" s="40">
        <v>9</v>
      </c>
      <c r="Q575" s="40">
        <v>4</v>
      </c>
      <c r="R575" s="40">
        <v>0</v>
      </c>
      <c r="S575" s="40">
        <v>7</v>
      </c>
      <c r="T575" s="40">
        <v>2</v>
      </c>
      <c r="U575" s="439"/>
      <c r="V575" s="41">
        <v>22</v>
      </c>
      <c r="W575" s="93"/>
    </row>
    <row r="576" spans="1:23" ht="19.5" customHeight="1" thickTop="1" x14ac:dyDescent="0.45">
      <c r="A576" s="63">
        <v>42736</v>
      </c>
      <c r="B576" s="14">
        <v>0</v>
      </c>
      <c r="C576" s="10">
        <v>0</v>
      </c>
      <c r="D576" s="10">
        <v>0</v>
      </c>
      <c r="E576" s="10">
        <v>1</v>
      </c>
      <c r="F576" s="10">
        <v>0</v>
      </c>
      <c r="G576" s="430">
        <v>0</v>
      </c>
      <c r="H576" s="9">
        <v>1</v>
      </c>
      <c r="I576" s="10">
        <v>1</v>
      </c>
      <c r="J576" s="10">
        <v>0</v>
      </c>
      <c r="K576" s="10">
        <v>0</v>
      </c>
      <c r="L576" s="10">
        <v>0</v>
      </c>
      <c r="M576" s="10">
        <v>0</v>
      </c>
      <c r="N576" s="430">
        <v>0</v>
      </c>
      <c r="O576" s="9">
        <v>1</v>
      </c>
      <c r="P576" s="10">
        <v>1</v>
      </c>
      <c r="Q576" s="10">
        <v>0</v>
      </c>
      <c r="R576" s="10">
        <v>0</v>
      </c>
      <c r="S576" s="10">
        <v>1</v>
      </c>
      <c r="T576" s="10">
        <v>0</v>
      </c>
      <c r="U576" s="430"/>
      <c r="V576" s="9">
        <v>2</v>
      </c>
      <c r="W576" s="28">
        <v>2</v>
      </c>
    </row>
    <row r="577" spans="1:23" x14ac:dyDescent="0.45">
      <c r="A577" s="64">
        <v>42767</v>
      </c>
      <c r="B577" s="14">
        <v>0</v>
      </c>
      <c r="C577" s="10">
        <v>0</v>
      </c>
      <c r="D577" s="10">
        <v>0</v>
      </c>
      <c r="E577" s="11">
        <v>0</v>
      </c>
      <c r="F577" s="10">
        <v>0</v>
      </c>
      <c r="G577" s="430">
        <v>0</v>
      </c>
      <c r="H577" s="8">
        <v>0</v>
      </c>
      <c r="I577" s="10">
        <v>0</v>
      </c>
      <c r="J577" s="10">
        <v>0</v>
      </c>
      <c r="K577" s="10">
        <v>0</v>
      </c>
      <c r="L577" s="11">
        <v>0</v>
      </c>
      <c r="M577" s="10">
        <v>0</v>
      </c>
      <c r="N577" s="430">
        <v>0</v>
      </c>
      <c r="O577" s="8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430"/>
      <c r="V577" s="9">
        <v>0</v>
      </c>
      <c r="W577" s="28">
        <v>2</v>
      </c>
    </row>
    <row r="578" spans="1:23" x14ac:dyDescent="0.45">
      <c r="A578" s="64">
        <v>42795</v>
      </c>
      <c r="B578" s="14">
        <v>0</v>
      </c>
      <c r="C578" s="10">
        <v>0</v>
      </c>
      <c r="D578" s="10">
        <v>0</v>
      </c>
      <c r="E578" s="11">
        <v>0</v>
      </c>
      <c r="F578" s="10">
        <v>0</v>
      </c>
      <c r="G578" s="430">
        <v>0</v>
      </c>
      <c r="H578" s="8">
        <v>0</v>
      </c>
      <c r="I578" s="10">
        <v>1</v>
      </c>
      <c r="J578" s="10">
        <v>0</v>
      </c>
      <c r="K578" s="10">
        <v>0</v>
      </c>
      <c r="L578" s="11">
        <v>0</v>
      </c>
      <c r="M578" s="10">
        <v>0</v>
      </c>
      <c r="N578" s="430">
        <v>0</v>
      </c>
      <c r="O578" s="8">
        <v>1</v>
      </c>
      <c r="P578" s="10">
        <v>1</v>
      </c>
      <c r="Q578" s="10">
        <v>0</v>
      </c>
      <c r="R578" s="10">
        <v>0</v>
      </c>
      <c r="S578" s="10">
        <v>0</v>
      </c>
      <c r="T578" s="10">
        <v>0</v>
      </c>
      <c r="U578" s="430"/>
      <c r="V578" s="9">
        <v>1</v>
      </c>
      <c r="W578" s="28">
        <v>3</v>
      </c>
    </row>
    <row r="579" spans="1:23" x14ac:dyDescent="0.45">
      <c r="A579" s="64">
        <v>42826</v>
      </c>
      <c r="B579" s="14">
        <v>0</v>
      </c>
      <c r="C579" s="10">
        <v>0</v>
      </c>
      <c r="D579" s="10">
        <v>0</v>
      </c>
      <c r="E579" s="11">
        <v>1</v>
      </c>
      <c r="F579" s="10">
        <v>1</v>
      </c>
      <c r="G579" s="430">
        <v>1</v>
      </c>
      <c r="H579" s="8">
        <v>2</v>
      </c>
      <c r="I579" s="10">
        <v>0</v>
      </c>
      <c r="J579" s="10">
        <v>0</v>
      </c>
      <c r="K579" s="10">
        <v>0</v>
      </c>
      <c r="L579" s="11">
        <v>0</v>
      </c>
      <c r="M579" s="10">
        <v>0</v>
      </c>
      <c r="N579" s="430">
        <v>0</v>
      </c>
      <c r="O579" s="8">
        <v>0</v>
      </c>
      <c r="P579" s="10">
        <v>0</v>
      </c>
      <c r="Q579" s="10">
        <v>0</v>
      </c>
      <c r="R579" s="10">
        <v>0</v>
      </c>
      <c r="S579" s="10">
        <v>1</v>
      </c>
      <c r="T579" s="10">
        <v>1</v>
      </c>
      <c r="U579" s="430"/>
      <c r="V579" s="9">
        <v>2</v>
      </c>
      <c r="W579" s="28">
        <v>5</v>
      </c>
    </row>
    <row r="580" spans="1:23" x14ac:dyDescent="0.45">
      <c r="A580" s="64">
        <v>42856</v>
      </c>
      <c r="B580" s="14">
        <v>0</v>
      </c>
      <c r="C580" s="10">
        <v>0</v>
      </c>
      <c r="D580" s="10">
        <v>0</v>
      </c>
      <c r="E580" s="11">
        <v>0</v>
      </c>
      <c r="F580" s="10">
        <v>0</v>
      </c>
      <c r="G580" s="430">
        <v>0</v>
      </c>
      <c r="H580" s="8">
        <v>0</v>
      </c>
      <c r="I580" s="10">
        <v>0</v>
      </c>
      <c r="J580" s="10">
        <v>0</v>
      </c>
      <c r="K580" s="10">
        <v>0</v>
      </c>
      <c r="L580" s="11">
        <v>0</v>
      </c>
      <c r="M580" s="10">
        <v>0</v>
      </c>
      <c r="N580" s="430">
        <v>0</v>
      </c>
      <c r="O580" s="8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430"/>
      <c r="V580" s="9">
        <v>0</v>
      </c>
      <c r="W580" s="28">
        <v>5</v>
      </c>
    </row>
    <row r="581" spans="1:23" x14ac:dyDescent="0.45">
      <c r="A581" s="64">
        <v>42887</v>
      </c>
      <c r="B581" s="14">
        <v>1</v>
      </c>
      <c r="C581" s="10">
        <v>0</v>
      </c>
      <c r="D581" s="10">
        <v>0</v>
      </c>
      <c r="E581" s="11">
        <v>1</v>
      </c>
      <c r="F581" s="10">
        <v>0</v>
      </c>
      <c r="G581" s="430">
        <v>0</v>
      </c>
      <c r="H581" s="8">
        <v>2</v>
      </c>
      <c r="I581" s="10">
        <v>0</v>
      </c>
      <c r="J581" s="10">
        <v>0</v>
      </c>
      <c r="K581" s="10">
        <v>0</v>
      </c>
      <c r="L581" s="11">
        <v>0</v>
      </c>
      <c r="M581" s="10">
        <v>0</v>
      </c>
      <c r="N581" s="430">
        <v>0</v>
      </c>
      <c r="O581" s="8">
        <v>0</v>
      </c>
      <c r="P581" s="10">
        <v>1</v>
      </c>
      <c r="Q581" s="10">
        <v>0</v>
      </c>
      <c r="R581" s="10">
        <v>0</v>
      </c>
      <c r="S581" s="10">
        <v>1</v>
      </c>
      <c r="T581" s="10">
        <v>0</v>
      </c>
      <c r="U581" s="430"/>
      <c r="V581" s="9">
        <v>2</v>
      </c>
      <c r="W581" s="28">
        <v>7</v>
      </c>
    </row>
    <row r="582" spans="1:23" x14ac:dyDescent="0.45">
      <c r="A582" s="64">
        <v>42917</v>
      </c>
      <c r="B582" s="14">
        <v>0</v>
      </c>
      <c r="C582" s="10">
        <v>0</v>
      </c>
      <c r="D582" s="10">
        <v>0</v>
      </c>
      <c r="E582" s="11">
        <v>0</v>
      </c>
      <c r="F582" s="10">
        <v>1</v>
      </c>
      <c r="G582" s="430">
        <v>1</v>
      </c>
      <c r="H582" s="8">
        <v>1</v>
      </c>
      <c r="I582" s="10">
        <v>0</v>
      </c>
      <c r="J582" s="10">
        <v>0</v>
      </c>
      <c r="K582" s="10">
        <v>0</v>
      </c>
      <c r="L582" s="11">
        <v>0</v>
      </c>
      <c r="M582" s="10">
        <v>0</v>
      </c>
      <c r="N582" s="430">
        <v>0</v>
      </c>
      <c r="O582" s="8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1</v>
      </c>
      <c r="U582" s="430"/>
      <c r="V582" s="9">
        <v>1</v>
      </c>
      <c r="W582" s="28">
        <v>8</v>
      </c>
    </row>
    <row r="583" spans="1:23" x14ac:dyDescent="0.45">
      <c r="A583" s="64">
        <v>42948</v>
      </c>
      <c r="B583" s="14">
        <v>0</v>
      </c>
      <c r="C583" s="10">
        <v>0</v>
      </c>
      <c r="D583" s="10">
        <v>0</v>
      </c>
      <c r="E583" s="11">
        <v>0</v>
      </c>
      <c r="F583" s="10">
        <v>0</v>
      </c>
      <c r="G583" s="430">
        <v>0</v>
      </c>
      <c r="H583" s="8">
        <v>0</v>
      </c>
      <c r="I583" s="10">
        <v>0</v>
      </c>
      <c r="J583" s="10">
        <v>0</v>
      </c>
      <c r="K583" s="10">
        <v>0</v>
      </c>
      <c r="L583" s="11">
        <v>0</v>
      </c>
      <c r="M583" s="10">
        <v>0</v>
      </c>
      <c r="N583" s="430">
        <v>0</v>
      </c>
      <c r="O583" s="8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430"/>
      <c r="V583" s="9">
        <v>0</v>
      </c>
      <c r="W583" s="28">
        <v>8</v>
      </c>
    </row>
    <row r="584" spans="1:23" x14ac:dyDescent="0.45">
      <c r="A584" s="64">
        <v>42979</v>
      </c>
      <c r="B584" s="14">
        <v>0</v>
      </c>
      <c r="C584" s="10">
        <v>0</v>
      </c>
      <c r="D584" s="10">
        <v>0</v>
      </c>
      <c r="E584" s="11">
        <v>1</v>
      </c>
      <c r="F584" s="10">
        <v>0</v>
      </c>
      <c r="G584" s="430">
        <v>0</v>
      </c>
      <c r="H584" s="8">
        <v>1</v>
      </c>
      <c r="I584" s="10">
        <v>0</v>
      </c>
      <c r="J584" s="10">
        <v>0</v>
      </c>
      <c r="K584" s="10">
        <v>0</v>
      </c>
      <c r="L584" s="11">
        <v>0</v>
      </c>
      <c r="M584" s="10">
        <v>0</v>
      </c>
      <c r="N584" s="430">
        <v>0</v>
      </c>
      <c r="O584" s="8">
        <v>0</v>
      </c>
      <c r="P584" s="10">
        <v>0</v>
      </c>
      <c r="Q584" s="10">
        <v>0</v>
      </c>
      <c r="R584" s="10">
        <v>0</v>
      </c>
      <c r="S584" s="10">
        <v>1</v>
      </c>
      <c r="T584" s="10">
        <v>0</v>
      </c>
      <c r="U584" s="430"/>
      <c r="V584" s="9">
        <v>1</v>
      </c>
      <c r="W584" s="28">
        <v>9</v>
      </c>
    </row>
    <row r="585" spans="1:23" x14ac:dyDescent="0.45">
      <c r="A585" s="64">
        <v>43009</v>
      </c>
      <c r="B585" s="14">
        <v>1</v>
      </c>
      <c r="C585" s="10">
        <v>0</v>
      </c>
      <c r="D585" s="10">
        <v>0</v>
      </c>
      <c r="E585" s="11">
        <v>0</v>
      </c>
      <c r="F585" s="10">
        <v>0</v>
      </c>
      <c r="G585" s="430">
        <v>0</v>
      </c>
      <c r="H585" s="8">
        <v>1</v>
      </c>
      <c r="I585" s="10">
        <v>0</v>
      </c>
      <c r="J585" s="10">
        <v>0</v>
      </c>
      <c r="K585" s="10">
        <v>0</v>
      </c>
      <c r="L585" s="11">
        <v>0</v>
      </c>
      <c r="M585" s="10">
        <v>0</v>
      </c>
      <c r="N585" s="430">
        <v>0</v>
      </c>
      <c r="O585" s="8">
        <v>0</v>
      </c>
      <c r="P585" s="10">
        <v>1</v>
      </c>
      <c r="Q585" s="10">
        <v>0</v>
      </c>
      <c r="R585" s="10">
        <v>0</v>
      </c>
      <c r="S585" s="10">
        <v>0</v>
      </c>
      <c r="T585" s="10">
        <v>0</v>
      </c>
      <c r="U585" s="430"/>
      <c r="V585" s="9">
        <v>1</v>
      </c>
      <c r="W585" s="28">
        <v>10</v>
      </c>
    </row>
    <row r="586" spans="1:23" x14ac:dyDescent="0.45">
      <c r="A586" s="64">
        <v>43040</v>
      </c>
      <c r="B586" s="14">
        <v>0</v>
      </c>
      <c r="C586" s="10">
        <v>2</v>
      </c>
      <c r="D586" s="10">
        <v>0</v>
      </c>
      <c r="E586" s="11">
        <v>2</v>
      </c>
      <c r="F586" s="10">
        <v>0</v>
      </c>
      <c r="G586" s="430">
        <v>0</v>
      </c>
      <c r="H586" s="8">
        <v>4</v>
      </c>
      <c r="I586" s="10">
        <v>0</v>
      </c>
      <c r="J586" s="10">
        <v>0</v>
      </c>
      <c r="K586" s="10">
        <v>0</v>
      </c>
      <c r="L586" s="11">
        <v>0</v>
      </c>
      <c r="M586" s="10">
        <v>0</v>
      </c>
      <c r="N586" s="430">
        <v>0</v>
      </c>
      <c r="O586" s="8">
        <v>0</v>
      </c>
      <c r="P586" s="10">
        <v>0</v>
      </c>
      <c r="Q586" s="10">
        <v>2</v>
      </c>
      <c r="R586" s="10">
        <v>0</v>
      </c>
      <c r="S586" s="10">
        <v>2</v>
      </c>
      <c r="T586" s="10">
        <v>0</v>
      </c>
      <c r="U586" s="430"/>
      <c r="V586" s="9">
        <v>4</v>
      </c>
      <c r="W586" s="28">
        <v>14</v>
      </c>
    </row>
    <row r="587" spans="1:23" ht="19.5" customHeight="1" x14ac:dyDescent="0.45">
      <c r="A587" s="69">
        <v>43070</v>
      </c>
      <c r="B587" s="16">
        <v>2</v>
      </c>
      <c r="C587" s="42">
        <v>0</v>
      </c>
      <c r="D587" s="42">
        <v>0</v>
      </c>
      <c r="E587" s="42">
        <v>2</v>
      </c>
      <c r="F587" s="42">
        <v>0</v>
      </c>
      <c r="G587" s="438">
        <v>0</v>
      </c>
      <c r="H587" s="43">
        <v>4</v>
      </c>
      <c r="I587" s="42">
        <v>0</v>
      </c>
      <c r="J587" s="42">
        <v>0</v>
      </c>
      <c r="K587" s="42">
        <v>0</v>
      </c>
      <c r="L587" s="42">
        <v>0</v>
      </c>
      <c r="M587" s="42">
        <v>0</v>
      </c>
      <c r="N587" s="438">
        <v>0</v>
      </c>
      <c r="O587" s="43">
        <v>0</v>
      </c>
      <c r="P587" s="42">
        <v>2</v>
      </c>
      <c r="Q587" s="42">
        <v>0</v>
      </c>
      <c r="R587" s="42">
        <v>0</v>
      </c>
      <c r="S587" s="42">
        <v>2</v>
      </c>
      <c r="T587" s="42">
        <v>0</v>
      </c>
      <c r="U587" s="438"/>
      <c r="V587" s="43">
        <v>4</v>
      </c>
      <c r="W587" s="95">
        <v>18</v>
      </c>
    </row>
    <row r="588" spans="1:23" s="52" customFormat="1" ht="19.5" customHeight="1" thickBot="1" x14ac:dyDescent="0.5">
      <c r="A588" s="92" t="s">
        <v>1101</v>
      </c>
      <c r="B588" s="39">
        <v>4</v>
      </c>
      <c r="C588" s="40">
        <v>2</v>
      </c>
      <c r="D588" s="40">
        <v>0</v>
      </c>
      <c r="E588" s="40">
        <v>8</v>
      </c>
      <c r="F588" s="40">
        <v>2</v>
      </c>
      <c r="G588" s="439">
        <v>2</v>
      </c>
      <c r="H588" s="41">
        <v>16</v>
      </c>
      <c r="I588" s="40">
        <v>2</v>
      </c>
      <c r="J588" s="40">
        <v>0</v>
      </c>
      <c r="K588" s="40">
        <v>0</v>
      </c>
      <c r="L588" s="40">
        <v>0</v>
      </c>
      <c r="M588" s="40">
        <v>0</v>
      </c>
      <c r="N588" s="439">
        <v>0</v>
      </c>
      <c r="O588" s="41">
        <v>2</v>
      </c>
      <c r="P588" s="40">
        <v>6</v>
      </c>
      <c r="Q588" s="40">
        <v>2</v>
      </c>
      <c r="R588" s="40">
        <v>0</v>
      </c>
      <c r="S588" s="40">
        <v>8</v>
      </c>
      <c r="T588" s="40">
        <v>2</v>
      </c>
      <c r="U588" s="439"/>
      <c r="V588" s="41">
        <v>18</v>
      </c>
      <c r="W588" s="93"/>
    </row>
    <row r="589" spans="1:23" ht="19.5" customHeight="1" thickTop="1" x14ac:dyDescent="0.45">
      <c r="A589" s="63">
        <v>43101</v>
      </c>
      <c r="B589" s="14">
        <v>2</v>
      </c>
      <c r="C589" s="10">
        <v>1</v>
      </c>
      <c r="D589" s="10">
        <v>0</v>
      </c>
      <c r="E589" s="10">
        <v>2</v>
      </c>
      <c r="F589" s="10">
        <v>0</v>
      </c>
      <c r="G589" s="430">
        <v>0</v>
      </c>
      <c r="H589" s="9">
        <v>5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430">
        <v>0</v>
      </c>
      <c r="O589" s="9">
        <v>0</v>
      </c>
      <c r="P589" s="10">
        <v>2</v>
      </c>
      <c r="Q589" s="10">
        <v>1</v>
      </c>
      <c r="R589" s="10">
        <v>0</v>
      </c>
      <c r="S589" s="10">
        <v>2</v>
      </c>
      <c r="T589" s="10">
        <v>0</v>
      </c>
      <c r="U589" s="430"/>
      <c r="V589" s="9">
        <v>5</v>
      </c>
      <c r="W589" s="28">
        <v>5</v>
      </c>
    </row>
    <row r="590" spans="1:23" x14ac:dyDescent="0.45">
      <c r="A590" s="64">
        <v>43132</v>
      </c>
      <c r="B590" s="14">
        <v>1</v>
      </c>
      <c r="C590" s="10">
        <v>0</v>
      </c>
      <c r="D590" s="10">
        <v>0</v>
      </c>
      <c r="E590" s="11">
        <v>1</v>
      </c>
      <c r="F590" s="10">
        <v>0</v>
      </c>
      <c r="G590" s="430">
        <v>0</v>
      </c>
      <c r="H590" s="8">
        <v>2</v>
      </c>
      <c r="I590" s="10">
        <v>0</v>
      </c>
      <c r="J590" s="10">
        <v>0</v>
      </c>
      <c r="K590" s="10">
        <v>0</v>
      </c>
      <c r="L590" s="11">
        <v>0</v>
      </c>
      <c r="M590" s="10">
        <v>0</v>
      </c>
      <c r="N590" s="430">
        <v>0</v>
      </c>
      <c r="O590" s="8">
        <v>0</v>
      </c>
      <c r="P590" s="10">
        <v>1</v>
      </c>
      <c r="Q590" s="10">
        <v>0</v>
      </c>
      <c r="R590" s="10">
        <v>0</v>
      </c>
      <c r="S590" s="10">
        <v>1</v>
      </c>
      <c r="T590" s="10">
        <v>0</v>
      </c>
      <c r="U590" s="430"/>
      <c r="V590" s="9">
        <v>2</v>
      </c>
      <c r="W590" s="28">
        <v>7</v>
      </c>
    </row>
    <row r="591" spans="1:23" x14ac:dyDescent="0.45">
      <c r="A591" s="64">
        <v>43160</v>
      </c>
      <c r="B591" s="14">
        <v>1</v>
      </c>
      <c r="C591" s="10">
        <v>1</v>
      </c>
      <c r="D591" s="10">
        <v>0</v>
      </c>
      <c r="E591" s="11">
        <v>1</v>
      </c>
      <c r="F591" s="10">
        <v>0</v>
      </c>
      <c r="G591" s="430">
        <v>0</v>
      </c>
      <c r="H591" s="8">
        <v>3</v>
      </c>
      <c r="I591" s="10">
        <v>0</v>
      </c>
      <c r="J591" s="10">
        <v>0</v>
      </c>
      <c r="K591" s="10">
        <v>0</v>
      </c>
      <c r="L591" s="11">
        <v>0</v>
      </c>
      <c r="M591" s="10">
        <v>0</v>
      </c>
      <c r="N591" s="430">
        <v>0</v>
      </c>
      <c r="O591" s="8">
        <v>0</v>
      </c>
      <c r="P591" s="10">
        <v>1</v>
      </c>
      <c r="Q591" s="10">
        <v>1</v>
      </c>
      <c r="R591" s="10">
        <v>0</v>
      </c>
      <c r="S591" s="10">
        <v>1</v>
      </c>
      <c r="T591" s="10">
        <v>0</v>
      </c>
      <c r="U591" s="430"/>
      <c r="V591" s="9">
        <v>3</v>
      </c>
      <c r="W591" s="28">
        <v>10</v>
      </c>
    </row>
    <row r="592" spans="1:23" x14ac:dyDescent="0.45">
      <c r="A592" s="64">
        <v>43191</v>
      </c>
      <c r="B592" s="14">
        <v>2</v>
      </c>
      <c r="C592" s="10">
        <v>0</v>
      </c>
      <c r="D592" s="10">
        <v>0</v>
      </c>
      <c r="E592" s="11">
        <v>0</v>
      </c>
      <c r="F592" s="10">
        <v>0</v>
      </c>
      <c r="G592" s="430">
        <v>0</v>
      </c>
      <c r="H592" s="8">
        <v>2</v>
      </c>
      <c r="I592" s="10">
        <v>0</v>
      </c>
      <c r="J592" s="10">
        <v>0</v>
      </c>
      <c r="K592" s="10">
        <v>0</v>
      </c>
      <c r="L592" s="11">
        <v>0</v>
      </c>
      <c r="M592" s="10">
        <v>0</v>
      </c>
      <c r="N592" s="430">
        <v>0</v>
      </c>
      <c r="O592" s="8">
        <v>0</v>
      </c>
      <c r="P592" s="10">
        <v>2</v>
      </c>
      <c r="Q592" s="10">
        <v>0</v>
      </c>
      <c r="R592" s="10">
        <v>0</v>
      </c>
      <c r="S592" s="10">
        <v>0</v>
      </c>
      <c r="T592" s="10">
        <v>0</v>
      </c>
      <c r="U592" s="430"/>
      <c r="V592" s="9">
        <v>2</v>
      </c>
      <c r="W592" s="28">
        <v>12</v>
      </c>
    </row>
    <row r="593" spans="1:23" x14ac:dyDescent="0.45">
      <c r="A593" s="64">
        <v>43221</v>
      </c>
      <c r="B593" s="14">
        <v>0</v>
      </c>
      <c r="C593" s="10">
        <v>1</v>
      </c>
      <c r="D593" s="10">
        <v>0</v>
      </c>
      <c r="E593" s="11">
        <v>2</v>
      </c>
      <c r="F593" s="10">
        <v>0</v>
      </c>
      <c r="G593" s="430">
        <v>0</v>
      </c>
      <c r="H593" s="8">
        <v>3</v>
      </c>
      <c r="I593" s="10">
        <v>0</v>
      </c>
      <c r="J593" s="10">
        <v>0</v>
      </c>
      <c r="K593" s="10">
        <v>0</v>
      </c>
      <c r="L593" s="11">
        <v>0</v>
      </c>
      <c r="M593" s="10">
        <v>0</v>
      </c>
      <c r="N593" s="430">
        <v>0</v>
      </c>
      <c r="O593" s="8">
        <v>0</v>
      </c>
      <c r="P593" s="10">
        <v>0</v>
      </c>
      <c r="Q593" s="10">
        <v>1</v>
      </c>
      <c r="R593" s="10">
        <v>0</v>
      </c>
      <c r="S593" s="10">
        <v>2</v>
      </c>
      <c r="T593" s="10">
        <v>0</v>
      </c>
      <c r="U593" s="430"/>
      <c r="V593" s="9">
        <v>3</v>
      </c>
      <c r="W593" s="28">
        <v>15</v>
      </c>
    </row>
    <row r="594" spans="1:23" x14ac:dyDescent="0.45">
      <c r="A594" s="64">
        <v>43252</v>
      </c>
      <c r="B594" s="14">
        <v>1</v>
      </c>
      <c r="C594" s="10">
        <v>0</v>
      </c>
      <c r="D594" s="10">
        <v>0</v>
      </c>
      <c r="E594" s="11">
        <v>2</v>
      </c>
      <c r="F594" s="10">
        <v>0</v>
      </c>
      <c r="G594" s="430">
        <v>0</v>
      </c>
      <c r="H594" s="8">
        <v>3</v>
      </c>
      <c r="I594" s="10">
        <v>0</v>
      </c>
      <c r="J594" s="10">
        <v>0</v>
      </c>
      <c r="K594" s="10">
        <v>0</v>
      </c>
      <c r="L594" s="11">
        <v>0</v>
      </c>
      <c r="M594" s="10">
        <v>0</v>
      </c>
      <c r="N594" s="430">
        <v>0</v>
      </c>
      <c r="O594" s="8">
        <v>0</v>
      </c>
      <c r="P594" s="10">
        <v>1</v>
      </c>
      <c r="Q594" s="10">
        <v>0</v>
      </c>
      <c r="R594" s="10">
        <v>0</v>
      </c>
      <c r="S594" s="10">
        <v>2</v>
      </c>
      <c r="T594" s="10">
        <v>0</v>
      </c>
      <c r="U594" s="430"/>
      <c r="V594" s="9">
        <v>3</v>
      </c>
      <c r="W594" s="28">
        <v>18</v>
      </c>
    </row>
    <row r="595" spans="1:23" x14ac:dyDescent="0.45">
      <c r="A595" s="64">
        <v>43282</v>
      </c>
      <c r="B595" s="14">
        <v>1</v>
      </c>
      <c r="C595" s="10">
        <v>1</v>
      </c>
      <c r="D595" s="10">
        <v>0</v>
      </c>
      <c r="E595" s="11">
        <v>2</v>
      </c>
      <c r="F595" s="10">
        <v>0</v>
      </c>
      <c r="G595" s="430">
        <v>0</v>
      </c>
      <c r="H595" s="8">
        <v>4</v>
      </c>
      <c r="I595" s="10">
        <v>0</v>
      </c>
      <c r="J595" s="10">
        <v>0</v>
      </c>
      <c r="K595" s="10">
        <v>0</v>
      </c>
      <c r="L595" s="11">
        <v>0</v>
      </c>
      <c r="M595" s="10">
        <v>0</v>
      </c>
      <c r="N595" s="430">
        <v>0</v>
      </c>
      <c r="O595" s="8">
        <v>0</v>
      </c>
      <c r="P595" s="10">
        <v>1</v>
      </c>
      <c r="Q595" s="10">
        <v>1</v>
      </c>
      <c r="R595" s="10">
        <v>0</v>
      </c>
      <c r="S595" s="10">
        <v>2</v>
      </c>
      <c r="T595" s="10">
        <v>0</v>
      </c>
      <c r="U595" s="430"/>
      <c r="V595" s="9">
        <v>4</v>
      </c>
      <c r="W595" s="28">
        <v>22</v>
      </c>
    </row>
    <row r="596" spans="1:23" x14ac:dyDescent="0.45">
      <c r="A596" s="64">
        <v>43313</v>
      </c>
      <c r="B596" s="14">
        <v>0</v>
      </c>
      <c r="C596" s="10">
        <v>0</v>
      </c>
      <c r="D596" s="10">
        <v>0</v>
      </c>
      <c r="E596" s="11">
        <v>1</v>
      </c>
      <c r="F596" s="10">
        <v>0</v>
      </c>
      <c r="G596" s="430">
        <v>0</v>
      </c>
      <c r="H596" s="8">
        <v>1</v>
      </c>
      <c r="I596" s="10">
        <v>0</v>
      </c>
      <c r="J596" s="10">
        <v>0</v>
      </c>
      <c r="K596" s="10">
        <v>0</v>
      </c>
      <c r="L596" s="11">
        <v>0</v>
      </c>
      <c r="M596" s="10">
        <v>0</v>
      </c>
      <c r="N596" s="430">
        <v>0</v>
      </c>
      <c r="O596" s="8">
        <v>0</v>
      </c>
      <c r="P596" s="10">
        <v>0</v>
      </c>
      <c r="Q596" s="10">
        <v>0</v>
      </c>
      <c r="R596" s="10">
        <v>0</v>
      </c>
      <c r="S596" s="10">
        <v>1</v>
      </c>
      <c r="T596" s="10">
        <v>0</v>
      </c>
      <c r="U596" s="430"/>
      <c r="V596" s="9">
        <v>1</v>
      </c>
      <c r="W596" s="28">
        <v>23</v>
      </c>
    </row>
    <row r="597" spans="1:23" x14ac:dyDescent="0.45">
      <c r="A597" s="64">
        <v>43344</v>
      </c>
      <c r="B597" s="14">
        <v>0</v>
      </c>
      <c r="C597" s="10">
        <v>1</v>
      </c>
      <c r="D597" s="10">
        <v>0</v>
      </c>
      <c r="E597" s="11">
        <v>1</v>
      </c>
      <c r="F597" s="10">
        <v>0</v>
      </c>
      <c r="G597" s="430">
        <v>0</v>
      </c>
      <c r="H597" s="8">
        <v>2</v>
      </c>
      <c r="I597" s="10">
        <v>1</v>
      </c>
      <c r="J597" s="10">
        <v>0</v>
      </c>
      <c r="K597" s="10">
        <v>0</v>
      </c>
      <c r="L597" s="11">
        <v>0</v>
      </c>
      <c r="M597" s="10">
        <v>0</v>
      </c>
      <c r="N597" s="430">
        <v>0</v>
      </c>
      <c r="O597" s="8">
        <v>1</v>
      </c>
      <c r="P597" s="10">
        <v>1</v>
      </c>
      <c r="Q597" s="10">
        <v>1</v>
      </c>
      <c r="R597" s="10">
        <v>0</v>
      </c>
      <c r="S597" s="10">
        <v>1</v>
      </c>
      <c r="T597" s="10">
        <v>0</v>
      </c>
      <c r="U597" s="430"/>
      <c r="V597" s="9">
        <v>3</v>
      </c>
      <c r="W597" s="28">
        <v>26</v>
      </c>
    </row>
    <row r="598" spans="1:23" x14ac:dyDescent="0.45">
      <c r="A598" s="64">
        <v>43374</v>
      </c>
      <c r="B598" s="14">
        <v>2</v>
      </c>
      <c r="C598" s="10">
        <v>1</v>
      </c>
      <c r="D598" s="10">
        <v>0</v>
      </c>
      <c r="E598" s="11">
        <v>1</v>
      </c>
      <c r="F598" s="10">
        <v>0</v>
      </c>
      <c r="G598" s="430">
        <v>0</v>
      </c>
      <c r="H598" s="8">
        <v>4</v>
      </c>
      <c r="I598" s="10">
        <v>1</v>
      </c>
      <c r="J598" s="10">
        <v>0</v>
      </c>
      <c r="K598" s="10">
        <v>0</v>
      </c>
      <c r="L598" s="11">
        <v>0</v>
      </c>
      <c r="M598" s="10">
        <v>0</v>
      </c>
      <c r="N598" s="430">
        <v>0</v>
      </c>
      <c r="O598" s="8">
        <v>1</v>
      </c>
      <c r="P598" s="10">
        <v>3</v>
      </c>
      <c r="Q598" s="10">
        <v>1</v>
      </c>
      <c r="R598" s="10">
        <v>0</v>
      </c>
      <c r="S598" s="10">
        <v>1</v>
      </c>
      <c r="T598" s="10">
        <v>0</v>
      </c>
      <c r="U598" s="430"/>
      <c r="V598" s="9">
        <v>5</v>
      </c>
      <c r="W598" s="28">
        <v>31</v>
      </c>
    </row>
    <row r="599" spans="1:23" x14ac:dyDescent="0.45">
      <c r="A599" s="64">
        <v>43405</v>
      </c>
      <c r="B599" s="14">
        <v>1</v>
      </c>
      <c r="C599" s="10">
        <v>0</v>
      </c>
      <c r="D599" s="10">
        <v>0</v>
      </c>
      <c r="E599" s="11">
        <v>2</v>
      </c>
      <c r="F599" s="10">
        <v>0</v>
      </c>
      <c r="G599" s="430">
        <v>0</v>
      </c>
      <c r="H599" s="8">
        <v>3</v>
      </c>
      <c r="I599" s="10">
        <v>0</v>
      </c>
      <c r="J599" s="10">
        <v>0</v>
      </c>
      <c r="K599" s="10">
        <v>0</v>
      </c>
      <c r="L599" s="11">
        <v>0</v>
      </c>
      <c r="M599" s="10">
        <v>0</v>
      </c>
      <c r="N599" s="430">
        <v>0</v>
      </c>
      <c r="O599" s="8">
        <v>0</v>
      </c>
      <c r="P599" s="10">
        <v>1</v>
      </c>
      <c r="Q599" s="10">
        <v>0</v>
      </c>
      <c r="R599" s="10">
        <v>0</v>
      </c>
      <c r="S599" s="10">
        <v>2</v>
      </c>
      <c r="T599" s="10">
        <v>0</v>
      </c>
      <c r="U599" s="430"/>
      <c r="V599" s="9">
        <v>3</v>
      </c>
      <c r="W599" s="28">
        <v>34</v>
      </c>
    </row>
    <row r="600" spans="1:23" ht="19.5" customHeight="1" x14ac:dyDescent="0.45">
      <c r="A600" s="69">
        <v>43435</v>
      </c>
      <c r="B600" s="16">
        <v>3</v>
      </c>
      <c r="C600" s="42">
        <v>0</v>
      </c>
      <c r="D600" s="42">
        <v>0</v>
      </c>
      <c r="E600" s="42">
        <v>2</v>
      </c>
      <c r="F600" s="42">
        <v>0</v>
      </c>
      <c r="G600" s="438">
        <v>0</v>
      </c>
      <c r="H600" s="43">
        <v>5</v>
      </c>
      <c r="I600" s="42">
        <v>0</v>
      </c>
      <c r="J600" s="42">
        <v>0</v>
      </c>
      <c r="K600" s="42">
        <v>0</v>
      </c>
      <c r="L600" s="42">
        <v>0</v>
      </c>
      <c r="M600" s="42">
        <v>0</v>
      </c>
      <c r="N600" s="438">
        <v>0</v>
      </c>
      <c r="O600" s="43">
        <v>0</v>
      </c>
      <c r="P600" s="42">
        <v>3</v>
      </c>
      <c r="Q600" s="42">
        <v>0</v>
      </c>
      <c r="R600" s="42">
        <v>0</v>
      </c>
      <c r="S600" s="42">
        <v>2</v>
      </c>
      <c r="T600" s="42">
        <v>0</v>
      </c>
      <c r="U600" s="438"/>
      <c r="V600" s="43">
        <v>5</v>
      </c>
      <c r="W600" s="94">
        <v>39</v>
      </c>
    </row>
    <row r="601" spans="1:23" s="52" customFormat="1" ht="19.5" customHeight="1" thickBot="1" x14ac:dyDescent="0.5">
      <c r="A601" s="92" t="s">
        <v>1093</v>
      </c>
      <c r="B601" s="39">
        <v>14</v>
      </c>
      <c r="C601" s="40">
        <v>6</v>
      </c>
      <c r="D601" s="40">
        <v>0</v>
      </c>
      <c r="E601" s="40">
        <v>17</v>
      </c>
      <c r="F601" s="40">
        <v>0</v>
      </c>
      <c r="G601" s="439">
        <v>0</v>
      </c>
      <c r="H601" s="41">
        <v>37</v>
      </c>
      <c r="I601" s="40">
        <v>2</v>
      </c>
      <c r="J601" s="40">
        <v>0</v>
      </c>
      <c r="K601" s="40">
        <v>0</v>
      </c>
      <c r="L601" s="40">
        <v>0</v>
      </c>
      <c r="M601" s="40">
        <v>0</v>
      </c>
      <c r="N601" s="439">
        <v>0</v>
      </c>
      <c r="O601" s="41">
        <v>2</v>
      </c>
      <c r="P601" s="40">
        <v>16</v>
      </c>
      <c r="Q601" s="40">
        <v>6</v>
      </c>
      <c r="R601" s="40">
        <v>0</v>
      </c>
      <c r="S601" s="40">
        <v>17</v>
      </c>
      <c r="T601" s="40">
        <v>0</v>
      </c>
      <c r="U601" s="439"/>
      <c r="V601" s="41">
        <v>39</v>
      </c>
      <c r="W601" s="93"/>
    </row>
    <row r="602" spans="1:23" ht="19.5" customHeight="1" thickTop="1" x14ac:dyDescent="0.45">
      <c r="A602" s="63">
        <v>43466</v>
      </c>
      <c r="B602" s="14">
        <v>1</v>
      </c>
      <c r="C602" s="10">
        <v>0</v>
      </c>
      <c r="D602" s="10">
        <v>0</v>
      </c>
      <c r="E602" s="10">
        <v>1</v>
      </c>
      <c r="F602" s="10">
        <v>0</v>
      </c>
      <c r="G602" s="430">
        <v>0</v>
      </c>
      <c r="H602" s="9">
        <v>2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430">
        <v>0</v>
      </c>
      <c r="O602" s="9">
        <v>0</v>
      </c>
      <c r="P602" s="10">
        <v>1</v>
      </c>
      <c r="Q602" s="10">
        <v>0</v>
      </c>
      <c r="R602" s="10">
        <v>0</v>
      </c>
      <c r="S602" s="10">
        <v>1</v>
      </c>
      <c r="T602" s="10">
        <v>0</v>
      </c>
      <c r="U602" s="430"/>
      <c r="V602" s="9">
        <v>2</v>
      </c>
      <c r="W602" s="28">
        <v>2</v>
      </c>
    </row>
    <row r="603" spans="1:23" x14ac:dyDescent="0.45">
      <c r="A603" s="64">
        <v>43497</v>
      </c>
      <c r="B603" s="14">
        <v>0</v>
      </c>
      <c r="C603" s="10">
        <v>0</v>
      </c>
      <c r="D603" s="10">
        <v>0</v>
      </c>
      <c r="E603" s="11">
        <v>0</v>
      </c>
      <c r="F603" s="10">
        <v>0</v>
      </c>
      <c r="G603" s="430">
        <v>0</v>
      </c>
      <c r="H603" s="8">
        <v>0</v>
      </c>
      <c r="I603" s="10">
        <v>0</v>
      </c>
      <c r="J603" s="10">
        <v>0</v>
      </c>
      <c r="K603" s="10">
        <v>0</v>
      </c>
      <c r="L603" s="11">
        <v>0</v>
      </c>
      <c r="M603" s="10">
        <v>0</v>
      </c>
      <c r="N603" s="430">
        <v>0</v>
      </c>
      <c r="O603" s="8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430"/>
      <c r="V603" s="9">
        <v>0</v>
      </c>
      <c r="W603" s="28">
        <v>2</v>
      </c>
    </row>
    <row r="604" spans="1:23" x14ac:dyDescent="0.45">
      <c r="A604" s="64">
        <v>43525</v>
      </c>
      <c r="B604" s="14">
        <v>0</v>
      </c>
      <c r="C604" s="10">
        <v>0</v>
      </c>
      <c r="D604" s="10">
        <v>0</v>
      </c>
      <c r="E604" s="11">
        <v>2</v>
      </c>
      <c r="F604" s="10">
        <v>0</v>
      </c>
      <c r="G604" s="430">
        <v>0</v>
      </c>
      <c r="H604" s="8">
        <v>2</v>
      </c>
      <c r="I604" s="10">
        <v>1</v>
      </c>
      <c r="J604" s="10">
        <v>0</v>
      </c>
      <c r="K604" s="10">
        <v>0</v>
      </c>
      <c r="L604" s="11">
        <v>0</v>
      </c>
      <c r="M604" s="10">
        <v>0</v>
      </c>
      <c r="N604" s="430">
        <v>0</v>
      </c>
      <c r="O604" s="8">
        <v>1</v>
      </c>
      <c r="P604" s="10">
        <v>1</v>
      </c>
      <c r="Q604" s="10">
        <v>0</v>
      </c>
      <c r="R604" s="10">
        <v>0</v>
      </c>
      <c r="S604" s="10">
        <v>2</v>
      </c>
      <c r="T604" s="10">
        <v>0</v>
      </c>
      <c r="U604" s="430"/>
      <c r="V604" s="9">
        <v>3</v>
      </c>
      <c r="W604" s="28">
        <v>5</v>
      </c>
    </row>
    <row r="605" spans="1:23" x14ac:dyDescent="0.45">
      <c r="A605" s="64">
        <v>43556</v>
      </c>
      <c r="B605" s="14">
        <v>0</v>
      </c>
      <c r="C605" s="10">
        <v>1</v>
      </c>
      <c r="D605" s="10">
        <v>0</v>
      </c>
      <c r="E605" s="11">
        <v>1</v>
      </c>
      <c r="F605" s="10">
        <v>0</v>
      </c>
      <c r="G605" s="430">
        <v>0</v>
      </c>
      <c r="H605" s="8">
        <v>2</v>
      </c>
      <c r="I605" s="10">
        <v>0</v>
      </c>
      <c r="J605" s="10">
        <v>0</v>
      </c>
      <c r="K605" s="10">
        <v>0</v>
      </c>
      <c r="L605" s="11">
        <v>0</v>
      </c>
      <c r="M605" s="10">
        <v>0</v>
      </c>
      <c r="N605" s="430">
        <v>0</v>
      </c>
      <c r="O605" s="8">
        <v>0</v>
      </c>
      <c r="P605" s="10">
        <v>0</v>
      </c>
      <c r="Q605" s="10">
        <v>1</v>
      </c>
      <c r="R605" s="10">
        <v>0</v>
      </c>
      <c r="S605" s="10">
        <v>1</v>
      </c>
      <c r="T605" s="10">
        <v>0</v>
      </c>
      <c r="U605" s="430"/>
      <c r="V605" s="9">
        <v>2</v>
      </c>
      <c r="W605" s="28">
        <v>7</v>
      </c>
    </row>
    <row r="606" spans="1:23" x14ac:dyDescent="0.45">
      <c r="A606" s="64">
        <v>43586</v>
      </c>
      <c r="B606" s="14">
        <v>0</v>
      </c>
      <c r="C606" s="10">
        <v>1</v>
      </c>
      <c r="D606" s="10">
        <v>0</v>
      </c>
      <c r="E606" s="11">
        <v>1</v>
      </c>
      <c r="F606" s="10">
        <v>0</v>
      </c>
      <c r="G606" s="430">
        <v>0</v>
      </c>
      <c r="H606" s="8">
        <v>2</v>
      </c>
      <c r="I606" s="10">
        <v>0</v>
      </c>
      <c r="J606" s="10">
        <v>0</v>
      </c>
      <c r="K606" s="10">
        <v>0</v>
      </c>
      <c r="L606" s="11">
        <v>0</v>
      </c>
      <c r="M606" s="10">
        <v>0</v>
      </c>
      <c r="N606" s="430">
        <v>0</v>
      </c>
      <c r="O606" s="8">
        <v>0</v>
      </c>
      <c r="P606" s="10">
        <v>0</v>
      </c>
      <c r="Q606" s="10">
        <v>1</v>
      </c>
      <c r="R606" s="10">
        <v>0</v>
      </c>
      <c r="S606" s="10">
        <v>1</v>
      </c>
      <c r="T606" s="10">
        <v>0</v>
      </c>
      <c r="U606" s="430"/>
      <c r="V606" s="9">
        <v>2</v>
      </c>
      <c r="W606" s="28">
        <v>9</v>
      </c>
    </row>
    <row r="607" spans="1:23" x14ac:dyDescent="0.45">
      <c r="A607" s="64">
        <v>43617</v>
      </c>
      <c r="B607" s="14">
        <v>0</v>
      </c>
      <c r="C607" s="10">
        <v>0</v>
      </c>
      <c r="D607" s="10">
        <v>1</v>
      </c>
      <c r="E607" s="11">
        <v>1</v>
      </c>
      <c r="F607" s="10">
        <v>0</v>
      </c>
      <c r="G607" s="430">
        <v>0</v>
      </c>
      <c r="H607" s="8">
        <v>2</v>
      </c>
      <c r="I607" s="10">
        <v>0</v>
      </c>
      <c r="J607" s="10">
        <v>0</v>
      </c>
      <c r="K607" s="10">
        <v>0</v>
      </c>
      <c r="L607" s="11">
        <v>0</v>
      </c>
      <c r="M607" s="10">
        <v>0</v>
      </c>
      <c r="N607" s="430">
        <v>0</v>
      </c>
      <c r="O607" s="8">
        <v>0</v>
      </c>
      <c r="P607" s="10">
        <v>0</v>
      </c>
      <c r="Q607" s="10">
        <v>0</v>
      </c>
      <c r="R607" s="10">
        <v>1</v>
      </c>
      <c r="S607" s="10">
        <v>1</v>
      </c>
      <c r="T607" s="10">
        <v>0</v>
      </c>
      <c r="U607" s="430"/>
      <c r="V607" s="9">
        <v>2</v>
      </c>
      <c r="W607" s="28">
        <v>11</v>
      </c>
    </row>
    <row r="608" spans="1:23" x14ac:dyDescent="0.45">
      <c r="A608" s="64">
        <v>43647</v>
      </c>
      <c r="B608" s="14">
        <v>0</v>
      </c>
      <c r="C608" s="10">
        <v>0</v>
      </c>
      <c r="D608" s="10">
        <v>0</v>
      </c>
      <c r="E608" s="11">
        <v>1</v>
      </c>
      <c r="F608" s="10">
        <v>0</v>
      </c>
      <c r="G608" s="430">
        <v>0</v>
      </c>
      <c r="H608" s="8">
        <v>1</v>
      </c>
      <c r="I608" s="10">
        <v>1</v>
      </c>
      <c r="J608" s="10">
        <v>0</v>
      </c>
      <c r="K608" s="10">
        <v>0</v>
      </c>
      <c r="L608" s="11">
        <v>0</v>
      </c>
      <c r="M608" s="10">
        <v>0</v>
      </c>
      <c r="N608" s="430">
        <v>0</v>
      </c>
      <c r="O608" s="8">
        <v>1</v>
      </c>
      <c r="P608" s="10">
        <v>1</v>
      </c>
      <c r="Q608" s="10">
        <v>0</v>
      </c>
      <c r="R608" s="10">
        <v>0</v>
      </c>
      <c r="S608" s="10">
        <v>1</v>
      </c>
      <c r="T608" s="10">
        <v>0</v>
      </c>
      <c r="U608" s="430"/>
      <c r="V608" s="9">
        <v>2</v>
      </c>
      <c r="W608" s="28">
        <v>13</v>
      </c>
    </row>
    <row r="609" spans="1:23" x14ac:dyDescent="0.45">
      <c r="A609" s="64">
        <v>43678</v>
      </c>
      <c r="B609" s="14">
        <v>0</v>
      </c>
      <c r="C609" s="10">
        <v>0</v>
      </c>
      <c r="D609" s="10">
        <v>0</v>
      </c>
      <c r="E609" s="11">
        <v>1</v>
      </c>
      <c r="F609" s="10">
        <v>0</v>
      </c>
      <c r="G609" s="430">
        <v>0</v>
      </c>
      <c r="H609" s="8">
        <v>1</v>
      </c>
      <c r="I609" s="10">
        <v>2</v>
      </c>
      <c r="J609" s="10">
        <v>0</v>
      </c>
      <c r="K609" s="10">
        <v>0</v>
      </c>
      <c r="L609" s="11">
        <v>0</v>
      </c>
      <c r="M609" s="10">
        <v>0</v>
      </c>
      <c r="N609" s="430">
        <v>0</v>
      </c>
      <c r="O609" s="8">
        <v>2</v>
      </c>
      <c r="P609" s="10">
        <v>2</v>
      </c>
      <c r="Q609" s="10">
        <v>0</v>
      </c>
      <c r="R609" s="10">
        <v>0</v>
      </c>
      <c r="S609" s="10">
        <v>1</v>
      </c>
      <c r="T609" s="10">
        <v>0</v>
      </c>
      <c r="U609" s="430"/>
      <c r="V609" s="9">
        <v>3</v>
      </c>
      <c r="W609" s="28">
        <v>16</v>
      </c>
    </row>
    <row r="610" spans="1:23" x14ac:dyDescent="0.45">
      <c r="A610" s="64">
        <v>43709</v>
      </c>
      <c r="B610" s="14">
        <v>2</v>
      </c>
      <c r="C610" s="10">
        <v>1</v>
      </c>
      <c r="D610" s="10">
        <v>0</v>
      </c>
      <c r="E610" s="11">
        <v>1</v>
      </c>
      <c r="F610" s="10">
        <v>0</v>
      </c>
      <c r="G610" s="430">
        <v>0</v>
      </c>
      <c r="H610" s="8">
        <v>4</v>
      </c>
      <c r="I610" s="10">
        <v>0</v>
      </c>
      <c r="J610" s="10">
        <v>0</v>
      </c>
      <c r="K610" s="10">
        <v>0</v>
      </c>
      <c r="L610" s="11">
        <v>0</v>
      </c>
      <c r="M610" s="10">
        <v>0</v>
      </c>
      <c r="N610" s="430">
        <v>0</v>
      </c>
      <c r="O610" s="8">
        <v>0</v>
      </c>
      <c r="P610" s="10">
        <v>2</v>
      </c>
      <c r="Q610" s="10">
        <v>1</v>
      </c>
      <c r="R610" s="10">
        <v>0</v>
      </c>
      <c r="S610" s="10">
        <v>1</v>
      </c>
      <c r="T610" s="10">
        <v>0</v>
      </c>
      <c r="U610" s="430"/>
      <c r="V610" s="9">
        <v>4</v>
      </c>
      <c r="W610" s="28">
        <v>20</v>
      </c>
    </row>
    <row r="611" spans="1:23" x14ac:dyDescent="0.45">
      <c r="A611" s="64">
        <v>43739</v>
      </c>
      <c r="B611" s="14">
        <v>0</v>
      </c>
      <c r="C611" s="10">
        <v>1</v>
      </c>
      <c r="D611" s="10">
        <v>0</v>
      </c>
      <c r="E611" s="11">
        <v>1</v>
      </c>
      <c r="F611" s="10">
        <v>0</v>
      </c>
      <c r="G611" s="430">
        <v>0</v>
      </c>
      <c r="H611" s="8">
        <v>2</v>
      </c>
      <c r="I611" s="10">
        <v>0</v>
      </c>
      <c r="J611" s="10">
        <v>0</v>
      </c>
      <c r="K611" s="10">
        <v>0</v>
      </c>
      <c r="L611" s="11">
        <v>0</v>
      </c>
      <c r="M611" s="10">
        <v>0</v>
      </c>
      <c r="N611" s="430">
        <v>0</v>
      </c>
      <c r="O611" s="8">
        <v>0</v>
      </c>
      <c r="P611" s="10">
        <v>0</v>
      </c>
      <c r="Q611" s="10">
        <v>1</v>
      </c>
      <c r="R611" s="10">
        <v>0</v>
      </c>
      <c r="S611" s="10">
        <v>1</v>
      </c>
      <c r="T611" s="10">
        <v>0</v>
      </c>
      <c r="U611" s="430"/>
      <c r="V611" s="9">
        <v>2</v>
      </c>
      <c r="W611" s="28">
        <v>22</v>
      </c>
    </row>
    <row r="612" spans="1:23" x14ac:dyDescent="0.45">
      <c r="A612" s="64">
        <v>43770</v>
      </c>
      <c r="B612" s="14">
        <v>0</v>
      </c>
      <c r="C612" s="10">
        <v>3</v>
      </c>
      <c r="D612" s="10">
        <v>0</v>
      </c>
      <c r="E612" s="11">
        <v>2</v>
      </c>
      <c r="F612" s="10">
        <v>0</v>
      </c>
      <c r="G612" s="430">
        <v>0</v>
      </c>
      <c r="H612" s="8">
        <v>5</v>
      </c>
      <c r="I612" s="10">
        <v>2</v>
      </c>
      <c r="J612" s="10">
        <v>0</v>
      </c>
      <c r="K612" s="10">
        <v>0</v>
      </c>
      <c r="L612" s="11">
        <v>0</v>
      </c>
      <c r="M612" s="10">
        <v>0</v>
      </c>
      <c r="N612" s="430">
        <v>0</v>
      </c>
      <c r="O612" s="8">
        <v>2</v>
      </c>
      <c r="P612" s="10">
        <v>2</v>
      </c>
      <c r="Q612" s="10">
        <v>3</v>
      </c>
      <c r="R612" s="10">
        <v>0</v>
      </c>
      <c r="S612" s="10">
        <v>2</v>
      </c>
      <c r="T612" s="10">
        <v>0</v>
      </c>
      <c r="U612" s="430"/>
      <c r="V612" s="9">
        <v>7</v>
      </c>
      <c r="W612" s="28">
        <v>29</v>
      </c>
    </row>
    <row r="613" spans="1:23" ht="19.5" customHeight="1" x14ac:dyDescent="0.45">
      <c r="A613" s="69">
        <v>43800</v>
      </c>
      <c r="B613" s="16">
        <v>0</v>
      </c>
      <c r="C613" s="42">
        <v>1</v>
      </c>
      <c r="D613" s="42">
        <v>0</v>
      </c>
      <c r="E613" s="42">
        <v>1</v>
      </c>
      <c r="F613" s="42">
        <v>1</v>
      </c>
      <c r="G613" s="438">
        <v>1</v>
      </c>
      <c r="H613" s="43">
        <v>3</v>
      </c>
      <c r="I613" s="42">
        <v>0</v>
      </c>
      <c r="J613" s="42">
        <v>2</v>
      </c>
      <c r="K613" s="42">
        <v>0</v>
      </c>
      <c r="L613" s="42">
        <v>0</v>
      </c>
      <c r="M613" s="42">
        <v>0</v>
      </c>
      <c r="N613" s="438">
        <v>0</v>
      </c>
      <c r="O613" s="43">
        <v>2</v>
      </c>
      <c r="P613" s="42">
        <v>0</v>
      </c>
      <c r="Q613" s="42">
        <v>3</v>
      </c>
      <c r="R613" s="42">
        <v>0</v>
      </c>
      <c r="S613" s="42">
        <v>1</v>
      </c>
      <c r="T613" s="42">
        <v>1</v>
      </c>
      <c r="U613" s="438"/>
      <c r="V613" s="43">
        <v>5</v>
      </c>
      <c r="W613" s="95">
        <v>34</v>
      </c>
    </row>
    <row r="614" spans="1:23" s="52" customFormat="1" ht="19.5" customHeight="1" thickBot="1" x14ac:dyDescent="0.5">
      <c r="A614" s="92" t="s">
        <v>1015</v>
      </c>
      <c r="B614" s="39">
        <v>3</v>
      </c>
      <c r="C614" s="40">
        <v>8</v>
      </c>
      <c r="D614" s="40">
        <v>1</v>
      </c>
      <c r="E614" s="40">
        <v>13</v>
      </c>
      <c r="F614" s="40">
        <v>1</v>
      </c>
      <c r="G614" s="439">
        <v>1</v>
      </c>
      <c r="H614" s="41">
        <v>26</v>
      </c>
      <c r="I614" s="40">
        <v>6</v>
      </c>
      <c r="J614" s="40">
        <v>2</v>
      </c>
      <c r="K614" s="40">
        <v>0</v>
      </c>
      <c r="L614" s="40">
        <v>0</v>
      </c>
      <c r="M614" s="40">
        <v>0</v>
      </c>
      <c r="N614" s="439">
        <v>0</v>
      </c>
      <c r="O614" s="41">
        <v>8</v>
      </c>
      <c r="P614" s="40">
        <v>9</v>
      </c>
      <c r="Q614" s="40">
        <v>10</v>
      </c>
      <c r="R614" s="40">
        <v>1</v>
      </c>
      <c r="S614" s="40">
        <v>13</v>
      </c>
      <c r="T614" s="40">
        <v>1</v>
      </c>
      <c r="U614" s="439"/>
      <c r="V614" s="41">
        <v>34</v>
      </c>
      <c r="W614" s="96"/>
    </row>
    <row r="615" spans="1:23" ht="19.5" customHeight="1" thickTop="1" x14ac:dyDescent="0.45">
      <c r="A615" s="63">
        <v>43831</v>
      </c>
      <c r="B615" s="14">
        <v>0</v>
      </c>
      <c r="C615" s="10">
        <v>1</v>
      </c>
      <c r="D615" s="10">
        <v>0</v>
      </c>
      <c r="E615" s="10">
        <v>1</v>
      </c>
      <c r="F615" s="10">
        <v>0</v>
      </c>
      <c r="G615" s="430">
        <v>0</v>
      </c>
      <c r="H615" s="9">
        <v>2</v>
      </c>
      <c r="I615" s="10">
        <v>1</v>
      </c>
      <c r="J615" s="10">
        <v>0</v>
      </c>
      <c r="K615" s="10">
        <v>0</v>
      </c>
      <c r="L615" s="10">
        <v>0</v>
      </c>
      <c r="M615" s="10">
        <v>0</v>
      </c>
      <c r="N615" s="430">
        <v>0</v>
      </c>
      <c r="O615" s="9">
        <v>1</v>
      </c>
      <c r="P615" s="10">
        <v>1</v>
      </c>
      <c r="Q615" s="10">
        <v>1</v>
      </c>
      <c r="R615" s="10">
        <v>0</v>
      </c>
      <c r="S615" s="10">
        <v>1</v>
      </c>
      <c r="T615" s="10">
        <v>0</v>
      </c>
      <c r="U615" s="430"/>
      <c r="V615" s="9">
        <v>3</v>
      </c>
      <c r="W615" s="28">
        <v>3</v>
      </c>
    </row>
    <row r="616" spans="1:23" x14ac:dyDescent="0.45">
      <c r="A616" s="64">
        <v>43862</v>
      </c>
      <c r="B616" s="14">
        <v>0</v>
      </c>
      <c r="C616" s="10">
        <v>0</v>
      </c>
      <c r="D616" s="10">
        <v>0</v>
      </c>
      <c r="E616" s="11">
        <v>1</v>
      </c>
      <c r="F616" s="10">
        <v>0</v>
      </c>
      <c r="G616" s="430">
        <v>0</v>
      </c>
      <c r="H616" s="8">
        <v>1</v>
      </c>
      <c r="I616" s="10">
        <v>0</v>
      </c>
      <c r="J616" s="10">
        <v>0</v>
      </c>
      <c r="K616" s="10">
        <v>0</v>
      </c>
      <c r="L616" s="11">
        <v>0</v>
      </c>
      <c r="M616" s="10">
        <v>0</v>
      </c>
      <c r="N616" s="430">
        <v>0</v>
      </c>
      <c r="O616" s="8">
        <v>0</v>
      </c>
      <c r="P616" s="10">
        <v>0</v>
      </c>
      <c r="Q616" s="10">
        <v>0</v>
      </c>
      <c r="R616" s="10">
        <v>0</v>
      </c>
      <c r="S616" s="10">
        <v>1</v>
      </c>
      <c r="T616" s="10">
        <v>0</v>
      </c>
      <c r="U616" s="430"/>
      <c r="V616" s="9">
        <v>1</v>
      </c>
      <c r="W616" s="28">
        <v>4</v>
      </c>
    </row>
    <row r="617" spans="1:23" x14ac:dyDescent="0.45">
      <c r="A617" s="64">
        <v>43891</v>
      </c>
      <c r="B617" s="14">
        <v>0</v>
      </c>
      <c r="C617" s="10">
        <v>0</v>
      </c>
      <c r="D617" s="10">
        <v>0</v>
      </c>
      <c r="E617" s="11">
        <v>2</v>
      </c>
      <c r="F617" s="10">
        <v>1</v>
      </c>
      <c r="G617" s="430">
        <v>1</v>
      </c>
      <c r="H617" s="8">
        <v>3</v>
      </c>
      <c r="I617" s="10">
        <v>0</v>
      </c>
      <c r="J617" s="10">
        <v>0</v>
      </c>
      <c r="K617" s="10">
        <v>0</v>
      </c>
      <c r="L617" s="11">
        <v>0</v>
      </c>
      <c r="M617" s="10">
        <v>0</v>
      </c>
      <c r="N617" s="430">
        <v>0</v>
      </c>
      <c r="O617" s="8">
        <v>0</v>
      </c>
      <c r="P617" s="10">
        <v>0</v>
      </c>
      <c r="Q617" s="10">
        <v>0</v>
      </c>
      <c r="R617" s="10">
        <v>0</v>
      </c>
      <c r="S617" s="10">
        <v>2</v>
      </c>
      <c r="T617" s="10">
        <v>1</v>
      </c>
      <c r="U617" s="430"/>
      <c r="V617" s="9">
        <v>3</v>
      </c>
      <c r="W617" s="28">
        <v>7</v>
      </c>
    </row>
    <row r="618" spans="1:23" x14ac:dyDescent="0.45">
      <c r="A618" s="64">
        <v>43922</v>
      </c>
      <c r="B618" s="14">
        <v>0</v>
      </c>
      <c r="C618" s="10">
        <v>0</v>
      </c>
      <c r="D618" s="10">
        <v>0</v>
      </c>
      <c r="E618" s="11">
        <v>1</v>
      </c>
      <c r="F618" s="10">
        <v>0</v>
      </c>
      <c r="G618" s="430">
        <v>0</v>
      </c>
      <c r="H618" s="8">
        <v>1</v>
      </c>
      <c r="I618" s="10">
        <v>0</v>
      </c>
      <c r="J618" s="10">
        <v>0</v>
      </c>
      <c r="K618" s="10">
        <v>0</v>
      </c>
      <c r="L618" s="11">
        <v>0</v>
      </c>
      <c r="M618" s="10">
        <v>0</v>
      </c>
      <c r="N618" s="430">
        <v>0</v>
      </c>
      <c r="O618" s="8">
        <v>0</v>
      </c>
      <c r="P618" s="10">
        <v>0</v>
      </c>
      <c r="Q618" s="10">
        <v>0</v>
      </c>
      <c r="R618" s="10">
        <v>0</v>
      </c>
      <c r="S618" s="10">
        <v>1</v>
      </c>
      <c r="T618" s="10">
        <v>0</v>
      </c>
      <c r="U618" s="430"/>
      <c r="V618" s="9">
        <v>1</v>
      </c>
      <c r="W618" s="28">
        <v>8</v>
      </c>
    </row>
    <row r="619" spans="1:23" x14ac:dyDescent="0.45">
      <c r="A619" s="64">
        <v>43952</v>
      </c>
      <c r="B619" s="14">
        <v>1</v>
      </c>
      <c r="C619" s="10">
        <v>0</v>
      </c>
      <c r="D619" s="10">
        <v>0</v>
      </c>
      <c r="E619" s="11">
        <v>1</v>
      </c>
      <c r="F619" s="10">
        <v>1</v>
      </c>
      <c r="G619" s="430">
        <v>1</v>
      </c>
      <c r="H619" s="8">
        <v>3</v>
      </c>
      <c r="I619" s="10">
        <v>1</v>
      </c>
      <c r="J619" s="10">
        <v>0</v>
      </c>
      <c r="K619" s="10">
        <v>0</v>
      </c>
      <c r="L619" s="11">
        <v>0</v>
      </c>
      <c r="M619" s="10">
        <v>0</v>
      </c>
      <c r="N619" s="430">
        <v>0</v>
      </c>
      <c r="O619" s="8">
        <v>1</v>
      </c>
      <c r="P619" s="10">
        <v>2</v>
      </c>
      <c r="Q619" s="10">
        <v>0</v>
      </c>
      <c r="R619" s="10">
        <v>0</v>
      </c>
      <c r="S619" s="10">
        <v>1</v>
      </c>
      <c r="T619" s="10">
        <v>1</v>
      </c>
      <c r="U619" s="430"/>
      <c r="V619" s="9">
        <v>4</v>
      </c>
      <c r="W619" s="28">
        <v>12</v>
      </c>
    </row>
    <row r="620" spans="1:23" x14ac:dyDescent="0.45">
      <c r="A620" s="64">
        <v>43983</v>
      </c>
      <c r="B620" s="14">
        <v>1</v>
      </c>
      <c r="C620" s="10">
        <v>1</v>
      </c>
      <c r="D620" s="10">
        <v>0</v>
      </c>
      <c r="E620" s="11">
        <v>1</v>
      </c>
      <c r="F620" s="10">
        <v>0</v>
      </c>
      <c r="G620" s="430">
        <v>0</v>
      </c>
      <c r="H620" s="8">
        <v>3</v>
      </c>
      <c r="I620" s="10">
        <v>0</v>
      </c>
      <c r="J620" s="10">
        <v>0</v>
      </c>
      <c r="K620" s="10">
        <v>0</v>
      </c>
      <c r="L620" s="11">
        <v>0</v>
      </c>
      <c r="M620" s="10">
        <v>0</v>
      </c>
      <c r="N620" s="430">
        <v>0</v>
      </c>
      <c r="O620" s="8">
        <v>0</v>
      </c>
      <c r="P620" s="10">
        <v>1</v>
      </c>
      <c r="Q620" s="10">
        <v>1</v>
      </c>
      <c r="R620" s="10">
        <v>0</v>
      </c>
      <c r="S620" s="10">
        <v>1</v>
      </c>
      <c r="T620" s="10">
        <v>0</v>
      </c>
      <c r="U620" s="430"/>
      <c r="V620" s="9">
        <v>3</v>
      </c>
      <c r="W620" s="28">
        <v>15</v>
      </c>
    </row>
    <row r="621" spans="1:23" x14ac:dyDescent="0.45">
      <c r="A621" s="64">
        <v>44013</v>
      </c>
      <c r="B621" s="14">
        <v>1</v>
      </c>
      <c r="C621" s="10">
        <v>2</v>
      </c>
      <c r="D621" s="10">
        <v>0</v>
      </c>
      <c r="E621" s="11">
        <v>1</v>
      </c>
      <c r="F621" s="10">
        <v>1</v>
      </c>
      <c r="G621" s="430">
        <v>1</v>
      </c>
      <c r="H621" s="8">
        <v>5</v>
      </c>
      <c r="I621" s="10">
        <v>1</v>
      </c>
      <c r="J621" s="10">
        <v>0</v>
      </c>
      <c r="K621" s="10">
        <v>0</v>
      </c>
      <c r="L621" s="11">
        <v>0</v>
      </c>
      <c r="M621" s="10">
        <v>0</v>
      </c>
      <c r="N621" s="430">
        <v>0</v>
      </c>
      <c r="O621" s="8">
        <v>1</v>
      </c>
      <c r="P621" s="10">
        <v>2</v>
      </c>
      <c r="Q621" s="10">
        <v>2</v>
      </c>
      <c r="R621" s="10">
        <v>0</v>
      </c>
      <c r="S621" s="10">
        <v>1</v>
      </c>
      <c r="T621" s="10">
        <v>1</v>
      </c>
      <c r="U621" s="430"/>
      <c r="V621" s="9">
        <v>6</v>
      </c>
      <c r="W621" s="28">
        <v>21</v>
      </c>
    </row>
    <row r="622" spans="1:23" x14ac:dyDescent="0.45">
      <c r="A622" s="64">
        <v>44044</v>
      </c>
      <c r="B622" s="14">
        <v>2</v>
      </c>
      <c r="C622" s="10">
        <v>0</v>
      </c>
      <c r="D622" s="10">
        <v>0</v>
      </c>
      <c r="E622" s="11">
        <v>0</v>
      </c>
      <c r="F622" s="10">
        <v>0</v>
      </c>
      <c r="G622" s="430">
        <v>0</v>
      </c>
      <c r="H622" s="8">
        <v>2</v>
      </c>
      <c r="I622" s="10">
        <v>0</v>
      </c>
      <c r="J622" s="10">
        <v>0</v>
      </c>
      <c r="K622" s="10">
        <v>0</v>
      </c>
      <c r="L622" s="11">
        <v>0</v>
      </c>
      <c r="M622" s="10">
        <v>0</v>
      </c>
      <c r="N622" s="430">
        <v>0</v>
      </c>
      <c r="O622" s="8">
        <v>0</v>
      </c>
      <c r="P622" s="10">
        <v>2</v>
      </c>
      <c r="Q622" s="10">
        <v>0</v>
      </c>
      <c r="R622" s="10">
        <v>0</v>
      </c>
      <c r="S622" s="10">
        <v>0</v>
      </c>
      <c r="T622" s="10">
        <v>0</v>
      </c>
      <c r="U622" s="430"/>
      <c r="V622" s="9">
        <v>2</v>
      </c>
      <c r="W622" s="28">
        <v>23</v>
      </c>
    </row>
    <row r="623" spans="1:23" x14ac:dyDescent="0.45">
      <c r="A623" s="64">
        <v>44075</v>
      </c>
      <c r="B623" s="14">
        <v>2</v>
      </c>
      <c r="C623" s="10">
        <v>2</v>
      </c>
      <c r="D623" s="10">
        <v>1</v>
      </c>
      <c r="E623" s="11">
        <v>0</v>
      </c>
      <c r="F623" s="10">
        <v>0</v>
      </c>
      <c r="G623" s="430">
        <v>0</v>
      </c>
      <c r="H623" s="8">
        <v>5</v>
      </c>
      <c r="I623" s="10">
        <v>1</v>
      </c>
      <c r="J623" s="10">
        <v>0</v>
      </c>
      <c r="K623" s="10">
        <v>0</v>
      </c>
      <c r="L623" s="11">
        <v>0</v>
      </c>
      <c r="M623" s="10">
        <v>0</v>
      </c>
      <c r="N623" s="430">
        <v>0</v>
      </c>
      <c r="O623" s="8">
        <v>1</v>
      </c>
      <c r="P623" s="10">
        <v>3</v>
      </c>
      <c r="Q623" s="10">
        <v>2</v>
      </c>
      <c r="R623" s="10">
        <v>1</v>
      </c>
      <c r="S623" s="10">
        <v>0</v>
      </c>
      <c r="T623" s="10">
        <v>0</v>
      </c>
      <c r="U623" s="430"/>
      <c r="V623" s="9">
        <v>6</v>
      </c>
      <c r="W623" s="28">
        <v>29</v>
      </c>
    </row>
    <row r="624" spans="1:23" x14ac:dyDescent="0.45">
      <c r="A624" s="64">
        <v>44105</v>
      </c>
      <c r="B624" s="14">
        <v>0</v>
      </c>
      <c r="C624" s="10">
        <v>0</v>
      </c>
      <c r="D624" s="10">
        <v>0</v>
      </c>
      <c r="E624" s="11">
        <v>2</v>
      </c>
      <c r="F624" s="10">
        <v>0</v>
      </c>
      <c r="G624" s="430">
        <v>0</v>
      </c>
      <c r="H624" s="8">
        <v>2</v>
      </c>
      <c r="I624" s="10">
        <v>0</v>
      </c>
      <c r="J624" s="10">
        <v>0</v>
      </c>
      <c r="K624" s="10">
        <v>0</v>
      </c>
      <c r="L624" s="11">
        <v>0</v>
      </c>
      <c r="M624" s="10">
        <v>0</v>
      </c>
      <c r="N624" s="430">
        <v>0</v>
      </c>
      <c r="O624" s="8">
        <v>0</v>
      </c>
      <c r="P624" s="10">
        <v>0</v>
      </c>
      <c r="Q624" s="10">
        <v>0</v>
      </c>
      <c r="R624" s="10">
        <v>0</v>
      </c>
      <c r="S624" s="10">
        <v>2</v>
      </c>
      <c r="T624" s="10">
        <v>0</v>
      </c>
      <c r="U624" s="430"/>
      <c r="V624" s="9">
        <v>2</v>
      </c>
      <c r="W624" s="28">
        <v>31</v>
      </c>
    </row>
    <row r="625" spans="1:23" x14ac:dyDescent="0.45">
      <c r="A625" s="64">
        <v>44136</v>
      </c>
      <c r="B625" s="14">
        <v>0</v>
      </c>
      <c r="C625" s="10">
        <v>1</v>
      </c>
      <c r="D625" s="10">
        <v>0</v>
      </c>
      <c r="E625" s="11">
        <v>1</v>
      </c>
      <c r="F625" s="10">
        <v>1</v>
      </c>
      <c r="G625" s="430">
        <v>1</v>
      </c>
      <c r="H625" s="8">
        <v>3</v>
      </c>
      <c r="I625" s="10">
        <v>1</v>
      </c>
      <c r="J625" s="10">
        <v>0</v>
      </c>
      <c r="K625" s="10">
        <v>0</v>
      </c>
      <c r="L625" s="11">
        <v>0</v>
      </c>
      <c r="M625" s="10">
        <v>0</v>
      </c>
      <c r="N625" s="430">
        <v>0</v>
      </c>
      <c r="O625" s="8">
        <v>1</v>
      </c>
      <c r="P625" s="10">
        <v>1</v>
      </c>
      <c r="Q625" s="10">
        <v>1</v>
      </c>
      <c r="R625" s="10">
        <v>0</v>
      </c>
      <c r="S625" s="10">
        <v>1</v>
      </c>
      <c r="T625" s="10">
        <v>1</v>
      </c>
      <c r="U625" s="430"/>
      <c r="V625" s="9">
        <v>4</v>
      </c>
      <c r="W625" s="28">
        <v>35</v>
      </c>
    </row>
    <row r="626" spans="1:23" ht="19.5" customHeight="1" x14ac:dyDescent="0.45">
      <c r="A626" s="69">
        <v>44166</v>
      </c>
      <c r="B626" s="16">
        <v>1</v>
      </c>
      <c r="C626" s="42">
        <v>0</v>
      </c>
      <c r="D626" s="42">
        <v>0</v>
      </c>
      <c r="E626" s="42">
        <v>2</v>
      </c>
      <c r="F626" s="42">
        <v>1</v>
      </c>
      <c r="G626" s="438">
        <v>1</v>
      </c>
      <c r="H626" s="43">
        <v>4</v>
      </c>
      <c r="I626" s="42">
        <v>0</v>
      </c>
      <c r="J626" s="42">
        <v>0</v>
      </c>
      <c r="K626" s="42">
        <v>0</v>
      </c>
      <c r="L626" s="42">
        <v>0</v>
      </c>
      <c r="M626" s="42">
        <v>0</v>
      </c>
      <c r="N626" s="438">
        <v>0</v>
      </c>
      <c r="O626" s="43">
        <v>0</v>
      </c>
      <c r="P626" s="42">
        <v>1</v>
      </c>
      <c r="Q626" s="42">
        <v>0</v>
      </c>
      <c r="R626" s="42">
        <v>0</v>
      </c>
      <c r="S626" s="42">
        <v>2</v>
      </c>
      <c r="T626" s="42">
        <v>1</v>
      </c>
      <c r="U626" s="438"/>
      <c r="V626" s="43">
        <v>4</v>
      </c>
      <c r="W626" s="94">
        <v>39</v>
      </c>
    </row>
    <row r="627" spans="1:23" s="52" customFormat="1" ht="19.5" customHeight="1" thickBot="1" x14ac:dyDescent="0.5">
      <c r="A627" s="92" t="s">
        <v>973</v>
      </c>
      <c r="B627" s="39">
        <v>8</v>
      </c>
      <c r="C627" s="40">
        <v>7</v>
      </c>
      <c r="D627" s="40">
        <v>1</v>
      </c>
      <c r="E627" s="40">
        <v>13</v>
      </c>
      <c r="F627" s="40">
        <v>5</v>
      </c>
      <c r="G627" s="439">
        <v>5</v>
      </c>
      <c r="H627" s="41">
        <v>34</v>
      </c>
      <c r="I627" s="40">
        <v>5</v>
      </c>
      <c r="J627" s="40">
        <v>0</v>
      </c>
      <c r="K627" s="40">
        <v>0</v>
      </c>
      <c r="L627" s="40">
        <v>0</v>
      </c>
      <c r="M627" s="40">
        <v>0</v>
      </c>
      <c r="N627" s="439">
        <v>0</v>
      </c>
      <c r="O627" s="41">
        <v>5</v>
      </c>
      <c r="P627" s="40">
        <v>13</v>
      </c>
      <c r="Q627" s="40">
        <v>7</v>
      </c>
      <c r="R627" s="40">
        <v>1</v>
      </c>
      <c r="S627" s="40">
        <v>13</v>
      </c>
      <c r="T627" s="40">
        <v>5</v>
      </c>
      <c r="U627" s="439"/>
      <c r="V627" s="41">
        <v>39</v>
      </c>
      <c r="W627" s="93"/>
    </row>
    <row r="628" spans="1:23" ht="19.5" customHeight="1" thickTop="1" x14ac:dyDescent="0.45">
      <c r="A628" s="63">
        <v>44197</v>
      </c>
      <c r="B628" s="14">
        <v>1</v>
      </c>
      <c r="C628" s="10">
        <v>0</v>
      </c>
      <c r="D628" s="10">
        <v>0</v>
      </c>
      <c r="E628" s="10">
        <v>1</v>
      </c>
      <c r="F628" s="10">
        <v>0</v>
      </c>
      <c r="G628" s="430">
        <v>0</v>
      </c>
      <c r="H628" s="9">
        <v>2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430">
        <v>0</v>
      </c>
      <c r="O628" s="9">
        <v>0</v>
      </c>
      <c r="P628" s="27">
        <v>1</v>
      </c>
      <c r="Q628" s="27">
        <v>0</v>
      </c>
      <c r="R628" s="10">
        <v>0</v>
      </c>
      <c r="S628" s="27">
        <v>1</v>
      </c>
      <c r="T628" s="27">
        <v>0</v>
      </c>
      <c r="U628" s="444"/>
      <c r="V628" s="9">
        <v>2</v>
      </c>
      <c r="W628" s="29">
        <v>2</v>
      </c>
    </row>
    <row r="629" spans="1:23" x14ac:dyDescent="0.45">
      <c r="A629" s="64">
        <v>44228</v>
      </c>
      <c r="B629" s="15">
        <v>1</v>
      </c>
      <c r="C629" s="11">
        <v>0</v>
      </c>
      <c r="D629" s="11">
        <v>0</v>
      </c>
      <c r="E629" s="11">
        <v>1</v>
      </c>
      <c r="F629" s="11">
        <v>0</v>
      </c>
      <c r="G629" s="440">
        <v>0</v>
      </c>
      <c r="H629" s="8">
        <v>2</v>
      </c>
      <c r="I629" s="11">
        <v>1</v>
      </c>
      <c r="J629" s="11">
        <v>0</v>
      </c>
      <c r="K629" s="11">
        <v>0</v>
      </c>
      <c r="L629" s="11">
        <v>0</v>
      </c>
      <c r="M629" s="11">
        <v>0</v>
      </c>
      <c r="N629" s="440">
        <v>0</v>
      </c>
      <c r="O629" s="8">
        <v>1</v>
      </c>
      <c r="P629" s="30">
        <v>2</v>
      </c>
      <c r="Q629" s="30">
        <v>0</v>
      </c>
      <c r="R629" s="11">
        <v>0</v>
      </c>
      <c r="S629" s="30">
        <v>1</v>
      </c>
      <c r="T629" s="30">
        <v>0</v>
      </c>
      <c r="U629" s="445"/>
      <c r="V629" s="8">
        <v>3</v>
      </c>
      <c r="W629" s="31">
        <v>5</v>
      </c>
    </row>
    <row r="630" spans="1:23" x14ac:dyDescent="0.45">
      <c r="A630" s="64">
        <v>44256</v>
      </c>
      <c r="B630" s="15">
        <v>2</v>
      </c>
      <c r="C630" s="11">
        <v>0</v>
      </c>
      <c r="D630" s="11">
        <v>0</v>
      </c>
      <c r="E630" s="11">
        <v>0</v>
      </c>
      <c r="F630" s="11">
        <v>1</v>
      </c>
      <c r="G630" s="440">
        <v>1</v>
      </c>
      <c r="H630" s="8">
        <v>3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440">
        <v>0</v>
      </c>
      <c r="O630" s="8">
        <v>0</v>
      </c>
      <c r="P630" s="30">
        <v>2</v>
      </c>
      <c r="Q630" s="30">
        <v>0</v>
      </c>
      <c r="R630" s="11">
        <v>0</v>
      </c>
      <c r="S630" s="30">
        <v>0</v>
      </c>
      <c r="T630" s="30">
        <v>1</v>
      </c>
      <c r="U630" s="445"/>
      <c r="V630" s="8">
        <v>3</v>
      </c>
      <c r="W630" s="31">
        <v>8</v>
      </c>
    </row>
    <row r="631" spans="1:23" x14ac:dyDescent="0.45">
      <c r="A631" s="64">
        <v>44287</v>
      </c>
      <c r="B631" s="15">
        <v>1</v>
      </c>
      <c r="C631" s="11">
        <v>2</v>
      </c>
      <c r="D631" s="11">
        <v>0</v>
      </c>
      <c r="E631" s="11">
        <v>0</v>
      </c>
      <c r="F631" s="11">
        <v>1</v>
      </c>
      <c r="G631" s="440">
        <v>1</v>
      </c>
      <c r="H631" s="8">
        <v>4</v>
      </c>
      <c r="I631" s="11">
        <v>0</v>
      </c>
      <c r="J631" s="11">
        <v>0</v>
      </c>
      <c r="K631" s="11">
        <v>0</v>
      </c>
      <c r="L631" s="11">
        <v>0</v>
      </c>
      <c r="M631" s="11">
        <v>0</v>
      </c>
      <c r="N631" s="440">
        <v>0</v>
      </c>
      <c r="O631" s="8">
        <v>0</v>
      </c>
      <c r="P631" s="30">
        <v>1</v>
      </c>
      <c r="Q631" s="30">
        <v>2</v>
      </c>
      <c r="R631" s="11">
        <v>0</v>
      </c>
      <c r="S631" s="30">
        <v>0</v>
      </c>
      <c r="T631" s="30">
        <v>1</v>
      </c>
      <c r="U631" s="445"/>
      <c r="V631" s="8">
        <v>4</v>
      </c>
      <c r="W631" s="31">
        <v>12</v>
      </c>
    </row>
    <row r="632" spans="1:23" x14ac:dyDescent="0.45">
      <c r="A632" s="64">
        <v>44317</v>
      </c>
      <c r="B632" s="15">
        <v>1</v>
      </c>
      <c r="C632" s="11">
        <v>0</v>
      </c>
      <c r="D632" s="11">
        <v>0</v>
      </c>
      <c r="E632" s="11">
        <v>1</v>
      </c>
      <c r="F632" s="11">
        <v>1</v>
      </c>
      <c r="G632" s="440">
        <v>1</v>
      </c>
      <c r="H632" s="8">
        <v>3</v>
      </c>
      <c r="I632" s="11">
        <v>0</v>
      </c>
      <c r="J632" s="11">
        <v>0</v>
      </c>
      <c r="K632" s="11">
        <v>0</v>
      </c>
      <c r="L632" s="11">
        <v>0</v>
      </c>
      <c r="M632" s="11">
        <v>0</v>
      </c>
      <c r="N632" s="440">
        <v>0</v>
      </c>
      <c r="O632" s="8">
        <v>0</v>
      </c>
      <c r="P632" s="30">
        <v>1</v>
      </c>
      <c r="Q632" s="30">
        <v>0</v>
      </c>
      <c r="R632" s="11">
        <v>0</v>
      </c>
      <c r="S632" s="30">
        <v>1</v>
      </c>
      <c r="T632" s="30">
        <v>1</v>
      </c>
      <c r="U632" s="445"/>
      <c r="V632" s="8">
        <v>3</v>
      </c>
      <c r="W632" s="31">
        <v>15</v>
      </c>
    </row>
    <row r="633" spans="1:23" x14ac:dyDescent="0.45">
      <c r="A633" s="64">
        <v>44348</v>
      </c>
      <c r="B633" s="15">
        <v>1</v>
      </c>
      <c r="C633" s="11">
        <v>1</v>
      </c>
      <c r="D633" s="11">
        <v>0</v>
      </c>
      <c r="E633" s="11">
        <v>2</v>
      </c>
      <c r="F633" s="11">
        <v>0</v>
      </c>
      <c r="G633" s="440">
        <v>0</v>
      </c>
      <c r="H633" s="8">
        <v>4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440">
        <v>0</v>
      </c>
      <c r="O633" s="8">
        <v>0</v>
      </c>
      <c r="P633" s="30">
        <v>1</v>
      </c>
      <c r="Q633" s="30">
        <v>1</v>
      </c>
      <c r="R633" s="11">
        <v>0</v>
      </c>
      <c r="S633" s="30">
        <v>2</v>
      </c>
      <c r="T633" s="30">
        <v>0</v>
      </c>
      <c r="U633" s="445"/>
      <c r="V633" s="8">
        <v>4</v>
      </c>
      <c r="W633" s="31">
        <v>19</v>
      </c>
    </row>
    <row r="634" spans="1:23" x14ac:dyDescent="0.45">
      <c r="A634" s="64">
        <v>44378</v>
      </c>
      <c r="B634" s="15">
        <v>2</v>
      </c>
      <c r="C634" s="11">
        <v>2</v>
      </c>
      <c r="D634" s="11">
        <v>0</v>
      </c>
      <c r="E634" s="11">
        <v>2</v>
      </c>
      <c r="F634" s="11">
        <v>0</v>
      </c>
      <c r="G634" s="440">
        <v>0</v>
      </c>
      <c r="H634" s="8">
        <v>6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440">
        <v>0</v>
      </c>
      <c r="O634" s="8">
        <v>0</v>
      </c>
      <c r="P634" s="30">
        <v>2</v>
      </c>
      <c r="Q634" s="30">
        <v>2</v>
      </c>
      <c r="R634" s="11">
        <v>0</v>
      </c>
      <c r="S634" s="30">
        <v>2</v>
      </c>
      <c r="T634" s="30">
        <v>0</v>
      </c>
      <c r="U634" s="445"/>
      <c r="V634" s="8">
        <v>6</v>
      </c>
      <c r="W634" s="31">
        <v>25</v>
      </c>
    </row>
    <row r="635" spans="1:23" x14ac:dyDescent="0.45">
      <c r="A635" s="64">
        <v>44409</v>
      </c>
      <c r="B635" s="15">
        <v>1</v>
      </c>
      <c r="C635" s="11">
        <v>2</v>
      </c>
      <c r="D635" s="11">
        <v>0</v>
      </c>
      <c r="E635" s="11">
        <v>2</v>
      </c>
      <c r="F635" s="11">
        <v>0</v>
      </c>
      <c r="G635" s="440">
        <v>0</v>
      </c>
      <c r="H635" s="8">
        <v>5</v>
      </c>
      <c r="I635" s="11">
        <v>1</v>
      </c>
      <c r="J635" s="11">
        <v>0</v>
      </c>
      <c r="K635" s="11">
        <v>0</v>
      </c>
      <c r="L635" s="11">
        <v>0</v>
      </c>
      <c r="M635" s="11">
        <v>0</v>
      </c>
      <c r="N635" s="440">
        <v>0</v>
      </c>
      <c r="O635" s="8">
        <v>1</v>
      </c>
      <c r="P635" s="30">
        <v>2</v>
      </c>
      <c r="Q635" s="30">
        <v>2</v>
      </c>
      <c r="R635" s="11">
        <v>0</v>
      </c>
      <c r="S635" s="30">
        <v>2</v>
      </c>
      <c r="T635" s="30">
        <v>0</v>
      </c>
      <c r="U635" s="445"/>
      <c r="V635" s="8">
        <v>6</v>
      </c>
      <c r="W635" s="31">
        <v>31</v>
      </c>
    </row>
    <row r="636" spans="1:23" x14ac:dyDescent="0.45">
      <c r="A636" s="64">
        <v>44440</v>
      </c>
      <c r="B636" s="15">
        <v>0</v>
      </c>
      <c r="C636" s="11">
        <v>1</v>
      </c>
      <c r="D636" s="11">
        <v>0</v>
      </c>
      <c r="E636" s="11">
        <v>2</v>
      </c>
      <c r="F636" s="11">
        <v>1</v>
      </c>
      <c r="G636" s="440">
        <v>1</v>
      </c>
      <c r="H636" s="8">
        <v>4</v>
      </c>
      <c r="I636" s="11">
        <v>1</v>
      </c>
      <c r="J636" s="11">
        <v>0</v>
      </c>
      <c r="K636" s="11">
        <v>0</v>
      </c>
      <c r="L636" s="11">
        <v>0</v>
      </c>
      <c r="M636" s="11">
        <v>0</v>
      </c>
      <c r="N636" s="440">
        <v>0</v>
      </c>
      <c r="O636" s="8">
        <v>1</v>
      </c>
      <c r="P636" s="30">
        <v>1</v>
      </c>
      <c r="Q636" s="30">
        <v>1</v>
      </c>
      <c r="R636" s="11">
        <v>0</v>
      </c>
      <c r="S636" s="30">
        <v>2</v>
      </c>
      <c r="T636" s="30">
        <v>1</v>
      </c>
      <c r="U636" s="445"/>
      <c r="V636" s="8">
        <v>5</v>
      </c>
      <c r="W636" s="31">
        <v>36</v>
      </c>
    </row>
    <row r="637" spans="1:23" x14ac:dyDescent="0.45">
      <c r="A637" s="64">
        <v>44470</v>
      </c>
      <c r="B637" s="15">
        <v>1</v>
      </c>
      <c r="C637" s="11">
        <v>1</v>
      </c>
      <c r="D637" s="11">
        <v>0</v>
      </c>
      <c r="E637" s="11">
        <v>1</v>
      </c>
      <c r="F637" s="11">
        <v>0</v>
      </c>
      <c r="G637" s="440">
        <v>0</v>
      </c>
      <c r="H637" s="8">
        <v>3</v>
      </c>
      <c r="I637" s="11">
        <v>1</v>
      </c>
      <c r="J637" s="11">
        <v>0</v>
      </c>
      <c r="K637" s="11">
        <v>0</v>
      </c>
      <c r="L637" s="11">
        <v>0</v>
      </c>
      <c r="M637" s="11">
        <v>0</v>
      </c>
      <c r="N637" s="440">
        <v>0</v>
      </c>
      <c r="O637" s="8">
        <v>1</v>
      </c>
      <c r="P637" s="30">
        <v>2</v>
      </c>
      <c r="Q637" s="30">
        <v>1</v>
      </c>
      <c r="R637" s="11">
        <v>0</v>
      </c>
      <c r="S637" s="30">
        <v>1</v>
      </c>
      <c r="T637" s="30">
        <v>0</v>
      </c>
      <c r="U637" s="445"/>
      <c r="V637" s="8">
        <v>4</v>
      </c>
      <c r="W637" s="31">
        <v>40</v>
      </c>
    </row>
    <row r="638" spans="1:23" x14ac:dyDescent="0.45">
      <c r="A638" s="64">
        <v>44501</v>
      </c>
      <c r="B638" s="15">
        <v>2</v>
      </c>
      <c r="C638" s="11">
        <v>2</v>
      </c>
      <c r="D638" s="11">
        <v>0</v>
      </c>
      <c r="E638" s="11">
        <v>2</v>
      </c>
      <c r="F638" s="11">
        <v>0</v>
      </c>
      <c r="G638" s="440">
        <v>0</v>
      </c>
      <c r="H638" s="8">
        <v>6</v>
      </c>
      <c r="I638" s="11">
        <v>1</v>
      </c>
      <c r="J638" s="11">
        <v>0</v>
      </c>
      <c r="K638" s="11">
        <v>0</v>
      </c>
      <c r="L638" s="11">
        <v>0</v>
      </c>
      <c r="M638" s="11">
        <v>0</v>
      </c>
      <c r="N638" s="440">
        <v>0</v>
      </c>
      <c r="O638" s="8">
        <v>1</v>
      </c>
      <c r="P638" s="30">
        <v>3</v>
      </c>
      <c r="Q638" s="30">
        <v>2</v>
      </c>
      <c r="R638" s="11">
        <v>0</v>
      </c>
      <c r="S638" s="30">
        <v>2</v>
      </c>
      <c r="T638" s="30">
        <v>0</v>
      </c>
      <c r="U638" s="445"/>
      <c r="V638" s="8">
        <v>7</v>
      </c>
      <c r="W638" s="31">
        <v>47</v>
      </c>
    </row>
    <row r="639" spans="1:23" x14ac:dyDescent="0.45">
      <c r="A639" s="66">
        <v>44531</v>
      </c>
      <c r="B639" s="50">
        <v>2</v>
      </c>
      <c r="C639" s="42">
        <v>1</v>
      </c>
      <c r="D639" s="42">
        <v>0</v>
      </c>
      <c r="E639" s="42">
        <v>2</v>
      </c>
      <c r="F639" s="42">
        <v>1</v>
      </c>
      <c r="G639" s="438">
        <v>1</v>
      </c>
      <c r="H639" s="43">
        <v>6</v>
      </c>
      <c r="I639" s="42">
        <v>2</v>
      </c>
      <c r="J639" s="42">
        <v>0</v>
      </c>
      <c r="K639" s="42">
        <v>0</v>
      </c>
      <c r="L639" s="42">
        <v>0</v>
      </c>
      <c r="M639" s="42">
        <v>0</v>
      </c>
      <c r="N639" s="438">
        <v>0</v>
      </c>
      <c r="O639" s="43">
        <v>2</v>
      </c>
      <c r="P639" s="51">
        <v>4</v>
      </c>
      <c r="Q639" s="51">
        <v>1</v>
      </c>
      <c r="R639" s="42">
        <v>0</v>
      </c>
      <c r="S639" s="51">
        <v>2</v>
      </c>
      <c r="T639" s="51">
        <v>1</v>
      </c>
      <c r="U639" s="446"/>
      <c r="V639" s="43">
        <v>8</v>
      </c>
      <c r="W639" s="44">
        <v>55</v>
      </c>
    </row>
    <row r="640" spans="1:23" ht="19.5" customHeight="1" thickBot="1" x14ac:dyDescent="0.5">
      <c r="A640" s="67" t="s">
        <v>851</v>
      </c>
      <c r="B640" s="39">
        <v>15</v>
      </c>
      <c r="C640" s="40">
        <v>12</v>
      </c>
      <c r="D640" s="40">
        <v>0</v>
      </c>
      <c r="E640" s="40">
        <v>16</v>
      </c>
      <c r="F640" s="40">
        <v>5</v>
      </c>
      <c r="G640" s="439">
        <v>5</v>
      </c>
      <c r="H640" s="41">
        <v>48</v>
      </c>
      <c r="I640" s="40">
        <v>7</v>
      </c>
      <c r="J640" s="40">
        <v>0</v>
      </c>
      <c r="K640" s="40">
        <v>0</v>
      </c>
      <c r="L640" s="40">
        <v>0</v>
      </c>
      <c r="M640" s="40">
        <v>0</v>
      </c>
      <c r="N640" s="439">
        <v>0</v>
      </c>
      <c r="O640" s="41">
        <v>7</v>
      </c>
      <c r="P640" s="40">
        <v>22</v>
      </c>
      <c r="Q640" s="40">
        <v>12</v>
      </c>
      <c r="R640" s="40">
        <v>0</v>
      </c>
      <c r="S640" s="40">
        <v>16</v>
      </c>
      <c r="T640" s="40">
        <v>5</v>
      </c>
      <c r="U640" s="439"/>
      <c r="V640" s="41">
        <v>55</v>
      </c>
      <c r="W640" s="52"/>
    </row>
    <row r="641" spans="1:23" ht="19.5" customHeight="1" thickTop="1" x14ac:dyDescent="0.45">
      <c r="A641" s="68">
        <v>44562</v>
      </c>
      <c r="B641" s="32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COUNTIFS(发射纪录!$B:$B,"&lt;&gt;-",发射纪录!$G:$G,"&gt;="&amp;DATE(YEAR($A641),MONTH($A641),1),发射纪录!$G:$G,"&lt;="&amp;DATE(YEAR($A641),MONTH($A641),DAY(EOMONTH($A641,0))),发射纪录!$N:$N,"&lt;&gt;",发射纪录!$J:$J,"="&amp;发射地月間統計!B$3)</f>
        <v>1</v>
      </c>
      <c r="C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COUNTIFS(发射纪录!$B:$B,"&lt;&gt;-",发射纪录!$G:$G,"&gt;="&amp;DATE(YEAR($A641),MONTH($A641),1),发射纪录!$G:$G,"&lt;="&amp;DATE(YEAR($A641),MONTH($A641),DAY(EOMONTH($A641,0))),发射纪录!$N:$N,"&lt;&gt;",发射纪录!$J:$J,"="&amp;发射地月間統計!C$3)</f>
        <v>1</v>
      </c>
      <c r="D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COUNTIFS(发射纪录!$B:$B,"&lt;&gt;-",发射纪录!$G:$G,"&gt;="&amp;DATE(YEAR($A641),MONTH($A641),1),发射纪录!$G:$G,"&lt;="&amp;DATE(YEAR($A641),MONTH($A641),DAY(EOMONTH($A641,0))),发射纪录!$N:$N,"&lt;&gt;",发射纪录!$J:$J,"="&amp;发射地月間統計!D$3)</f>
        <v>0</v>
      </c>
      <c r="E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COUNTIFS(发射纪录!$B:$B,"&lt;&gt;-",发射纪录!$G:$G,"&gt;="&amp;DATE(YEAR($A641),MONTH($A641),1),发射纪录!$G:$G,"&lt;="&amp;DATE(YEAR($A641),MONTH($A641),DAY(EOMONTH($A641,0))),发射纪录!$N:$N,"&lt;&gt;",发射纪录!$J:$J,"="&amp;发射地月間統計!E$3)</f>
        <v>0</v>
      </c>
      <c r="F641" s="34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COUNTIFS(发射纪录!$B:$B,"&lt;&gt;-",发射纪录!$G:$G,"&gt;="&amp;DATE(YEAR($A641),MONTH($A641),1),发射纪录!$G:$G,"&lt;="&amp;DATE(YEAR($A641),MONTH($A641),DAY(EOMONTH($A641,0))),发射纪录!$N:$N,"&lt;&gt;",发射纪录!$J:$J,"="&amp;发射地月間統計!F$3)</f>
        <v>0</v>
      </c>
      <c r="G641" s="441">
        <f>COUNTIFS(发射纪录!$B:$B,"&lt;&gt;-",发射纪录!$G:$G,"&gt;="&amp;DATE(YEAR($A641),MONTH($A641),1),发射纪录!$G:$G,"&lt;="&amp;DATE(YEAR($A641),MONTH($A641),DAY(EOMONTH($A641,0))),发射纪录!$N:$N,"&lt;&gt;",发射纪录!$J:$J,"="&amp;发射地月間統計!G$3)</f>
        <v>0</v>
      </c>
      <c r="H641" s="33">
        <f t="shared" ref="H641:H666" si="0">SUM(B641:F641)</f>
        <v>2</v>
      </c>
      <c r="I641" s="34">
        <f ca="1">COUNTIFS(发射纪录!$C:$C,"&lt;&gt;-",发射纪录!$G:$G,"&gt;="&amp;DATE(YEAR($A641),MONTH($A641),1),发射纪录!$G:$G,"&lt;="&amp;DATE(YEAR($A641),MONTH($A641),DAY(EOMONTH($A641,0))),发射纪录!$N:$N,"&lt;&gt;",发射纪录!$J:$J,"="&amp;发射地月間統計!I$3)</f>
        <v>0</v>
      </c>
      <c r="J641" s="34">
        <f ca="1">COUNTIFS(发射纪录!$C:$C,"&lt;&gt;-",发射纪录!$G:$G,"&gt;="&amp;DATE(YEAR($A641),MONTH($A641),1),发射纪录!$G:$G,"&lt;="&amp;DATE(YEAR($A641),MONTH($A641),DAY(EOMONTH($A641,0))),发射纪录!$N:$N,"&lt;&gt;",发射纪录!$J:$J,"="&amp;发射地月間統計!J$3)</f>
        <v>0</v>
      </c>
      <c r="K641" s="34">
        <f ca="1">COUNTIFS(发射纪录!$C:$C,"&lt;&gt;-",发射纪录!$G:$G,"&gt;="&amp;DATE(YEAR($A641),MONTH($A641),1),发射纪录!$G:$G,"&lt;="&amp;DATE(YEAR($A641),MONTH($A641),DAY(EOMONTH($A641,0))),发射纪录!$N:$N,"&lt;&gt;",发射纪录!$J:$J,"="&amp;发射地月間統計!K$3)</f>
        <v>0</v>
      </c>
      <c r="L641" s="34">
        <f ca="1">COUNTIFS(发射纪录!$C:$C,"&lt;&gt;-",发射纪录!$G:$G,"&gt;="&amp;DATE(YEAR($A641),MONTH($A641),1),发射纪录!$G:$G,"&lt;="&amp;DATE(YEAR($A641),MONTH($A641),DAY(EOMONTH($A641,0))),发射纪录!$N:$N,"&lt;&gt;",发射纪录!$J:$J,"="&amp;发射地月間統計!L$3)</f>
        <v>0</v>
      </c>
      <c r="M641" s="34">
        <f ca="1">COUNTIFS(发射纪录!$C:$C,"&lt;&gt;-",发射纪录!$G:$G,"&gt;="&amp;DATE(YEAR($A641),MONTH($A641),1),发射纪录!$G:$G,"&lt;="&amp;DATE(YEAR($A641),MONTH($A641),DAY(EOMONTH($A641,0))),发射纪录!$N:$N,"&lt;&gt;",发射纪录!$J:$J,"="&amp;发射地月間統計!M$3)</f>
        <v>0</v>
      </c>
      <c r="N641" s="441">
        <v>0</v>
      </c>
      <c r="O641" s="33">
        <f t="shared" ref="O641:O666" ca="1" si="1">SUM(I641:M641)</f>
        <v>0</v>
      </c>
      <c r="P641" s="35">
        <f t="shared" ref="P641:P666" ca="1" si="2">B641+I641</f>
        <v>1</v>
      </c>
      <c r="Q641" s="35">
        <f t="shared" ref="Q641:Q666" ca="1" si="3">C641+J641</f>
        <v>1</v>
      </c>
      <c r="R641" s="34">
        <f t="shared" ref="R641:R666" ca="1" si="4">D641+K641</f>
        <v>0</v>
      </c>
      <c r="S641" s="35">
        <f t="shared" ref="S641:S666" ca="1" si="5">E641+L641</f>
        <v>0</v>
      </c>
      <c r="T641" s="35">
        <f t="shared" ref="T641:T666" ca="1" si="6">F641+M641</f>
        <v>0</v>
      </c>
      <c r="U641" s="447"/>
      <c r="V641" s="33">
        <f t="shared" ref="V641:V666" ca="1" si="7">SUM(P641:T641)</f>
        <v>2</v>
      </c>
      <c r="W641" s="36">
        <f ca="1">V641</f>
        <v>2</v>
      </c>
    </row>
    <row r="642" spans="1:23" x14ac:dyDescent="0.45">
      <c r="A642" s="64">
        <v>44593</v>
      </c>
      <c r="B642" s="15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COUNTIFS(发射纪录!$B:$B,"&lt;&gt;-",发射纪录!$G:$G,"&gt;="&amp;DATE(YEAR($A642),MONTH($A642),1),发射纪录!$G:$G,"&lt;="&amp;DATE(YEAR($A642),MONTH($A642),DAY(EOMONTH($A642,0))),发射纪录!$N:$N,"&lt;&gt;",发射纪录!$J:$J,"="&amp;发射地月間統計!B$3)</f>
        <v>1</v>
      </c>
      <c r="C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COUNTIFS(发射纪录!$B:$B,"&lt;&gt;-",发射纪录!$G:$G,"&gt;="&amp;DATE(YEAR($A642),MONTH($A642),1),发射纪录!$G:$G,"&lt;="&amp;DATE(YEAR($A642),MONTH($A642),DAY(EOMONTH($A642,0))),发射纪录!$N:$N,"&lt;&gt;",发射纪录!$J:$J,"="&amp;发射地月間統計!C$3)</f>
        <v>0</v>
      </c>
      <c r="D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COUNTIFS(发射纪录!$B:$B,"&lt;&gt;-",发射纪录!$G:$G,"&gt;="&amp;DATE(YEAR($A642),MONTH($A642),1),发射纪录!$G:$G,"&lt;="&amp;DATE(YEAR($A642),MONTH($A642),DAY(EOMONTH($A642,0))),发射纪录!$N:$N,"&lt;&gt;",发射纪录!$J:$J,"="&amp;发射地月間統計!D$3)</f>
        <v>0</v>
      </c>
      <c r="E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COUNTIFS(发射纪录!$B:$B,"&lt;&gt;-",发射纪录!$G:$G,"&gt;="&amp;DATE(YEAR($A642),MONTH($A642),1),发射纪录!$G:$G,"&lt;="&amp;DATE(YEAR($A642),MONTH($A642),DAY(EOMONTH($A642,0))),发射纪录!$N:$N,"&lt;&gt;",发射纪录!$J:$J,"="&amp;发射地月間統計!E$3)</f>
        <v>0</v>
      </c>
      <c r="F642" s="11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COUNTIFS(发射纪录!$B:$B,"&lt;&gt;-",发射纪录!$G:$G,"&gt;="&amp;DATE(YEAR($A642),MONTH($A642),1),发射纪录!$G:$G,"&lt;="&amp;DATE(YEAR($A642),MONTH($A642),DAY(EOMONTH($A642,0))),发射纪录!$N:$N,"&lt;&gt;",发射纪录!$J:$J,"="&amp;发射地月間統計!F$3)</f>
        <v>1</v>
      </c>
      <c r="G642" s="440">
        <f>COUNTIFS(发射纪录!$B:$B,"&lt;&gt;-",发射纪录!$G:$G,"&gt;="&amp;DATE(YEAR($A642),MONTH($A642),1),发射纪录!$G:$G,"&lt;="&amp;DATE(YEAR($A642),MONTH($A642),DAY(EOMONTH($A642,0))),发射纪录!$N:$N,"&lt;&gt;",发射纪录!$J:$J,"="&amp;发射地月間統計!G$3)</f>
        <v>0</v>
      </c>
      <c r="H642" s="8">
        <f t="shared" si="0"/>
        <v>2</v>
      </c>
      <c r="I642" s="11">
        <f ca="1">COUNTIFS(发射纪录!$C:$C,"&lt;&gt;-",发射纪录!$G:$G,"&gt;="&amp;DATE(YEAR($A642),MONTH($A642),1),发射纪录!$G:$G,"&lt;="&amp;DATE(YEAR($A642),MONTH($A642),DAY(EOMONTH($A642,0))),发射纪录!$N:$N,"&lt;&gt;",发射纪录!$J:$J,"="&amp;发射地月間統計!I$3)</f>
        <v>0</v>
      </c>
      <c r="J642" s="11">
        <f ca="1">COUNTIFS(发射纪录!$C:$C,"&lt;&gt;-",发射纪录!$G:$G,"&gt;="&amp;DATE(YEAR($A642),MONTH($A642),1),发射纪录!$G:$G,"&lt;="&amp;DATE(YEAR($A642),MONTH($A642),DAY(EOMONTH($A642,0))),发射纪录!$N:$N,"&lt;&gt;",发射纪录!$J:$J,"="&amp;发射地月間統計!J$3)</f>
        <v>0</v>
      </c>
      <c r="K642" s="11">
        <f ca="1">COUNTIFS(发射纪录!$C:$C,"&lt;&gt;-",发射纪录!$G:$G,"&gt;="&amp;DATE(YEAR($A642),MONTH($A642),1),发射纪录!$G:$G,"&lt;="&amp;DATE(YEAR($A642),MONTH($A642),DAY(EOMONTH($A642,0))),发射纪录!$N:$N,"&lt;&gt;",发射纪录!$J:$J,"="&amp;发射地月間統計!K$3)</f>
        <v>0</v>
      </c>
      <c r="L642" s="11">
        <f ca="1">COUNTIFS(发射纪录!$C:$C,"&lt;&gt;-",发射纪录!$G:$G,"&gt;="&amp;DATE(YEAR($A642),MONTH($A642),1),发射纪录!$G:$G,"&lt;="&amp;DATE(YEAR($A642),MONTH($A642),DAY(EOMONTH($A642,0))),发射纪录!$N:$N,"&lt;&gt;",发射纪录!$J:$J,"="&amp;发射地月間統計!L$3)</f>
        <v>0</v>
      </c>
      <c r="M642" s="11">
        <f ca="1">COUNTIFS(发射纪录!$C:$C,"&lt;&gt;-",发射纪录!$G:$G,"&gt;="&amp;DATE(YEAR($A642),MONTH($A642),1),发射纪录!$G:$G,"&lt;="&amp;DATE(YEAR($A642),MONTH($A642),DAY(EOMONTH($A642,0))),发射纪录!$N:$N,"&lt;&gt;",发射纪录!$J:$J,"="&amp;发射地月間統計!M$3)</f>
        <v>0</v>
      </c>
      <c r="N642" s="440">
        <v>0</v>
      </c>
      <c r="O642" s="8">
        <f t="shared" ca="1" si="1"/>
        <v>0</v>
      </c>
      <c r="P642" s="30">
        <f t="shared" ca="1" si="2"/>
        <v>1</v>
      </c>
      <c r="Q642" s="30">
        <f t="shared" ca="1" si="3"/>
        <v>0</v>
      </c>
      <c r="R642" s="11">
        <f t="shared" ca="1" si="4"/>
        <v>0</v>
      </c>
      <c r="S642" s="30">
        <f t="shared" ca="1" si="5"/>
        <v>0</v>
      </c>
      <c r="T642" s="30">
        <f t="shared" ca="1" si="6"/>
        <v>1</v>
      </c>
      <c r="U642" s="445"/>
      <c r="V642" s="8">
        <f t="shared" ca="1" si="7"/>
        <v>2</v>
      </c>
      <c r="W642" s="31">
        <f t="shared" ref="W642:W652" ca="1" si="8">V642+W641</f>
        <v>4</v>
      </c>
    </row>
    <row r="643" spans="1:23" x14ac:dyDescent="0.45">
      <c r="A643" s="64">
        <v>44621</v>
      </c>
      <c r="B643" s="15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COUNTIFS(发射纪录!$B:$B,"&lt;&gt;-",发射纪录!$G:$G,"&gt;="&amp;DATE(YEAR($A643),MONTH($A643),1),发射纪录!$G:$G,"&lt;="&amp;DATE(YEAR($A643),MONTH($A643),DAY(EOMONTH($A643,0))),发射纪录!$N:$N,"&lt;&gt;",发射纪录!$J:$J,"="&amp;发射地月間統計!B$3)</f>
        <v>2</v>
      </c>
      <c r="C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COUNTIFS(发射纪录!$B:$B,"&lt;&gt;-",发射纪录!$G:$G,"&gt;="&amp;DATE(YEAR($A643),MONTH($A643),1),发射纪录!$G:$G,"&lt;="&amp;DATE(YEAR($A643),MONTH($A643),DAY(EOMONTH($A643,0))),发射纪录!$N:$N,"&lt;&gt;",发射纪录!$J:$J,"="&amp;发射地月間統計!C$3)</f>
        <v>1</v>
      </c>
      <c r="D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COUNTIFS(发射纪录!$B:$B,"&lt;&gt;-",发射纪录!$G:$G,"&gt;="&amp;DATE(YEAR($A643),MONTH($A643),1),发射纪录!$G:$G,"&lt;="&amp;DATE(YEAR($A643),MONTH($A643),DAY(EOMONTH($A643,0))),发射纪录!$N:$N,"&lt;&gt;",发射纪录!$J:$J,"="&amp;发射地月間統計!D$3)</f>
        <v>0</v>
      </c>
      <c r="E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COUNTIFS(发射纪录!$B:$B,"&lt;&gt;-",发射纪录!$G:$G,"&gt;="&amp;DATE(YEAR($A643),MONTH($A643),1),发射纪录!$G:$G,"&lt;="&amp;DATE(YEAR($A643),MONTH($A643),DAY(EOMONTH($A643,0))),发射纪录!$N:$N,"&lt;&gt;",发射纪录!$J:$J,"="&amp;发射地月間統計!E$3)</f>
        <v>1</v>
      </c>
      <c r="F643" s="11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COUNTIFS(发射纪录!$B:$B,"&lt;&gt;-",发射纪录!$G:$G,"&gt;="&amp;DATE(YEAR($A643),MONTH($A643),1),发射纪录!$G:$G,"&lt;="&amp;DATE(YEAR($A643),MONTH($A643),DAY(EOMONTH($A643,0))),发射纪录!$N:$N,"&lt;&gt;",发射纪录!$J:$J,"="&amp;发射地月間統計!F$3)</f>
        <v>0</v>
      </c>
      <c r="G643" s="440">
        <f>COUNTIFS(发射纪录!$B:$B,"&lt;&gt;-",发射纪录!$G:$G,"&gt;="&amp;DATE(YEAR($A643),MONTH($A643),1),发射纪录!$G:$G,"&lt;="&amp;DATE(YEAR($A643),MONTH($A643),DAY(EOMONTH($A643,0))),发射纪录!$N:$N,"&lt;&gt;",发射纪录!$J:$J,"="&amp;发射地月間統計!G$3)</f>
        <v>0</v>
      </c>
      <c r="H643" s="8">
        <f t="shared" si="0"/>
        <v>4</v>
      </c>
      <c r="I643" s="11">
        <f ca="1">COUNTIFS(发射纪录!$C:$C,"&lt;&gt;-",发射纪录!$G:$G,"&gt;="&amp;DATE(YEAR($A643),MONTH($A643),1),发射纪录!$G:$G,"&lt;="&amp;DATE(YEAR($A643),MONTH($A643),DAY(EOMONTH($A643,0))),发射纪录!$N:$N,"&lt;&gt;",发射纪录!$J:$J,"="&amp;发射地月間統計!I$3)</f>
        <v>0</v>
      </c>
      <c r="J643" s="11">
        <f ca="1">COUNTIFS(发射纪录!$C:$C,"&lt;&gt;-",发射纪录!$G:$G,"&gt;="&amp;DATE(YEAR($A643),MONTH($A643),1),发射纪录!$G:$G,"&lt;="&amp;DATE(YEAR($A643),MONTH($A643),DAY(EOMONTH($A643,0))),发射纪录!$N:$N,"&lt;&gt;",发射纪录!$J:$J,"="&amp;发射地月間統計!J$3)</f>
        <v>0</v>
      </c>
      <c r="K643" s="11">
        <f ca="1">COUNTIFS(发射纪录!$C:$C,"&lt;&gt;-",发射纪录!$G:$G,"&gt;="&amp;DATE(YEAR($A643),MONTH($A643),1),发射纪录!$G:$G,"&lt;="&amp;DATE(YEAR($A643),MONTH($A643),DAY(EOMONTH($A643,0))),发射纪录!$N:$N,"&lt;&gt;",发射纪录!$J:$J,"="&amp;发射地月間統計!K$3)</f>
        <v>0</v>
      </c>
      <c r="L643" s="11">
        <f ca="1">COUNTIFS(发射纪录!$C:$C,"&lt;&gt;-",发射纪录!$G:$G,"&gt;="&amp;DATE(YEAR($A643),MONTH($A643),1),发射纪录!$G:$G,"&lt;="&amp;DATE(YEAR($A643),MONTH($A643),DAY(EOMONTH($A643,0))),发射纪录!$N:$N,"&lt;&gt;",发射纪录!$J:$J,"="&amp;发射地月間統計!L$3)</f>
        <v>0</v>
      </c>
      <c r="M643" s="11">
        <f ca="1">COUNTIFS(发射纪录!$C:$C,"&lt;&gt;-",发射纪录!$G:$G,"&gt;="&amp;DATE(YEAR($A643),MONTH($A643),1),发射纪录!$G:$G,"&lt;="&amp;DATE(YEAR($A643),MONTH($A643),DAY(EOMONTH($A643,0))),发射纪录!$N:$N,"&lt;&gt;",发射纪录!$J:$J,"="&amp;发射地月間統計!M$3)</f>
        <v>0</v>
      </c>
      <c r="N643" s="440">
        <v>0</v>
      </c>
      <c r="O643" s="8">
        <f t="shared" ca="1" si="1"/>
        <v>0</v>
      </c>
      <c r="P643" s="11">
        <f t="shared" ca="1" si="2"/>
        <v>2</v>
      </c>
      <c r="Q643" s="11">
        <f t="shared" ca="1" si="3"/>
        <v>1</v>
      </c>
      <c r="R643" s="11">
        <f t="shared" ca="1" si="4"/>
        <v>0</v>
      </c>
      <c r="S643" s="11">
        <f t="shared" ca="1" si="5"/>
        <v>1</v>
      </c>
      <c r="T643" s="11">
        <f t="shared" ca="1" si="6"/>
        <v>0</v>
      </c>
      <c r="U643" s="440"/>
      <c r="V643" s="8">
        <f t="shared" ca="1" si="7"/>
        <v>4</v>
      </c>
      <c r="W643" s="31">
        <f t="shared" ca="1" si="8"/>
        <v>8</v>
      </c>
    </row>
    <row r="644" spans="1:23" x14ac:dyDescent="0.45">
      <c r="A644" s="64">
        <v>44652</v>
      </c>
      <c r="B644" s="15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COUNTIFS(发射纪录!$B:$B,"&lt;&gt;-",发射纪录!$G:$G,"&gt;="&amp;DATE(YEAR($A644),MONTH($A644),1),发射纪录!$G:$G,"&lt;="&amp;DATE(YEAR($A644),MONTH($A644),DAY(EOMONTH($A644,0))),发射纪录!$N:$N,"&lt;&gt;",发射纪录!$J:$J,"="&amp;发射地月間統計!B$3)</f>
        <v>2</v>
      </c>
      <c r="C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COUNTIFS(发射纪录!$B:$B,"&lt;&gt;-",发射纪录!$G:$G,"&gt;="&amp;DATE(YEAR($A644),MONTH($A644),1),发射纪录!$G:$G,"&lt;="&amp;DATE(YEAR($A644),MONTH($A644),DAY(EOMONTH($A644,0))),发射纪录!$N:$N,"&lt;&gt;",发射纪录!$J:$J,"="&amp;发射地月間統計!C$3)</f>
        <v>1</v>
      </c>
      <c r="D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COUNTIFS(发射纪录!$B:$B,"&lt;&gt;-",发射纪录!$G:$G,"&gt;="&amp;DATE(YEAR($A644),MONTH($A644),1),发射纪录!$G:$G,"&lt;="&amp;DATE(YEAR($A644),MONTH($A644),DAY(EOMONTH($A644,0))),发射纪录!$N:$N,"&lt;&gt;",发射纪录!$J:$J,"="&amp;发射地月間統計!D$3)</f>
        <v>1</v>
      </c>
      <c r="E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COUNTIFS(发射纪录!$B:$B,"&lt;&gt;-",发射纪录!$G:$G,"&gt;="&amp;DATE(YEAR($A644),MONTH($A644),1),发射纪录!$G:$G,"&lt;="&amp;DATE(YEAR($A644),MONTH($A644),DAY(EOMONTH($A644,0))),发射纪录!$N:$N,"&lt;&gt;",发射纪录!$J:$J,"="&amp;发射地月間統計!E$3)</f>
        <v>1</v>
      </c>
      <c r="F644" s="11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COUNTIFS(发射纪录!$B:$B,"&lt;&gt;-",发射纪录!$G:$G,"&gt;="&amp;DATE(YEAR($A644),MONTH($A644),1),发射纪录!$G:$G,"&lt;="&amp;DATE(YEAR($A644),MONTH($A644),DAY(EOMONTH($A644,0))),发射纪录!$N:$N,"&lt;&gt;",发射纪录!$J:$J,"="&amp;发射地月間統計!F$3)</f>
        <v>0</v>
      </c>
      <c r="G644" s="440">
        <f>COUNTIFS(发射纪录!$B:$B,"&lt;&gt;-",发射纪录!$G:$G,"&gt;="&amp;DATE(YEAR($A644),MONTH($A644),1),发射纪录!$G:$G,"&lt;="&amp;DATE(YEAR($A644),MONTH($A644),DAY(EOMONTH($A644,0))),发射纪录!$N:$N,"&lt;&gt;",发射纪录!$J:$J,"="&amp;发射地月間統計!G$3)</f>
        <v>0</v>
      </c>
      <c r="H644" s="8">
        <f t="shared" si="0"/>
        <v>5</v>
      </c>
      <c r="I644" s="11">
        <f ca="1">COUNTIFS(发射纪录!$C:$C,"&lt;&gt;-",发射纪录!$G:$G,"&gt;="&amp;DATE(YEAR($A644),MONTH($A644),1),发射纪录!$G:$G,"&lt;="&amp;DATE(YEAR($A644),MONTH($A644),DAY(EOMONTH($A644,0))),发射纪录!$N:$N,"&lt;&gt;",发射纪录!$J:$J,"="&amp;发射地月間統計!I$3)</f>
        <v>0</v>
      </c>
      <c r="J644" s="11">
        <f ca="1">COUNTIFS(发射纪录!$C:$C,"&lt;&gt;-",发射纪录!$G:$G,"&gt;="&amp;DATE(YEAR($A644),MONTH($A644),1),发射纪录!$G:$G,"&lt;="&amp;DATE(YEAR($A644),MONTH($A644),DAY(EOMONTH($A644,0))),发射纪录!$N:$N,"&lt;&gt;",发射纪录!$J:$J,"="&amp;发射地月間統計!J$3)</f>
        <v>0</v>
      </c>
      <c r="K644" s="11">
        <f ca="1">COUNTIFS(发射纪录!$C:$C,"&lt;&gt;-",发射纪录!$G:$G,"&gt;="&amp;DATE(YEAR($A644),MONTH($A644),1),发射纪录!$G:$G,"&lt;="&amp;DATE(YEAR($A644),MONTH($A644),DAY(EOMONTH($A644,0))),发射纪录!$N:$N,"&lt;&gt;",发射纪录!$J:$J,"="&amp;发射地月間統計!K$3)</f>
        <v>0</v>
      </c>
      <c r="L644" s="11">
        <f ca="1">COUNTIFS(发射纪录!$C:$C,"&lt;&gt;-",发射纪录!$G:$G,"&gt;="&amp;DATE(YEAR($A644),MONTH($A644),1),发射纪录!$G:$G,"&lt;="&amp;DATE(YEAR($A644),MONTH($A644),DAY(EOMONTH($A644,0))),发射纪录!$N:$N,"&lt;&gt;",发射纪录!$J:$J,"="&amp;发射地月間統計!L$3)</f>
        <v>0</v>
      </c>
      <c r="M644" s="11">
        <f ca="1">COUNTIFS(发射纪录!$C:$C,"&lt;&gt;-",发射纪录!$G:$G,"&gt;="&amp;DATE(YEAR($A644),MONTH($A644),1),发射纪录!$G:$G,"&lt;="&amp;DATE(YEAR($A644),MONTH($A644),DAY(EOMONTH($A644,0))),发射纪录!$N:$N,"&lt;&gt;",发射纪录!$J:$J,"="&amp;发射地月間統計!M$3)</f>
        <v>0</v>
      </c>
      <c r="N644" s="440">
        <v>0</v>
      </c>
      <c r="O644" s="8">
        <f t="shared" ca="1" si="1"/>
        <v>0</v>
      </c>
      <c r="P644" s="11">
        <f t="shared" ca="1" si="2"/>
        <v>2</v>
      </c>
      <c r="Q644" s="11">
        <f t="shared" ca="1" si="3"/>
        <v>1</v>
      </c>
      <c r="R644" s="11">
        <f t="shared" ca="1" si="4"/>
        <v>1</v>
      </c>
      <c r="S644" s="11">
        <f t="shared" ca="1" si="5"/>
        <v>1</v>
      </c>
      <c r="T644" s="11">
        <f t="shared" ca="1" si="6"/>
        <v>0</v>
      </c>
      <c r="U644" s="440"/>
      <c r="V644" s="8">
        <f t="shared" ca="1" si="7"/>
        <v>5</v>
      </c>
      <c r="W644" s="31">
        <f t="shared" ca="1" si="8"/>
        <v>13</v>
      </c>
    </row>
    <row r="645" spans="1:23" x14ac:dyDescent="0.45">
      <c r="A645" s="64">
        <v>44682</v>
      </c>
      <c r="B645" s="15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COUNTIFS(发射纪录!$B:$B,"&lt;&gt;-",发射纪录!$G:$G,"&gt;="&amp;DATE(YEAR($A645),MONTH($A645),1),发射纪录!$G:$G,"&lt;="&amp;DATE(YEAR($A645),MONTH($A645),DAY(EOMONTH($A645,0))),发射纪录!$N:$N,"&lt;&gt;",发射纪录!$J:$J,"="&amp;发射地月間統計!B$3)</f>
        <v>1</v>
      </c>
      <c r="C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COUNTIFS(发射纪录!$B:$B,"&lt;&gt;-",发射纪录!$G:$G,"&gt;="&amp;DATE(YEAR($A645),MONTH($A645),1),发射纪录!$G:$G,"&lt;="&amp;DATE(YEAR($A645),MONTH($A645),DAY(EOMONTH($A645,0))),发射纪录!$N:$N,"&lt;&gt;",发射纪录!$J:$J,"="&amp;发射地月間統計!C$3)</f>
        <v>1</v>
      </c>
      <c r="D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COUNTIFS(发射纪录!$B:$B,"&lt;&gt;-",发射纪录!$G:$G,"&gt;="&amp;DATE(YEAR($A645),MONTH($A645),1),发射纪录!$G:$G,"&lt;="&amp;DATE(YEAR($A645),MONTH($A645),DAY(EOMONTH($A645,0))),发射纪录!$N:$N,"&lt;&gt;",发射纪录!$J:$J,"="&amp;发射地月間統計!D$3)</f>
        <v>0</v>
      </c>
      <c r="E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COUNTIFS(发射纪录!$B:$B,"&lt;&gt;-",发射纪录!$G:$G,"&gt;="&amp;DATE(YEAR($A645),MONTH($A645),1),发射纪录!$G:$G,"&lt;="&amp;DATE(YEAR($A645),MONTH($A645),DAY(EOMONTH($A645,0))),发射纪录!$N:$N,"&lt;&gt;",发射纪录!$J:$J,"="&amp;发射地月間統計!E$3)</f>
        <v>0</v>
      </c>
      <c r="F645" s="11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COUNTIFS(发射纪录!$B:$B,"&lt;&gt;-",发射纪录!$G:$G,"&gt;="&amp;DATE(YEAR($A645),MONTH($A645),1),发射纪录!$G:$G,"&lt;="&amp;DATE(YEAR($A645),MONTH($A645),DAY(EOMONTH($A645,0))),发射纪录!$N:$N,"&lt;&gt;",发射纪录!$J:$J,"="&amp;发射地月間統計!F$3)</f>
        <v>1</v>
      </c>
      <c r="G645" s="440">
        <f>COUNTIFS(发射纪录!$B:$B,"&lt;&gt;-",发射纪录!$G:$G,"&gt;="&amp;DATE(YEAR($A645),MONTH($A645),1),发射纪录!$G:$G,"&lt;="&amp;DATE(YEAR($A645),MONTH($A645),DAY(EOMONTH($A645,0))),发射纪录!$N:$N,"&lt;&gt;",发射纪录!$J:$J,"="&amp;发射地月間統計!G$3)</f>
        <v>0</v>
      </c>
      <c r="H645" s="8">
        <f t="shared" si="0"/>
        <v>3</v>
      </c>
      <c r="I645" s="11">
        <f ca="1">COUNTIFS(发射纪录!$C:$C,"&lt;&gt;-",发射纪录!$G:$G,"&gt;="&amp;DATE(YEAR($A645),MONTH($A645),1),发射纪录!$G:$G,"&lt;="&amp;DATE(YEAR($A645),MONTH($A645),DAY(EOMONTH($A645,0))),发射纪录!$N:$N,"&lt;&gt;",发射纪录!$J:$J,"="&amp;发射地月間統計!I$3)</f>
        <v>1</v>
      </c>
      <c r="J645" s="11">
        <f ca="1">COUNTIFS(发射纪录!$C:$C,"&lt;&gt;-",发射纪录!$G:$G,"&gt;="&amp;DATE(YEAR($A645),MONTH($A645),1),发射纪录!$G:$G,"&lt;="&amp;DATE(YEAR($A645),MONTH($A645),DAY(EOMONTH($A645,0))),发射纪录!$N:$N,"&lt;&gt;",发射纪录!$J:$J,"="&amp;发射地月間統計!J$3)</f>
        <v>0</v>
      </c>
      <c r="K645" s="11">
        <f ca="1">COUNTIFS(发射纪录!$C:$C,"&lt;&gt;-",发射纪录!$G:$G,"&gt;="&amp;DATE(YEAR($A645),MONTH($A645),1),发射纪录!$G:$G,"&lt;="&amp;DATE(YEAR($A645),MONTH($A645),DAY(EOMONTH($A645,0))),发射纪录!$N:$N,"&lt;&gt;",发射纪录!$J:$J,"="&amp;发射地月間統計!K$3)</f>
        <v>0</v>
      </c>
      <c r="L645" s="11">
        <f ca="1">COUNTIFS(发射纪录!$C:$C,"&lt;&gt;-",发射纪录!$G:$G,"&gt;="&amp;DATE(YEAR($A645),MONTH($A645),1),发射纪录!$G:$G,"&lt;="&amp;DATE(YEAR($A645),MONTH($A645),DAY(EOMONTH($A645,0))),发射纪录!$N:$N,"&lt;&gt;",发射纪录!$J:$J,"="&amp;发射地月間統計!L$3)</f>
        <v>0</v>
      </c>
      <c r="M645" s="11">
        <f ca="1">COUNTIFS(发射纪录!$C:$C,"&lt;&gt;-",发射纪录!$G:$G,"&gt;="&amp;DATE(YEAR($A645),MONTH($A645),1),发射纪录!$G:$G,"&lt;="&amp;DATE(YEAR($A645),MONTH($A645),DAY(EOMONTH($A645,0))),发射纪录!$N:$N,"&lt;&gt;",发射纪录!$J:$J,"="&amp;发射地月間統計!M$3)</f>
        <v>0</v>
      </c>
      <c r="N645" s="440">
        <v>0</v>
      </c>
      <c r="O645" s="8">
        <f t="shared" ca="1" si="1"/>
        <v>1</v>
      </c>
      <c r="P645" s="11">
        <f t="shared" ca="1" si="2"/>
        <v>2</v>
      </c>
      <c r="Q645" s="11">
        <f t="shared" ca="1" si="3"/>
        <v>1</v>
      </c>
      <c r="R645" s="11">
        <f t="shared" ca="1" si="4"/>
        <v>0</v>
      </c>
      <c r="S645" s="11">
        <f t="shared" ca="1" si="5"/>
        <v>0</v>
      </c>
      <c r="T645" s="11">
        <f t="shared" ca="1" si="6"/>
        <v>1</v>
      </c>
      <c r="U645" s="440"/>
      <c r="V645" s="8">
        <f t="shared" ca="1" si="7"/>
        <v>4</v>
      </c>
      <c r="W645" s="31">
        <f t="shared" ca="1" si="8"/>
        <v>17</v>
      </c>
    </row>
    <row r="646" spans="1:23" x14ac:dyDescent="0.45">
      <c r="A646" s="64">
        <v>44713</v>
      </c>
      <c r="B646" s="15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COUNTIFS(发射纪录!$B:$B,"&lt;&gt;-",发射纪录!$G:$G,"&gt;="&amp;DATE(YEAR($A646),MONTH($A646),1),发射纪录!$G:$G,"&lt;="&amp;DATE(YEAR($A646),MONTH($A646),DAY(EOMONTH($A646,0))),发射纪录!$N:$N,"&lt;&gt;",发射纪录!$J:$J,"="&amp;发射地月間統計!B$3)</f>
        <v>2</v>
      </c>
      <c r="C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COUNTIFS(发射纪录!$B:$B,"&lt;&gt;-",发射纪录!$G:$G,"&gt;="&amp;DATE(YEAR($A646),MONTH($A646),1),发射纪录!$G:$G,"&lt;="&amp;DATE(YEAR($A646),MONTH($A646),DAY(EOMONTH($A646,0))),发射纪录!$N:$N,"&lt;&gt;",发射纪录!$J:$J,"="&amp;发射地月間統計!C$3)</f>
        <v>0</v>
      </c>
      <c r="D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COUNTIFS(发射纪录!$B:$B,"&lt;&gt;-",发射纪录!$G:$G,"&gt;="&amp;DATE(YEAR($A646),MONTH($A646),1),发射纪录!$G:$G,"&lt;="&amp;DATE(YEAR($A646),MONTH($A646),DAY(EOMONTH($A646,0))),发射纪录!$N:$N,"&lt;&gt;",发射纪录!$J:$J,"="&amp;发射地月間統計!D$3)</f>
        <v>0</v>
      </c>
      <c r="E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COUNTIFS(发射纪录!$B:$B,"&lt;&gt;-",发射纪录!$G:$G,"&gt;="&amp;DATE(YEAR($A646),MONTH($A646),1),发射纪录!$G:$G,"&lt;="&amp;DATE(YEAR($A646),MONTH($A646),DAY(EOMONTH($A646,0))),发射纪录!$N:$N,"&lt;&gt;",发射纪录!$J:$J,"="&amp;发射地月間統計!E$3)</f>
        <v>2</v>
      </c>
      <c r="F646" s="11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COUNTIFS(发射纪录!$B:$B,"&lt;&gt;-",发射纪录!$G:$G,"&gt;="&amp;DATE(YEAR($A646),MONTH($A646),1),发射纪录!$G:$G,"&lt;="&amp;DATE(YEAR($A646),MONTH($A646),DAY(EOMONTH($A646,0))),发射纪录!$N:$N,"&lt;&gt;",发射纪录!$J:$J,"="&amp;发射地月間統計!F$3)</f>
        <v>0</v>
      </c>
      <c r="G646" s="440">
        <f>COUNTIFS(发射纪录!$B:$B,"&lt;&gt;-",发射纪录!$G:$G,"&gt;="&amp;DATE(YEAR($A646),MONTH($A646),1),发射纪录!$G:$G,"&lt;="&amp;DATE(YEAR($A646),MONTH($A646),DAY(EOMONTH($A646,0))),发射纪录!$N:$N,"&lt;&gt;",发射纪录!$J:$J,"="&amp;发射地月間統計!G$3)</f>
        <v>0</v>
      </c>
      <c r="H646" s="8">
        <f t="shared" si="0"/>
        <v>4</v>
      </c>
      <c r="I646" s="11">
        <f ca="1">COUNTIFS(发射纪录!$C:$C,"&lt;&gt;-",发射纪录!$G:$G,"&gt;="&amp;DATE(YEAR($A646),MONTH($A646),1),发射纪录!$G:$G,"&lt;="&amp;DATE(YEAR($A646),MONTH($A646),DAY(EOMONTH($A646,0))),发射纪录!$N:$N,"&lt;&gt;",发射纪录!$J:$J,"="&amp;发射地月間統計!I$3)</f>
        <v>1</v>
      </c>
      <c r="J646" s="11">
        <f ca="1">COUNTIFS(发射纪录!$C:$C,"&lt;&gt;-",发射纪录!$G:$G,"&gt;="&amp;DATE(YEAR($A646),MONTH($A646),1),发射纪录!$G:$G,"&lt;="&amp;DATE(YEAR($A646),MONTH($A646),DAY(EOMONTH($A646,0))),发射纪录!$N:$N,"&lt;&gt;",发射纪录!$J:$J,"="&amp;发射地月間統計!J$3)</f>
        <v>0</v>
      </c>
      <c r="K646" s="11">
        <f ca="1">COUNTIFS(发射纪录!$C:$C,"&lt;&gt;-",发射纪录!$G:$G,"&gt;="&amp;DATE(YEAR($A646),MONTH($A646),1),发射纪录!$G:$G,"&lt;="&amp;DATE(YEAR($A646),MONTH($A646),DAY(EOMONTH($A646,0))),发射纪录!$N:$N,"&lt;&gt;",发射纪录!$J:$J,"="&amp;发射地月間統計!K$3)</f>
        <v>0</v>
      </c>
      <c r="L646" s="11">
        <f ca="1">COUNTIFS(发射纪录!$C:$C,"&lt;&gt;-",发射纪录!$G:$G,"&gt;="&amp;DATE(YEAR($A646),MONTH($A646),1),发射纪录!$G:$G,"&lt;="&amp;DATE(YEAR($A646),MONTH($A646),DAY(EOMONTH($A646,0))),发射纪录!$N:$N,"&lt;&gt;",发射纪录!$J:$J,"="&amp;发射地月間統計!L$3)</f>
        <v>0</v>
      </c>
      <c r="M646" s="11">
        <f ca="1">COUNTIFS(发射纪录!$C:$C,"&lt;&gt;-",发射纪录!$G:$G,"&gt;="&amp;DATE(YEAR($A646),MONTH($A646),1),发射纪录!$G:$G,"&lt;="&amp;DATE(YEAR($A646),MONTH($A646),DAY(EOMONTH($A646,0))),发射纪录!$N:$N,"&lt;&gt;",发射纪录!$J:$J,"="&amp;发射地月間統計!M$3)</f>
        <v>0</v>
      </c>
      <c r="N646" s="440">
        <v>0</v>
      </c>
      <c r="O646" s="8">
        <f t="shared" ca="1" si="1"/>
        <v>1</v>
      </c>
      <c r="P646" s="11">
        <f t="shared" ca="1" si="2"/>
        <v>3</v>
      </c>
      <c r="Q646" s="11">
        <f t="shared" ca="1" si="3"/>
        <v>0</v>
      </c>
      <c r="R646" s="11">
        <f t="shared" ca="1" si="4"/>
        <v>0</v>
      </c>
      <c r="S646" s="11">
        <f t="shared" ca="1" si="5"/>
        <v>2</v>
      </c>
      <c r="T646" s="11">
        <f t="shared" ca="1" si="6"/>
        <v>0</v>
      </c>
      <c r="U646" s="440"/>
      <c r="V646" s="8">
        <f t="shared" ca="1" si="7"/>
        <v>5</v>
      </c>
      <c r="W646" s="31">
        <f t="shared" ca="1" si="8"/>
        <v>22</v>
      </c>
    </row>
    <row r="647" spans="1:23" x14ac:dyDescent="0.45">
      <c r="A647" s="64">
        <v>44743</v>
      </c>
      <c r="B647" s="15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COUNTIFS(发射纪录!$B:$B,"&lt;&gt;-",发射纪录!$G:$G,"&gt;="&amp;DATE(YEAR($A647),MONTH($A647),1),发射纪录!$G:$G,"&lt;="&amp;DATE(YEAR($A647),MONTH($A647),DAY(EOMONTH($A647,0))),发射纪录!$N:$N,"&lt;&gt;",发射纪录!$J:$J,"="&amp;发射地月間統計!B$3)</f>
        <v>0</v>
      </c>
      <c r="C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COUNTIFS(发射纪录!$B:$B,"&lt;&gt;-",发射纪录!$G:$G,"&gt;="&amp;DATE(YEAR($A647),MONTH($A647),1),发射纪录!$G:$G,"&lt;="&amp;DATE(YEAR($A647),MONTH($A647),DAY(EOMONTH($A647,0))),发射纪录!$N:$N,"&lt;&gt;",发射纪录!$J:$J,"="&amp;发射地月間統計!C$3)</f>
        <v>1</v>
      </c>
      <c r="D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COUNTIFS(发射纪录!$B:$B,"&lt;&gt;-",发射纪录!$G:$G,"&gt;="&amp;DATE(YEAR($A647),MONTH($A647),1),发射纪录!$G:$G,"&lt;="&amp;DATE(YEAR($A647),MONTH($A647),DAY(EOMONTH($A647,0))),发射纪录!$N:$N,"&lt;&gt;",发射纪录!$J:$J,"="&amp;发射地月間統計!D$3)</f>
        <v>0</v>
      </c>
      <c r="E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COUNTIFS(发射纪录!$B:$B,"&lt;&gt;-",发射纪录!$G:$G,"&gt;="&amp;DATE(YEAR($A647),MONTH($A647),1),发射纪录!$G:$G,"&lt;="&amp;DATE(YEAR($A647),MONTH($A647),DAY(EOMONTH($A647,0))),发射纪录!$N:$N,"&lt;&gt;",发射纪录!$J:$J,"="&amp;发射地月間統計!E$3)</f>
        <v>2</v>
      </c>
      <c r="F647" s="11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COUNTIFS(发射纪录!$B:$B,"&lt;&gt;-",发射纪录!$G:$G,"&gt;="&amp;DATE(YEAR($A647),MONTH($A647),1),发射纪录!$G:$G,"&lt;="&amp;DATE(YEAR($A647),MONTH($A647),DAY(EOMONTH($A647,0))),发射纪录!$N:$N,"&lt;&gt;",发射纪录!$J:$J,"="&amp;发射地月間統計!F$3)</f>
        <v>1</v>
      </c>
      <c r="G647" s="440">
        <f>COUNTIFS(发射纪录!$B:$B,"&lt;&gt;-",发射纪录!$G:$G,"&gt;="&amp;DATE(YEAR($A647),MONTH($A647),1),发射纪录!$G:$G,"&lt;="&amp;DATE(YEAR($A647),MONTH($A647),DAY(EOMONTH($A647,0))),发射纪录!$N:$N,"&lt;&gt;",发射纪录!$J:$J,"="&amp;发射地月間統計!G$3)</f>
        <v>0</v>
      </c>
      <c r="H647" s="8">
        <f t="shared" si="0"/>
        <v>4</v>
      </c>
      <c r="I647" s="11">
        <f ca="1">COUNTIFS(发射纪录!$C:$C,"&lt;&gt;-",发射纪录!$G:$G,"&gt;="&amp;DATE(YEAR($A647),MONTH($A647),1),发射纪录!$G:$G,"&lt;="&amp;DATE(YEAR($A647),MONTH($A647),DAY(EOMONTH($A647,0))),发射纪录!$N:$N,"&lt;&gt;",发射纪录!$J:$J,"="&amp;发射地月間統計!I$3)</f>
        <v>1</v>
      </c>
      <c r="J647" s="11">
        <f ca="1">COUNTIFS(发射纪录!$C:$C,"&lt;&gt;-",发射纪录!$G:$G,"&gt;="&amp;DATE(YEAR($A647),MONTH($A647),1),发射纪录!$G:$G,"&lt;="&amp;DATE(YEAR($A647),MONTH($A647),DAY(EOMONTH($A647,0))),发射纪录!$N:$N,"&lt;&gt;",发射纪录!$J:$J,"="&amp;发射地月間統計!J$3)</f>
        <v>0</v>
      </c>
      <c r="K647" s="11">
        <f ca="1">COUNTIFS(发射纪录!$C:$C,"&lt;&gt;-",发射纪录!$G:$G,"&gt;="&amp;DATE(YEAR($A647),MONTH($A647),1),发射纪录!$G:$G,"&lt;="&amp;DATE(YEAR($A647),MONTH($A647),DAY(EOMONTH($A647,0))),发射纪录!$N:$N,"&lt;&gt;",发射纪录!$J:$J,"="&amp;发射地月間統計!K$3)</f>
        <v>0</v>
      </c>
      <c r="L647" s="11">
        <f ca="1">COUNTIFS(发射纪录!$C:$C,"&lt;&gt;-",发射纪录!$G:$G,"&gt;="&amp;DATE(YEAR($A647),MONTH($A647),1),发射纪录!$G:$G,"&lt;="&amp;DATE(YEAR($A647),MONTH($A647),DAY(EOMONTH($A647,0))),发射纪录!$N:$N,"&lt;&gt;",发射纪录!$J:$J,"="&amp;发射地月間統計!L$3)</f>
        <v>0</v>
      </c>
      <c r="M647" s="11">
        <f ca="1">COUNTIFS(发射纪录!$C:$C,"&lt;&gt;-",发射纪录!$G:$G,"&gt;="&amp;DATE(YEAR($A647),MONTH($A647),1),发射纪录!$G:$G,"&lt;="&amp;DATE(YEAR($A647),MONTH($A647),DAY(EOMONTH($A647,0))),发射纪录!$N:$N,"&lt;&gt;",发射纪录!$J:$J,"="&amp;发射地月間統計!M$3)</f>
        <v>0</v>
      </c>
      <c r="N647" s="440">
        <v>0</v>
      </c>
      <c r="O647" s="8">
        <f t="shared" ca="1" si="1"/>
        <v>1</v>
      </c>
      <c r="P647" s="37">
        <f t="shared" ca="1" si="2"/>
        <v>1</v>
      </c>
      <c r="Q647" s="37">
        <f t="shared" ca="1" si="3"/>
        <v>1</v>
      </c>
      <c r="R647" s="11">
        <f t="shared" ca="1" si="4"/>
        <v>0</v>
      </c>
      <c r="S647" s="11">
        <f t="shared" ca="1" si="5"/>
        <v>2</v>
      </c>
      <c r="T647" s="11">
        <f t="shared" ca="1" si="6"/>
        <v>1</v>
      </c>
      <c r="U647" s="440"/>
      <c r="V647" s="8">
        <f t="shared" ca="1" si="7"/>
        <v>5</v>
      </c>
      <c r="W647" s="31">
        <f t="shared" ca="1" si="8"/>
        <v>27</v>
      </c>
    </row>
    <row r="648" spans="1:23" x14ac:dyDescent="0.45">
      <c r="A648" s="64">
        <v>44774</v>
      </c>
      <c r="B648" s="15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COUNTIFS(发射纪录!$B:$B,"&lt;&gt;-",发射纪录!$G:$G,"&gt;="&amp;DATE(YEAR($A648),MONTH($A648),1),发射纪录!$G:$G,"&lt;="&amp;DATE(YEAR($A648),MONTH($A648),DAY(EOMONTH($A648,0))),发射纪录!$N:$N,"&lt;&gt;",发射纪录!$J:$J,"="&amp;发射地月間統計!B$3)</f>
        <v>1</v>
      </c>
      <c r="C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COUNTIFS(发射纪录!$B:$B,"&lt;&gt;-",发射纪录!$G:$G,"&gt;="&amp;DATE(YEAR($A648),MONTH($A648),1),发射纪录!$G:$G,"&lt;="&amp;DATE(YEAR($A648),MONTH($A648),DAY(EOMONTH($A648,0))),发射纪录!$N:$N,"&lt;&gt;",发射纪录!$J:$J,"="&amp;发射地月間統計!C$3)</f>
        <v>3</v>
      </c>
      <c r="D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COUNTIFS(发射纪录!$B:$B,"&lt;&gt;-",发射纪录!$G:$G,"&gt;="&amp;DATE(YEAR($A648),MONTH($A648),1),发射纪录!$G:$G,"&lt;="&amp;DATE(YEAR($A648),MONTH($A648),DAY(EOMONTH($A648,0))),发射纪录!$N:$N,"&lt;&gt;",发射纪录!$J:$J,"="&amp;发射地月間統計!D$3)</f>
        <v>0</v>
      </c>
      <c r="E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COUNTIFS(发射纪录!$B:$B,"&lt;&gt;-",发射纪录!$G:$G,"&gt;="&amp;DATE(YEAR($A648),MONTH($A648),1),发射纪录!$G:$G,"&lt;="&amp;DATE(YEAR($A648),MONTH($A648),DAY(EOMONTH($A648,0))),发射纪录!$N:$N,"&lt;&gt;",发射纪录!$J:$J,"="&amp;发射地月間統計!E$3)</f>
        <v>1</v>
      </c>
      <c r="F648" s="11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COUNTIFS(发射纪录!$B:$B,"&lt;&gt;-",发射纪录!$G:$G,"&gt;="&amp;DATE(YEAR($A648),MONTH($A648),1),发射纪录!$G:$G,"&lt;="&amp;DATE(YEAR($A648),MONTH($A648),DAY(EOMONTH($A648,0))),发射纪录!$N:$N,"&lt;&gt;",发射纪录!$J:$J,"="&amp;发射地月間統計!F$3)</f>
        <v>0</v>
      </c>
      <c r="G648" s="440">
        <f>COUNTIFS(发射纪录!$B:$B,"&lt;&gt;-",发射纪录!$G:$G,"&gt;="&amp;DATE(YEAR($A648),MONTH($A648),1),发射纪录!$G:$G,"&lt;="&amp;DATE(YEAR($A648),MONTH($A648),DAY(EOMONTH($A648,0))),发射纪录!$N:$N,"&lt;&gt;",发射纪录!$J:$J,"="&amp;发射地月間統計!G$3)</f>
        <v>0</v>
      </c>
      <c r="H648" s="8">
        <f t="shared" si="0"/>
        <v>5</v>
      </c>
      <c r="I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COUNTIFS(发射纪录!$C:$C,"&lt;&gt;-",发射纪录!$G:$G,"&gt;="&amp;DATE(YEAR($A648),MONTH($A648),1),发射纪录!$G:$G,"&lt;="&amp;DATE(YEAR($A648),MONTH($A648),DAY(EOMONTH($A648,0))),发射纪录!$N:$N,"&lt;&gt;",发射纪录!$J:$J,"="&amp;发射地月間統計!I$3)</f>
        <v>1</v>
      </c>
      <c r="J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COUNTIFS(发射纪录!$C:$C,"&lt;&gt;-",发射纪录!$G:$G,"&gt;="&amp;DATE(YEAR($A648),MONTH($A648),1),发射纪录!$G:$G,"&lt;="&amp;DATE(YEAR($A648),MONTH($A648),DAY(EOMONTH($A648,0))),发射纪录!$N:$N,"&lt;&gt;",发射纪录!$J:$J,"="&amp;发射地月間統計!J$3)</f>
        <v>0</v>
      </c>
      <c r="K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COUNTIFS(发射纪录!$C:$C,"&lt;&gt;-",发射纪录!$G:$G,"&gt;="&amp;DATE(YEAR($A648),MONTH($A648),1),发射纪录!$G:$G,"&lt;="&amp;DATE(YEAR($A648),MONTH($A648),DAY(EOMONTH($A648,0))),发射纪录!$N:$N,"&lt;&gt;",发射纪录!$J:$J,"="&amp;发射地月間統計!K$3)</f>
        <v>0</v>
      </c>
      <c r="L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COUNTIFS(发射纪录!$C:$C,"&lt;&gt;-",发射纪录!$G:$G,"&gt;="&amp;DATE(YEAR($A648),MONTH($A648),1),发射纪录!$G:$G,"&lt;="&amp;DATE(YEAR($A648),MONTH($A648),DAY(EOMONTH($A648,0))),发射纪录!$N:$N,"&lt;&gt;",发射纪录!$J:$J,"="&amp;发射地月間統計!L$3)</f>
        <v>1</v>
      </c>
      <c r="M648" s="11">
        <f ca="1">COUNTIFS(发射纪录!$C:$C,"&lt;&gt;-",发射纪录!$G:$G,"&gt;="&amp;DATE(YEAR($A648),MONTH($A648),1),发射纪录!$G:$G,"&lt;="&amp;DATE(YEAR($A648),MONTH($A648),DAY(EOMONTH($A648,0))),发射纪录!$N:$N,"&lt;&gt;",发射纪录!$J:$J,"="&amp;发射地月間統計!M$3)</f>
        <v>0</v>
      </c>
      <c r="N648" s="440">
        <v>0</v>
      </c>
      <c r="O648" s="8">
        <f t="shared" ca="1" si="1"/>
        <v>2</v>
      </c>
      <c r="P648" s="11">
        <f t="shared" ca="1" si="2"/>
        <v>2</v>
      </c>
      <c r="Q648" s="11">
        <f t="shared" ca="1" si="3"/>
        <v>3</v>
      </c>
      <c r="R648" s="11">
        <f t="shared" ca="1" si="4"/>
        <v>0</v>
      </c>
      <c r="S648" s="11">
        <f t="shared" ca="1" si="5"/>
        <v>2</v>
      </c>
      <c r="T648" s="11">
        <f t="shared" ca="1" si="6"/>
        <v>0</v>
      </c>
      <c r="U648" s="440"/>
      <c r="V648" s="8">
        <f t="shared" ca="1" si="7"/>
        <v>7</v>
      </c>
      <c r="W648" s="31">
        <f t="shared" ca="1" si="8"/>
        <v>34</v>
      </c>
    </row>
    <row r="649" spans="1:23" x14ac:dyDescent="0.45">
      <c r="A649" s="64">
        <v>44805</v>
      </c>
      <c r="B649" s="15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COUNTIFS(发射纪录!$B:$B,"&lt;&gt;-",发射纪录!$G:$G,"&gt;="&amp;DATE(YEAR($A649),MONTH($A649),1),发射纪录!$G:$G,"&lt;="&amp;DATE(YEAR($A649),MONTH($A649),DAY(EOMONTH($A649,0))),发射纪录!$N:$N,"&lt;&gt;",发射纪录!$J:$J,"="&amp;发射地月間統計!B$3)</f>
        <v>2</v>
      </c>
      <c r="C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COUNTIFS(发射纪录!$B:$B,"&lt;&gt;-",发射纪录!$G:$G,"&gt;="&amp;DATE(YEAR($A649),MONTH($A649),1),发射纪录!$G:$G,"&lt;="&amp;DATE(YEAR($A649),MONTH($A649),DAY(EOMONTH($A649,0))),发射纪录!$N:$N,"&lt;&gt;",发射纪录!$J:$J,"="&amp;发射地月間統計!C$3)</f>
        <v>1</v>
      </c>
      <c r="D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COUNTIFS(发射纪录!$B:$B,"&lt;&gt;-",发射纪录!$G:$G,"&gt;="&amp;DATE(YEAR($A649),MONTH($A649),1),发射纪录!$G:$G,"&lt;="&amp;DATE(YEAR($A649),MONTH($A649),DAY(EOMONTH($A649,0))),发射纪录!$N:$N,"&lt;&gt;",发射纪录!$J:$J,"="&amp;发射地月間統計!D$3)</f>
        <v>0</v>
      </c>
      <c r="E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COUNTIFS(发射纪录!$B:$B,"&lt;&gt;-",发射纪录!$G:$G,"&gt;="&amp;DATE(YEAR($A649),MONTH($A649),1),发射纪录!$G:$G,"&lt;="&amp;DATE(YEAR($A649),MONTH($A649),DAY(EOMONTH($A649,0))),发射纪录!$N:$N,"&lt;&gt;",发射纪录!$J:$J,"="&amp;发射地月間統計!E$3)</f>
        <v>2</v>
      </c>
      <c r="F649" s="11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COUNTIFS(发射纪录!$B:$B,"&lt;&gt;-",发射纪录!$G:$G,"&gt;="&amp;DATE(YEAR($A649),MONTH($A649),1),发射纪录!$G:$G,"&lt;="&amp;DATE(YEAR($A649),MONTH($A649),DAY(EOMONTH($A649,0))),发射纪录!$N:$N,"&lt;&gt;",发射纪录!$J:$J,"="&amp;发射地月間統計!F$3)</f>
        <v>1</v>
      </c>
      <c r="G649" s="440">
        <f>COUNTIFS(发射纪录!$B:$B,"&lt;&gt;-",发射纪录!$G:$G,"&gt;="&amp;DATE(YEAR($A649),MONTH($A649),1),发射纪录!$G:$G,"&lt;="&amp;DATE(YEAR($A649),MONTH($A649),DAY(EOMONTH($A649,0))),发射纪录!$N:$N,"&lt;&gt;",发射纪录!$J:$J,"="&amp;发射地月間統計!G$3)</f>
        <v>0</v>
      </c>
      <c r="H649" s="8">
        <f t="shared" si="0"/>
        <v>6</v>
      </c>
      <c r="I649" s="11">
        <f ca="1">COUNTIFS(发射纪录!$C:$C,"&lt;&gt;-",发射纪录!$G:$G,"&gt;="&amp;DATE(YEAR($A649),MONTH($A649),1),发射纪录!$G:$G,"&lt;="&amp;DATE(YEAR($A649),MONTH($A649),DAY(EOMONTH($A649,0))),发射纪录!$N:$N,"&lt;&gt;",发射纪录!$J:$J,"="&amp;发射地月間統計!I$3)</f>
        <v>1</v>
      </c>
      <c r="J649" s="11">
        <f ca="1">COUNTIFS(发射纪录!$C:$C,"&lt;&gt;-",发射纪录!$G:$G,"&gt;="&amp;DATE(YEAR($A649),MONTH($A649),1),发射纪录!$G:$G,"&lt;="&amp;DATE(YEAR($A649),MONTH($A649),DAY(EOMONTH($A649,0))),发射纪录!$N:$N,"&lt;&gt;",发射纪录!$J:$J,"="&amp;发射地月間統計!J$3)</f>
        <v>1</v>
      </c>
      <c r="K649" s="11">
        <f ca="1">COUNTIFS(发射纪录!$C:$C,"&lt;&gt;-",发射纪录!$G:$G,"&gt;="&amp;DATE(YEAR($A649),MONTH($A649),1),发射纪录!$G:$G,"&lt;="&amp;DATE(YEAR($A649),MONTH($A649),DAY(EOMONTH($A649,0))),发射纪录!$N:$N,"&lt;&gt;",发射纪录!$J:$J,"="&amp;发射地月間統計!K$3)</f>
        <v>0</v>
      </c>
      <c r="L649" s="11">
        <f ca="1">COUNTIFS(发射纪录!$C:$C,"&lt;&gt;-",发射纪录!$G:$G,"&gt;="&amp;DATE(YEAR($A649),MONTH($A649),1),发射纪录!$G:$G,"&lt;="&amp;DATE(YEAR($A649),MONTH($A649),DAY(EOMONTH($A649,0))),发射纪录!$N:$N,"&lt;&gt;",发射纪录!$J:$J,"="&amp;发射地月間統計!L$3)</f>
        <v>0</v>
      </c>
      <c r="M649" s="11">
        <f ca="1">COUNTIFS(发射纪录!$C:$C,"&lt;&gt;-",发射纪录!$G:$G,"&gt;="&amp;DATE(YEAR($A649),MONTH($A649),1),发射纪录!$G:$G,"&lt;="&amp;DATE(YEAR($A649),MONTH($A649),DAY(EOMONTH($A649,0))),发射纪录!$N:$N,"&lt;&gt;",发射纪录!$J:$J,"="&amp;发射地月間統計!M$3)</f>
        <v>0</v>
      </c>
      <c r="N649" s="440">
        <v>0</v>
      </c>
      <c r="O649" s="8">
        <f t="shared" ca="1" si="1"/>
        <v>2</v>
      </c>
      <c r="P649" s="11">
        <f t="shared" ca="1" si="2"/>
        <v>3</v>
      </c>
      <c r="Q649" s="11">
        <f t="shared" ca="1" si="3"/>
        <v>2</v>
      </c>
      <c r="R649" s="11">
        <f t="shared" ca="1" si="4"/>
        <v>0</v>
      </c>
      <c r="S649" s="11">
        <f t="shared" ca="1" si="5"/>
        <v>2</v>
      </c>
      <c r="T649" s="11">
        <f t="shared" ca="1" si="6"/>
        <v>1</v>
      </c>
      <c r="U649" s="440"/>
      <c r="V649" s="8">
        <f t="shared" ca="1" si="7"/>
        <v>8</v>
      </c>
      <c r="W649" s="31">
        <f t="shared" ca="1" si="8"/>
        <v>42</v>
      </c>
    </row>
    <row r="650" spans="1:23" x14ac:dyDescent="0.45">
      <c r="A650" s="64">
        <v>44835</v>
      </c>
      <c r="B650" s="15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COUNTIFS(发射纪录!$B:$B,"&lt;&gt;-",发射纪录!$G:$G,"&gt;="&amp;DATE(YEAR($A650),MONTH($A650),1),发射纪录!$G:$G,"&lt;="&amp;DATE(YEAR($A650),MONTH($A650),DAY(EOMONTH($A650,0))),发射纪录!$N:$N,"&lt;&gt;",发射纪录!$J:$J,"="&amp;发射地月間統計!B$3)</f>
        <v>2</v>
      </c>
      <c r="C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COUNTIFS(发射纪录!$B:$B,"&lt;&gt;-",发射纪录!$G:$G,"&gt;="&amp;DATE(YEAR($A650),MONTH($A650),1),发射纪录!$G:$G,"&lt;="&amp;DATE(YEAR($A650),MONTH($A650),DAY(EOMONTH($A650,0))),发射纪录!$N:$N,"&lt;&gt;",发射纪录!$J:$J,"="&amp;发射地月間統計!C$3)</f>
        <v>1</v>
      </c>
      <c r="D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COUNTIFS(发射纪录!$B:$B,"&lt;&gt;-",发射纪录!$G:$G,"&gt;="&amp;DATE(YEAR($A650),MONTH($A650),1),发射纪录!$G:$G,"&lt;="&amp;DATE(YEAR($A650),MONTH($A650),DAY(EOMONTH($A650,0))),发射纪录!$N:$N,"&lt;&gt;",发射纪录!$J:$J,"="&amp;发射地月間統計!D$3)</f>
        <v>1</v>
      </c>
      <c r="E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COUNTIFS(发射纪录!$B:$B,"&lt;&gt;-",发射纪录!$G:$G,"&gt;="&amp;DATE(YEAR($A650),MONTH($A650),1),发射纪录!$G:$G,"&lt;="&amp;DATE(YEAR($A650),MONTH($A650),DAY(EOMONTH($A650,0))),发射纪录!$N:$N,"&lt;&gt;",发射纪录!$J:$J,"="&amp;发射地月間統計!E$3)</f>
        <v>1</v>
      </c>
      <c r="F650" s="11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COUNTIFS(发射纪录!$B:$B,"&lt;&gt;-",发射纪录!$G:$G,"&gt;="&amp;DATE(YEAR($A650),MONTH($A650),1),发射纪录!$G:$G,"&lt;="&amp;DATE(YEAR($A650),MONTH($A650),DAY(EOMONTH($A650,0))),发射纪录!$N:$N,"&lt;&gt;",发射纪录!$J:$J,"="&amp;发射地月間統計!F$3)</f>
        <v>1</v>
      </c>
      <c r="G650" s="440">
        <f>COUNTIFS(发射纪录!$B:$B,"&lt;&gt;-",发射纪录!$G:$G,"&gt;="&amp;DATE(YEAR($A650),MONTH($A650),1),发射纪录!$G:$G,"&lt;="&amp;DATE(YEAR($A650),MONTH($A650),DAY(EOMONTH($A650,0))),发射纪录!$N:$N,"&lt;&gt;",发射纪录!$J:$J,"="&amp;发射地月間統計!G$3)</f>
        <v>0</v>
      </c>
      <c r="H650" s="8">
        <f t="shared" si="0"/>
        <v>6</v>
      </c>
      <c r="I650" s="11">
        <f ca="1">COUNTIFS(发射纪录!$C:$C,"&lt;&gt;-",发射纪录!$G:$G,"&gt;="&amp;DATE(YEAR($A650),MONTH($A650),1),发射纪录!$G:$G,"&lt;="&amp;DATE(YEAR($A650),MONTH($A650),DAY(EOMONTH($A650,0))),发射纪录!$N:$N,"&lt;&gt;",发射纪录!$J:$J,"="&amp;发射地月間統計!I$3)</f>
        <v>0</v>
      </c>
      <c r="J650" s="11">
        <f ca="1">COUNTIFS(发射纪录!$C:$C,"&lt;&gt;-",发射纪录!$G:$G,"&gt;="&amp;DATE(YEAR($A650),MONTH($A650),1),发射纪录!$G:$G,"&lt;="&amp;DATE(YEAR($A650),MONTH($A650),DAY(EOMONTH($A650,0))),发射纪录!$N:$N,"&lt;&gt;",发射纪录!$J:$J,"="&amp;发射地月間統計!J$3)</f>
        <v>0</v>
      </c>
      <c r="K650" s="11">
        <f ca="1">COUNTIFS(发射纪录!$C:$C,"&lt;&gt;-",发射纪录!$G:$G,"&gt;="&amp;DATE(YEAR($A650),MONTH($A650),1),发射纪录!$G:$G,"&lt;="&amp;DATE(YEAR($A650),MONTH($A650),DAY(EOMONTH($A650,0))),发射纪录!$N:$N,"&lt;&gt;",发射纪录!$J:$J,"="&amp;发射地月間統計!K$3)</f>
        <v>0</v>
      </c>
      <c r="L650" s="11">
        <f ca="1">COUNTIFS(发射纪录!$C:$C,"&lt;&gt;-",发射纪录!$G:$G,"&gt;="&amp;DATE(YEAR($A650),MONTH($A650),1),发射纪录!$G:$G,"&lt;="&amp;DATE(YEAR($A650),MONTH($A650),DAY(EOMONTH($A650,0))),发射纪录!$N:$N,"&lt;&gt;",发射纪录!$J:$J,"="&amp;发射地月間統計!L$3)</f>
        <v>0</v>
      </c>
      <c r="M650" s="11">
        <f ca="1">COUNTIFS(发射纪录!$C:$C,"&lt;&gt;-",发射纪录!$G:$G,"&gt;="&amp;DATE(YEAR($A650),MONTH($A650),1),发射纪录!$G:$G,"&lt;="&amp;DATE(YEAR($A650),MONTH($A650),DAY(EOMONTH($A650,0))),发射纪录!$N:$N,"&lt;&gt;",发射纪录!$J:$J,"="&amp;发射地月間統計!M$3)</f>
        <v>0</v>
      </c>
      <c r="N650" s="440">
        <v>0</v>
      </c>
      <c r="O650" s="8">
        <f t="shared" ca="1" si="1"/>
        <v>0</v>
      </c>
      <c r="P650" s="11">
        <f t="shared" ca="1" si="2"/>
        <v>2</v>
      </c>
      <c r="Q650" s="11">
        <f t="shared" ca="1" si="3"/>
        <v>1</v>
      </c>
      <c r="R650" s="11">
        <f t="shared" ca="1" si="4"/>
        <v>1</v>
      </c>
      <c r="S650" s="11">
        <f t="shared" ca="1" si="5"/>
        <v>1</v>
      </c>
      <c r="T650" s="11">
        <f t="shared" ca="1" si="6"/>
        <v>1</v>
      </c>
      <c r="U650" s="440"/>
      <c r="V650" s="8">
        <f t="shared" ca="1" si="7"/>
        <v>6</v>
      </c>
      <c r="W650" s="31">
        <f t="shared" ca="1" si="8"/>
        <v>48</v>
      </c>
    </row>
    <row r="651" spans="1:23" x14ac:dyDescent="0.45">
      <c r="A651" s="64">
        <v>44866</v>
      </c>
      <c r="B651" s="15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COUNTIFS(发射纪录!$B:$B,"&lt;&gt;-",发射纪录!$G:$G,"&gt;="&amp;DATE(YEAR($A651),MONTH($A651),1),发射纪录!$G:$G,"&lt;="&amp;DATE(YEAR($A651),MONTH($A651),DAY(EOMONTH($A651,0))),发射纪录!$N:$N,"&lt;&gt;",发射纪录!$J:$J,"="&amp;发射地月間統計!B$3)</f>
        <v>2</v>
      </c>
      <c r="C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COUNTIFS(发射纪录!$B:$B,"&lt;&gt;-",发射纪录!$G:$G,"&gt;="&amp;DATE(YEAR($A651),MONTH($A651),1),发射纪录!$G:$G,"&lt;="&amp;DATE(YEAR($A651),MONTH($A651),DAY(EOMONTH($A651,0))),发射纪录!$N:$N,"&lt;&gt;",发射纪录!$J:$J,"="&amp;发射地月間統計!C$3)</f>
        <v>1</v>
      </c>
      <c r="D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COUNTIFS(发射纪录!$B:$B,"&lt;&gt;-",发射纪录!$G:$G,"&gt;="&amp;DATE(YEAR($A651),MONTH($A651),1),发射纪录!$G:$G,"&lt;="&amp;DATE(YEAR($A651),MONTH($A651),DAY(EOMONTH($A651,0))),发射纪录!$N:$N,"&lt;&gt;",发射纪录!$J:$J,"="&amp;发射地月間統計!D$3)</f>
        <v>0</v>
      </c>
      <c r="E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COUNTIFS(发射纪录!$B:$B,"&lt;&gt;-",发射纪录!$G:$G,"&gt;="&amp;DATE(YEAR($A651),MONTH($A651),1),发射纪录!$G:$G,"&lt;="&amp;DATE(YEAR($A651),MONTH($A651),DAY(EOMONTH($A651,0))),发射纪录!$N:$N,"&lt;&gt;",发射纪录!$J:$J,"="&amp;发射地月間統計!E$3)</f>
        <v>2</v>
      </c>
      <c r="F651" s="11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COUNTIFS(发射纪录!$B:$B,"&lt;&gt;-",发射纪录!$G:$G,"&gt;="&amp;DATE(YEAR($A651),MONTH($A651),1),发射纪录!$G:$G,"&lt;="&amp;DATE(YEAR($A651),MONTH($A651),DAY(EOMONTH($A651,0))),发射纪录!$N:$N,"&lt;&gt;",发射纪录!$J:$J,"="&amp;发射地月間統計!F$3)</f>
        <v>1</v>
      </c>
      <c r="G651" s="440">
        <f>COUNTIFS(发射纪录!$B:$B,"&lt;&gt;-",发射纪录!$G:$G,"&gt;="&amp;DATE(YEAR($A651),MONTH($A651),1),发射纪录!$G:$G,"&lt;="&amp;DATE(YEAR($A651),MONTH($A651),DAY(EOMONTH($A651,0))),发射纪录!$N:$N,"&lt;&gt;",发射纪录!$J:$J,"="&amp;发射地月間統計!G$3)</f>
        <v>0</v>
      </c>
      <c r="H651" s="8">
        <f t="shared" si="0"/>
        <v>6</v>
      </c>
      <c r="I651" s="11">
        <f ca="1">COUNTIFS(发射纪录!$C:$C,"&lt;&gt;-",发射纪录!$G:$G,"&gt;="&amp;DATE(YEAR($A651),MONTH($A651),1),发射纪录!$G:$G,"&lt;="&amp;DATE(YEAR($A651),MONTH($A651),DAY(EOMONTH($A651,0))),发射纪录!$N:$N,"&lt;&gt;",发射纪录!$J:$J,"="&amp;发射地月間統計!I$3)</f>
        <v>1</v>
      </c>
      <c r="J651" s="11">
        <f ca="1">COUNTIFS(发射纪录!$C:$C,"&lt;&gt;-",发射纪录!$G:$G,"&gt;="&amp;DATE(YEAR($A651),MONTH($A651),1),发射纪录!$G:$G,"&lt;="&amp;DATE(YEAR($A651),MONTH($A651),DAY(EOMONTH($A651,0))),发射纪录!$N:$N,"&lt;&gt;",发射纪录!$J:$J,"="&amp;发射地月間統計!J$3)</f>
        <v>0</v>
      </c>
      <c r="K651" s="11">
        <f ca="1">COUNTIFS(发射纪录!$C:$C,"&lt;&gt;-",发射纪录!$G:$G,"&gt;="&amp;DATE(YEAR($A651),MONTH($A651),1),发射纪录!$G:$G,"&lt;="&amp;DATE(YEAR($A651),MONTH($A651),DAY(EOMONTH($A651,0))),发射纪录!$N:$N,"&lt;&gt;",发射纪录!$J:$J,"="&amp;发射地月間統計!K$3)</f>
        <v>0</v>
      </c>
      <c r="L651" s="11">
        <f ca="1">COUNTIFS(发射纪录!$C:$C,"&lt;&gt;-",发射纪录!$G:$G,"&gt;="&amp;DATE(YEAR($A651),MONTH($A651),1),发射纪录!$G:$G,"&lt;="&amp;DATE(YEAR($A651),MONTH($A651),DAY(EOMONTH($A651,0))),发射纪录!$N:$N,"&lt;&gt;",发射纪录!$J:$J,"="&amp;发射地月間統計!L$3)</f>
        <v>0</v>
      </c>
      <c r="M651" s="11">
        <f ca="1">COUNTIFS(发射纪录!$C:$C,"&lt;&gt;-",发射纪录!$G:$G,"&gt;="&amp;DATE(YEAR($A651),MONTH($A651),1),发射纪录!$G:$G,"&lt;="&amp;DATE(YEAR($A651),MONTH($A651),DAY(EOMONTH($A651,0))),发射纪录!$N:$N,"&lt;&gt;",发射纪录!$J:$J,"="&amp;发射地月間統計!M$3)</f>
        <v>0</v>
      </c>
      <c r="N651" s="440">
        <v>0</v>
      </c>
      <c r="O651" s="8">
        <f t="shared" ca="1" si="1"/>
        <v>1</v>
      </c>
      <c r="P651" s="11">
        <f t="shared" ca="1" si="2"/>
        <v>3</v>
      </c>
      <c r="Q651" s="11">
        <f t="shared" ca="1" si="3"/>
        <v>1</v>
      </c>
      <c r="R651" s="11">
        <f t="shared" ca="1" si="4"/>
        <v>0</v>
      </c>
      <c r="S651" s="11">
        <f t="shared" ca="1" si="5"/>
        <v>2</v>
      </c>
      <c r="T651" s="11">
        <f t="shared" ca="1" si="6"/>
        <v>1</v>
      </c>
      <c r="U651" s="440"/>
      <c r="V651" s="8">
        <f t="shared" ca="1" si="7"/>
        <v>7</v>
      </c>
      <c r="W651" s="31">
        <f t="shared" ca="1" si="8"/>
        <v>55</v>
      </c>
    </row>
    <row r="652" spans="1:23" x14ac:dyDescent="0.45">
      <c r="A652" s="69">
        <v>44896</v>
      </c>
      <c r="B652" s="16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COUNTIFS(发射纪录!$B:$B,"&lt;&gt;-",发射纪录!$G:$G,"&gt;="&amp;DATE(YEAR($A652),MONTH($A652),1),发射纪录!$G:$G,"&lt;="&amp;DATE(YEAR($A652),MONTH($A652),DAY(EOMONTH($A652,0))),发射纪录!$N:$N,"&lt;&gt;",发射纪录!$J:$J,"="&amp;发射地月間統計!B$3)</f>
        <v>1</v>
      </c>
      <c r="C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COUNTIFS(发射纪录!$B:$B,"&lt;&gt;-",发射纪录!$G:$G,"&gt;="&amp;DATE(YEAR($A652),MONTH($A652),1),发射纪录!$G:$G,"&lt;="&amp;DATE(YEAR($A652),MONTH($A652),DAY(EOMONTH($A652,0))),发射纪录!$N:$N,"&lt;&gt;",发射纪录!$J:$J,"="&amp;发射地月間統計!C$3)</f>
        <v>2</v>
      </c>
      <c r="D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COUNTIFS(发射纪录!$B:$B,"&lt;&gt;-",发射纪录!$G:$G,"&gt;="&amp;DATE(YEAR($A652),MONTH($A652),1),发射纪录!$G:$G,"&lt;="&amp;DATE(YEAR($A652),MONTH($A652),DAY(EOMONTH($A652,0))),发射纪录!$N:$N,"&lt;&gt;",发射纪录!$J:$J,"="&amp;发射地月間統計!D$3)</f>
        <v>0</v>
      </c>
      <c r="E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COUNTIFS(发射纪录!$B:$B,"&lt;&gt;-",发射纪录!$G:$G,"&gt;="&amp;DATE(YEAR($A652),MONTH($A652),1),发射纪录!$G:$G,"&lt;="&amp;DATE(YEAR($A652),MONTH($A652),DAY(EOMONTH($A652,0))),发射纪录!$N:$N,"&lt;&gt;",发射纪录!$J:$J,"="&amp;发射地月間統計!E$3)</f>
        <v>3</v>
      </c>
      <c r="F652" s="42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COUNTIFS(发射纪录!$B:$B,"&lt;&gt;-",发射纪录!$G:$G,"&gt;="&amp;DATE(YEAR($A652),MONTH($A652),1),发射纪录!$G:$G,"&lt;="&amp;DATE(YEAR($A652),MONTH($A652),DAY(EOMONTH($A652,0))),发射纪录!$N:$N,"&lt;&gt;",发射纪录!$J:$J,"="&amp;发射地月間統計!F$3)</f>
        <v>0</v>
      </c>
      <c r="G652" s="438">
        <f>COUNTIFS(发射纪录!$B:$B,"&lt;&gt;-",发射纪录!$G:$G,"&gt;="&amp;DATE(YEAR($A652),MONTH($A652),1),发射纪录!$G:$G,"&lt;="&amp;DATE(YEAR($A652),MONTH($A652),DAY(EOMONTH($A652,0))),发射纪录!$N:$N,"&lt;&gt;",发射纪录!$J:$J,"="&amp;发射地月間統計!G$3)</f>
        <v>0</v>
      </c>
      <c r="H652" s="43">
        <f t="shared" si="0"/>
        <v>6</v>
      </c>
      <c r="I652" s="42">
        <f ca="1">COUNTIFS(发射纪录!$C:$C,"&lt;&gt;-",发射纪录!$G:$G,"&gt;="&amp;DATE(YEAR($A652),MONTH($A652),1),发射纪录!$G:$G,"&lt;="&amp;DATE(YEAR($A652),MONTH($A652),DAY(EOMONTH($A652,0))),发射纪录!$N:$N,"&lt;&gt;",发射纪录!$J:$J,"="&amp;发射地月間統計!I$3)</f>
        <v>2</v>
      </c>
      <c r="J652" s="42">
        <f ca="1">COUNTIFS(发射纪录!$C:$C,"&lt;&gt;-",发射纪录!$G:$G,"&gt;="&amp;DATE(YEAR($A652),MONTH($A652),1),发射纪录!$G:$G,"&lt;="&amp;DATE(YEAR($A652),MONTH($A652),DAY(EOMONTH($A652,0))),发射纪录!$N:$N,"&lt;&gt;",发射纪录!$J:$J,"="&amp;发射地月間統計!J$3)</f>
        <v>0</v>
      </c>
      <c r="K652" s="42">
        <f ca="1">COUNTIFS(发射纪录!$C:$C,"&lt;&gt;-",发射纪录!$G:$G,"&gt;="&amp;DATE(YEAR($A652),MONTH($A652),1),发射纪录!$G:$G,"&lt;="&amp;DATE(YEAR($A652),MONTH($A652),DAY(EOMONTH($A652,0))),发射纪录!$N:$N,"&lt;&gt;",发射纪录!$J:$J,"="&amp;发射地月間統計!K$3)</f>
        <v>1</v>
      </c>
      <c r="L652" s="42">
        <f ca="1">COUNTIFS(发射纪录!$C:$C,"&lt;&gt;-",发射纪录!$G:$G,"&gt;="&amp;DATE(YEAR($A652),MONTH($A652),1),发射纪录!$G:$G,"&lt;="&amp;DATE(YEAR($A652),MONTH($A652),DAY(EOMONTH($A652,0))),发射纪录!$N:$N,"&lt;&gt;",发射纪录!$J:$J,"="&amp;发射地月間統計!L$3)</f>
        <v>0</v>
      </c>
      <c r="M652" s="42">
        <f ca="1">COUNTIFS(发射纪录!$C:$C,"&lt;&gt;-",发射纪录!$G:$G,"&gt;="&amp;DATE(YEAR($A652),MONTH($A652),1),发射纪录!$G:$G,"&lt;="&amp;DATE(YEAR($A652),MONTH($A652),DAY(EOMONTH($A652,0))),发射纪录!$N:$N,"&lt;&gt;",发射纪录!$J:$J,"="&amp;发射地月間統計!M$3)</f>
        <v>0</v>
      </c>
      <c r="N652" s="438">
        <v>0</v>
      </c>
      <c r="O652" s="43">
        <f t="shared" ca="1" si="1"/>
        <v>3</v>
      </c>
      <c r="P652" s="42">
        <f t="shared" ca="1" si="2"/>
        <v>3</v>
      </c>
      <c r="Q652" s="42">
        <f t="shared" ca="1" si="3"/>
        <v>2</v>
      </c>
      <c r="R652" s="42">
        <f t="shared" ca="1" si="4"/>
        <v>1</v>
      </c>
      <c r="S652" s="42">
        <f t="shared" ca="1" si="5"/>
        <v>3</v>
      </c>
      <c r="T652" s="42">
        <f t="shared" ca="1" si="6"/>
        <v>0</v>
      </c>
      <c r="U652" s="438"/>
      <c r="V652" s="43">
        <f t="shared" ca="1" si="7"/>
        <v>9</v>
      </c>
      <c r="W652" s="44">
        <f t="shared" ca="1" si="8"/>
        <v>64</v>
      </c>
    </row>
    <row r="653" spans="1:23" ht="19.5" customHeight="1" thickBot="1" x14ac:dyDescent="0.5">
      <c r="A653" s="67" t="s">
        <v>852</v>
      </c>
      <c r="B653" s="39">
        <f t="shared" ref="B653:G653" si="9">SUM(B641:B652)</f>
        <v>17</v>
      </c>
      <c r="C653" s="40">
        <f t="shared" si="9"/>
        <v>13</v>
      </c>
      <c r="D653" s="40">
        <f t="shared" si="9"/>
        <v>2</v>
      </c>
      <c r="E653" s="40">
        <f t="shared" si="9"/>
        <v>15</v>
      </c>
      <c r="F653" s="40">
        <f t="shared" si="9"/>
        <v>6</v>
      </c>
      <c r="G653" s="439">
        <f t="shared" si="9"/>
        <v>0</v>
      </c>
      <c r="H653" s="41">
        <f>SUM(B653:F653)</f>
        <v>53</v>
      </c>
      <c r="I653" s="40">
        <f ca="1">SUM(I641:I652)</f>
        <v>8</v>
      </c>
      <c r="J653" s="40">
        <f ca="1">SUM(J641:J652)</f>
        <v>1</v>
      </c>
      <c r="K653" s="40">
        <f ca="1">SUM(K641:K652)</f>
        <v>1</v>
      </c>
      <c r="L653" s="40">
        <f ca="1">SUM(L641:L652)</f>
        <v>1</v>
      </c>
      <c r="M653" s="40">
        <f ca="1">SUM(M641:M652)</f>
        <v>0</v>
      </c>
      <c r="N653" s="439">
        <v>0</v>
      </c>
      <c r="O653" s="41">
        <f ca="1">SUM(I653:M653)</f>
        <v>11</v>
      </c>
      <c r="P653" s="40">
        <f ca="1">B653+I653</f>
        <v>25</v>
      </c>
      <c r="Q653" s="40">
        <f ca="1">C653+J653</f>
        <v>14</v>
      </c>
      <c r="R653" s="40">
        <f ca="1">D653+K653</f>
        <v>3</v>
      </c>
      <c r="S653" s="40">
        <f ca="1">E653+L653</f>
        <v>16</v>
      </c>
      <c r="T653" s="40">
        <f ca="1">F653+M653</f>
        <v>6</v>
      </c>
      <c r="U653" s="439"/>
      <c r="V653" s="41">
        <f ca="1">SUM(P653:T653)</f>
        <v>64</v>
      </c>
      <c r="W653" s="52"/>
    </row>
    <row r="654" spans="1:23" ht="19.5" customHeight="1" thickTop="1" x14ac:dyDescent="0.45">
      <c r="A654" s="68">
        <v>44927</v>
      </c>
      <c r="B654" s="32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COUNTIFS(发射纪录!$B:$B,"&lt;&gt;-",发射纪录!$G:$G,"&gt;="&amp;DATE(YEAR($A654),MONTH($A654),1),发射纪录!$G:$G,"&lt;="&amp;DATE(YEAR($A654),MONTH($A654),DAY(EOMONTH($A654,0))),发射纪录!$N:$N,"&lt;&gt;",发射纪录!$J:$J,"="&amp;发射地月間統計!B$3)</f>
        <v>1</v>
      </c>
      <c r="C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COUNTIFS(发射纪录!$B:$B,"&lt;&gt;-",发射纪录!$G:$G,"&gt;="&amp;DATE(YEAR($A654),MONTH($A654),1),发射纪录!$G:$G,"&lt;="&amp;DATE(YEAR($A654),MONTH($A654),DAY(EOMONTH($A654,0))),发射纪录!$N:$N,"&lt;&gt;",发射纪录!$J:$J,"="&amp;发射地月間統計!C$3)</f>
        <v>1</v>
      </c>
      <c r="D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COUNTIFS(发射纪录!$B:$B,"&lt;&gt;-",发射纪录!$G:$G,"&gt;="&amp;DATE(YEAR($A654),MONTH($A654),1),发射纪录!$G:$G,"&lt;="&amp;DATE(YEAR($A654),MONTH($A654),DAY(EOMONTH($A654,0))),发射纪录!$N:$N,"&lt;&gt;",发射纪录!$J:$J,"="&amp;发射地月間統計!D$3)</f>
        <v>0</v>
      </c>
      <c r="E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COUNTIFS(发射纪录!$B:$B,"&lt;&gt;-",发射纪录!$G:$G,"&gt;="&amp;DATE(YEAR($A654),MONTH($A654),1),发射纪录!$G:$G,"&lt;="&amp;DATE(YEAR($A654),MONTH($A654),DAY(EOMONTH($A654,0))),发射纪录!$N:$N,"&lt;&gt;",发射纪录!$J:$J,"="&amp;发射地月間統計!E$3)</f>
        <v>1</v>
      </c>
      <c r="F654" s="34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COUNTIFS(发射纪录!$B:$B,"&lt;&gt;-",发射纪录!$G:$G,"&gt;="&amp;DATE(YEAR($A654),MONTH($A654),1),发射纪录!$G:$G,"&lt;="&amp;DATE(YEAR($A654),MONTH($A654),DAY(EOMONTH($A654,0))),发射纪录!$N:$N,"&lt;&gt;",发射纪录!$J:$J,"="&amp;发射地月間統計!F$3)</f>
        <v>1</v>
      </c>
      <c r="G654" s="441">
        <f>COUNTIFS(发射纪录!$B:$B,"&lt;&gt;-",发射纪录!$G:$G,"&gt;="&amp;DATE(YEAR($A654),MONTH($A654),1),发射纪录!$G:$G,"&lt;="&amp;DATE(YEAR($A654),MONTH($A654),DAY(EOMONTH($A654,0))),发射纪录!$N:$N,"&lt;&gt;",发射纪录!$J:$J,"="&amp;发射地月間統計!G$3)</f>
        <v>0</v>
      </c>
      <c r="H654" s="33">
        <f t="shared" si="0"/>
        <v>4</v>
      </c>
      <c r="I654" s="34">
        <f ca="1">COUNTIFS(发射纪录!$C:$C,"&lt;&gt;-",发射纪录!$G:$G,"&gt;="&amp;DATE(YEAR($A654),MONTH($A654),1),发射纪录!$G:$G,"&lt;="&amp;DATE(YEAR($A654),MONTH($A654),DAY(EOMONTH($A654,0))),发射纪录!$N:$N,"&lt;&gt;",发射纪录!$J:$J,"="&amp;发射地月間統計!I$3)</f>
        <v>1</v>
      </c>
      <c r="J654" s="34">
        <f ca="1">COUNTIFS(发射纪录!$C:$C,"&lt;&gt;-",发射纪录!$G:$G,"&gt;="&amp;DATE(YEAR($A654),MONTH($A654),1),发射纪录!$G:$G,"&lt;="&amp;DATE(YEAR($A654),MONTH($A654),DAY(EOMONTH($A654,0))),发射纪录!$N:$N,"&lt;&gt;",发射纪录!$J:$J,"="&amp;发射地月間統計!J$3)</f>
        <v>0</v>
      </c>
      <c r="K654" s="34">
        <f ca="1">COUNTIFS(发射纪录!$C:$C,"&lt;&gt;-",发射纪录!$G:$G,"&gt;="&amp;DATE(YEAR($A654),MONTH($A654),1),发射纪录!$G:$G,"&lt;="&amp;DATE(YEAR($A654),MONTH($A654),DAY(EOMONTH($A654,0))),发射纪录!$N:$N,"&lt;&gt;",发射纪录!$J:$J,"="&amp;发射地月間統計!K$3)</f>
        <v>0</v>
      </c>
      <c r="L654" s="34">
        <f ca="1">COUNTIFS(发射纪录!$C:$C,"&lt;&gt;-",发射纪录!$G:$G,"&gt;="&amp;DATE(YEAR($A654),MONTH($A654),1),发射纪录!$G:$G,"&lt;="&amp;DATE(YEAR($A654),MONTH($A654),DAY(EOMONTH($A654,0))),发射纪录!$N:$N,"&lt;&gt;",发射纪录!$J:$J,"="&amp;发射地月間統計!L$3)</f>
        <v>0</v>
      </c>
      <c r="M654" s="34">
        <f ca="1">COUNTIFS(发射纪录!$C:$C,"&lt;&gt;-",发射纪录!$G:$G,"&gt;="&amp;DATE(YEAR($A654),MONTH($A654),1),发射纪录!$G:$G,"&lt;="&amp;DATE(YEAR($A654),MONTH($A654),DAY(EOMONTH($A654,0))),发射纪录!$N:$N,"&lt;&gt;",发射纪录!$J:$J,"="&amp;发射地月間統計!M$3)</f>
        <v>0</v>
      </c>
      <c r="N654" s="441">
        <v>0</v>
      </c>
      <c r="O654" s="33">
        <f t="shared" ca="1" si="1"/>
        <v>1</v>
      </c>
      <c r="P654" s="35">
        <f t="shared" ca="1" si="2"/>
        <v>2</v>
      </c>
      <c r="Q654" s="35">
        <f t="shared" ca="1" si="3"/>
        <v>1</v>
      </c>
      <c r="R654" s="34">
        <f t="shared" ca="1" si="4"/>
        <v>0</v>
      </c>
      <c r="S654" s="35">
        <f t="shared" ca="1" si="5"/>
        <v>1</v>
      </c>
      <c r="T654" s="35">
        <f t="shared" ca="1" si="6"/>
        <v>1</v>
      </c>
      <c r="U654" s="447">
        <v>0</v>
      </c>
      <c r="V654" s="33">
        <f t="shared" ca="1" si="7"/>
        <v>5</v>
      </c>
      <c r="W654" s="36">
        <f ca="1">V654</f>
        <v>5</v>
      </c>
    </row>
    <row r="655" spans="1:23" x14ac:dyDescent="0.45">
      <c r="A655" s="64">
        <v>44958</v>
      </c>
      <c r="B655" s="15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COUNTIFS(发射纪录!$B:$B,"&lt;&gt;-",发射纪录!$G:$G,"&gt;="&amp;DATE(YEAR($A655),MONTH($A655),1),发射纪录!$G:$G,"&lt;="&amp;DATE(YEAR($A655),MONTH($A655),DAY(EOMONTH($A655,0))),发射纪录!$N:$N,"&lt;&gt;",发射纪录!$J:$J,"="&amp;发射地月間統計!B$3)</f>
        <v>1</v>
      </c>
      <c r="C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COUNTIFS(发射纪录!$B:$B,"&lt;&gt;-",发射纪录!$G:$G,"&gt;="&amp;DATE(YEAR($A655),MONTH($A655),1),发射纪录!$G:$G,"&lt;="&amp;DATE(YEAR($A655),MONTH($A655),DAY(EOMONTH($A655,0))),发射纪录!$N:$N,"&lt;&gt;",发射纪录!$J:$J,"="&amp;发射地月間統計!C$3)</f>
        <v>0</v>
      </c>
      <c r="D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COUNTIFS(发射纪录!$B:$B,"&lt;&gt;-",发射纪录!$G:$G,"&gt;="&amp;DATE(YEAR($A655),MONTH($A655),1),发射纪录!$G:$G,"&lt;="&amp;DATE(YEAR($A655),MONTH($A655),DAY(EOMONTH($A655,0))),发射纪录!$N:$N,"&lt;&gt;",发射纪录!$J:$J,"="&amp;发射地月間統計!D$3)</f>
        <v>0</v>
      </c>
      <c r="E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COUNTIFS(发射纪录!$B:$B,"&lt;&gt;-",发射纪录!$G:$G,"&gt;="&amp;DATE(YEAR($A655),MONTH($A655),1),发射纪录!$G:$G,"&lt;="&amp;DATE(YEAR($A655),MONTH($A655),DAY(EOMONTH($A655,0))),发射纪录!$N:$N,"&lt;&gt;",发射纪录!$J:$J,"="&amp;发射地月間統計!E$3)</f>
        <v>1</v>
      </c>
      <c r="F655" s="11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COUNTIFS(发射纪录!$B:$B,"&lt;&gt;-",发射纪录!$G:$G,"&gt;="&amp;DATE(YEAR($A655),MONTH($A655),1),发射纪录!$G:$G,"&lt;="&amp;DATE(YEAR($A655),MONTH($A655),DAY(EOMONTH($A655,0))),发射纪录!$N:$N,"&lt;&gt;",发射纪录!$J:$J,"="&amp;发射地月間統計!F$3)</f>
        <v>0</v>
      </c>
      <c r="G655" s="440">
        <f>COUNTIFS(发射纪录!$B:$B,"&lt;&gt;-",发射纪录!$G:$G,"&gt;="&amp;DATE(YEAR($A655),MONTH($A655),1),发射纪录!$G:$G,"&lt;="&amp;DATE(YEAR($A655),MONTH($A655),DAY(EOMONTH($A655,0))),发射纪录!$N:$N,"&lt;&gt;",发射纪录!$J:$J,"="&amp;发射地月間統計!G$3)</f>
        <v>0</v>
      </c>
      <c r="H655" s="8">
        <f t="shared" si="0"/>
        <v>2</v>
      </c>
      <c r="I655" s="11">
        <f ca="1">COUNTIFS(发射纪录!$C:$C,"&lt;&gt;-",发射纪录!$G:$G,"&gt;="&amp;DATE(YEAR($A655),MONTH($A655),1),发射纪录!$G:$G,"&lt;="&amp;DATE(YEAR($A655),MONTH($A655),DAY(EOMONTH($A655,0))),发射纪录!$N:$N,"&lt;&gt;",发射纪录!$J:$J,"="&amp;发射地月間統計!I$3)</f>
        <v>0</v>
      </c>
      <c r="J655" s="11">
        <f ca="1">COUNTIFS(发射纪录!$C:$C,"&lt;&gt;-",发射纪录!$G:$G,"&gt;="&amp;DATE(YEAR($A655),MONTH($A655),1),发射纪录!$G:$G,"&lt;="&amp;DATE(YEAR($A655),MONTH($A655),DAY(EOMONTH($A655,0))),发射纪录!$N:$N,"&lt;&gt;",发射纪录!$J:$J,"="&amp;发射地月間統計!J$3)</f>
        <v>0</v>
      </c>
      <c r="K655" s="11">
        <f ca="1">COUNTIFS(发射纪录!$C:$C,"&lt;&gt;-",发射纪录!$G:$G,"&gt;="&amp;DATE(YEAR($A655),MONTH($A655),1),发射纪录!$G:$G,"&lt;="&amp;DATE(YEAR($A655),MONTH($A655),DAY(EOMONTH($A655,0))),发射纪录!$N:$N,"&lt;&gt;",发射纪录!$J:$J,"="&amp;发射地月間統計!K$3)</f>
        <v>0</v>
      </c>
      <c r="L655" s="11">
        <f ca="1">COUNTIFS(发射纪录!$C:$C,"&lt;&gt;-",发射纪录!$G:$G,"&gt;="&amp;DATE(YEAR($A655),MONTH($A655),1),发射纪录!$G:$G,"&lt;="&amp;DATE(YEAR($A655),MONTH($A655),DAY(EOMONTH($A655,0))),发射纪录!$N:$N,"&lt;&gt;",发射纪录!$J:$J,"="&amp;发射地月間統計!L$3)</f>
        <v>0</v>
      </c>
      <c r="M655" s="11">
        <f ca="1">COUNTIFS(发射纪录!$C:$C,"&lt;&gt;-",发射纪录!$G:$G,"&gt;="&amp;DATE(YEAR($A655),MONTH($A655),1),发射纪录!$G:$G,"&lt;="&amp;DATE(YEAR($A655),MONTH($A655),DAY(EOMONTH($A655,0))),发射纪录!$N:$N,"&lt;&gt;",发射纪录!$J:$J,"="&amp;发射地月間統計!M$3)</f>
        <v>0</v>
      </c>
      <c r="N655" s="440">
        <v>0</v>
      </c>
      <c r="O655" s="8">
        <f t="shared" ca="1" si="1"/>
        <v>0</v>
      </c>
      <c r="P655" s="30">
        <f t="shared" ca="1" si="2"/>
        <v>1</v>
      </c>
      <c r="Q655" s="30">
        <f t="shared" ca="1" si="3"/>
        <v>0</v>
      </c>
      <c r="R655" s="11">
        <f t="shared" ca="1" si="4"/>
        <v>0</v>
      </c>
      <c r="S655" s="30">
        <f t="shared" ca="1" si="5"/>
        <v>1</v>
      </c>
      <c r="T655" s="30">
        <f t="shared" ca="1" si="6"/>
        <v>0</v>
      </c>
      <c r="U655" s="445">
        <v>0</v>
      </c>
      <c r="V655" s="8">
        <f t="shared" ca="1" si="7"/>
        <v>2</v>
      </c>
      <c r="W655" s="31">
        <f t="shared" ref="W655:W665" ca="1" si="10">V655+W654</f>
        <v>7</v>
      </c>
    </row>
    <row r="656" spans="1:23" x14ac:dyDescent="0.45">
      <c r="A656" s="64">
        <v>44986</v>
      </c>
      <c r="B656" s="15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COUNTIFS(发射纪录!$B:$B,"&lt;&gt;-",发射纪录!$G:$G,"&gt;="&amp;DATE(YEAR($A656),MONTH($A656),1),发射纪录!$G:$G,"&lt;="&amp;DATE(YEAR($A656),MONTH($A656),DAY(EOMONTH($A656,0))),发射纪录!$N:$N,"&lt;&gt;",发射纪录!$J:$J,"="&amp;发射地月間統計!B$3)</f>
        <v>3</v>
      </c>
      <c r="C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COUNTIFS(发射纪录!$B:$B,"&lt;&gt;-",发射纪录!$G:$G,"&gt;="&amp;DATE(YEAR($A656),MONTH($A656),1),发射纪录!$G:$G,"&lt;="&amp;DATE(YEAR($A656),MONTH($A656),DAY(EOMONTH($A656,0))),发射纪录!$N:$N,"&lt;&gt;",发射纪录!$J:$J,"="&amp;发射地月間統計!C$3)</f>
        <v>2</v>
      </c>
      <c r="D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COUNTIFS(发射纪录!$B:$B,"&lt;&gt;-",发射纪录!$G:$G,"&gt;="&amp;DATE(YEAR($A656),MONTH($A656),1),发射纪录!$G:$G,"&lt;="&amp;DATE(YEAR($A656),MONTH($A656),DAY(EOMONTH($A656,0))),发射纪录!$N:$N,"&lt;&gt;",发射纪录!$J:$J,"="&amp;发射地月間統計!D$3)</f>
        <v>0</v>
      </c>
      <c r="E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COUNTIFS(发射纪录!$B:$B,"&lt;&gt;-",发射纪录!$G:$G,"&gt;="&amp;DATE(YEAR($A656),MONTH($A656),1),发射纪录!$G:$G,"&lt;="&amp;DATE(YEAR($A656),MONTH($A656),DAY(EOMONTH($A656,0))),发射纪录!$N:$N,"&lt;&gt;",发射纪录!$J:$J,"="&amp;发射地月間統計!E$3)</f>
        <v>1</v>
      </c>
      <c r="F656" s="11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COUNTIFS(发射纪录!$B:$B,"&lt;&gt;-",发射纪录!$G:$G,"&gt;="&amp;DATE(YEAR($A656),MONTH($A656),1),发射纪录!$G:$G,"&lt;="&amp;DATE(YEAR($A656),MONTH($A656),DAY(EOMONTH($A656,0))),发射纪录!$N:$N,"&lt;&gt;",发射纪录!$J:$J,"="&amp;发射地月間統計!F$3)</f>
        <v>0</v>
      </c>
      <c r="G656" s="440">
        <f>COUNTIFS(发射纪录!$B:$B,"&lt;&gt;-",发射纪录!$G:$G,"&gt;="&amp;DATE(YEAR($A656),MONTH($A656),1),发射纪录!$G:$G,"&lt;="&amp;DATE(YEAR($A656),MONTH($A656),DAY(EOMONTH($A656,0))),发射纪录!$N:$N,"&lt;&gt;",发射纪录!$J:$J,"="&amp;发射地月間統計!G$3)</f>
        <v>0</v>
      </c>
      <c r="H656" s="8">
        <f t="shared" si="0"/>
        <v>6</v>
      </c>
      <c r="I656" s="11">
        <f ca="1">COUNTIFS(发射纪录!$C:$C,"&lt;&gt;-",发射纪录!$G:$G,"&gt;="&amp;DATE(YEAR($A656),MONTH($A656),1),发射纪录!$G:$G,"&lt;="&amp;DATE(YEAR($A656),MONTH($A656),DAY(EOMONTH($A656,0))),发射纪录!$N:$N,"&lt;&gt;",发射纪录!$J:$J,"="&amp;发射地月間統計!I$3)</f>
        <v>1</v>
      </c>
      <c r="J656" s="11">
        <f ca="1">COUNTIFS(发射纪录!$C:$C,"&lt;&gt;-",发射纪录!$G:$G,"&gt;="&amp;DATE(YEAR($A656),MONTH($A656),1),发射纪录!$G:$G,"&lt;="&amp;DATE(YEAR($A656),MONTH($A656),DAY(EOMONTH($A656,0))),发射纪录!$N:$N,"&lt;&gt;",发射纪录!$J:$J,"="&amp;发射地月間統計!J$3)</f>
        <v>0</v>
      </c>
      <c r="K656" s="11">
        <f ca="1">COUNTIFS(发射纪录!$C:$C,"&lt;&gt;-",发射纪录!$G:$G,"&gt;="&amp;DATE(YEAR($A656),MONTH($A656),1),发射纪录!$G:$G,"&lt;="&amp;DATE(YEAR($A656),MONTH($A656),DAY(EOMONTH($A656,0))),发射纪录!$N:$N,"&lt;&gt;",发射纪录!$J:$J,"="&amp;发射地月間統計!K$3)</f>
        <v>0</v>
      </c>
      <c r="L656" s="11">
        <f ca="1">COUNTIFS(发射纪录!$C:$C,"&lt;&gt;-",发射纪录!$G:$G,"&gt;="&amp;DATE(YEAR($A656),MONTH($A656),1),发射纪录!$G:$G,"&lt;="&amp;DATE(YEAR($A656),MONTH($A656),DAY(EOMONTH($A656,0))),发射纪录!$N:$N,"&lt;&gt;",发射纪录!$J:$J,"="&amp;发射地月間統計!L$3)</f>
        <v>0</v>
      </c>
      <c r="M656" s="11">
        <f ca="1">COUNTIFS(发射纪录!$C:$C,"&lt;&gt;-",发射纪录!$G:$G,"&gt;="&amp;DATE(YEAR($A656),MONTH($A656),1),发射纪录!$G:$G,"&lt;="&amp;DATE(YEAR($A656),MONTH($A656),DAY(EOMONTH($A656,0))),发射纪录!$N:$N,"&lt;&gt;",发射纪录!$J:$J,"="&amp;发射地月間統計!M$3)</f>
        <v>0</v>
      </c>
      <c r="N656" s="440">
        <v>0</v>
      </c>
      <c r="O656" s="8">
        <f t="shared" ca="1" si="1"/>
        <v>1</v>
      </c>
      <c r="P656" s="11">
        <f t="shared" ca="1" si="2"/>
        <v>4</v>
      </c>
      <c r="Q656" s="11">
        <f t="shared" ca="1" si="3"/>
        <v>2</v>
      </c>
      <c r="R656" s="11">
        <f t="shared" ca="1" si="4"/>
        <v>0</v>
      </c>
      <c r="S656" s="11">
        <f t="shared" ca="1" si="5"/>
        <v>1</v>
      </c>
      <c r="T656" s="11">
        <f t="shared" ca="1" si="6"/>
        <v>0</v>
      </c>
      <c r="U656" s="440">
        <v>0</v>
      </c>
      <c r="V656" s="8">
        <f t="shared" ca="1" si="7"/>
        <v>7</v>
      </c>
      <c r="W656" s="31">
        <f t="shared" ca="1" si="10"/>
        <v>14</v>
      </c>
    </row>
    <row r="657" spans="1:23" x14ac:dyDescent="0.45">
      <c r="A657" s="64">
        <v>45017</v>
      </c>
      <c r="B657" s="15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COUNTIFS(发射纪录!$B:$B,"&lt;&gt;-",发射纪录!$G:$G,"&gt;="&amp;DATE(YEAR($A657),MONTH($A657),1),发射纪录!$G:$G,"&lt;="&amp;DATE(YEAR($A657),MONTH($A657),DAY(EOMONTH($A657,0))),发射纪录!$N:$N,"&lt;&gt;",发射纪录!$J:$J,"="&amp;发射地月間統計!B$3)</f>
        <v>1</v>
      </c>
      <c r="C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COUNTIFS(发射纪录!$B:$B,"&lt;&gt;-",发射纪录!$G:$G,"&gt;="&amp;DATE(YEAR($A657),MONTH($A657),1),发射纪录!$G:$G,"&lt;="&amp;DATE(YEAR($A657),MONTH($A657),DAY(EOMONTH($A657,0))),发射纪录!$N:$N,"&lt;&gt;",发射纪录!$J:$J,"="&amp;发射地月間統計!C$3)</f>
        <v>0</v>
      </c>
      <c r="D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COUNTIFS(发射纪录!$B:$B,"&lt;&gt;-",发射纪录!$G:$G,"&gt;="&amp;DATE(YEAR($A657),MONTH($A657),1),发射纪录!$G:$G,"&lt;="&amp;DATE(YEAR($A657),MONTH($A657),DAY(EOMONTH($A657,0))),发射纪录!$N:$N,"&lt;&gt;",发射纪录!$J:$J,"="&amp;发射地月間統計!D$3)</f>
        <v>0</v>
      </c>
      <c r="E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COUNTIFS(发射纪录!$B:$B,"&lt;&gt;-",发射纪录!$G:$G,"&gt;="&amp;DATE(YEAR($A657),MONTH($A657),1),发射纪录!$G:$G,"&lt;="&amp;DATE(YEAR($A657),MONTH($A657),DAY(EOMONTH($A657,0))),发射纪录!$N:$N,"&lt;&gt;",发射纪录!$J:$J,"="&amp;发射地月間統計!E$3)</f>
        <v>0</v>
      </c>
      <c r="F657" s="11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COUNTIFS(发射纪录!$B:$B,"&lt;&gt;-",发射纪录!$G:$G,"&gt;="&amp;DATE(YEAR($A657),MONTH($A657),1),发射纪录!$G:$G,"&lt;="&amp;DATE(YEAR($A657),MONTH($A657),DAY(EOMONTH($A657,0))),发射纪录!$N:$N,"&lt;&gt;",发射纪录!$J:$J,"="&amp;发射地月間統計!F$3)</f>
        <v>0</v>
      </c>
      <c r="G657" s="440">
        <f>COUNTIFS(发射纪录!$B:$B,"&lt;&gt;-",发射纪录!$G:$G,"&gt;="&amp;DATE(YEAR($A657),MONTH($A657),1),发射纪录!$G:$G,"&lt;="&amp;DATE(YEAR($A657),MONTH($A657),DAY(EOMONTH($A657,0))),发射纪录!$N:$N,"&lt;&gt;",发射纪录!$J:$J,"="&amp;发射地月間統計!G$3)</f>
        <v>0</v>
      </c>
      <c r="H657" s="8">
        <f t="shared" si="0"/>
        <v>1</v>
      </c>
      <c r="I657" s="11">
        <f ca="1">COUNTIFS(发射纪录!$C:$C,"&lt;&gt;-",发射纪录!$G:$G,"&gt;="&amp;DATE(YEAR($A657),MONTH($A657),1),发射纪录!$G:$G,"&lt;="&amp;DATE(YEAR($A657),MONTH($A657),DAY(EOMONTH($A657,0))),发射纪录!$N:$N,"&lt;&gt;",发射纪录!$J:$J,"="&amp;发射地月間統計!I$3)</f>
        <v>2</v>
      </c>
      <c r="J657" s="11">
        <f ca="1">COUNTIFS(发射纪录!$C:$C,"&lt;&gt;-",发射纪录!$G:$G,"&gt;="&amp;DATE(YEAR($A657),MONTH($A657),1),发射纪录!$G:$G,"&lt;="&amp;DATE(YEAR($A657),MONTH($A657),DAY(EOMONTH($A657,0))),发射纪录!$N:$N,"&lt;&gt;",发射纪录!$J:$J,"="&amp;发射地月間統計!J$3)</f>
        <v>0</v>
      </c>
      <c r="K657" s="11">
        <f ca="1">COUNTIFS(发射纪录!$C:$C,"&lt;&gt;-",发射纪录!$G:$G,"&gt;="&amp;DATE(YEAR($A657),MONTH($A657),1),发射纪录!$G:$G,"&lt;="&amp;DATE(YEAR($A657),MONTH($A657),DAY(EOMONTH($A657,0))),发射纪录!$N:$N,"&lt;&gt;",发射纪录!$J:$J,"="&amp;发射地月間統計!K$3)</f>
        <v>0</v>
      </c>
      <c r="L657" s="11">
        <f ca="1">COUNTIFS(发射纪录!$C:$C,"&lt;&gt;-",发射纪录!$G:$G,"&gt;="&amp;DATE(YEAR($A657),MONTH($A657),1),发射纪录!$G:$G,"&lt;="&amp;DATE(YEAR($A657),MONTH($A657),DAY(EOMONTH($A657,0))),发射纪录!$N:$N,"&lt;&gt;",发射纪录!$J:$J,"="&amp;发射地月間統計!L$3)</f>
        <v>0</v>
      </c>
      <c r="M657" s="11">
        <f ca="1">COUNTIFS(发射纪录!$C:$C,"&lt;&gt;-",发射纪录!$G:$G,"&gt;="&amp;DATE(YEAR($A657),MONTH($A657),1),发射纪录!$G:$G,"&lt;="&amp;DATE(YEAR($A657),MONTH($A657),DAY(EOMONTH($A657,0))),发射纪录!$N:$N,"&lt;&gt;",发射纪录!$J:$J,"="&amp;发射地月間統計!M$3)</f>
        <v>0</v>
      </c>
      <c r="N657" s="440">
        <v>0</v>
      </c>
      <c r="O657" s="8">
        <f t="shared" ca="1" si="1"/>
        <v>2</v>
      </c>
      <c r="P657" s="11">
        <f t="shared" ca="1" si="2"/>
        <v>3</v>
      </c>
      <c r="Q657" s="11">
        <f t="shared" ca="1" si="3"/>
        <v>0</v>
      </c>
      <c r="R657" s="11">
        <f t="shared" ca="1" si="4"/>
        <v>0</v>
      </c>
      <c r="S657" s="11">
        <f t="shared" ca="1" si="5"/>
        <v>0</v>
      </c>
      <c r="T657" s="11">
        <f t="shared" ca="1" si="6"/>
        <v>0</v>
      </c>
      <c r="U657" s="440">
        <v>0</v>
      </c>
      <c r="V657" s="8">
        <f t="shared" ca="1" si="7"/>
        <v>3</v>
      </c>
      <c r="W657" s="31">
        <f t="shared" ca="1" si="10"/>
        <v>17</v>
      </c>
    </row>
    <row r="658" spans="1:23" x14ac:dyDescent="0.45">
      <c r="A658" s="64">
        <v>45047</v>
      </c>
      <c r="B658" s="15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COUNTIFS(发射纪录!$B:$B,"&lt;&gt;-",发射纪录!$G:$G,"&gt;="&amp;DATE(YEAR($A658),MONTH($A658),1),发射纪录!$G:$G,"&lt;="&amp;DATE(YEAR($A658),MONTH($A658),DAY(EOMONTH($A658,0))),发射纪录!$N:$N,"&lt;&gt;",发射纪录!$J:$J,"="&amp;发射地月間統計!B$3)</f>
        <v>2</v>
      </c>
      <c r="C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COUNTIFS(发射纪录!$B:$B,"&lt;&gt;-",发射纪录!$G:$G,"&gt;="&amp;DATE(YEAR($A658),MONTH($A658),1),发射纪录!$G:$G,"&lt;="&amp;DATE(YEAR($A658),MONTH($A658),DAY(EOMONTH($A658,0))),发射纪录!$N:$N,"&lt;&gt;",发射纪录!$J:$J,"="&amp;发射地月間統計!C$3)</f>
        <v>0</v>
      </c>
      <c r="D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COUNTIFS(发射纪录!$B:$B,"&lt;&gt;-",发射纪录!$G:$G,"&gt;="&amp;DATE(YEAR($A658),MONTH($A658),1),发射纪录!$G:$G,"&lt;="&amp;DATE(YEAR($A658),MONTH($A658),DAY(EOMONTH($A658,0))),发射纪录!$N:$N,"&lt;&gt;",发射纪录!$J:$J,"="&amp;发射地月間統計!D$3)</f>
        <v>0</v>
      </c>
      <c r="E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COUNTIFS(发射纪录!$B:$B,"&lt;&gt;-",发射纪录!$G:$G,"&gt;="&amp;DATE(YEAR($A658),MONTH($A658),1),发射纪录!$G:$G,"&lt;="&amp;DATE(YEAR($A658),MONTH($A658),DAY(EOMONTH($A658,0))),发射纪录!$N:$N,"&lt;&gt;",发射纪录!$J:$J,"="&amp;发射地月間統計!E$3)</f>
        <v>1</v>
      </c>
      <c r="F658" s="11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COUNTIFS(发射纪录!$B:$B,"&lt;&gt;-",发射纪录!$G:$G,"&gt;="&amp;DATE(YEAR($A658),MONTH($A658),1),发射纪录!$G:$G,"&lt;="&amp;DATE(YEAR($A658),MONTH($A658),DAY(EOMONTH($A658,0))),发射纪录!$N:$N,"&lt;&gt;",发射纪录!$J:$J,"="&amp;发射地月間統計!F$3)</f>
        <v>1</v>
      </c>
      <c r="G658" s="440">
        <f>COUNTIFS(发射纪录!$B:$B,"&lt;&gt;-",发射纪录!$G:$G,"&gt;="&amp;DATE(YEAR($A658),MONTH($A658),1),发射纪录!$G:$G,"&lt;="&amp;DATE(YEAR($A658),MONTH($A658),DAY(EOMONTH($A658,0))),发射纪录!$N:$N,"&lt;&gt;",发射纪录!$J:$J,"="&amp;发射地月間統計!G$3)</f>
        <v>0</v>
      </c>
      <c r="H658" s="8">
        <f t="shared" si="0"/>
        <v>4</v>
      </c>
      <c r="I658" s="11">
        <f ca="1">COUNTIFS(发射纪录!$C:$C,"&lt;&gt;-",发射纪录!$G:$G,"&gt;="&amp;DATE(YEAR($A658),MONTH($A658),1),发射纪录!$G:$G,"&lt;="&amp;DATE(YEAR($A658),MONTH($A658),DAY(EOMONTH($A658,0))),发射纪录!$N:$N,"&lt;&gt;",发射纪录!$J:$J,"="&amp;发射地月間統計!I$3)</f>
        <v>0</v>
      </c>
      <c r="J658" s="11">
        <f ca="1">COUNTIFS(发射纪录!$C:$C,"&lt;&gt;-",发射纪录!$G:$G,"&gt;="&amp;DATE(YEAR($A658),MONTH($A658),1),发射纪录!$G:$G,"&lt;="&amp;DATE(YEAR($A658),MONTH($A658),DAY(EOMONTH($A658,0))),发射纪录!$N:$N,"&lt;&gt;",发射纪录!$J:$J,"="&amp;发射地月間統計!J$3)</f>
        <v>0</v>
      </c>
      <c r="K658" s="11">
        <f ca="1">COUNTIFS(发射纪录!$C:$C,"&lt;&gt;-",发射纪录!$G:$G,"&gt;="&amp;DATE(YEAR($A658),MONTH($A658),1),发射纪录!$G:$G,"&lt;="&amp;DATE(YEAR($A658),MONTH($A658),DAY(EOMONTH($A658,0))),发射纪录!$N:$N,"&lt;&gt;",发射纪录!$J:$J,"="&amp;发射地月間統計!K$3)</f>
        <v>0</v>
      </c>
      <c r="L658" s="11">
        <f ca="1">COUNTIFS(发射纪录!$C:$C,"&lt;&gt;-",发射纪录!$G:$G,"&gt;="&amp;DATE(YEAR($A658),MONTH($A658),1),发射纪录!$G:$G,"&lt;="&amp;DATE(YEAR($A658),MONTH($A658),DAY(EOMONTH($A658,0))),发射纪录!$N:$N,"&lt;&gt;",发射纪录!$J:$J,"="&amp;发射地月間統計!L$3)</f>
        <v>0</v>
      </c>
      <c r="M658" s="11">
        <f ca="1">COUNTIFS(发射纪录!$C:$C,"&lt;&gt;-",发射纪录!$G:$G,"&gt;="&amp;DATE(YEAR($A658),MONTH($A658),1),发射纪录!$G:$G,"&lt;="&amp;DATE(YEAR($A658),MONTH($A658),DAY(EOMONTH($A658,0))),发射纪录!$N:$N,"&lt;&gt;",发射纪录!$J:$J,"="&amp;发射地月間統計!M$3)</f>
        <v>0</v>
      </c>
      <c r="N658" s="440">
        <v>0</v>
      </c>
      <c r="O658" s="8">
        <f t="shared" ca="1" si="1"/>
        <v>0</v>
      </c>
      <c r="P658" s="11">
        <f t="shared" ca="1" si="2"/>
        <v>2</v>
      </c>
      <c r="Q658" s="11">
        <f t="shared" ca="1" si="3"/>
        <v>0</v>
      </c>
      <c r="R658" s="11">
        <f t="shared" ca="1" si="4"/>
        <v>0</v>
      </c>
      <c r="S658" s="11">
        <f t="shared" ca="1" si="5"/>
        <v>1</v>
      </c>
      <c r="T658" s="11">
        <f t="shared" ca="1" si="6"/>
        <v>1</v>
      </c>
      <c r="U658" s="440">
        <v>0</v>
      </c>
      <c r="V658" s="8">
        <f t="shared" ca="1" si="7"/>
        <v>4</v>
      </c>
      <c r="W658" s="31">
        <f t="shared" ca="1" si="10"/>
        <v>21</v>
      </c>
    </row>
    <row r="659" spans="1:23" x14ac:dyDescent="0.45">
      <c r="A659" s="64">
        <v>45078</v>
      </c>
      <c r="B659" s="15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COUNTIFS(发射纪录!$B:$B,"&lt;&gt;-",发射纪录!$G:$G,"&gt;="&amp;DATE(YEAR($A659),MONTH($A659),1),发射纪录!$G:$G,"&lt;="&amp;DATE(YEAR($A659),MONTH($A659),DAY(EOMONTH($A659,0))),发射纪录!$N:$N,"&lt;&gt;",发射纪录!$J:$J,"="&amp;发射地月間統計!B$3)</f>
        <v>0</v>
      </c>
      <c r="C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COUNTIFS(发射纪录!$B:$B,"&lt;&gt;-",发射纪录!$G:$G,"&gt;="&amp;DATE(YEAR($A659),MONTH($A659),1),发射纪录!$G:$G,"&lt;="&amp;DATE(YEAR($A659),MONTH($A659),DAY(EOMONTH($A659,0))),发射纪录!$N:$N,"&lt;&gt;",发射纪录!$J:$J,"="&amp;发射地月間統計!C$3)</f>
        <v>2</v>
      </c>
      <c r="D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COUNTIFS(发射纪录!$B:$B,"&lt;&gt;-",发射纪录!$G:$G,"&gt;="&amp;DATE(YEAR($A659),MONTH($A659),1),发射纪录!$G:$G,"&lt;="&amp;DATE(YEAR($A659),MONTH($A659),DAY(EOMONTH($A659,0))),发射纪录!$N:$N,"&lt;&gt;",发射纪录!$J:$J,"="&amp;发射地月間統計!D$3)</f>
        <v>0</v>
      </c>
      <c r="E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COUNTIFS(发射纪录!$B:$B,"&lt;&gt;-",发射纪录!$G:$G,"&gt;="&amp;DATE(YEAR($A659),MONTH($A659),1),发射纪录!$G:$G,"&lt;="&amp;DATE(YEAR($A659),MONTH($A659),DAY(EOMONTH($A659,0))),发射纪录!$N:$N,"&lt;&gt;",发射纪录!$J:$J,"="&amp;发射地月間統計!E$3)</f>
        <v>0</v>
      </c>
      <c r="F659" s="11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COUNTIFS(发射纪录!$B:$B,"&lt;&gt;-",发射纪录!$G:$G,"&gt;="&amp;DATE(YEAR($A659),MONTH($A659),1),发射纪录!$G:$G,"&lt;="&amp;DATE(YEAR($A659),MONTH($A659),DAY(EOMONTH($A659,0))),发射纪录!$N:$N,"&lt;&gt;",发射纪录!$J:$J,"="&amp;发射地月間統計!F$3)</f>
        <v>0</v>
      </c>
      <c r="G659" s="440">
        <f>COUNTIFS(发射纪录!$B:$B,"&lt;&gt;-",发射纪录!$G:$G,"&gt;="&amp;DATE(YEAR($A659),MONTH($A659),1),发射纪录!$G:$G,"&lt;="&amp;DATE(YEAR($A659),MONTH($A659),DAY(EOMONTH($A659,0))),发射纪录!$N:$N,"&lt;&gt;",发射纪录!$J:$J,"="&amp;发射地月間統計!G$3)</f>
        <v>0</v>
      </c>
      <c r="H659" s="8">
        <f t="shared" si="0"/>
        <v>2</v>
      </c>
      <c r="I659" s="11">
        <f ca="1">COUNTIFS(发射纪录!$C:$C,"&lt;&gt;-",发射纪录!$G:$G,"&gt;="&amp;DATE(YEAR($A659),MONTH($A659),1),发射纪录!$G:$G,"&lt;="&amp;DATE(YEAR($A659),MONTH($A659),DAY(EOMONTH($A659,0))),发射纪录!$N:$N,"&lt;&gt;",发射纪录!$J:$J,"="&amp;发射地月間統計!I$3)</f>
        <v>2</v>
      </c>
      <c r="J659" s="11">
        <f ca="1">COUNTIFS(发射纪录!$C:$C,"&lt;&gt;-",发射纪录!$G:$G,"&gt;="&amp;DATE(YEAR($A659),MONTH($A659),1),发射纪录!$G:$G,"&lt;="&amp;DATE(YEAR($A659),MONTH($A659),DAY(EOMONTH($A659,0))),发射纪录!$N:$N,"&lt;&gt;",发射纪录!$J:$J,"="&amp;发射地月間統計!J$3)</f>
        <v>0</v>
      </c>
      <c r="K659" s="11">
        <f ca="1">COUNTIFS(发射纪录!$C:$C,"&lt;&gt;-",发射纪录!$G:$G,"&gt;="&amp;DATE(YEAR($A659),MONTH($A659),1),发射纪录!$G:$G,"&lt;="&amp;DATE(YEAR($A659),MONTH($A659),DAY(EOMONTH($A659,0))),发射纪录!$N:$N,"&lt;&gt;",发射纪录!$J:$J,"="&amp;发射地月間統計!K$3)</f>
        <v>0</v>
      </c>
      <c r="L659" s="11">
        <f ca="1">COUNTIFS(发射纪录!$C:$C,"&lt;&gt;-",发射纪录!$G:$G,"&gt;="&amp;DATE(YEAR($A659),MONTH($A659),1),发射纪录!$G:$G,"&lt;="&amp;DATE(YEAR($A659),MONTH($A659),DAY(EOMONTH($A659,0))),发射纪录!$N:$N,"&lt;&gt;",发射纪录!$J:$J,"="&amp;发射地月間統計!L$3)</f>
        <v>0</v>
      </c>
      <c r="M659" s="11">
        <f ca="1">COUNTIFS(发射纪录!$C:$C,"&lt;&gt;-",发射纪录!$G:$G,"&gt;="&amp;DATE(YEAR($A659),MONTH($A659),1),发射纪录!$G:$G,"&lt;="&amp;DATE(YEAR($A659),MONTH($A659),DAY(EOMONTH($A659,0))),发射纪录!$N:$N,"&lt;&gt;",发射纪录!$J:$J,"="&amp;发射地月間統計!M$3)</f>
        <v>0</v>
      </c>
      <c r="N659" s="440">
        <v>0</v>
      </c>
      <c r="O659" s="8">
        <f t="shared" ca="1" si="1"/>
        <v>2</v>
      </c>
      <c r="P659" s="11">
        <f t="shared" ca="1" si="2"/>
        <v>2</v>
      </c>
      <c r="Q659" s="11">
        <f t="shared" ca="1" si="3"/>
        <v>2</v>
      </c>
      <c r="R659" s="11">
        <f t="shared" ca="1" si="4"/>
        <v>0</v>
      </c>
      <c r="S659" s="11">
        <f t="shared" ca="1" si="5"/>
        <v>0</v>
      </c>
      <c r="T659" s="11">
        <f t="shared" ca="1" si="6"/>
        <v>0</v>
      </c>
      <c r="U659" s="440">
        <v>0</v>
      </c>
      <c r="V659" s="8">
        <f t="shared" ca="1" si="7"/>
        <v>4</v>
      </c>
      <c r="W659" s="31">
        <f t="shared" ca="1" si="10"/>
        <v>25</v>
      </c>
    </row>
    <row r="660" spans="1:23" x14ac:dyDescent="0.45">
      <c r="A660" s="64">
        <v>45108</v>
      </c>
      <c r="B660" s="15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COUNTIFS(发射纪录!$B:$B,"&lt;&gt;-",发射纪录!$G:$G,"&gt;="&amp;DATE(YEAR($A660),MONTH($A660),1),发射纪录!$G:$G,"&lt;="&amp;DATE(YEAR($A660),MONTH($A660),DAY(EOMONTH($A660,0))),发射纪录!$N:$N,"&lt;&gt;",发射纪录!$J:$J,"="&amp;发射地月間統計!B$3)</f>
        <v>1</v>
      </c>
      <c r="C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COUNTIFS(发射纪录!$B:$B,"&lt;&gt;-",发射纪录!$G:$G,"&gt;="&amp;DATE(YEAR($A660),MONTH($A660),1),发射纪录!$G:$G,"&lt;="&amp;DATE(YEAR($A660),MONTH($A660),DAY(EOMONTH($A660,0))),发射纪录!$N:$N,"&lt;&gt;",发射纪录!$J:$J,"="&amp;发射地月間統計!C$3)</f>
        <v>1</v>
      </c>
      <c r="D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COUNTIFS(发射纪录!$B:$B,"&lt;&gt;-",发射纪录!$G:$G,"&gt;="&amp;DATE(YEAR($A660),MONTH($A660),1),发射纪录!$G:$G,"&lt;="&amp;DATE(YEAR($A660),MONTH($A660),DAY(EOMONTH($A660,0))),发射纪录!$N:$N,"&lt;&gt;",发射纪录!$J:$J,"="&amp;发射地月間統計!D$3)</f>
        <v>0</v>
      </c>
      <c r="E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COUNTIFS(发射纪录!$B:$B,"&lt;&gt;-",发射纪录!$G:$G,"&gt;="&amp;DATE(YEAR($A660),MONTH($A660),1),发射纪录!$G:$G,"&lt;="&amp;DATE(YEAR($A660),MONTH($A660),DAY(EOMONTH($A660,0))),发射纪录!$N:$N,"&lt;&gt;",发射纪录!$J:$J,"="&amp;发射地月間統計!E$3)</f>
        <v>1</v>
      </c>
      <c r="F660" s="11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COUNTIFS(发射纪录!$B:$B,"&lt;&gt;-",发射纪录!$G:$G,"&gt;="&amp;DATE(YEAR($A660),MONTH($A660),1),发射纪录!$G:$G,"&lt;="&amp;DATE(YEAR($A660),MONTH($A660),DAY(EOMONTH($A660,0))),发射纪录!$N:$N,"&lt;&gt;",发射纪录!$J:$J,"="&amp;发射地月間統計!F$3)</f>
        <v>0</v>
      </c>
      <c r="G660" s="440">
        <f>COUNTIFS(发射纪录!$B:$B,"&lt;&gt;-",发射纪录!$G:$G,"&gt;="&amp;DATE(YEAR($A660),MONTH($A660),1),发射纪录!$G:$G,"&lt;="&amp;DATE(YEAR($A660),MONTH($A660),DAY(EOMONTH($A660,0))),发射纪录!$N:$N,"&lt;&gt;",发射纪录!$J:$J,"="&amp;发射地月間統計!G$3)</f>
        <v>0</v>
      </c>
      <c r="H660" s="8">
        <f t="shared" si="0"/>
        <v>3</v>
      </c>
      <c r="I660" s="11">
        <f ca="1">COUNTIFS(发射纪录!$C:$C,"&lt;&gt;-",发射纪录!$G:$G,"&gt;="&amp;DATE(YEAR($A660),MONTH($A660),1),发射纪录!$G:$G,"&lt;="&amp;DATE(YEAR($A660),MONTH($A660),DAY(EOMONTH($A660,0))),发射纪录!$N:$N,"&lt;&gt;",发射纪录!$J:$J,"="&amp;发射地月間統計!I$3)</f>
        <v>3</v>
      </c>
      <c r="J660" s="11">
        <f ca="1">COUNTIFS(发射纪录!$C:$C,"&lt;&gt;-",发射纪录!$G:$G,"&gt;="&amp;DATE(YEAR($A660),MONTH($A660),1),发射纪录!$G:$G,"&lt;="&amp;DATE(YEAR($A660),MONTH($A660),DAY(EOMONTH($A660,0))),发射纪录!$N:$N,"&lt;&gt;",发射纪录!$J:$J,"="&amp;发射地月間統計!J$3)</f>
        <v>0</v>
      </c>
      <c r="K660" s="11">
        <f ca="1">COUNTIFS(发射纪录!$C:$C,"&lt;&gt;-",发射纪录!$G:$G,"&gt;="&amp;DATE(YEAR($A660),MONTH($A660),1),发射纪录!$G:$G,"&lt;="&amp;DATE(YEAR($A660),MONTH($A660),DAY(EOMONTH($A660,0))),发射纪录!$N:$N,"&lt;&gt;",发射纪录!$J:$J,"="&amp;发射地月間統計!K$3)</f>
        <v>0</v>
      </c>
      <c r="L660" s="11">
        <f ca="1">COUNTIFS(发射纪录!$C:$C,"&lt;&gt;-",发射纪录!$G:$G,"&gt;="&amp;DATE(YEAR($A660),MONTH($A660),1),发射纪录!$G:$G,"&lt;="&amp;DATE(YEAR($A660),MONTH($A660),DAY(EOMONTH($A660,0))),发射纪录!$N:$N,"&lt;&gt;",发射纪录!$J:$J,"="&amp;发射地月間統計!L$3)</f>
        <v>0</v>
      </c>
      <c r="M660" s="11">
        <f ca="1">COUNTIFS(发射纪录!$C:$C,"&lt;&gt;-",发射纪录!$G:$G,"&gt;="&amp;DATE(YEAR($A660),MONTH($A660),1),发射纪录!$G:$G,"&lt;="&amp;DATE(YEAR($A660),MONTH($A660),DAY(EOMONTH($A660,0))),发射纪录!$N:$N,"&lt;&gt;",发射纪录!$J:$J,"="&amp;发射地月間統計!M$3)</f>
        <v>0</v>
      </c>
      <c r="N660" s="440">
        <v>0</v>
      </c>
      <c r="O660" s="8">
        <f t="shared" ca="1" si="1"/>
        <v>3</v>
      </c>
      <c r="P660" s="37">
        <f t="shared" ca="1" si="2"/>
        <v>4</v>
      </c>
      <c r="Q660" s="37">
        <f t="shared" ca="1" si="3"/>
        <v>1</v>
      </c>
      <c r="R660" s="11">
        <f t="shared" ca="1" si="4"/>
        <v>0</v>
      </c>
      <c r="S660" s="11">
        <f t="shared" ca="1" si="5"/>
        <v>1</v>
      </c>
      <c r="T660" s="11">
        <f t="shared" ca="1" si="6"/>
        <v>0</v>
      </c>
      <c r="U660" s="440">
        <v>0</v>
      </c>
      <c r="V660" s="8">
        <f t="shared" ca="1" si="7"/>
        <v>6</v>
      </c>
      <c r="W660" s="31">
        <f t="shared" ca="1" si="10"/>
        <v>31</v>
      </c>
    </row>
    <row r="661" spans="1:23" x14ac:dyDescent="0.45">
      <c r="A661" s="64">
        <v>45139</v>
      </c>
      <c r="B661" s="15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COUNTIFS(发射纪录!$B:$B,"&lt;&gt;-",发射纪录!$G:$G,"&gt;="&amp;DATE(YEAR($A661),MONTH($A661),1),发射纪录!$G:$G,"&lt;="&amp;DATE(YEAR($A661),MONTH($A661),DAY(EOMONTH($A661,0))),发射纪录!$N:$N,"&lt;&gt;",发射纪录!$J:$J,"="&amp;发射地月間統計!B$3)</f>
        <v>2</v>
      </c>
      <c r="C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COUNTIFS(发射纪录!$B:$B,"&lt;&gt;-",发射纪录!$G:$G,"&gt;="&amp;DATE(YEAR($A661),MONTH($A661),1),发射纪录!$G:$G,"&lt;="&amp;DATE(YEAR($A661),MONTH($A661),DAY(EOMONTH($A661,0))),发射纪录!$N:$N,"&lt;&gt;",发射纪录!$J:$J,"="&amp;发射地月間統計!C$3)</f>
        <v>1</v>
      </c>
      <c r="D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COUNTIFS(发射纪录!$B:$B,"&lt;&gt;-",发射纪录!$G:$G,"&gt;="&amp;DATE(YEAR($A661),MONTH($A661),1),发射纪录!$G:$G,"&lt;="&amp;DATE(YEAR($A661),MONTH($A661),DAY(EOMONTH($A661,0))),发射纪录!$N:$N,"&lt;&gt;",发射纪录!$J:$J,"="&amp;发射地月間統計!D$3)</f>
        <v>0</v>
      </c>
      <c r="E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COUNTIFS(发射纪录!$B:$B,"&lt;&gt;-",发射纪录!$G:$G,"&gt;="&amp;DATE(YEAR($A661),MONTH($A661),1),发射纪录!$G:$G,"&lt;="&amp;DATE(YEAR($A661),MONTH($A661),DAY(EOMONTH($A661,0))),发射纪录!$N:$N,"&lt;&gt;",发射纪录!$J:$J,"="&amp;发射地月間統計!E$3)</f>
        <v>2</v>
      </c>
      <c r="F661" s="11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COUNTIFS(发射纪录!$B:$B,"&lt;&gt;-",发射纪录!$G:$G,"&gt;="&amp;DATE(YEAR($A661),MONTH($A661),1),发射纪录!$G:$G,"&lt;="&amp;DATE(YEAR($A661),MONTH($A661),DAY(EOMONTH($A661,0))),发射纪录!$N:$N,"&lt;&gt;",发射纪录!$J:$J,"="&amp;发射地月間統計!F$3)</f>
        <v>0</v>
      </c>
      <c r="G661" s="440">
        <f>COUNTIFS(发射纪录!$B:$B,"&lt;&gt;-",发射纪录!$G:$G,"&gt;="&amp;DATE(YEAR($A661),MONTH($A661),1),发射纪录!$G:$G,"&lt;="&amp;DATE(YEAR($A661),MONTH($A661),DAY(EOMONTH($A661,0))),发射纪录!$N:$N,"&lt;&gt;",发射纪录!$J:$J,"="&amp;发射地月間統計!G$3)</f>
        <v>0</v>
      </c>
      <c r="H661" s="8">
        <f t="shared" si="0"/>
        <v>5</v>
      </c>
      <c r="I661" s="11">
        <f ca="1">COUNTIFS(发射纪录!$C:$C,"&lt;&gt;-",发射纪录!$G:$G,"&gt;="&amp;DATE(YEAR($A661),MONTH($A661),1),发射纪录!$G:$G,"&lt;="&amp;DATE(YEAR($A661),MONTH($A661),DAY(EOMONTH($A661,0))),发射纪录!$N:$N,"&lt;&gt;",发射纪录!$J:$J,"="&amp;发射地月間統計!I$3)</f>
        <v>2</v>
      </c>
      <c r="J661" s="11">
        <f ca="1">COUNTIFS(发射纪录!$C:$C,"&lt;&gt;-",发射纪录!$G:$G,"&gt;="&amp;DATE(YEAR($A661),MONTH($A661),1),发射纪录!$G:$G,"&lt;="&amp;DATE(YEAR($A661),MONTH($A661),DAY(EOMONTH($A661,0))),发射纪录!$N:$N,"&lt;&gt;",发射纪录!$J:$J,"="&amp;发射地月間統計!J$3)</f>
        <v>0</v>
      </c>
      <c r="K661" s="11">
        <f ca="1">COUNTIFS(发射纪录!$C:$C,"&lt;&gt;-",发射纪录!$G:$G,"&gt;="&amp;DATE(YEAR($A661),MONTH($A661),1),发射纪录!$G:$G,"&lt;="&amp;DATE(YEAR($A661),MONTH($A661),DAY(EOMONTH($A661,0))),发射纪录!$N:$N,"&lt;&gt;",发射纪录!$J:$J,"="&amp;发射地月間統計!K$3)</f>
        <v>0</v>
      </c>
      <c r="L661" s="11">
        <f ca="1">COUNTIFS(发射纪录!$C:$C,"&lt;&gt;-",发射纪录!$G:$G,"&gt;="&amp;DATE(YEAR($A661),MONTH($A661),1),发射纪录!$G:$G,"&lt;="&amp;DATE(YEAR($A661),MONTH($A661),DAY(EOMONTH($A661,0))),发射纪录!$N:$N,"&lt;&gt;",发射纪录!$J:$J,"="&amp;发射地月間統計!L$3)</f>
        <v>1</v>
      </c>
      <c r="M661" s="11">
        <f ca="1">COUNTIFS(发射纪录!$C:$C,"&lt;&gt;-",发射纪录!$G:$G,"&gt;="&amp;DATE(YEAR($A661),MONTH($A661),1),发射纪录!$G:$G,"&lt;="&amp;DATE(YEAR($A661),MONTH($A661),DAY(EOMONTH($A661,0))),发射纪录!$N:$N,"&lt;&gt;",发射纪录!$J:$J,"="&amp;发射地月間統計!M$3)</f>
        <v>0</v>
      </c>
      <c r="N661" s="440">
        <v>0</v>
      </c>
      <c r="O661" s="8">
        <f t="shared" ca="1" si="1"/>
        <v>3</v>
      </c>
      <c r="P661" s="11">
        <f t="shared" ca="1" si="2"/>
        <v>4</v>
      </c>
      <c r="Q661" s="11">
        <f t="shared" ca="1" si="3"/>
        <v>1</v>
      </c>
      <c r="R661" s="11">
        <f t="shared" ca="1" si="4"/>
        <v>0</v>
      </c>
      <c r="S661" s="11">
        <f t="shared" ca="1" si="5"/>
        <v>3</v>
      </c>
      <c r="T661" s="11">
        <f t="shared" ca="1" si="6"/>
        <v>0</v>
      </c>
      <c r="U661" s="440">
        <v>0</v>
      </c>
      <c r="V661" s="8">
        <f t="shared" ca="1" si="7"/>
        <v>8</v>
      </c>
      <c r="W661" s="31">
        <f t="shared" ca="1" si="10"/>
        <v>39</v>
      </c>
    </row>
    <row r="662" spans="1:23" x14ac:dyDescent="0.45">
      <c r="A662" s="64">
        <v>45170</v>
      </c>
      <c r="B662" s="15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COUNTIFS(发射纪录!$B:$B,"&lt;&gt;-",发射纪录!$G:$G,"&gt;="&amp;DATE(YEAR($A662),MONTH($A662),1),发射纪录!$G:$G,"&lt;="&amp;DATE(YEAR($A662),MONTH($A662),DAY(EOMONTH($A662,0))),发射纪录!$N:$N,"&lt;&gt;",发射纪录!$J:$J,"="&amp;发射地月間統計!B$3)</f>
        <v>2</v>
      </c>
      <c r="C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COUNTIFS(发射纪录!$B:$B,"&lt;&gt;-",发射纪录!$G:$G,"&gt;="&amp;DATE(YEAR($A662),MONTH($A662),1),发射纪录!$G:$G,"&lt;="&amp;DATE(YEAR($A662),MONTH($A662),DAY(EOMONTH($A662,0))),发射纪录!$N:$N,"&lt;&gt;",发射纪录!$J:$J,"="&amp;发射地月間統計!C$3)</f>
        <v>1</v>
      </c>
      <c r="D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COUNTIFS(发射纪录!$B:$B,"&lt;&gt;-",发射纪录!$G:$G,"&gt;="&amp;DATE(YEAR($A662),MONTH($A662),1),发射纪录!$G:$G,"&lt;="&amp;DATE(YEAR($A662),MONTH($A662),DAY(EOMONTH($A662,0))),发射纪录!$N:$N,"&lt;&gt;",发射纪录!$J:$J,"="&amp;发射地月間統計!D$3)</f>
        <v>0</v>
      </c>
      <c r="E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COUNTIFS(发射纪录!$B:$B,"&lt;&gt;-",发射纪录!$G:$G,"&gt;="&amp;DATE(YEAR($A662),MONTH($A662),1),发射纪录!$G:$G,"&lt;="&amp;DATE(YEAR($A662),MONTH($A662),DAY(EOMONTH($A662,0))),发射纪录!$N:$N,"&lt;&gt;",发射纪录!$J:$J,"="&amp;发射地月間統計!E$3)</f>
        <v>1</v>
      </c>
      <c r="F662" s="11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COUNTIFS(发射纪录!$B:$B,"&lt;&gt;-",发射纪录!$G:$G,"&gt;="&amp;DATE(YEAR($A662),MONTH($A662),1),发射纪录!$G:$G,"&lt;="&amp;DATE(YEAR($A662),MONTH($A662),DAY(EOMONTH($A662,0))),发射纪录!$N:$N,"&lt;&gt;",发射纪录!$J:$J,"="&amp;发射地月間統計!F$3)</f>
        <v>0</v>
      </c>
      <c r="G662" s="440">
        <f>COUNTIFS(发射纪录!$B:$B,"&lt;&gt;-",发射纪录!$G:$G,"&gt;="&amp;DATE(YEAR($A662),MONTH($A662),1),发射纪录!$G:$G,"&lt;="&amp;DATE(YEAR($A662),MONTH($A662),DAY(EOMONTH($A662,0))),发射纪录!$N:$N,"&lt;&gt;",发射纪录!$J:$J,"="&amp;发射地月間統計!G$3)</f>
        <v>0</v>
      </c>
      <c r="H662" s="8">
        <f t="shared" si="0"/>
        <v>4</v>
      </c>
      <c r="I662" s="11">
        <f ca="1">COUNTIFS(发射纪录!$C:$C,"&lt;&gt;-",发射纪录!$G:$G,"&gt;="&amp;DATE(YEAR($A662),MONTH($A662),1),发射纪录!$G:$G,"&lt;="&amp;DATE(YEAR($A662),MONTH($A662),DAY(EOMONTH($A662,0))),发射纪录!$N:$N,"&lt;&gt;",发射纪录!$J:$J,"="&amp;发射地月間統計!I$3)</f>
        <v>1</v>
      </c>
      <c r="J662" s="11">
        <f ca="1">COUNTIFS(发射纪录!$C:$C,"&lt;&gt;-",发射纪录!$G:$G,"&gt;="&amp;DATE(YEAR($A662),MONTH($A662),1),发射纪录!$G:$G,"&lt;="&amp;DATE(YEAR($A662),MONTH($A662),DAY(EOMONTH($A662,0))),发射纪录!$N:$N,"&lt;&gt;",发射纪录!$J:$J,"="&amp;发射地月間統計!J$3)</f>
        <v>0</v>
      </c>
      <c r="K662" s="11">
        <f ca="1">COUNTIFS(发射纪录!$C:$C,"&lt;&gt;-",发射纪录!$G:$G,"&gt;="&amp;DATE(YEAR($A662),MONTH($A662),1),发射纪录!$G:$G,"&lt;="&amp;DATE(YEAR($A662),MONTH($A662),DAY(EOMONTH($A662,0))),发射纪录!$N:$N,"&lt;&gt;",发射纪录!$J:$J,"="&amp;发射地月間統計!K$3)</f>
        <v>1</v>
      </c>
      <c r="L662" s="11">
        <f ca="1">COUNTIFS(发射纪录!$C:$C,"&lt;&gt;-",发射纪录!$G:$G,"&gt;="&amp;DATE(YEAR($A662),MONTH($A662),1),发射纪录!$G:$G,"&lt;="&amp;DATE(YEAR($A662),MONTH($A662),DAY(EOMONTH($A662,0))),发射纪录!$N:$N,"&lt;&gt;",发射纪录!$J:$J,"="&amp;发射地月間統計!L$3)</f>
        <v>0</v>
      </c>
      <c r="M662" s="11">
        <f ca="1">COUNTIFS(发射纪录!$C:$C,"&lt;&gt;-",发射纪录!$G:$G,"&gt;="&amp;DATE(YEAR($A662),MONTH($A662),1),发射纪录!$G:$G,"&lt;="&amp;DATE(YEAR($A662),MONTH($A662),DAY(EOMONTH($A662,0))),发射纪录!$N:$N,"&lt;&gt;",发射纪录!$J:$J,"="&amp;发射地月間統計!M$3)</f>
        <v>0</v>
      </c>
      <c r="N662" s="440">
        <v>0</v>
      </c>
      <c r="O662" s="8">
        <f t="shared" ca="1" si="1"/>
        <v>2</v>
      </c>
      <c r="P662" s="11">
        <f t="shared" ca="1" si="2"/>
        <v>3</v>
      </c>
      <c r="Q662" s="11">
        <f t="shared" ca="1" si="3"/>
        <v>1</v>
      </c>
      <c r="R662" s="11">
        <f t="shared" ca="1" si="4"/>
        <v>1</v>
      </c>
      <c r="S662" s="11">
        <f t="shared" ca="1" si="5"/>
        <v>1</v>
      </c>
      <c r="T662" s="11">
        <f t="shared" ca="1" si="6"/>
        <v>0</v>
      </c>
      <c r="U662" s="440">
        <v>0</v>
      </c>
      <c r="V662" s="8">
        <f t="shared" ca="1" si="7"/>
        <v>6</v>
      </c>
      <c r="W662" s="31">
        <f t="shared" ca="1" si="10"/>
        <v>45</v>
      </c>
    </row>
    <row r="663" spans="1:23" x14ac:dyDescent="0.45">
      <c r="A663" s="64">
        <v>45200</v>
      </c>
      <c r="B663" s="15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COUNTIFS(发射纪录!$B:$B,"&lt;&gt;-",发射纪录!$G:$G,"&gt;="&amp;DATE(YEAR($A663),MONTH($A663),1),发射纪录!$G:$G,"&lt;="&amp;DATE(YEAR($A663),MONTH($A663),DAY(EOMONTH($A663,0))),发射纪录!$N:$N,"&lt;&gt;",发射纪录!$J:$J,"="&amp;发射地月間統計!B$3)</f>
        <v>2</v>
      </c>
      <c r="C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COUNTIFS(发射纪录!$B:$B,"&lt;&gt;-",发射纪录!$G:$G,"&gt;="&amp;DATE(YEAR($A663),MONTH($A663),1),发射纪录!$G:$G,"&lt;="&amp;DATE(YEAR($A663),MONTH($A663),DAY(EOMONTH($A663,0))),发射纪录!$N:$N,"&lt;&gt;",发射纪录!$J:$J,"="&amp;发射地月間統計!C$3)</f>
        <v>0</v>
      </c>
      <c r="D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COUNTIFS(发射纪录!$B:$B,"&lt;&gt;-",发射纪录!$G:$G,"&gt;="&amp;DATE(YEAR($A663),MONTH($A663),1),发射纪录!$G:$G,"&lt;="&amp;DATE(YEAR($A663),MONTH($A663),DAY(EOMONTH($A663,0))),发射纪录!$N:$N,"&lt;&gt;",发射纪录!$J:$J,"="&amp;发射地月間統計!D$3)</f>
        <v>0</v>
      </c>
      <c r="E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COUNTIFS(发射纪录!$B:$B,"&lt;&gt;-",发射纪录!$G:$G,"&gt;="&amp;DATE(YEAR($A663),MONTH($A663),1),发射纪录!$G:$G,"&lt;="&amp;DATE(YEAR($A663),MONTH($A663),DAY(EOMONTH($A663,0))),发射纪录!$N:$N,"&lt;&gt;",发射纪录!$J:$J,"="&amp;发射地月間統計!E$3)</f>
        <v>2</v>
      </c>
      <c r="F663" s="11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COUNTIFS(发射纪录!$B:$B,"&lt;&gt;-",发射纪录!$G:$G,"&gt;="&amp;DATE(YEAR($A663),MONTH($A663),1),发射纪录!$G:$G,"&lt;="&amp;DATE(YEAR($A663),MONTH($A663),DAY(EOMONTH($A663,0))),发射纪录!$N:$N,"&lt;&gt;",发射纪录!$J:$J,"="&amp;发射地月間統計!F$3)</f>
        <v>0</v>
      </c>
      <c r="G663" s="440">
        <f>COUNTIFS(发射纪录!$B:$B,"&lt;&gt;-",发射纪录!$G:$G,"&gt;="&amp;DATE(YEAR($A663),MONTH($A663),1),发射纪录!$G:$G,"&lt;="&amp;DATE(YEAR($A663),MONTH($A663),DAY(EOMONTH($A663,0))),发射纪录!$N:$N,"&lt;&gt;",发射纪录!$J:$J,"="&amp;发射地月間統計!G$3)</f>
        <v>0</v>
      </c>
      <c r="H663" s="8">
        <f t="shared" si="0"/>
        <v>4</v>
      </c>
      <c r="I663" s="11">
        <f ca="1">COUNTIFS(发射纪录!$C:$C,"&lt;&gt;-",发射纪录!$G:$G,"&gt;="&amp;DATE(YEAR($A663),MONTH($A663),1),发射纪录!$G:$G,"&lt;="&amp;DATE(YEAR($A663),MONTH($A663),DAY(EOMONTH($A663,0))),发射纪录!$N:$N,"&lt;&gt;",发射纪录!$J:$J,"="&amp;发射地月間統計!I$3)</f>
        <v>0</v>
      </c>
      <c r="J663" s="11">
        <f ca="1">COUNTIFS(发射纪录!$C:$C,"&lt;&gt;-",发射纪录!$G:$G,"&gt;="&amp;DATE(YEAR($A663),MONTH($A663),1),发射纪录!$G:$G,"&lt;="&amp;DATE(YEAR($A663),MONTH($A663),DAY(EOMONTH($A663,0))),发射纪录!$N:$N,"&lt;&gt;",发射纪录!$J:$J,"="&amp;发射地月間統計!J$3)</f>
        <v>0</v>
      </c>
      <c r="K663" s="11">
        <f ca="1">COUNTIFS(发射纪录!$C:$C,"&lt;&gt;-",发射纪录!$G:$G,"&gt;="&amp;DATE(YEAR($A663),MONTH($A663),1),发射纪录!$G:$G,"&lt;="&amp;DATE(YEAR($A663),MONTH($A663),DAY(EOMONTH($A663,0))),发射纪录!$N:$N,"&lt;&gt;",发射纪录!$J:$J,"="&amp;发射地月間統計!K$3)</f>
        <v>0</v>
      </c>
      <c r="L663" s="11">
        <f ca="1">COUNTIFS(发射纪录!$C:$C,"&lt;&gt;-",发射纪录!$G:$G,"&gt;="&amp;DATE(YEAR($A663),MONTH($A663),1),发射纪录!$G:$G,"&lt;="&amp;DATE(YEAR($A663),MONTH($A663),DAY(EOMONTH($A663,0))),发射纪录!$N:$N,"&lt;&gt;",发射纪录!$J:$J,"="&amp;发射地月間統計!L$3)</f>
        <v>0</v>
      </c>
      <c r="M663" s="11">
        <f ca="1">COUNTIFS(发射纪录!$C:$C,"&lt;&gt;-",发射纪录!$G:$G,"&gt;="&amp;DATE(YEAR($A663),MONTH($A663),1),发射纪录!$G:$G,"&lt;="&amp;DATE(YEAR($A663),MONTH($A663),DAY(EOMONTH($A663,0))),发射纪录!$N:$N,"&lt;&gt;",发射纪录!$J:$J,"="&amp;发射地月間統計!M$3)</f>
        <v>0</v>
      </c>
      <c r="N663" s="440">
        <v>0</v>
      </c>
      <c r="O663" s="8">
        <f t="shared" ca="1" si="1"/>
        <v>0</v>
      </c>
      <c r="P663" s="11">
        <f t="shared" ca="1" si="2"/>
        <v>2</v>
      </c>
      <c r="Q663" s="11">
        <f t="shared" ca="1" si="3"/>
        <v>0</v>
      </c>
      <c r="R663" s="11">
        <f t="shared" ca="1" si="4"/>
        <v>0</v>
      </c>
      <c r="S663" s="11">
        <f t="shared" ca="1" si="5"/>
        <v>2</v>
      </c>
      <c r="T663" s="11">
        <f t="shared" ca="1" si="6"/>
        <v>0</v>
      </c>
      <c r="U663" s="440">
        <v>0</v>
      </c>
      <c r="V663" s="8">
        <f t="shared" ca="1" si="7"/>
        <v>4</v>
      </c>
      <c r="W663" s="31">
        <f t="shared" ca="1" si="10"/>
        <v>49</v>
      </c>
    </row>
    <row r="664" spans="1:23" x14ac:dyDescent="0.45">
      <c r="A664" s="64">
        <v>45231</v>
      </c>
      <c r="B664" s="15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COUNTIFS(发射纪录!$B:$B,"&lt;&gt;-",发射纪录!$G:$G,"&gt;="&amp;DATE(YEAR($A664),MONTH($A664),1),发射纪录!$G:$G,"&lt;="&amp;DATE(YEAR($A664),MONTH($A664),DAY(EOMONTH($A664,0))),发射纪录!$N:$N,"&lt;&gt;",发射纪录!$J:$J,"="&amp;发射地月間統計!B$3)</f>
        <v>1</v>
      </c>
      <c r="C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COUNTIFS(发射纪录!$B:$B,"&lt;&gt;-",发射纪录!$G:$G,"&gt;="&amp;DATE(YEAR($A664),MONTH($A664),1),发射纪录!$G:$G,"&lt;="&amp;DATE(YEAR($A664),MONTH($A664),DAY(EOMONTH($A664,0))),发射纪录!$N:$N,"&lt;&gt;",发射纪录!$J:$J,"="&amp;发射地月間統計!C$3)</f>
        <v>1</v>
      </c>
      <c r="D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COUNTIFS(发射纪录!$B:$B,"&lt;&gt;-",发射纪录!$G:$G,"&gt;="&amp;DATE(YEAR($A664),MONTH($A664),1),发射纪录!$G:$G,"&lt;="&amp;DATE(YEAR($A664),MONTH($A664),DAY(EOMONTH($A664,0))),发射纪录!$N:$N,"&lt;&gt;",发射纪录!$J:$J,"="&amp;发射地月間統計!D$3)</f>
        <v>0</v>
      </c>
      <c r="E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COUNTIFS(发射纪录!$B:$B,"&lt;&gt;-",发射纪录!$G:$G,"&gt;="&amp;DATE(YEAR($A664),MONTH($A664),1),发射纪录!$G:$G,"&lt;="&amp;DATE(YEAR($A664),MONTH($A664),DAY(EOMONTH($A664,0))),发射纪录!$N:$N,"&lt;&gt;",发射纪录!$J:$J,"="&amp;发射地月間統計!E$3)</f>
        <v>2</v>
      </c>
      <c r="F664" s="11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COUNTIFS(发射纪录!$B:$B,"&lt;&gt;-",发射纪录!$G:$G,"&gt;="&amp;DATE(YEAR($A664),MONTH($A664),1),发射纪录!$G:$G,"&lt;="&amp;DATE(YEAR($A664),MONTH($A664),DAY(EOMONTH($A664,0))),发射纪录!$N:$N,"&lt;&gt;",发射纪录!$J:$J,"="&amp;发射地月間統計!F$3)</f>
        <v>1</v>
      </c>
      <c r="G664" s="440">
        <f>COUNTIFS(发射纪录!$B:$B,"&lt;&gt;-",发射纪录!$G:$G,"&gt;="&amp;DATE(YEAR($A664),MONTH($A664),1),发射纪录!$G:$G,"&lt;="&amp;DATE(YEAR($A664),MONTH($A664),DAY(EOMONTH($A664,0))),发射纪录!$N:$N,"&lt;&gt;",发射纪录!$J:$J,"="&amp;发射地月間統計!G$3)</f>
        <v>0</v>
      </c>
      <c r="H664" s="8">
        <f t="shared" si="0"/>
        <v>5</v>
      </c>
      <c r="I664" s="11">
        <f ca="1">COUNTIFS(发射纪录!$C:$C,"&lt;&gt;-",发射纪录!$G:$G,"&gt;="&amp;DATE(YEAR($A664),MONTH($A664),1),发射纪录!$G:$G,"&lt;="&amp;DATE(YEAR($A664),MONTH($A664),DAY(EOMONTH($A664,0))),发射纪录!$N:$N,"&lt;&gt;",发射纪录!$J:$J,"="&amp;发射地月間統計!I$3)</f>
        <v>0</v>
      </c>
      <c r="J664" s="11">
        <f ca="1">COUNTIFS(发射纪录!$C:$C,"&lt;&gt;-",发射纪录!$G:$G,"&gt;="&amp;DATE(YEAR($A664),MONTH($A664),1),发射纪录!$G:$G,"&lt;="&amp;DATE(YEAR($A664),MONTH($A664),DAY(EOMONTH($A664,0))),发射纪录!$N:$N,"&lt;&gt;",发射纪录!$J:$J,"="&amp;发射地月間統計!J$3)</f>
        <v>0</v>
      </c>
      <c r="K664" s="11">
        <f ca="1">COUNTIFS(发射纪录!$C:$C,"&lt;&gt;-",发射纪录!$G:$G,"&gt;="&amp;DATE(YEAR($A664),MONTH($A664),1),发射纪录!$G:$G,"&lt;="&amp;DATE(YEAR($A664),MONTH($A664),DAY(EOMONTH($A664,0))),发射纪录!$N:$N,"&lt;&gt;",发射纪录!$J:$J,"="&amp;发射地月間統計!K$3)</f>
        <v>0</v>
      </c>
      <c r="L664" s="11">
        <f ca="1">COUNTIFS(发射纪录!$C:$C,"&lt;&gt;-",发射纪录!$G:$G,"&gt;="&amp;DATE(YEAR($A664),MONTH($A664),1),发射纪录!$G:$G,"&lt;="&amp;DATE(YEAR($A664),MONTH($A664),DAY(EOMONTH($A664,0))),发射纪录!$N:$N,"&lt;&gt;",发射纪录!$J:$J,"="&amp;发射地月間統計!L$3)</f>
        <v>0</v>
      </c>
      <c r="M664" s="11">
        <f ca="1">COUNTIFS(发射纪录!$C:$C,"&lt;&gt;-",发射纪录!$G:$G,"&gt;="&amp;DATE(YEAR($A664),MONTH($A664),1),发射纪录!$G:$G,"&lt;="&amp;DATE(YEAR($A664),MONTH($A664),DAY(EOMONTH($A664,0))),发射纪录!$N:$N,"&lt;&gt;",发射纪录!$J:$J,"="&amp;发射地月間統計!M$3)</f>
        <v>0</v>
      </c>
      <c r="N664" s="440">
        <v>0</v>
      </c>
      <c r="O664" s="8">
        <f t="shared" ca="1" si="1"/>
        <v>0</v>
      </c>
      <c r="P664" s="11">
        <f t="shared" ca="1" si="2"/>
        <v>1</v>
      </c>
      <c r="Q664" s="11">
        <f t="shared" ca="1" si="3"/>
        <v>1</v>
      </c>
      <c r="R664" s="11">
        <f t="shared" ca="1" si="4"/>
        <v>0</v>
      </c>
      <c r="S664" s="11">
        <f t="shared" ca="1" si="5"/>
        <v>2</v>
      </c>
      <c r="T664" s="11">
        <f t="shared" ca="1" si="6"/>
        <v>1</v>
      </c>
      <c r="U664" s="440">
        <v>0</v>
      </c>
      <c r="V664" s="8">
        <f t="shared" ca="1" si="7"/>
        <v>5</v>
      </c>
      <c r="W664" s="31">
        <f t="shared" ca="1" si="10"/>
        <v>54</v>
      </c>
    </row>
    <row r="665" spans="1:23" x14ac:dyDescent="0.45">
      <c r="A665" s="69">
        <v>45261</v>
      </c>
      <c r="B665" s="16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COUNTIFS(发射纪录!$B:$B,"&lt;&gt;-",发射纪录!$G:$G,"&gt;="&amp;DATE(YEAR($A665),MONTH($A665),1),发射纪录!$G:$G,"&lt;="&amp;DATE(YEAR($A665),MONTH($A665),DAY(EOMONTH($A665,0))),发射纪录!$N:$N,"&lt;&gt;",发射纪录!$J:$J,"="&amp;发射地月間統計!B$3)</f>
        <v>3</v>
      </c>
      <c r="C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COUNTIFS(发射纪录!$B:$B,"&lt;&gt;-",发射纪录!$G:$G,"&gt;="&amp;DATE(YEAR($A665),MONTH($A665),1),发射纪录!$G:$G,"&lt;="&amp;DATE(YEAR($A665),MONTH($A665),DAY(EOMONTH($A665,0))),发射纪录!$N:$N,"&lt;&gt;",发射纪录!$J:$J,"="&amp;发射地月間統計!C$3)</f>
        <v>0</v>
      </c>
      <c r="D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COUNTIFS(发射纪录!$B:$B,"&lt;&gt;-",发射纪录!$G:$G,"&gt;="&amp;DATE(YEAR($A665),MONTH($A665),1),发射纪录!$G:$G,"&lt;="&amp;DATE(YEAR($A665),MONTH($A665),DAY(EOMONTH($A665,0))),发射纪录!$N:$N,"&lt;&gt;",发射纪录!$J:$J,"="&amp;发射地月間統計!D$3)</f>
        <v>1</v>
      </c>
      <c r="E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COUNTIFS(发射纪录!$B:$B,"&lt;&gt;-",发射纪录!$G:$G,"&gt;="&amp;DATE(YEAR($A665),MONTH($A665),1),发射纪录!$G:$G,"&lt;="&amp;DATE(YEAR($A665),MONTH($A665),DAY(EOMONTH($A665,0))),发射纪录!$N:$N,"&lt;&gt;",发射纪录!$J:$J,"="&amp;发射地月間統計!E$3)</f>
        <v>2</v>
      </c>
      <c r="F665" s="42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COUNTIFS(发射纪录!$B:$B,"&lt;&gt;-",发射纪录!$G:$G,"&gt;="&amp;DATE(YEAR($A665),MONTH($A665),1),发射纪录!$G:$G,"&lt;="&amp;DATE(YEAR($A665),MONTH($A665),DAY(EOMONTH($A665,0))),发射纪录!$N:$N,"&lt;&gt;",发射纪录!$J:$J,"="&amp;发射地月間統計!F$3)</f>
        <v>1</v>
      </c>
      <c r="G665" s="438">
        <f>COUNTIFS(发射纪录!$B:$B,"&lt;&gt;-",发射纪录!$G:$G,"&gt;="&amp;DATE(YEAR($A665),MONTH($A665),1),发射纪录!$G:$G,"&lt;="&amp;DATE(YEAR($A665),MONTH($A665),DAY(EOMONTH($A665,0))),发射纪录!$N:$N,"&lt;&gt;",发射纪录!$J:$J,"="&amp;发射地月間統計!G$3)</f>
        <v>0</v>
      </c>
      <c r="H665" s="43">
        <f t="shared" si="0"/>
        <v>7</v>
      </c>
      <c r="I665" s="42">
        <f ca="1">COUNTIFS(发射纪录!$C:$C,"&lt;&gt;-",发射纪录!$G:$G,"&gt;="&amp;DATE(YEAR($A665),MONTH($A665),1),发射纪录!$G:$G,"&lt;="&amp;DATE(YEAR($A665),MONTH($A665),DAY(EOMONTH($A665,0))),发射纪录!$N:$N,"&lt;&gt;",发射纪录!$J:$J,"="&amp;发射地月間統計!I$3)</f>
        <v>5</v>
      </c>
      <c r="J665" s="42">
        <f ca="1">COUNTIFS(发射纪录!$C:$C,"&lt;&gt;-",发射纪录!$G:$G,"&gt;="&amp;DATE(YEAR($A665),MONTH($A665),1),发射纪录!$G:$G,"&lt;="&amp;DATE(YEAR($A665),MONTH($A665),DAY(EOMONTH($A665,0))),发射纪录!$N:$N,"&lt;&gt;",发射纪录!$J:$J,"="&amp;发射地月間統計!J$3)</f>
        <v>0</v>
      </c>
      <c r="K665" s="42">
        <f ca="1">COUNTIFS(发射纪录!$C:$C,"&lt;&gt;-",发射纪录!$G:$G,"&gt;="&amp;DATE(YEAR($A665),MONTH($A665),1),发射纪录!$G:$G,"&lt;="&amp;DATE(YEAR($A665),MONTH($A665),DAY(EOMONTH($A665,0))),发射纪录!$N:$N,"&lt;&gt;",发射纪录!$J:$J,"="&amp;发射地月間統計!K$3)</f>
        <v>1</v>
      </c>
      <c r="L665" s="42">
        <f ca="1">COUNTIFS(发射纪录!$C:$C,"&lt;&gt;-",发射纪录!$G:$G,"&gt;="&amp;DATE(YEAR($A665),MONTH($A665),1),发射纪录!$G:$G,"&lt;="&amp;DATE(YEAR($A665),MONTH($A665),DAY(EOMONTH($A665,0))),发射纪录!$N:$N,"&lt;&gt;",发射纪录!$J:$J,"="&amp;发射地月間統計!L$3)</f>
        <v>0</v>
      </c>
      <c r="M665" s="42">
        <f ca="1">COUNTIFS(发射纪录!$C:$C,"&lt;&gt;-",发射纪录!$G:$G,"&gt;="&amp;DATE(YEAR($A665),MONTH($A665),1),发射纪录!$G:$G,"&lt;="&amp;DATE(YEAR($A665),MONTH($A665),DAY(EOMONTH($A665,0))),发射纪录!$N:$N,"&lt;&gt;",发射纪录!$J:$J,"="&amp;发射地月間統計!M$3)</f>
        <v>0</v>
      </c>
      <c r="N665" s="438">
        <v>0</v>
      </c>
      <c r="O665" s="43">
        <f t="shared" ca="1" si="1"/>
        <v>6</v>
      </c>
      <c r="P665" s="42">
        <f t="shared" ca="1" si="2"/>
        <v>8</v>
      </c>
      <c r="Q665" s="42">
        <f t="shared" ca="1" si="3"/>
        <v>0</v>
      </c>
      <c r="R665" s="42">
        <f t="shared" ca="1" si="4"/>
        <v>2</v>
      </c>
      <c r="S665" s="42">
        <f t="shared" ca="1" si="5"/>
        <v>2</v>
      </c>
      <c r="T665" s="42">
        <f t="shared" ca="1" si="6"/>
        <v>1</v>
      </c>
      <c r="U665" s="438">
        <v>0</v>
      </c>
      <c r="V665" s="43">
        <f t="shared" ca="1" si="7"/>
        <v>13</v>
      </c>
      <c r="W665" s="44">
        <f t="shared" ca="1" si="10"/>
        <v>67</v>
      </c>
    </row>
    <row r="666" spans="1:23" ht="19.5" customHeight="1" thickBot="1" x14ac:dyDescent="0.5">
      <c r="A666" s="67" t="s">
        <v>853</v>
      </c>
      <c r="B666" s="39">
        <f t="shared" ref="B666:G666" si="11">SUM(B654:B665)</f>
        <v>19</v>
      </c>
      <c r="C666" s="40">
        <f t="shared" si="11"/>
        <v>9</v>
      </c>
      <c r="D666" s="40">
        <f t="shared" si="11"/>
        <v>1</v>
      </c>
      <c r="E666" s="40">
        <f t="shared" si="11"/>
        <v>14</v>
      </c>
      <c r="F666" s="40">
        <f t="shared" si="11"/>
        <v>4</v>
      </c>
      <c r="G666" s="439">
        <f t="shared" si="11"/>
        <v>0</v>
      </c>
      <c r="H666" s="41">
        <f t="shared" si="0"/>
        <v>47</v>
      </c>
      <c r="I666" s="40">
        <f ca="1">SUM(I654:I665)</f>
        <v>17</v>
      </c>
      <c r="J666" s="40">
        <f ca="1">SUM(J654:J665)</f>
        <v>0</v>
      </c>
      <c r="K666" s="40">
        <f ca="1">SUM(K654:K665)</f>
        <v>2</v>
      </c>
      <c r="L666" s="40">
        <f ca="1">SUM(L654:L665)</f>
        <v>1</v>
      </c>
      <c r="M666" s="40">
        <f ca="1">SUM(M654:M665)</f>
        <v>0</v>
      </c>
      <c r="N666" s="439">
        <v>0</v>
      </c>
      <c r="O666" s="41">
        <f t="shared" ca="1" si="1"/>
        <v>20</v>
      </c>
      <c r="P666" s="40">
        <f t="shared" ca="1" si="2"/>
        <v>36</v>
      </c>
      <c r="Q666" s="40">
        <f t="shared" ca="1" si="3"/>
        <v>9</v>
      </c>
      <c r="R666" s="40">
        <f t="shared" ca="1" si="4"/>
        <v>3</v>
      </c>
      <c r="S666" s="40">
        <f t="shared" ca="1" si="5"/>
        <v>15</v>
      </c>
      <c r="T666" s="40">
        <f t="shared" ca="1" si="6"/>
        <v>4</v>
      </c>
      <c r="U666" s="439">
        <v>0</v>
      </c>
      <c r="V666" s="41">
        <f t="shared" ca="1" si="7"/>
        <v>67</v>
      </c>
      <c r="W666" s="52"/>
    </row>
    <row r="667" spans="1:23" ht="19.5" customHeight="1" thickTop="1" x14ac:dyDescent="0.45">
      <c r="A667" s="68">
        <v>45292</v>
      </c>
      <c r="B667" s="32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COUNTIFS(发射纪录!$B:$B,"&lt;&gt;-",发射纪录!$G:$G,"&gt;="&amp;DATE(YEAR($A667),MONTH($A667),1),发射纪录!$G:$G,"&lt;="&amp;DATE(YEAR($A667),MONTH($A667),DAY(EOMONTH($A667,0))),发射纪录!$N:$N,"&lt;&gt;",发射纪录!$J:$J,"="&amp;发射地月間統計!B$3)</f>
        <v>0</v>
      </c>
      <c r="C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COUNTIFS(发射纪录!$B:$B,"&lt;&gt;-",发射纪录!$G:$G,"&gt;="&amp;DATE(YEAR($A667),MONTH($A667),1),发射纪录!$G:$G,"&lt;="&amp;DATE(YEAR($A667),MONTH($A667),DAY(EOMONTH($A667,0))),发射纪录!$N:$N,"&lt;&gt;",发射纪录!$J:$J,"="&amp;发射地月間統計!C$3)</f>
        <v>0</v>
      </c>
      <c r="D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COUNTIFS(发射纪录!$B:$B,"&lt;&gt;-",发射纪录!$G:$G,"&gt;="&amp;DATE(YEAR($A667),MONTH($A667),1),发射纪录!$G:$G,"&lt;="&amp;DATE(YEAR($A667),MONTH($A667),DAY(EOMONTH($A667,0))),发射纪录!$N:$N,"&lt;&gt;",发射纪录!$J:$J,"="&amp;发射地月間統計!D$3)</f>
        <v>0</v>
      </c>
      <c r="E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COUNTIFS(发射纪录!$B:$B,"&lt;&gt;-",发射纪录!$G:$G,"&gt;="&amp;DATE(YEAR($A667),MONTH($A667),1),发射纪录!$G:$G,"&lt;="&amp;DATE(YEAR($A667),MONTH($A667),DAY(EOMONTH($A667,0))),发射纪录!$N:$N,"&lt;&gt;",发射纪录!$J:$J,"="&amp;发射地月間統計!E$3)</f>
        <v>1</v>
      </c>
      <c r="F667" s="34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COUNTIFS(发射纪录!$B:$B,"&lt;&gt;-",发射纪录!$G:$G,"&gt;="&amp;DATE(YEAR($A667),MONTH($A667),1),发射纪录!$G:$G,"&lt;="&amp;DATE(YEAR($A667),MONTH($A667),DAY(EOMONTH($A667,0))),发射纪录!$N:$N,"&lt;&gt;",发射纪录!$J:$J,"="&amp;发射地月間統計!F$3)</f>
        <v>1</v>
      </c>
      <c r="G667" s="441">
        <f>COUNTIFS(发射纪录!$B:$B,"&lt;&gt;-",发射纪录!$G:$G,"&gt;="&amp;DATE(YEAR($A667),MONTH($A667),1),发射纪录!$G:$G,"&lt;="&amp;DATE(YEAR($A667),MONTH($A667),DAY(EOMONTH($A667,0))),发射纪录!$N:$N,"&lt;&gt;",发射纪录!$J:$J,"="&amp;发射地月間統計!G$3)</f>
        <v>0</v>
      </c>
      <c r="H667" s="33">
        <f t="shared" ref="H667:H678" si="12">SUM(B667:F667)</f>
        <v>2</v>
      </c>
      <c r="I667" s="34">
        <f ca="1">COUNTIFS(发射纪录!$C:$C,"&lt;&gt;-",发射纪录!$G:$G,"&gt;="&amp;DATE(YEAR($A667),MONTH($A667),1),发射纪录!$G:$G,"&lt;="&amp;DATE(YEAR($A667),MONTH($A667),DAY(EOMONTH($A667,0))),发射纪录!$N:$N,"&lt;&gt;",发射纪录!$J:$J,"="&amp;发射地月間統計!I$3)</f>
        <v>3</v>
      </c>
      <c r="J667" s="34">
        <f ca="1">COUNTIFS(发射纪录!$C:$C,"&lt;&gt;-",发射纪录!$G:$G,"&gt;="&amp;DATE(YEAR($A667),MONTH($A667),1),发射纪录!$G:$G,"&lt;="&amp;DATE(YEAR($A667),MONTH($A667),DAY(EOMONTH($A667,0))),发射纪录!$N:$N,"&lt;&gt;",发射纪录!$J:$J,"="&amp;发射地月間統計!J$3)</f>
        <v>0</v>
      </c>
      <c r="K667" s="34">
        <f ca="1">COUNTIFS(发射纪录!$C:$C,"&lt;&gt;-",发射纪录!$G:$G,"&gt;="&amp;DATE(YEAR($A667),MONTH($A667),1),发射纪录!$G:$G,"&lt;="&amp;DATE(YEAR($A667),MONTH($A667),DAY(EOMONTH($A667,0))),发射纪录!$N:$N,"&lt;&gt;",发射纪录!$J:$J,"="&amp;发射地月間統計!K$3)</f>
        <v>1</v>
      </c>
      <c r="L667" s="34">
        <f ca="1">COUNTIFS(发射纪录!$C:$C,"&lt;&gt;-",发射纪录!$G:$G,"&gt;="&amp;DATE(YEAR($A667),MONTH($A667),1),发射纪录!$G:$G,"&lt;="&amp;DATE(YEAR($A667),MONTH($A667),DAY(EOMONTH($A667,0))),发射纪录!$N:$N,"&lt;&gt;",发射纪录!$J:$J,"="&amp;发射地月間統計!L$3)</f>
        <v>0</v>
      </c>
      <c r="M667" s="34">
        <f ca="1">COUNTIFS(发射纪录!$C:$C,"&lt;&gt;-",发射纪录!$G:$G,"&gt;="&amp;DATE(YEAR($A667),MONTH($A667),1),发射纪录!$G:$G,"&lt;="&amp;DATE(YEAR($A667),MONTH($A667),DAY(EOMONTH($A667,0))),发射纪录!$N:$N,"&lt;&gt;",发射纪录!$J:$J,"="&amp;发射地月間統計!M$3)</f>
        <v>0</v>
      </c>
      <c r="N667" s="441">
        <v>0</v>
      </c>
      <c r="O667" s="33">
        <f t="shared" ref="O667:O679" ca="1" si="13">SUM(I667:M667)</f>
        <v>4</v>
      </c>
      <c r="P667" s="35">
        <f t="shared" ref="P667:P679" ca="1" si="14">B667+I667</f>
        <v>3</v>
      </c>
      <c r="Q667" s="35">
        <f t="shared" ref="Q667:Q679" ca="1" si="15">C667+J667</f>
        <v>0</v>
      </c>
      <c r="R667" s="34">
        <f t="shared" ref="R667:R679" ca="1" si="16">D667+K667</f>
        <v>1</v>
      </c>
      <c r="S667" s="35">
        <f t="shared" ref="S667:S679" ca="1" si="17">E667+L667</f>
        <v>1</v>
      </c>
      <c r="T667" s="35">
        <f t="shared" ref="T667:U679" ca="1" si="18">F667+M667</f>
        <v>1</v>
      </c>
      <c r="U667" s="447">
        <v>0</v>
      </c>
      <c r="V667" s="33">
        <f t="shared" ref="V667:V678" ca="1" si="19">SUM(P667:T667)</f>
        <v>6</v>
      </c>
      <c r="W667" s="36">
        <f ca="1">V667</f>
        <v>6</v>
      </c>
    </row>
    <row r="668" spans="1:23" x14ac:dyDescent="0.45">
      <c r="A668" s="64">
        <v>45323</v>
      </c>
      <c r="B668" s="15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COUNTIFS(发射纪录!$B:$B,"&lt;&gt;-",发射纪录!$G:$G,"&gt;="&amp;DATE(YEAR($A668),MONTH($A668),1),发射纪录!$G:$G,"&lt;="&amp;DATE(YEAR($A668),MONTH($A668),DAY(EOMONTH($A668,0))),发射纪录!$N:$N,"&lt;&gt;",发射纪录!$J:$J,"="&amp;发射地月間統計!B$3)</f>
        <v>0</v>
      </c>
      <c r="C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COUNTIFS(发射纪录!$B:$B,"&lt;&gt;-",发射纪录!$G:$G,"&gt;="&amp;DATE(YEAR($A668),MONTH($A668),1),发射纪录!$G:$G,"&lt;="&amp;DATE(YEAR($A668),MONTH($A668),DAY(EOMONTH($A668,0))),发射纪录!$N:$N,"&lt;&gt;",发射纪录!$J:$J,"="&amp;发射地月間統計!C$3)</f>
        <v>0</v>
      </c>
      <c r="D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COUNTIFS(发射纪录!$B:$B,"&lt;&gt;-",发射纪录!$G:$G,"&gt;="&amp;DATE(YEAR($A668),MONTH($A668),1),发射纪录!$G:$G,"&lt;="&amp;DATE(YEAR($A668),MONTH($A668),DAY(EOMONTH($A668,0))),发射纪录!$N:$N,"&lt;&gt;",发射纪录!$J:$J,"="&amp;发射地月間統計!D$3)</f>
        <v>0</v>
      </c>
      <c r="E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COUNTIFS(发射纪录!$B:$B,"&lt;&gt;-",发射纪录!$G:$G,"&gt;="&amp;DATE(YEAR($A668),MONTH($A668),1),发射纪录!$G:$G,"&lt;="&amp;DATE(YEAR($A668),MONTH($A668),DAY(EOMONTH($A668,0))),发射纪录!$N:$N,"&lt;&gt;",发射纪录!$J:$J,"="&amp;发射地月間統計!E$3)</f>
        <v>2</v>
      </c>
      <c r="F668" s="11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COUNTIFS(发射纪录!$B:$B,"&lt;&gt;-",发射纪录!$G:$G,"&gt;="&amp;DATE(YEAR($A668),MONTH($A668),1),发射纪录!$G:$G,"&lt;="&amp;DATE(YEAR($A668),MONTH($A668),DAY(EOMONTH($A668,0))),发射纪录!$N:$N,"&lt;&gt;",发射纪录!$J:$J,"="&amp;发射地月間統計!F$3)</f>
        <v>1</v>
      </c>
      <c r="G668" s="440">
        <f>COUNTIFS(发射纪录!$B:$B,"&lt;&gt;-",发射纪录!$G:$G,"&gt;="&amp;DATE(YEAR($A668),MONTH($A668),1),发射纪录!$G:$G,"&lt;="&amp;DATE(YEAR($A668),MONTH($A668),DAY(EOMONTH($A668,0))),发射纪录!$N:$N,"&lt;&gt;",发射纪录!$J:$J,"="&amp;发射地月間統計!G$3)</f>
        <v>0</v>
      </c>
      <c r="H668" s="8">
        <f t="shared" si="12"/>
        <v>3</v>
      </c>
      <c r="I668" s="11">
        <f ca="1">COUNTIFS(发射纪录!$C:$C,"&lt;&gt;-",发射纪录!$G:$G,"&gt;="&amp;DATE(YEAR($A668),MONTH($A668),1),发射纪录!$G:$G,"&lt;="&amp;DATE(YEAR($A668),MONTH($A668),DAY(EOMONTH($A668,0))),发射纪录!$N:$N,"&lt;&gt;",发射纪录!$J:$J,"="&amp;发射地月間統計!I$3)</f>
        <v>0</v>
      </c>
      <c r="J668" s="11">
        <f ca="1">COUNTIFS(发射纪录!$C:$C,"&lt;&gt;-",发射纪录!$G:$G,"&gt;="&amp;DATE(YEAR($A668),MONTH($A668),1),发射纪录!$G:$G,"&lt;="&amp;DATE(YEAR($A668),MONTH($A668),DAY(EOMONTH($A668,0))),发射纪录!$N:$N,"&lt;&gt;",发射纪录!$J:$J,"="&amp;发射地月間統計!J$3)</f>
        <v>0</v>
      </c>
      <c r="K668" s="11">
        <f ca="1">COUNTIFS(发射纪录!$C:$C,"&lt;&gt;-",发射纪录!$G:$G,"&gt;="&amp;DATE(YEAR($A668),MONTH($A668),1),发射纪录!$G:$G,"&lt;="&amp;DATE(YEAR($A668),MONTH($A668),DAY(EOMONTH($A668,0))),发射纪录!$N:$N,"&lt;&gt;",发射纪录!$J:$J,"="&amp;发射地月間統計!K$3)</f>
        <v>1</v>
      </c>
      <c r="L668" s="11">
        <f ca="1">COUNTIFS(发射纪录!$C:$C,"&lt;&gt;-",发射纪录!$G:$G,"&gt;="&amp;DATE(YEAR($A668),MONTH($A668),1),发射纪录!$G:$G,"&lt;="&amp;DATE(YEAR($A668),MONTH($A668),DAY(EOMONTH($A668,0))),发射纪录!$N:$N,"&lt;&gt;",发射纪录!$J:$J,"="&amp;发射地月間統計!L$3)</f>
        <v>0</v>
      </c>
      <c r="M668" s="11">
        <f ca="1">COUNTIFS(发射纪录!$C:$C,"&lt;&gt;-",发射纪录!$G:$G,"&gt;="&amp;DATE(YEAR($A668),MONTH($A668),1),发射纪录!$G:$G,"&lt;="&amp;DATE(YEAR($A668),MONTH($A668),DAY(EOMONTH($A668,0))),发射纪录!$N:$N,"&lt;&gt;",发射纪录!$J:$J,"="&amp;发射地月間統計!M$3)</f>
        <v>0</v>
      </c>
      <c r="N668" s="440">
        <v>0</v>
      </c>
      <c r="O668" s="8">
        <f t="shared" ca="1" si="13"/>
        <v>1</v>
      </c>
      <c r="P668" s="30">
        <f t="shared" ca="1" si="14"/>
        <v>0</v>
      </c>
      <c r="Q668" s="30">
        <f t="shared" ca="1" si="15"/>
        <v>0</v>
      </c>
      <c r="R668" s="11">
        <f t="shared" ca="1" si="16"/>
        <v>1</v>
      </c>
      <c r="S668" s="30">
        <f t="shared" ca="1" si="17"/>
        <v>2</v>
      </c>
      <c r="T668" s="30">
        <f t="shared" ca="1" si="18"/>
        <v>1</v>
      </c>
      <c r="U668" s="445">
        <v>0</v>
      </c>
      <c r="V668" s="8">
        <f t="shared" ca="1" si="19"/>
        <v>4</v>
      </c>
      <c r="W668" s="31">
        <f t="shared" ref="W668:W678" ca="1" si="20">V668+W667</f>
        <v>10</v>
      </c>
    </row>
    <row r="669" spans="1:23" x14ac:dyDescent="0.45">
      <c r="A669" s="64">
        <v>45352</v>
      </c>
      <c r="B669" s="15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COUNTIFS(发射纪录!$B:$B,"&lt;&gt;-",发射纪录!$G:$G,"&gt;="&amp;DATE(YEAR($A669),MONTH($A669),1),发射纪录!$G:$G,"&lt;="&amp;DATE(YEAR($A669),MONTH($A669),DAY(EOMONTH($A669,0))),发射纪录!$N:$N,"&lt;&gt;",发射纪录!$J:$J,"="&amp;发射地月間統計!B$3)</f>
        <v>1</v>
      </c>
      <c r="C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COUNTIFS(发射纪录!$B:$B,"&lt;&gt;-",发射纪录!$G:$G,"&gt;="&amp;DATE(YEAR($A669),MONTH($A669),1),发射纪录!$G:$G,"&lt;="&amp;DATE(YEAR($A669),MONTH($A669),DAY(EOMONTH($A669,0))),发射纪录!$N:$N,"&lt;&gt;",发射纪录!$J:$J,"="&amp;发射地月間統計!C$3)</f>
        <v>1</v>
      </c>
      <c r="D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COUNTIFS(发射纪录!$B:$B,"&lt;&gt;-",发射纪录!$G:$G,"&gt;="&amp;DATE(YEAR($A669),MONTH($A669),1),发射纪录!$G:$G,"&lt;="&amp;DATE(YEAR($A669),MONTH($A669),DAY(EOMONTH($A669,0))),发射纪录!$N:$N,"&lt;&gt;",发射纪录!$J:$J,"="&amp;发射地月間統計!D$3)</f>
        <v>0</v>
      </c>
      <c r="E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COUNTIFS(发射纪录!$B:$B,"&lt;&gt;-",发射纪录!$G:$G,"&gt;="&amp;DATE(YEAR($A669),MONTH($A669),1),发射纪录!$G:$G,"&lt;="&amp;DATE(YEAR($A669),MONTH($A669),DAY(EOMONTH($A669,0))),发射纪录!$N:$N,"&lt;&gt;",发射纪录!$J:$J,"="&amp;发射地月間統計!E$3)</f>
        <v>1</v>
      </c>
      <c r="F669" s="11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COUNTIFS(发射纪录!$B:$B,"&lt;&gt;-",发射纪录!$G:$G,"&gt;="&amp;DATE(YEAR($A669),MONTH($A669),1),发射纪录!$G:$G,"&lt;="&amp;DATE(YEAR($A669),MONTH($A669),DAY(EOMONTH($A669,0))),发射纪录!$N:$N,"&lt;&gt;",发射纪录!$J:$J,"="&amp;发射地月間統計!F$3)</f>
        <v>1</v>
      </c>
      <c r="G669" s="440">
        <f>COUNTIFS(发射纪录!$B:$B,"&lt;&gt;-",发射纪录!$G:$G,"&gt;="&amp;DATE(YEAR($A669),MONTH($A669),1),发射纪录!$G:$G,"&lt;="&amp;DATE(YEAR($A669),MONTH($A669),DAY(EOMONTH($A669,0))),发射纪录!$N:$N,"&lt;&gt;",发射纪录!$J:$J,"="&amp;发射地月間統計!G$3)</f>
        <v>0</v>
      </c>
      <c r="H669" s="8">
        <f t="shared" si="12"/>
        <v>4</v>
      </c>
      <c r="I669" s="11">
        <f ca="1">COUNTIFS(发射纪录!$C:$C,"&lt;&gt;-",发射纪录!$G:$G,"&gt;="&amp;DATE(YEAR($A669),MONTH($A669),1),发射纪录!$G:$G,"&lt;="&amp;DATE(YEAR($A669),MONTH($A669),DAY(EOMONTH($A669,0))),发射纪录!$N:$N,"&lt;&gt;",发射纪录!$J:$J,"="&amp;发射地月間統計!I$3)</f>
        <v>0</v>
      </c>
      <c r="J669" s="11">
        <f ca="1">COUNTIFS(发射纪录!$C:$C,"&lt;&gt;-",发射纪录!$G:$G,"&gt;="&amp;DATE(YEAR($A669),MONTH($A669),1),发射纪录!$G:$G,"&lt;="&amp;DATE(YEAR($A669),MONTH($A669),DAY(EOMONTH($A669,0))),发射纪录!$N:$N,"&lt;&gt;",发射纪录!$J:$J,"="&amp;发射地月間統計!J$3)</f>
        <v>0</v>
      </c>
      <c r="K669" s="11">
        <f ca="1">COUNTIFS(发射纪录!$C:$C,"&lt;&gt;-",发射纪录!$G:$G,"&gt;="&amp;DATE(YEAR($A669),MONTH($A669),1),发射纪录!$G:$G,"&lt;="&amp;DATE(YEAR($A669),MONTH($A669),DAY(EOMONTH($A669,0))),发射纪录!$N:$N,"&lt;&gt;",发射纪录!$J:$J,"="&amp;发射地月間統計!K$3)</f>
        <v>0</v>
      </c>
      <c r="L669" s="11">
        <f ca="1">COUNTIFS(发射纪录!$C:$C,"&lt;&gt;-",发射纪录!$G:$G,"&gt;="&amp;DATE(YEAR($A669),MONTH($A669),1),发射纪录!$G:$G,"&lt;="&amp;DATE(YEAR($A669),MONTH($A669),DAY(EOMONTH($A669,0))),发射纪录!$N:$N,"&lt;&gt;",发射纪录!$J:$J,"="&amp;发射地月間統計!L$3)</f>
        <v>0</v>
      </c>
      <c r="M669" s="11">
        <f ca="1">COUNTIFS(发射纪录!$C:$C,"&lt;&gt;-",发射纪录!$G:$G,"&gt;="&amp;DATE(YEAR($A669),MONTH($A669),1),发射纪录!$G:$G,"&lt;="&amp;DATE(YEAR($A669),MONTH($A669),DAY(EOMONTH($A669,0))),发射纪录!$N:$N,"&lt;&gt;",发射纪录!$J:$J,"="&amp;发射地月間統計!M$3)</f>
        <v>0</v>
      </c>
      <c r="N669" s="440">
        <v>0</v>
      </c>
      <c r="O669" s="8">
        <f t="shared" ca="1" si="13"/>
        <v>0</v>
      </c>
      <c r="P669" s="11">
        <f t="shared" ca="1" si="14"/>
        <v>1</v>
      </c>
      <c r="Q669" s="11">
        <f t="shared" ca="1" si="15"/>
        <v>1</v>
      </c>
      <c r="R669" s="11">
        <f t="shared" ca="1" si="16"/>
        <v>0</v>
      </c>
      <c r="S669" s="11">
        <f t="shared" ca="1" si="17"/>
        <v>1</v>
      </c>
      <c r="T669" s="11">
        <f t="shared" ca="1" si="18"/>
        <v>1</v>
      </c>
      <c r="U669" s="440">
        <v>0</v>
      </c>
      <c r="V669" s="8">
        <f t="shared" ca="1" si="19"/>
        <v>4</v>
      </c>
      <c r="W669" s="31">
        <f t="shared" ca="1" si="20"/>
        <v>14</v>
      </c>
    </row>
    <row r="670" spans="1:23" x14ac:dyDescent="0.45">
      <c r="A670" s="64">
        <v>45383</v>
      </c>
      <c r="B670" s="15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COUNTIFS(发射纪录!$B:$B,"&lt;&gt;-",发射纪录!$G:$G,"&gt;="&amp;DATE(YEAR($A670),MONTH($A670),1),发射纪录!$G:$G,"&lt;="&amp;DATE(YEAR($A670),MONTH($A670),DAY(EOMONTH($A670,0))),发射纪录!$N:$N,"&lt;&gt;",发射纪录!$J:$J,"="&amp;发射地月間統計!B$3)</f>
        <v>2</v>
      </c>
      <c r="C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COUNTIFS(发射纪录!$B:$B,"&lt;&gt;-",发射纪录!$G:$G,"&gt;="&amp;DATE(YEAR($A670),MONTH($A670),1),发射纪录!$G:$G,"&lt;="&amp;DATE(YEAR($A670),MONTH($A670),DAY(EOMONTH($A670,0))),发射纪录!$N:$N,"&lt;&gt;",发射纪录!$J:$J,"="&amp;发射地月間統計!C$3)</f>
        <v>0</v>
      </c>
      <c r="D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COUNTIFS(发射纪录!$B:$B,"&lt;&gt;-",发射纪录!$G:$G,"&gt;="&amp;DATE(YEAR($A670),MONTH($A670),1),发射纪录!$G:$G,"&lt;="&amp;DATE(YEAR($A670),MONTH($A670),DAY(EOMONTH($A670,0))),发射纪录!$N:$N,"&lt;&gt;",发射纪录!$J:$J,"="&amp;发射地月間統計!D$3)</f>
        <v>0</v>
      </c>
      <c r="E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COUNTIFS(发射纪录!$B:$B,"&lt;&gt;-",发射纪录!$G:$G,"&gt;="&amp;DATE(YEAR($A670),MONTH($A670),1),发射纪录!$G:$G,"&lt;="&amp;DATE(YEAR($A670),MONTH($A670),DAY(EOMONTH($A670,0))),发射纪录!$N:$N,"&lt;&gt;",发射纪录!$J:$J,"="&amp;发射地月間統計!E$3)</f>
        <v>2</v>
      </c>
      <c r="F670" s="11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COUNTIFS(发射纪录!$B:$B,"&lt;&gt;-",发射纪录!$G:$G,"&gt;="&amp;DATE(YEAR($A670),MONTH($A670),1),发射纪录!$G:$G,"&lt;="&amp;DATE(YEAR($A670),MONTH($A670),DAY(EOMONTH($A670,0))),发射纪录!$N:$N,"&lt;&gt;",发射纪录!$J:$J,"="&amp;发射地月間統計!F$3)</f>
        <v>0</v>
      </c>
      <c r="G670" s="440">
        <f>COUNTIFS(发射纪录!$B:$B,"&lt;&gt;-",发射纪录!$G:$G,"&gt;="&amp;DATE(YEAR($A670),MONTH($A670),1),发射纪录!$G:$G,"&lt;="&amp;DATE(YEAR($A670),MONTH($A670),DAY(EOMONTH($A670,0))),发射纪录!$N:$N,"&lt;&gt;",发射纪录!$J:$J,"="&amp;发射地月間統計!G$3)</f>
        <v>0</v>
      </c>
      <c r="H670" s="8">
        <f t="shared" si="12"/>
        <v>4</v>
      </c>
      <c r="I670" s="11">
        <f ca="1">COUNTIFS(发射纪录!$C:$C,"&lt;&gt;-",发射纪录!$G:$G,"&gt;="&amp;DATE(YEAR($A670),MONTH($A670),1),发射纪录!$G:$G,"&lt;="&amp;DATE(YEAR($A670),MONTH($A670),DAY(EOMONTH($A670,0))),发射纪录!$N:$N,"&lt;&gt;",发射纪录!$J:$J,"="&amp;发射地月間統計!I$3)</f>
        <v>0</v>
      </c>
      <c r="J670" s="11">
        <f ca="1">COUNTIFS(发射纪录!$C:$C,"&lt;&gt;-",发射纪录!$G:$G,"&gt;="&amp;DATE(YEAR($A670),MONTH($A670),1),发射纪录!$G:$G,"&lt;="&amp;DATE(YEAR($A670),MONTH($A670),DAY(EOMONTH($A670,0))),发射纪录!$N:$N,"&lt;&gt;",发射纪录!$J:$J,"="&amp;发射地月間統計!J$3)</f>
        <v>0</v>
      </c>
      <c r="K670" s="11">
        <f ca="1">COUNTIFS(发射纪录!$C:$C,"&lt;&gt;-",发射纪录!$G:$G,"&gt;="&amp;DATE(YEAR($A670),MONTH($A670),1),发射纪录!$G:$G,"&lt;="&amp;DATE(YEAR($A670),MONTH($A670),DAY(EOMONTH($A670,0))),发射纪录!$N:$N,"&lt;&gt;",发射纪录!$J:$J,"="&amp;发射地月間統計!K$3)</f>
        <v>0</v>
      </c>
      <c r="L670" s="11">
        <f ca="1">COUNTIFS(发射纪录!$C:$C,"&lt;&gt;-",发射纪录!$G:$G,"&gt;="&amp;DATE(YEAR($A670),MONTH($A670),1),发射纪录!$G:$G,"&lt;="&amp;DATE(YEAR($A670),MONTH($A670),DAY(EOMONTH($A670,0))),发射纪录!$N:$N,"&lt;&gt;",发射纪录!$J:$J,"="&amp;发射地月間統計!L$3)</f>
        <v>0</v>
      </c>
      <c r="M670" s="11">
        <f ca="1">COUNTIFS(发射纪录!$C:$C,"&lt;&gt;-",发射纪录!$G:$G,"&gt;="&amp;DATE(YEAR($A670),MONTH($A670),1),发射纪录!$G:$G,"&lt;="&amp;DATE(YEAR($A670),MONTH($A670),DAY(EOMONTH($A670,0))),发射纪录!$N:$N,"&lt;&gt;",发射纪录!$J:$J,"="&amp;发射地月間統計!M$3)</f>
        <v>0</v>
      </c>
      <c r="N670" s="440">
        <v>0</v>
      </c>
      <c r="O670" s="8">
        <f t="shared" ca="1" si="13"/>
        <v>0</v>
      </c>
      <c r="P670" s="11">
        <f t="shared" ca="1" si="14"/>
        <v>2</v>
      </c>
      <c r="Q670" s="11">
        <f t="shared" ca="1" si="15"/>
        <v>0</v>
      </c>
      <c r="R670" s="11">
        <f t="shared" ca="1" si="16"/>
        <v>0</v>
      </c>
      <c r="S670" s="11">
        <f t="shared" ca="1" si="17"/>
        <v>2</v>
      </c>
      <c r="T670" s="11">
        <f t="shared" ca="1" si="18"/>
        <v>0</v>
      </c>
      <c r="U670" s="440">
        <v>0</v>
      </c>
      <c r="V670" s="8">
        <f t="shared" ca="1" si="19"/>
        <v>4</v>
      </c>
      <c r="W670" s="31">
        <f t="shared" ca="1" si="20"/>
        <v>18</v>
      </c>
    </row>
    <row r="671" spans="1:23" x14ac:dyDescent="0.45">
      <c r="A671" s="64">
        <v>45413</v>
      </c>
      <c r="B671" s="15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COUNTIFS(发射纪录!$B:$B,"&lt;&gt;-",发射纪录!$G:$G,"&gt;="&amp;DATE(YEAR($A671),MONTH($A671),1),发射纪录!$G:$G,"&lt;="&amp;DATE(YEAR($A671),MONTH($A671),DAY(EOMONTH($A671,0))),发射纪录!$N:$N,"&lt;&gt;",发射纪录!$J:$J,"="&amp;发射地月間統計!B$3)</f>
        <v>1</v>
      </c>
      <c r="C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COUNTIFS(发射纪录!$B:$B,"&lt;&gt;-",发射纪录!$G:$G,"&gt;="&amp;DATE(YEAR($A671),MONTH($A671),1),发射纪录!$G:$G,"&lt;="&amp;DATE(YEAR($A671),MONTH($A671),DAY(EOMONTH($A671,0))),发射纪录!$N:$N,"&lt;&gt;",发射纪录!$J:$J,"="&amp;发射地月間統計!C$3)</f>
        <v>2</v>
      </c>
      <c r="D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COUNTIFS(发射纪录!$B:$B,"&lt;&gt;-",发射纪录!$G:$G,"&gt;="&amp;DATE(YEAR($A671),MONTH($A671),1),发射纪录!$G:$G,"&lt;="&amp;DATE(YEAR($A671),MONTH($A671),DAY(EOMONTH($A671,0))),发射纪录!$N:$N,"&lt;&gt;",发射纪录!$J:$J,"="&amp;发射地月間統計!D$3)</f>
        <v>0</v>
      </c>
      <c r="E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COUNTIFS(发射纪录!$B:$B,"&lt;&gt;-",发射纪录!$G:$G,"&gt;="&amp;DATE(YEAR($A671),MONTH($A671),1),发射纪录!$G:$G,"&lt;="&amp;DATE(YEAR($A671),MONTH($A671),DAY(EOMONTH($A671,0))),发射纪录!$N:$N,"&lt;&gt;",发射纪录!$J:$J,"="&amp;发射地月間統計!E$3)</f>
        <v>2</v>
      </c>
      <c r="F671" s="11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COUNTIFS(发射纪录!$B:$B,"&lt;&gt;-",发射纪录!$G:$G,"&gt;="&amp;DATE(YEAR($A671),MONTH($A671),1),发射纪录!$G:$G,"&lt;="&amp;DATE(YEAR($A671),MONTH($A671),DAY(EOMONTH($A671,0))),发射纪录!$N:$N,"&lt;&gt;",发射纪录!$J:$J,"="&amp;发射地月間統計!F$3)</f>
        <v>1</v>
      </c>
      <c r="G671" s="440">
        <f>COUNTIFS(发射纪录!$B:$B,"&lt;&gt;-",发射纪录!$G:$G,"&gt;="&amp;DATE(YEAR($A671),MONTH($A671),1),发射纪录!$G:$G,"&lt;="&amp;DATE(YEAR($A671),MONTH($A671),DAY(EOMONTH($A671,0))),发射纪录!$N:$N,"&lt;&gt;",发射纪录!$J:$J,"="&amp;发射地月間統計!G$3)</f>
        <v>0</v>
      </c>
      <c r="H671" s="8">
        <f t="shared" si="12"/>
        <v>6</v>
      </c>
      <c r="I671" s="11">
        <f ca="1">COUNTIFS(发射纪录!$C:$C,"&lt;&gt;-",发射纪录!$G:$G,"&gt;="&amp;DATE(YEAR($A671),MONTH($A671),1),发射纪录!$G:$G,"&lt;="&amp;DATE(YEAR($A671),MONTH($A671),DAY(EOMONTH($A671,0))),发射纪录!$N:$N,"&lt;&gt;",发射纪录!$J:$J,"="&amp;发射地月間統計!I$3)</f>
        <v>2</v>
      </c>
      <c r="J671" s="11">
        <f ca="1">COUNTIFS(发射纪录!$C:$C,"&lt;&gt;-",发射纪录!$G:$G,"&gt;="&amp;DATE(YEAR($A671),MONTH($A671),1),发射纪录!$G:$G,"&lt;="&amp;DATE(YEAR($A671),MONTH($A671),DAY(EOMONTH($A671,0))),发射纪录!$N:$N,"&lt;&gt;",发射纪录!$J:$J,"="&amp;发射地月間統計!J$3)</f>
        <v>0</v>
      </c>
      <c r="K671" s="11">
        <f ca="1">COUNTIFS(发射纪录!$C:$C,"&lt;&gt;-",发射纪录!$G:$G,"&gt;="&amp;DATE(YEAR($A671),MONTH($A671),1),发射纪录!$G:$G,"&lt;="&amp;DATE(YEAR($A671),MONTH($A671),DAY(EOMONTH($A671,0))),发射纪录!$N:$N,"&lt;&gt;",发射纪录!$J:$J,"="&amp;发射地月間統計!K$3)</f>
        <v>1</v>
      </c>
      <c r="L671" s="11">
        <f ca="1">COUNTIFS(发射纪录!$C:$C,"&lt;&gt;-",发射纪录!$G:$G,"&gt;="&amp;DATE(YEAR($A671),MONTH($A671),1),发射纪录!$G:$G,"&lt;="&amp;DATE(YEAR($A671),MONTH($A671),DAY(EOMONTH($A671,0))),发射纪录!$N:$N,"&lt;&gt;",发射纪录!$J:$J,"="&amp;发射地月間統計!L$3)</f>
        <v>0</v>
      </c>
      <c r="M671" s="11">
        <f ca="1">COUNTIFS(发射纪录!$C:$C,"&lt;&gt;-",发射纪录!$G:$G,"&gt;="&amp;DATE(YEAR($A671),MONTH($A671),1),发射纪录!$G:$G,"&lt;="&amp;DATE(YEAR($A671),MONTH($A671),DAY(EOMONTH($A671,0))),发射纪录!$N:$N,"&lt;&gt;",发射纪录!$J:$J,"="&amp;发射地月間統計!M$3)</f>
        <v>0</v>
      </c>
      <c r="N671" s="440">
        <v>0</v>
      </c>
      <c r="O671" s="8">
        <f t="shared" ca="1" si="13"/>
        <v>3</v>
      </c>
      <c r="P671" s="11">
        <f t="shared" ca="1" si="14"/>
        <v>3</v>
      </c>
      <c r="Q671" s="11">
        <f t="shared" ca="1" si="15"/>
        <v>2</v>
      </c>
      <c r="R671" s="11">
        <f t="shared" ca="1" si="16"/>
        <v>1</v>
      </c>
      <c r="S671" s="11">
        <f t="shared" ca="1" si="17"/>
        <v>2</v>
      </c>
      <c r="T671" s="11">
        <f t="shared" ca="1" si="18"/>
        <v>1</v>
      </c>
      <c r="U671" s="440">
        <v>0</v>
      </c>
      <c r="V671" s="8">
        <f t="shared" ca="1" si="19"/>
        <v>9</v>
      </c>
      <c r="W671" s="31">
        <f t="shared" ca="1" si="20"/>
        <v>27</v>
      </c>
    </row>
    <row r="672" spans="1:23" x14ac:dyDescent="0.45">
      <c r="A672" s="64">
        <v>45444</v>
      </c>
      <c r="B672" s="15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COUNTIFS(发射纪录!$B:$B,"&lt;&gt;-",发射纪录!$G:$G,"&gt;="&amp;DATE(YEAR($A672),MONTH($A672),1),发射纪录!$G:$G,"&lt;="&amp;DATE(YEAR($A672),MONTH($A672),DAY(EOMONTH($A672,0))),发射纪录!$N:$N,"&lt;&gt;",发射纪录!$J:$J,"="&amp;发射地月間統計!B$3)</f>
        <v>0</v>
      </c>
      <c r="C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COUNTIFS(发射纪录!$B:$B,"&lt;&gt;-",发射纪录!$G:$G,"&gt;="&amp;DATE(YEAR($A672),MONTH($A672),1),发射纪录!$G:$G,"&lt;="&amp;DATE(YEAR($A672),MONTH($A672),DAY(EOMONTH($A672,0))),发射纪录!$N:$N,"&lt;&gt;",发射纪录!$J:$J,"="&amp;发射地月間統計!C$3)</f>
        <v>0</v>
      </c>
      <c r="D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COUNTIFS(发射纪录!$B:$B,"&lt;&gt;-",发射纪录!$G:$G,"&gt;="&amp;DATE(YEAR($A672),MONTH($A672),1),发射纪录!$G:$G,"&lt;="&amp;DATE(YEAR($A672),MONTH($A672),DAY(EOMONTH($A672,0))),发射纪录!$N:$N,"&lt;&gt;",发射纪录!$J:$J,"="&amp;发射地月間統計!D$3)</f>
        <v>0</v>
      </c>
      <c r="E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COUNTIFS(发射纪录!$B:$B,"&lt;&gt;-",发射纪录!$G:$G,"&gt;="&amp;DATE(YEAR($A672),MONTH($A672),1),发射纪录!$G:$G,"&lt;="&amp;DATE(YEAR($A672),MONTH($A672),DAY(EOMONTH($A672,0))),发射纪录!$N:$N,"&lt;&gt;",发射纪录!$J:$J,"="&amp;发射地月間統計!E$3)</f>
        <v>1</v>
      </c>
      <c r="F672" s="11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COUNTIFS(发射纪录!$B:$B,"&lt;&gt;-",发射纪录!$G:$G,"&gt;="&amp;DATE(YEAR($A672),MONTH($A672),1),发射纪录!$G:$G,"&lt;="&amp;DATE(YEAR($A672),MONTH($A672),DAY(EOMONTH($A672,0))),发射纪录!$N:$N,"&lt;&gt;",发射纪录!$J:$J,"="&amp;发射地月間統計!F$3)</f>
        <v>1</v>
      </c>
      <c r="G672" s="440">
        <f>COUNTIFS(发射纪录!$B:$B,"&lt;&gt;-",发射纪录!$G:$G,"&gt;="&amp;DATE(YEAR($A672),MONTH($A672),1),发射纪录!$G:$G,"&lt;="&amp;DATE(YEAR($A672),MONTH($A672),DAY(EOMONTH($A672,0))),发射纪录!$N:$N,"&lt;&gt;",发射纪录!$J:$J,"="&amp;发射地月間統計!G$3)</f>
        <v>0</v>
      </c>
      <c r="H672" s="8">
        <f t="shared" si="12"/>
        <v>2</v>
      </c>
      <c r="I672" s="11">
        <f ca="1">COUNTIFS(发射纪录!$C:$C,"&lt;&gt;-",发射纪录!$G:$G,"&gt;="&amp;DATE(YEAR($A672),MONTH($A672),1),发射纪录!$G:$G,"&lt;="&amp;DATE(YEAR($A672),MONTH($A672),DAY(EOMONTH($A672,0))),发射纪录!$N:$N,"&lt;&gt;",发射纪录!$J:$J,"="&amp;发射地月間統計!I$3)</f>
        <v>1</v>
      </c>
      <c r="J672" s="11">
        <f ca="1">COUNTIFS(发射纪录!$C:$C,"&lt;&gt;-",发射纪录!$G:$G,"&gt;="&amp;DATE(YEAR($A672),MONTH($A672),1),发射纪录!$G:$G,"&lt;="&amp;DATE(YEAR($A672),MONTH($A672),DAY(EOMONTH($A672,0))),发射纪录!$N:$N,"&lt;&gt;",发射纪录!$J:$J,"="&amp;发射地月間統計!J$3)</f>
        <v>0</v>
      </c>
      <c r="K672" s="11">
        <f ca="1">COUNTIFS(发射纪录!$C:$C,"&lt;&gt;-",发射纪录!$G:$G,"&gt;="&amp;DATE(YEAR($A672),MONTH($A672),1),发射纪录!$G:$G,"&lt;="&amp;DATE(YEAR($A672),MONTH($A672),DAY(EOMONTH($A672,0))),发射纪录!$N:$N,"&lt;&gt;",发射纪录!$J:$J,"="&amp;发射地月間統計!K$3)</f>
        <v>0</v>
      </c>
      <c r="L672" s="11">
        <f ca="1">COUNTIFS(发射纪录!$C:$C,"&lt;&gt;-",发射纪录!$G:$G,"&gt;="&amp;DATE(YEAR($A672),MONTH($A672),1),发射纪录!$G:$G,"&lt;="&amp;DATE(YEAR($A672),MONTH($A672),DAY(EOMONTH($A672,0))),发射纪录!$N:$N,"&lt;&gt;",发射纪录!$J:$J,"="&amp;发射地月間統計!L$3)</f>
        <v>0</v>
      </c>
      <c r="M672" s="11">
        <f ca="1">COUNTIFS(发射纪录!$C:$C,"&lt;&gt;-",发射纪录!$G:$G,"&gt;="&amp;DATE(YEAR($A672),MONTH($A672),1),发射纪录!$G:$G,"&lt;="&amp;DATE(YEAR($A672),MONTH($A672),DAY(EOMONTH($A672,0))),发射纪录!$N:$N,"&lt;&gt;",发射纪录!$J:$J,"="&amp;发射地月間統計!M$3)</f>
        <v>0</v>
      </c>
      <c r="N672" s="440">
        <v>0</v>
      </c>
      <c r="O672" s="8">
        <f t="shared" ca="1" si="13"/>
        <v>1</v>
      </c>
      <c r="P672" s="11">
        <f t="shared" ca="1" si="14"/>
        <v>1</v>
      </c>
      <c r="Q672" s="11">
        <f t="shared" ca="1" si="15"/>
        <v>0</v>
      </c>
      <c r="R672" s="11">
        <f t="shared" ca="1" si="16"/>
        <v>0</v>
      </c>
      <c r="S672" s="11">
        <f t="shared" ca="1" si="17"/>
        <v>1</v>
      </c>
      <c r="T672" s="11">
        <f t="shared" ca="1" si="18"/>
        <v>1</v>
      </c>
      <c r="U672" s="440">
        <v>0</v>
      </c>
      <c r="V672" s="8">
        <f t="shared" ca="1" si="19"/>
        <v>3</v>
      </c>
      <c r="W672" s="31">
        <f t="shared" ca="1" si="20"/>
        <v>30</v>
      </c>
    </row>
    <row r="673" spans="1:23" x14ac:dyDescent="0.45">
      <c r="A673" s="64">
        <v>45474</v>
      </c>
      <c r="B673" s="15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COUNTIFS(发射纪录!$B:$B,"&lt;&gt;-",发射纪录!$G:$G,"&gt;="&amp;DATE(YEAR($A673),MONTH($A673),1),发射纪录!$G:$G,"&lt;="&amp;DATE(YEAR($A673),MONTH($A673),DAY(EOMONTH($A673,0))),发射纪录!$N:$N,"&lt;&gt;",发射纪录!$J:$J,"="&amp;发射地月間統計!B$3)</f>
        <v>0</v>
      </c>
      <c r="C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COUNTIFS(发射纪录!$B:$B,"&lt;&gt;-",发射纪录!$G:$G,"&gt;="&amp;DATE(YEAR($A673),MONTH($A673),1),发射纪录!$G:$G,"&lt;="&amp;DATE(YEAR($A673),MONTH($A673),DAY(EOMONTH($A673,0))),发射纪录!$N:$N,"&lt;&gt;",发射纪录!$J:$J,"="&amp;发射地月間統計!C$3)</f>
        <v>2</v>
      </c>
      <c r="D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COUNTIFS(发射纪录!$B:$B,"&lt;&gt;-",发射纪录!$G:$G,"&gt;="&amp;DATE(YEAR($A673),MONTH($A673),1),发射纪录!$G:$G,"&lt;="&amp;DATE(YEAR($A673),MONTH($A673),DAY(EOMONTH($A673,0))),发射纪录!$N:$N,"&lt;&gt;",发射纪录!$J:$J,"="&amp;发射地月間統計!D$3)</f>
        <v>0</v>
      </c>
      <c r="E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COUNTIFS(发射纪录!$B:$B,"&lt;&gt;-",发射纪录!$G:$G,"&gt;="&amp;DATE(YEAR($A673),MONTH($A673),1),发射纪录!$G:$G,"&lt;="&amp;DATE(YEAR($A673),MONTH($A673),DAY(EOMONTH($A673,0))),发射纪录!$N:$N,"&lt;&gt;",发射纪录!$J:$J,"="&amp;发射地月間統計!E$3)</f>
        <v>0</v>
      </c>
      <c r="F673" s="11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COUNTIFS(发射纪录!$B:$B,"&lt;&gt;-",发射纪录!$G:$G,"&gt;="&amp;DATE(YEAR($A673),MONTH($A673),1),发射纪录!$G:$G,"&lt;="&amp;DATE(YEAR($A673),MONTH($A673),DAY(EOMONTH($A673,0))),发射纪录!$N:$N,"&lt;&gt;",发射纪录!$J:$J,"="&amp;发射地月間統計!F$3)</f>
        <v>0</v>
      </c>
      <c r="G673" s="440">
        <f>COUNTIFS(发射纪录!$B:$B,"&lt;&gt;-",发射纪录!$G:$G,"&gt;="&amp;DATE(YEAR($A673),MONTH($A673),1),发射纪录!$G:$G,"&lt;="&amp;DATE(YEAR($A673),MONTH($A673),DAY(EOMONTH($A673,0))),发射纪录!$N:$N,"&lt;&gt;",发射纪录!$J:$J,"="&amp;发射地月間統計!G$3)</f>
        <v>0</v>
      </c>
      <c r="H673" s="8">
        <f t="shared" si="12"/>
        <v>2</v>
      </c>
      <c r="I673" s="11">
        <f ca="1">COUNTIFS(发射纪录!$C:$C,"&lt;&gt;-",发射纪录!$G:$G,"&gt;="&amp;DATE(YEAR($A673),MONTH($A673),1),发射纪录!$G:$G,"&lt;="&amp;DATE(YEAR($A673),MONTH($A673),DAY(EOMONTH($A673,0))),发射纪录!$N:$N,"&lt;&gt;",发射纪录!$J:$J,"="&amp;发射地月間統計!I$3)</f>
        <v>1</v>
      </c>
      <c r="J673" s="11">
        <f ca="1">COUNTIFS(发射纪录!$C:$C,"&lt;&gt;-",发射纪录!$G:$G,"&gt;="&amp;DATE(YEAR($A673),MONTH($A673),1),发射纪录!$G:$G,"&lt;="&amp;DATE(YEAR($A673),MONTH($A673),DAY(EOMONTH($A673,0))),发射纪录!$N:$N,"&lt;&gt;",发射纪录!$J:$J,"="&amp;发射地月間統計!J$3)</f>
        <v>0</v>
      </c>
      <c r="K673" s="11">
        <f ca="1">COUNTIFS(发射纪录!$C:$C,"&lt;&gt;-",发射纪录!$G:$G,"&gt;="&amp;DATE(YEAR($A673),MONTH($A673),1),发射纪录!$G:$G,"&lt;="&amp;DATE(YEAR($A673),MONTH($A673),DAY(EOMONTH($A673,0))),发射纪录!$N:$N,"&lt;&gt;",发射纪录!$J:$J,"="&amp;发射地月間統計!K$3)</f>
        <v>0</v>
      </c>
      <c r="L673" s="11">
        <f ca="1">COUNTIFS(发射纪录!$C:$C,"&lt;&gt;-",发射纪录!$G:$G,"&gt;="&amp;DATE(YEAR($A673),MONTH($A673),1),发射纪录!$G:$G,"&lt;="&amp;DATE(YEAR($A673),MONTH($A673),DAY(EOMONTH($A673,0))),发射纪录!$N:$N,"&lt;&gt;",发射纪录!$J:$J,"="&amp;发射地月間統計!L$3)</f>
        <v>0</v>
      </c>
      <c r="M673" s="11">
        <f ca="1">COUNTIFS(发射纪录!$C:$C,"&lt;&gt;-",发射纪录!$G:$G,"&gt;="&amp;DATE(YEAR($A673),MONTH($A673),1),发射纪录!$G:$G,"&lt;="&amp;DATE(YEAR($A673),MONTH($A673),DAY(EOMONTH($A673,0))),发射纪录!$N:$N,"&lt;&gt;",发射纪录!$J:$J,"="&amp;发射地月間統計!M$3)</f>
        <v>0</v>
      </c>
      <c r="N673" s="440">
        <v>0</v>
      </c>
      <c r="O673" s="8">
        <f t="shared" ca="1" si="13"/>
        <v>1</v>
      </c>
      <c r="P673" s="37">
        <f t="shared" ca="1" si="14"/>
        <v>1</v>
      </c>
      <c r="Q673" s="37">
        <f t="shared" ca="1" si="15"/>
        <v>2</v>
      </c>
      <c r="R673" s="11">
        <f t="shared" ca="1" si="16"/>
        <v>0</v>
      </c>
      <c r="S673" s="11">
        <f t="shared" ca="1" si="17"/>
        <v>0</v>
      </c>
      <c r="T673" s="11">
        <f t="shared" ca="1" si="18"/>
        <v>0</v>
      </c>
      <c r="U673" s="440">
        <v>0</v>
      </c>
      <c r="V673" s="8">
        <f t="shared" ca="1" si="19"/>
        <v>3</v>
      </c>
      <c r="W673" s="31">
        <f t="shared" ca="1" si="20"/>
        <v>33</v>
      </c>
    </row>
    <row r="674" spans="1:23" x14ac:dyDescent="0.45">
      <c r="A674" s="64">
        <v>45505</v>
      </c>
      <c r="B674" s="15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COUNTIFS(发射纪录!$B:$B,"&lt;&gt;-",发射纪录!$G:$G,"&gt;="&amp;DATE(YEAR($A674),MONTH($A674),1),发射纪录!$G:$G,"&lt;="&amp;DATE(YEAR($A674),MONTH($A674),DAY(EOMONTH($A674,0))),发射纪录!$N:$N,"&lt;&gt;",发射纪录!$J:$J,"="&amp;发射地月間統計!B$3)</f>
        <v>0</v>
      </c>
      <c r="C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COUNTIFS(发射纪录!$B:$B,"&lt;&gt;-",发射纪录!$G:$G,"&gt;="&amp;DATE(YEAR($A674),MONTH($A674),1),发射纪录!$G:$G,"&lt;="&amp;DATE(YEAR($A674),MONTH($A674),DAY(EOMONTH($A674,0))),发射纪录!$N:$N,"&lt;&gt;",发射纪录!$J:$J,"="&amp;发射地月間統計!C$3)</f>
        <v>1</v>
      </c>
      <c r="D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COUNTIFS(发射纪录!$B:$B,"&lt;&gt;-",发射纪录!$G:$G,"&gt;="&amp;DATE(YEAR($A674),MONTH($A674),1),发射纪录!$G:$G,"&lt;="&amp;DATE(YEAR($A674),MONTH($A674),DAY(EOMONTH($A674,0))),发射纪录!$N:$N,"&lt;&gt;",发射纪录!$J:$J,"="&amp;发射地月間統計!D$3)</f>
        <v>0</v>
      </c>
      <c r="E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COUNTIFS(发射纪录!$B:$B,"&lt;&gt;-",发射纪录!$G:$G,"&gt;="&amp;DATE(YEAR($A674),MONTH($A674),1),发射纪录!$G:$G,"&lt;="&amp;DATE(YEAR($A674),MONTH($A674),DAY(EOMONTH($A674,0))),发射纪录!$N:$N,"&lt;&gt;",发射纪录!$J:$J,"="&amp;发射地月間統計!E$3)</f>
        <v>2</v>
      </c>
      <c r="F674" s="11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COUNTIFS(发射纪录!$B:$B,"&lt;&gt;-",发射纪录!$G:$G,"&gt;="&amp;DATE(YEAR($A674),MONTH($A674),1),发射纪录!$G:$G,"&lt;="&amp;DATE(YEAR($A674),MONTH($A674),DAY(EOMONTH($A674,0))),发射纪录!$N:$N,"&lt;&gt;",发射纪录!$J:$J,"="&amp;发射地月間統計!F$3)</f>
        <v>1</v>
      </c>
      <c r="G674" s="440">
        <f>COUNTIFS(发射纪录!$B:$B,"&lt;&gt;-",发射纪录!$G:$G,"&gt;="&amp;DATE(YEAR($A674),MONTH($A674),1),发射纪录!$G:$G,"&lt;="&amp;DATE(YEAR($A674),MONTH($A674),DAY(EOMONTH($A674,0))),发射纪录!$N:$N,"&lt;&gt;",发射纪录!$J:$J,"="&amp;发射地月間統計!G$3)</f>
        <v>0</v>
      </c>
      <c r="H674" s="8">
        <f t="shared" si="12"/>
        <v>4</v>
      </c>
      <c r="I674" s="11">
        <f ca="1">COUNTIFS(发射纪录!$C:$C,"&lt;&gt;-",发射纪录!$G:$G,"&gt;="&amp;DATE(YEAR($A674),MONTH($A674),1),发射纪录!$G:$G,"&lt;="&amp;DATE(YEAR($A674),MONTH($A674),DAY(EOMONTH($A674,0))),发射纪录!$N:$N,"&lt;&gt;",发射纪录!$J:$J,"="&amp;发射地月間統計!I$3)</f>
        <v>0</v>
      </c>
      <c r="J674" s="11">
        <f ca="1">COUNTIFS(发射纪录!$C:$C,"&lt;&gt;-",发射纪录!$G:$G,"&gt;="&amp;DATE(YEAR($A674),MONTH($A674),1),发射纪录!$G:$G,"&lt;="&amp;DATE(YEAR($A674),MONTH($A674),DAY(EOMONTH($A674,0))),发射纪录!$N:$N,"&lt;&gt;",发射纪录!$J:$J,"="&amp;发射地月間統計!J$3)</f>
        <v>0</v>
      </c>
      <c r="K674" s="11">
        <f ca="1">COUNTIFS(发射纪录!$C:$C,"&lt;&gt;-",发射纪录!$G:$G,"&gt;="&amp;DATE(YEAR($A674),MONTH($A674),1),发射纪录!$G:$G,"&lt;="&amp;DATE(YEAR($A674),MONTH($A674),DAY(EOMONTH($A674,0))),发射纪录!$N:$N,"&lt;&gt;",发射纪录!$J:$J,"="&amp;发射地月間統計!K$3)</f>
        <v>1</v>
      </c>
      <c r="L674" s="11">
        <f ca="1">COUNTIFS(发射纪录!$C:$C,"&lt;&gt;-",发射纪录!$G:$G,"&gt;="&amp;DATE(YEAR($A674),MONTH($A674),1),发射纪录!$G:$G,"&lt;="&amp;DATE(YEAR($A674),MONTH($A674),DAY(EOMONTH($A674,0))),发射纪录!$N:$N,"&lt;&gt;",发射纪录!$J:$J,"="&amp;发射地月間統計!L$3)</f>
        <v>0</v>
      </c>
      <c r="M674" s="11">
        <f ca="1">COUNTIFS(发射纪录!$C:$C,"&lt;&gt;-",发射纪录!$G:$G,"&gt;="&amp;DATE(YEAR($A674),MONTH($A674),1),发射纪录!$G:$G,"&lt;="&amp;DATE(YEAR($A674),MONTH($A674),DAY(EOMONTH($A674,0))),发射纪录!$N:$N,"&lt;&gt;",发射纪录!$J:$J,"="&amp;发射地月間統計!M$3)</f>
        <v>0</v>
      </c>
      <c r="N674" s="440">
        <v>0</v>
      </c>
      <c r="O674" s="8">
        <f t="shared" ca="1" si="13"/>
        <v>1</v>
      </c>
      <c r="P674" s="11">
        <f t="shared" ca="1" si="14"/>
        <v>0</v>
      </c>
      <c r="Q674" s="11">
        <f t="shared" ca="1" si="15"/>
        <v>1</v>
      </c>
      <c r="R674" s="11">
        <f t="shared" ca="1" si="16"/>
        <v>1</v>
      </c>
      <c r="S674" s="11">
        <f t="shared" ca="1" si="17"/>
        <v>2</v>
      </c>
      <c r="T674" s="11">
        <f t="shared" ca="1" si="18"/>
        <v>1</v>
      </c>
      <c r="U674" s="440">
        <v>0</v>
      </c>
      <c r="V674" s="8">
        <f t="shared" ca="1" si="19"/>
        <v>5</v>
      </c>
      <c r="W674" s="31">
        <f t="shared" ca="1" si="20"/>
        <v>38</v>
      </c>
    </row>
    <row r="675" spans="1:23" x14ac:dyDescent="0.45">
      <c r="A675" s="64">
        <v>45536</v>
      </c>
      <c r="B675" s="15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COUNTIFS(发射纪录!$B:$B,"&lt;&gt;-",发射纪录!$G:$G,"&gt;="&amp;DATE(YEAR($A675),MONTH($A675),1),发射纪录!$G:$G,"&lt;="&amp;DATE(YEAR($A675),MONTH($A675),DAY(EOMONTH($A675,0))),发射纪录!$N:$N,"&lt;&gt;",发射纪录!$J:$J,"="&amp;发射地月間統計!B$3)</f>
        <v>1</v>
      </c>
      <c r="C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COUNTIFS(发射纪录!$B:$B,"&lt;&gt;-",发射纪录!$G:$G,"&gt;="&amp;DATE(YEAR($A675),MONTH($A675),1),发射纪录!$G:$G,"&lt;="&amp;DATE(YEAR($A675),MONTH($A675),DAY(EOMONTH($A675,0))),发射纪录!$N:$N,"&lt;&gt;",发射纪录!$J:$J,"="&amp;发射地月間統計!C$3)</f>
        <v>2</v>
      </c>
      <c r="D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COUNTIFS(发射纪录!$B:$B,"&lt;&gt;-",发射纪录!$G:$G,"&gt;="&amp;DATE(YEAR($A675),MONTH($A675),1),发射纪录!$G:$G,"&lt;="&amp;DATE(YEAR($A675),MONTH($A675),DAY(EOMONTH($A675,0))),发射纪录!$N:$N,"&lt;&gt;",发射纪录!$J:$J,"="&amp;发射地月間統計!D$3)</f>
        <v>0</v>
      </c>
      <c r="E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COUNTIFS(发射纪录!$B:$B,"&lt;&gt;-",发射纪录!$G:$G,"&gt;="&amp;DATE(YEAR($A675),MONTH($A675),1),发射纪录!$G:$G,"&lt;="&amp;DATE(YEAR($A675),MONTH($A675),DAY(EOMONTH($A675,0))),发射纪录!$N:$N,"&lt;&gt;",发射纪录!$J:$J,"="&amp;发射地月間統計!E$3)</f>
        <v>2</v>
      </c>
      <c r="F675" s="11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COUNTIFS(发射纪录!$B:$B,"&lt;&gt;-",发射纪录!$G:$G,"&gt;="&amp;DATE(YEAR($A675),MONTH($A675),1),发射纪录!$G:$G,"&lt;="&amp;DATE(YEAR($A675),MONTH($A675),DAY(EOMONTH($A675,0))),发射纪录!$N:$N,"&lt;&gt;",发射纪录!$J:$J,"="&amp;发射地月間統計!F$3)</f>
        <v>0</v>
      </c>
      <c r="G675" s="440">
        <f>COUNTIFS(发射纪录!$B:$B,"&lt;&gt;-",发射纪录!$G:$G,"&gt;="&amp;DATE(YEAR($A675),MONTH($A675),1),发射纪录!$G:$G,"&lt;="&amp;DATE(YEAR($A675),MONTH($A675),DAY(EOMONTH($A675,0))),发射纪录!$N:$N,"&lt;&gt;",发射纪录!$J:$J,"="&amp;发射地月間統計!G$3)</f>
        <v>0</v>
      </c>
      <c r="H675" s="8">
        <f t="shared" si="12"/>
        <v>5</v>
      </c>
      <c r="I675" s="11">
        <f ca="1">COUNTIFS(发射纪录!$C:$C,"&lt;&gt;-",发射纪录!$G:$G,"&gt;="&amp;DATE(YEAR($A675),MONTH($A675),1),发射纪录!$G:$G,"&lt;="&amp;DATE(YEAR($A675),MONTH($A675),DAY(EOMONTH($A675,0))),发射纪录!$N:$N,"&lt;&gt;",发射纪录!$J:$J,"="&amp;发射地月間統計!I$3)</f>
        <v>1</v>
      </c>
      <c r="J675" s="11">
        <f ca="1">COUNTIFS(发射纪录!$C:$C,"&lt;&gt;-",发射纪录!$G:$G,"&gt;="&amp;DATE(YEAR($A675),MONTH($A675),1),发射纪录!$G:$G,"&lt;="&amp;DATE(YEAR($A675),MONTH($A675),DAY(EOMONTH($A675,0))),发射纪录!$N:$N,"&lt;&gt;",发射纪录!$J:$J,"="&amp;发射地月間統計!J$3)</f>
        <v>0</v>
      </c>
      <c r="K675" s="11">
        <f ca="1">COUNTIFS(发射纪录!$C:$C,"&lt;&gt;-",发射纪录!$G:$G,"&gt;="&amp;DATE(YEAR($A675),MONTH($A675),1),发射纪录!$G:$G,"&lt;="&amp;DATE(YEAR($A675),MONTH($A675),DAY(EOMONTH($A675,0))),发射纪录!$N:$N,"&lt;&gt;",发射纪录!$J:$J,"="&amp;发射地月間統計!K$3)</f>
        <v>1</v>
      </c>
      <c r="L675" s="11">
        <f ca="1">COUNTIFS(发射纪录!$C:$C,"&lt;&gt;-",发射纪录!$G:$G,"&gt;="&amp;DATE(YEAR($A675),MONTH($A675),1),发射纪录!$G:$G,"&lt;="&amp;DATE(YEAR($A675),MONTH($A675),DAY(EOMONTH($A675,0))),发射纪录!$N:$N,"&lt;&gt;",发射纪录!$J:$J,"="&amp;发射地月間統計!L$3)</f>
        <v>1</v>
      </c>
      <c r="M675" s="11">
        <f ca="1">COUNTIFS(发射纪录!$C:$C,"&lt;&gt;-",发射纪录!$G:$G,"&gt;="&amp;DATE(YEAR($A675),MONTH($A675),1),发射纪录!$G:$G,"&lt;="&amp;DATE(YEAR($A675),MONTH($A675),DAY(EOMONTH($A675,0))),发射纪录!$N:$N,"&lt;&gt;",发射纪录!$J:$J,"="&amp;发射地月間統計!M$3)</f>
        <v>0</v>
      </c>
      <c r="N675" s="440">
        <v>0</v>
      </c>
      <c r="O675" s="8">
        <f t="shared" ca="1" si="13"/>
        <v>3</v>
      </c>
      <c r="P675" s="11">
        <f t="shared" ca="1" si="14"/>
        <v>2</v>
      </c>
      <c r="Q675" s="11">
        <f t="shared" ca="1" si="15"/>
        <v>2</v>
      </c>
      <c r="R675" s="11">
        <f t="shared" ca="1" si="16"/>
        <v>1</v>
      </c>
      <c r="S675" s="11">
        <f t="shared" ca="1" si="17"/>
        <v>3</v>
      </c>
      <c r="T675" s="11">
        <f t="shared" ca="1" si="18"/>
        <v>0</v>
      </c>
      <c r="U675" s="440">
        <v>0</v>
      </c>
      <c r="V675" s="8">
        <f t="shared" ca="1" si="19"/>
        <v>8</v>
      </c>
      <c r="W675" s="31">
        <f t="shared" ca="1" si="20"/>
        <v>46</v>
      </c>
    </row>
    <row r="676" spans="1:23" x14ac:dyDescent="0.45">
      <c r="A676" s="64">
        <v>45566</v>
      </c>
      <c r="B676" s="15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COUNTIFS(发射纪录!$B:$B,"&lt;&gt;-",发射纪录!$G:$G,"&gt;="&amp;DATE(YEAR($A676),MONTH($A676),1),发射纪录!$G:$G,"&lt;="&amp;DATE(YEAR($A676),MONTH($A676),DAY(EOMONTH($A676,0))),发射纪录!$N:$N,"&lt;&gt;",发射纪录!$J:$J,"="&amp;发射地月間統計!B$3)</f>
        <v>2</v>
      </c>
      <c r="C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COUNTIFS(发射纪录!$B:$B,"&lt;&gt;-",发射纪录!$G:$G,"&gt;="&amp;DATE(YEAR($A676),MONTH($A676),1),发射纪录!$G:$G,"&lt;="&amp;DATE(YEAR($A676),MONTH($A676),DAY(EOMONTH($A676,0))),发射纪录!$N:$N,"&lt;&gt;",发射纪录!$J:$J,"="&amp;发射地月間統計!C$3)</f>
        <v>2</v>
      </c>
      <c r="D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COUNTIFS(发射纪录!$B:$B,"&lt;&gt;-",发射纪录!$G:$G,"&gt;="&amp;DATE(YEAR($A676),MONTH($A676),1),发射纪录!$G:$G,"&lt;="&amp;DATE(YEAR($A676),MONTH($A676),DAY(EOMONTH($A676,0))),发射纪录!$N:$N,"&lt;&gt;",发射纪录!$J:$J,"="&amp;发射地月間統計!D$3)</f>
        <v>0</v>
      </c>
      <c r="E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COUNTIFS(发射纪录!$B:$B,"&lt;&gt;-",发射纪录!$G:$G,"&gt;="&amp;DATE(YEAR($A676),MONTH($A676),1),发射纪录!$G:$G,"&lt;="&amp;DATE(YEAR($A676),MONTH($A676),DAY(EOMONTH($A676,0))),发射纪录!$N:$N,"&lt;&gt;",发射纪录!$J:$J,"="&amp;发射地月間統計!E$3)</f>
        <v>2</v>
      </c>
      <c r="F676" s="11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COUNTIFS(发射纪录!$B:$B,"&lt;&gt;-",发射纪录!$G:$G,"&gt;="&amp;DATE(YEAR($A676),MONTH($A676),1),发射纪录!$G:$G,"&lt;="&amp;DATE(YEAR($A676),MONTH($A676),DAY(EOMONTH($A676,0))),发射纪录!$N:$N,"&lt;&gt;",发射纪录!$J:$J,"="&amp;发射地月間統計!F$3)</f>
        <v>0</v>
      </c>
      <c r="G676" s="440">
        <f>COUNTIFS(发射纪录!$B:$B,"&lt;&gt;-",发射纪录!$G:$G,"&gt;="&amp;DATE(YEAR($A676),MONTH($A676),1),发射纪录!$G:$G,"&lt;="&amp;DATE(YEAR($A676),MONTH($A676),DAY(EOMONTH($A676,0))),发射纪录!$N:$N,"&lt;&gt;",发射纪录!$J:$J,"="&amp;发射地月間統計!G$3)</f>
        <v>0</v>
      </c>
      <c r="H676" s="8">
        <f t="shared" si="12"/>
        <v>6</v>
      </c>
      <c r="I676" s="11">
        <f ca="1">COUNTIFS(发射纪录!$C:$C,"&lt;&gt;-",发射纪录!$G:$G,"&gt;="&amp;DATE(YEAR($A676),MONTH($A676),1),发射纪录!$G:$G,"&lt;="&amp;DATE(YEAR($A676),MONTH($A676),DAY(EOMONTH($A676,0))),发射纪录!$N:$N,"&lt;&gt;",发射纪录!$J:$J,"="&amp;发射地月間統計!I$3)</f>
        <v>0</v>
      </c>
      <c r="J676" s="11">
        <f ca="1">COUNTIFS(发射纪录!$C:$C,"&lt;&gt;-",发射纪录!$G:$G,"&gt;="&amp;DATE(YEAR($A676),MONTH($A676),1),发射纪录!$G:$G,"&lt;="&amp;DATE(YEAR($A676),MONTH($A676),DAY(EOMONTH($A676,0))),发射纪录!$N:$N,"&lt;&gt;",发射纪录!$J:$J,"="&amp;发射地月間統計!J$3)</f>
        <v>0</v>
      </c>
      <c r="K676" s="11">
        <f ca="1">COUNTIFS(发射纪录!$C:$C,"&lt;&gt;-",发射纪录!$G:$G,"&gt;="&amp;DATE(YEAR($A676),MONTH($A676),1),发射纪录!$G:$G,"&lt;="&amp;DATE(YEAR($A676),MONTH($A676),DAY(EOMONTH($A676,0))),发射纪录!$N:$N,"&lt;&gt;",发射纪录!$J:$J,"="&amp;发射地月間統計!K$3)</f>
        <v>0</v>
      </c>
      <c r="L676" s="11">
        <f ca="1">COUNTIFS(发射纪录!$C:$C,"&lt;&gt;-",发射纪录!$G:$G,"&gt;="&amp;DATE(YEAR($A676),MONTH($A676),1),发射纪录!$G:$G,"&lt;="&amp;DATE(YEAR($A676),MONTH($A676),DAY(EOMONTH($A676,0))),发射纪录!$N:$N,"&lt;&gt;",发射纪录!$J:$J,"="&amp;发射地月間統計!L$3)</f>
        <v>0</v>
      </c>
      <c r="M676" s="11">
        <f ca="1">COUNTIFS(发射纪录!$C:$C,"&lt;&gt;-",发射纪录!$G:$G,"&gt;="&amp;DATE(YEAR($A676),MONTH($A676),1),发射纪录!$G:$G,"&lt;="&amp;DATE(YEAR($A676),MONTH($A676),DAY(EOMONTH($A676,0))),发射纪录!$N:$N,"&lt;&gt;",发射纪录!$J:$J,"="&amp;发射地月間統計!M$3)</f>
        <v>0</v>
      </c>
      <c r="N676" s="440">
        <v>0</v>
      </c>
      <c r="O676" s="8">
        <f t="shared" ca="1" si="13"/>
        <v>0</v>
      </c>
      <c r="P676" s="11">
        <f t="shared" ca="1" si="14"/>
        <v>2</v>
      </c>
      <c r="Q676" s="11">
        <f t="shared" ca="1" si="15"/>
        <v>2</v>
      </c>
      <c r="R676" s="11">
        <f t="shared" ca="1" si="16"/>
        <v>0</v>
      </c>
      <c r="S676" s="11">
        <f t="shared" ca="1" si="17"/>
        <v>2</v>
      </c>
      <c r="T676" s="11">
        <f t="shared" ca="1" si="18"/>
        <v>0</v>
      </c>
      <c r="U676" s="440">
        <v>0</v>
      </c>
      <c r="V676" s="8">
        <f t="shared" ca="1" si="19"/>
        <v>6</v>
      </c>
      <c r="W676" s="31">
        <f t="shared" ca="1" si="20"/>
        <v>52</v>
      </c>
    </row>
    <row r="677" spans="1:23" x14ac:dyDescent="0.45">
      <c r="A677" s="64">
        <v>45597</v>
      </c>
      <c r="B677" s="15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COUNTIFS(发射纪录!$B:$B,"&lt;&gt;-",发射纪录!$G:$G,"&gt;="&amp;DATE(YEAR($A677),MONTH($A677),1),发射纪录!$G:$G,"&lt;="&amp;DATE(YEAR($A677),MONTH($A677),DAY(EOMONTH($A677,0))),发射纪录!$N:$N,"&lt;&gt;",发射纪录!$J:$J,"="&amp;发射地月間統計!B$3)</f>
        <v>2</v>
      </c>
      <c r="C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COUNTIFS(发射纪录!$B:$B,"&lt;&gt;-",发射纪录!$G:$G,"&gt;="&amp;DATE(YEAR($A677),MONTH($A677),1),发射纪录!$G:$G,"&lt;="&amp;DATE(YEAR($A677),MONTH($A677),DAY(EOMONTH($A677,0))),发射纪录!$N:$N,"&lt;&gt;",发射纪录!$J:$J,"="&amp;发射地月間統計!C$3)</f>
        <v>1</v>
      </c>
      <c r="D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COUNTIFS(发射纪录!$B:$B,"&lt;&gt;-",发射纪录!$G:$G,"&gt;="&amp;DATE(YEAR($A677),MONTH($A677),1),发射纪录!$G:$G,"&lt;="&amp;DATE(YEAR($A677),MONTH($A677),DAY(EOMONTH($A677,0))),发射纪录!$N:$N,"&lt;&gt;",发射纪录!$J:$J,"="&amp;发射地月間統計!D$3)</f>
        <v>0</v>
      </c>
      <c r="E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COUNTIFS(发射纪录!$B:$B,"&lt;&gt;-",发射纪录!$G:$G,"&gt;="&amp;DATE(YEAR($A677),MONTH($A677),1),发射纪录!$G:$G,"&lt;="&amp;DATE(YEAR($A677),MONTH($A677),DAY(EOMONTH($A677,0))),发射纪录!$N:$N,"&lt;&gt;",发射纪录!$J:$J,"="&amp;发射地月間統計!E$3)</f>
        <v>0</v>
      </c>
      <c r="F677" s="11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COUNTIFS(发射纪录!$B:$B,"&lt;&gt;-",发射纪录!$G:$G,"&gt;="&amp;DATE(YEAR($A677),MONTH($A677),1),发射纪录!$G:$G,"&lt;="&amp;DATE(YEAR($A677),MONTH($A677),DAY(EOMONTH($A677,0))),发射纪录!$N:$N,"&lt;&gt;",发射纪录!$J:$J,"="&amp;发射地月間統計!F$3)</f>
        <v>1</v>
      </c>
      <c r="G677" s="440">
        <f>COUNTIFS(发射纪录!$B:$B,"&lt;&gt;-",发射纪录!$G:$G,"&gt;="&amp;DATE(YEAR($A677),MONTH($A677),1),发射纪录!$G:$G,"&lt;="&amp;DATE(YEAR($A677),MONTH($A677),DAY(EOMONTH($A677,0))),发射纪录!$N:$N,"&lt;&gt;",发射纪录!$J:$J,"="&amp;发射地月間統計!G$3)</f>
        <v>1</v>
      </c>
      <c r="H677" s="8">
        <f t="shared" si="12"/>
        <v>4</v>
      </c>
      <c r="I677" s="11">
        <f ca="1">COUNTIFS(发射纪录!$C:$C,"&lt;&gt;-",发射纪录!$G:$G,"&gt;="&amp;DATE(YEAR($A677),MONTH($A677),1),发射纪录!$G:$G,"&lt;="&amp;DATE(YEAR($A677),MONTH($A677),DAY(EOMONTH($A677,0))),发射纪录!$N:$N,"&lt;&gt;",发射纪录!$J:$J,"="&amp;发射地月間統計!I$3)</f>
        <v>2</v>
      </c>
      <c r="J677" s="11">
        <f ca="1">COUNTIFS(发射纪录!$C:$C,"&lt;&gt;-",发射纪录!$G:$G,"&gt;="&amp;DATE(YEAR($A677),MONTH($A677),1),发射纪录!$G:$G,"&lt;="&amp;DATE(YEAR($A677),MONTH($A677),DAY(EOMONTH($A677,0))),发射纪录!$N:$N,"&lt;&gt;",发射纪录!$J:$J,"="&amp;发射地月間統計!J$3)</f>
        <v>0</v>
      </c>
      <c r="K677" s="11">
        <f ca="1">COUNTIFS(发射纪录!$C:$C,"&lt;&gt;-",发射纪录!$G:$G,"&gt;="&amp;DATE(YEAR($A677),MONTH($A677),1),发射纪录!$G:$G,"&lt;="&amp;DATE(YEAR($A677),MONTH($A677),DAY(EOMONTH($A677,0))),发射纪录!$N:$N,"&lt;&gt;",发射纪录!$J:$J,"="&amp;发射地月間統計!K$3)</f>
        <v>0</v>
      </c>
      <c r="L677" s="11">
        <f ca="1">COUNTIFS(发射纪录!$C:$C,"&lt;&gt;-",发射纪录!$G:$G,"&gt;="&amp;DATE(YEAR($A677),MONTH($A677),1),发射纪录!$G:$G,"&lt;="&amp;DATE(YEAR($A677),MONTH($A677),DAY(EOMONTH($A677,0))),发射纪录!$N:$N,"&lt;&gt;",发射纪录!$J:$J,"="&amp;发射地月間統計!L$3)</f>
        <v>0</v>
      </c>
      <c r="M677" s="11">
        <f ca="1">COUNTIFS(发射纪录!$C:$C,"&lt;&gt;-",发射纪录!$G:$G,"&gt;="&amp;DATE(YEAR($A677),MONTH($A677),1),发射纪录!$G:$G,"&lt;="&amp;DATE(YEAR($A677),MONTH($A677),DAY(EOMONTH($A677,0))),发射纪录!$N:$N,"&lt;&gt;",发射纪录!$J:$J,"="&amp;发射地月間統計!M$3)</f>
        <v>0</v>
      </c>
      <c r="N677" s="440">
        <v>0</v>
      </c>
      <c r="O677" s="8">
        <f t="shared" ca="1" si="13"/>
        <v>2</v>
      </c>
      <c r="P677" s="11">
        <f t="shared" ca="1" si="14"/>
        <v>4</v>
      </c>
      <c r="Q677" s="11">
        <f t="shared" ca="1" si="15"/>
        <v>1</v>
      </c>
      <c r="R677" s="11">
        <f t="shared" ca="1" si="16"/>
        <v>0</v>
      </c>
      <c r="S677" s="11">
        <f t="shared" ca="1" si="17"/>
        <v>0</v>
      </c>
      <c r="T677" s="11">
        <f t="shared" ca="1" si="18"/>
        <v>1</v>
      </c>
      <c r="U677" s="440">
        <v>1</v>
      </c>
      <c r="V677" s="8">
        <f ca="1">SUM(P677:U677)</f>
        <v>7</v>
      </c>
      <c r="W677" s="31">
        <f t="shared" ca="1" si="20"/>
        <v>59</v>
      </c>
    </row>
    <row r="678" spans="1:23" x14ac:dyDescent="0.45">
      <c r="A678" s="69">
        <v>45627</v>
      </c>
      <c r="B678" s="16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COUNTIFS(发射纪录!$B:$B,"&lt;&gt;-",发射纪录!$G:$G,"&gt;="&amp;DATE(YEAR($A678),MONTH($A678),1),发射纪录!$G:$G,"&lt;="&amp;DATE(YEAR($A678),MONTH($A678),DAY(EOMONTH($A678,0))),发射纪录!$N:$N,"&lt;&gt;",发射纪录!$J:$J,"="&amp;发射地月間統計!B$3)</f>
        <v>1</v>
      </c>
      <c r="C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COUNTIFS(发射纪录!$B:$B,"&lt;&gt;-",发射纪录!$G:$G,"&gt;="&amp;DATE(YEAR($A678),MONTH($A678),1),发射纪录!$G:$G,"&lt;="&amp;DATE(YEAR($A678),MONTH($A678),DAY(EOMONTH($A678,0))),发射纪录!$N:$N,"&lt;&gt;",发射纪录!$J:$J,"="&amp;发射地月間統計!C$3)</f>
        <v>2</v>
      </c>
      <c r="D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COUNTIFS(发射纪录!$B:$B,"&lt;&gt;-",发射纪录!$G:$G,"&gt;="&amp;DATE(YEAR($A678),MONTH($A678),1),发射纪录!$G:$G,"&lt;="&amp;DATE(YEAR($A678),MONTH($A678),DAY(EOMONTH($A678,0))),发射纪录!$N:$N,"&lt;&gt;",发射纪录!$J:$J,"="&amp;发射地月間統計!D$3)</f>
        <v>0</v>
      </c>
      <c r="E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COUNTIFS(发射纪录!$B:$B,"&lt;&gt;-",发射纪录!$G:$G,"&gt;="&amp;DATE(YEAR($A678),MONTH($A678),1),发射纪录!$G:$G,"&lt;="&amp;DATE(YEAR($A678),MONTH($A678),DAY(EOMONTH($A678,0))),发射纪录!$N:$N,"&lt;&gt;",发射纪录!$J:$J,"="&amp;发射地月間統計!E$3)</f>
        <v>2</v>
      </c>
      <c r="F678" s="42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COUNTIFS(发射纪录!$B:$B,"&lt;&gt;-",发射纪录!$G:$G,"&gt;="&amp;DATE(YEAR($A678),MONTH($A678),1),发射纪录!$G:$G,"&lt;="&amp;DATE(YEAR($A678),MONTH($A678),DAY(EOMONTH($A678,0))),发射纪录!$N:$N,"&lt;&gt;",发射纪录!$J:$J,"="&amp;发射地月間統計!F$3)</f>
        <v>1</v>
      </c>
      <c r="G678" s="438">
        <f>COUNTIFS(发射纪录!$B:$B,"&lt;&gt;-",发射纪录!$G:$G,"&gt;="&amp;DATE(YEAR($A678),MONTH($A678),1),发射纪录!$G:$G,"&lt;="&amp;DATE(YEAR($A678),MONTH($A678),DAY(EOMONTH($A678,0))),发射纪录!$N:$N,"&lt;&gt;",发射纪录!$J:$J,"="&amp;发射地月間統計!G$3)</f>
        <v>0</v>
      </c>
      <c r="H678" s="43">
        <f t="shared" si="12"/>
        <v>6</v>
      </c>
      <c r="I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COUNTIFS(发射纪录!$C:$C,"&lt;&gt;-",发射纪录!$G:$G,"&gt;="&amp;DATE(YEAR($A678),MONTH($A678),1),发射纪录!$G:$G,"&lt;="&amp;DATE(YEAR($A678),MONTH($A678),DAY(EOMONTH($A678,0))),发射纪录!$N:$N,"&lt;&gt;",发射纪录!$J:$J,"="&amp;发射地月間統計!I$3)</f>
        <v>1</v>
      </c>
      <c r="J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COUNTIFS(发射纪录!$C:$C,"&lt;&gt;-",发射纪录!$G:$G,"&gt;="&amp;DATE(YEAR($A678),MONTH($A678),1),发射纪录!$G:$G,"&lt;="&amp;DATE(YEAR($A678),MONTH($A678),DAY(EOMONTH($A678,0))),发射纪录!$N:$N,"&lt;&gt;",发射纪录!$J:$J,"="&amp;发射地月間統計!J$3)</f>
        <v>0</v>
      </c>
      <c r="K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COUNTIFS(发射纪录!$C:$C,"&lt;&gt;-",发射纪录!$G:$G,"&gt;="&amp;DATE(YEAR($A678),MONTH($A678),1),发射纪录!$G:$G,"&lt;="&amp;DATE(YEAR($A678),MONTH($A678),DAY(EOMONTH($A678,0))),发射纪录!$N:$N,"&lt;&gt;",发射纪录!$J:$J,"="&amp;发射地月間統計!K$3)</f>
        <v>1</v>
      </c>
      <c r="L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COUNTIFS(发射纪录!$C:$C,"&lt;&gt;-",发射纪录!$G:$G,"&gt;="&amp;DATE(YEAR($A678),MONTH($A678),1),发射纪录!$G:$G,"&lt;="&amp;DATE(YEAR($A678),MONTH($A678),DAY(EOMONTH($A678,0))),发射纪录!$N:$N,"&lt;&gt;",发射纪录!$J:$J,"="&amp;发射地月間統計!L$3)</f>
        <v>1</v>
      </c>
      <c r="M678" s="42">
        <f ca="1">COUNTIFS(发射纪录!$C:$C,"&lt;&gt;-",发射纪录!$G:$G,"&gt;="&amp;DATE(YEAR($A678),MONTH($A678),1),发射纪录!$G:$G,"&lt;="&amp;DATE(YEAR($A678),MONTH($A678),DAY(EOMONTH($A678,0))),发射纪录!$N:$N,"&lt;&gt;",发射纪录!$J:$J,"="&amp;发射地月間統計!M$3)</f>
        <v>0</v>
      </c>
      <c r="N678" s="438">
        <v>0</v>
      </c>
      <c r="O678" s="43">
        <f t="shared" ca="1" si="13"/>
        <v>3</v>
      </c>
      <c r="P678" s="42">
        <f t="shared" ca="1" si="14"/>
        <v>2</v>
      </c>
      <c r="Q678" s="42">
        <f t="shared" ca="1" si="15"/>
        <v>2</v>
      </c>
      <c r="R678" s="42">
        <f t="shared" ca="1" si="16"/>
        <v>1</v>
      </c>
      <c r="S678" s="42">
        <f t="shared" ca="1" si="17"/>
        <v>3</v>
      </c>
      <c r="T678" s="42">
        <f t="shared" ca="1" si="18"/>
        <v>1</v>
      </c>
      <c r="U678" s="438">
        <v>0</v>
      </c>
      <c r="V678" s="43">
        <f t="shared" ca="1" si="19"/>
        <v>9</v>
      </c>
      <c r="W678" s="44">
        <f t="shared" ca="1" si="20"/>
        <v>68</v>
      </c>
    </row>
    <row r="679" spans="1:23" ht="18.600000000000001" thickBot="1" x14ac:dyDescent="0.5">
      <c r="A679" s="67" t="s">
        <v>1439</v>
      </c>
      <c r="B679" s="39">
        <f t="shared" ref="B679:G679" si="21">SUM(B667:B678)</f>
        <v>10</v>
      </c>
      <c r="C679" s="40">
        <f t="shared" si="21"/>
        <v>13</v>
      </c>
      <c r="D679" s="40">
        <f t="shared" si="21"/>
        <v>0</v>
      </c>
      <c r="E679" s="40">
        <f t="shared" si="21"/>
        <v>17</v>
      </c>
      <c r="F679" s="40">
        <f t="shared" si="21"/>
        <v>8</v>
      </c>
      <c r="G679" s="439">
        <f t="shared" si="21"/>
        <v>1</v>
      </c>
      <c r="H679" s="41">
        <f>SUM(B679:G679)</f>
        <v>49</v>
      </c>
      <c r="I679" s="40">
        <f ca="1">SUM(I667:I678)</f>
        <v>11</v>
      </c>
      <c r="J679" s="40">
        <f ca="1">SUM(J667:J678)</f>
        <v>0</v>
      </c>
      <c r="K679" s="40">
        <f ca="1">SUM(K667:K678)</f>
        <v>6</v>
      </c>
      <c r="L679" s="40">
        <f ca="1">SUM(L667:L678)</f>
        <v>2</v>
      </c>
      <c r="M679" s="40">
        <f ca="1">SUM(M667:M678)</f>
        <v>0</v>
      </c>
      <c r="N679" s="439">
        <v>0</v>
      </c>
      <c r="O679" s="41">
        <f t="shared" ca="1" si="13"/>
        <v>19</v>
      </c>
      <c r="P679" s="40">
        <f t="shared" ca="1" si="14"/>
        <v>21</v>
      </c>
      <c r="Q679" s="40">
        <f t="shared" ca="1" si="15"/>
        <v>13</v>
      </c>
      <c r="R679" s="40">
        <f t="shared" ca="1" si="16"/>
        <v>6</v>
      </c>
      <c r="S679" s="40">
        <f t="shared" ca="1" si="17"/>
        <v>19</v>
      </c>
      <c r="T679" s="40">
        <f t="shared" ca="1" si="18"/>
        <v>8</v>
      </c>
      <c r="U679" s="40">
        <f t="shared" si="18"/>
        <v>1</v>
      </c>
      <c r="V679" s="41">
        <f ca="1">SUM(P679:U679)</f>
        <v>68</v>
      </c>
      <c r="W679" s="105"/>
    </row>
    <row r="680" spans="1:23" s="105" customFormat="1" ht="19.5" customHeight="1" thickTop="1" x14ac:dyDescent="0.45">
      <c r="A680" s="68">
        <v>45658</v>
      </c>
      <c r="B680" s="32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COUNTIFS(发射纪录!$B:$B,"&lt;&gt;-",发射纪录!$G:$G,"&gt;="&amp;DATE(YEAR($A680),MONTH($A680),1),发射纪录!$G:$G,"&lt;="&amp;DATE(YEAR($A680),MONTH($A680),DAY(EOMONTH($A680,0))),发射纪录!$N:$N,"&lt;&gt;",发射纪录!$J:$J,"="&amp;发射地月間統計!B$3)</f>
        <v>1</v>
      </c>
      <c r="C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COUNTIFS(发射纪录!$B:$B,"&lt;&gt;-",发射纪录!$G:$G,"&gt;="&amp;DATE(YEAR($A680),MONTH($A680),1),发射纪录!$G:$G,"&lt;="&amp;DATE(YEAR($A680),MONTH($A680),DAY(EOMONTH($A680,0))),发射纪录!$N:$N,"&lt;&gt;",发射纪录!$J:$J,"="&amp;发射地月間統計!C$3)</f>
        <v>1</v>
      </c>
      <c r="D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COUNTIFS(发射纪录!$B:$B,"&lt;&gt;-",发射纪录!$G:$G,"&gt;="&amp;DATE(YEAR($A680),MONTH($A680),1),发射纪录!$G:$G,"&lt;="&amp;DATE(YEAR($A680),MONTH($A680),DAY(EOMONTH($A680,0))),发射纪录!$N:$N,"&lt;&gt;",发射纪录!$J:$J,"="&amp;发射地月間統計!D$3)</f>
        <v>0</v>
      </c>
      <c r="E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COUNTIFS(发射纪录!$B:$B,"&lt;&gt;-",发射纪录!$G:$G,"&gt;="&amp;DATE(YEAR($A680),MONTH($A680),1),发射纪录!$G:$G,"&lt;="&amp;DATE(YEAR($A680),MONTH($A680),DAY(EOMONTH($A680,0))),发射纪录!$N:$N,"&lt;&gt;",发射纪录!$J:$J,"="&amp;发射地月間統計!E$3)</f>
        <v>2</v>
      </c>
      <c r="F680" s="34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COUNTIFS(发射纪录!$B:$B,"&lt;&gt;-",发射纪录!$G:$G,"&gt;="&amp;DATE(YEAR($A680),MONTH($A680),1),发射纪录!$G:$G,"&lt;="&amp;DATE(YEAR($A680),MONTH($A680),DAY(EOMONTH($A680,0))),发射纪录!$N:$N,"&lt;&gt;",发射纪录!$J:$J,"="&amp;发射地月間統計!F$3)</f>
        <v>0</v>
      </c>
      <c r="G680" s="441">
        <f>COUNTIFS(发射纪录!$B:$B,"&lt;&gt;-",发射纪录!$G:$G,"&gt;="&amp;DATE(YEAR($A680),MONTH($A680),1),发射纪录!$G:$G,"&lt;="&amp;DATE(YEAR($A680),MONTH($A680),DAY(EOMONTH($A680,0))),发射纪录!$N:$N,"&lt;&gt;",发射纪录!$J:$J,"="&amp;发射地月間統計!G$3)</f>
        <v>0</v>
      </c>
      <c r="H680" s="33">
        <f t="shared" ref="H680:H691" si="22">SUM(B680:F680)</f>
        <v>4</v>
      </c>
      <c r="I680" s="34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COUNTIFS(发射纪录!$C:$C,"&lt;&gt;-",发射纪录!$G:$G,"&gt;="&amp;DATE(YEAR($A680),MONTH($A680),1),发射纪录!$G:$G,"&lt;="&amp;DATE(YEAR($A680),MONTH($A680),DAY(EOMONTH($A680,0))),发射纪录!$N:$N,"&lt;&gt;",发射纪录!$J:$J,"="&amp;发射地月間統計!I$3)</f>
        <v>1</v>
      </c>
      <c r="J680" s="34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COUNTIFS(发射纪录!$C:$C,"&lt;&gt;-",发射纪录!$G:$G,"&gt;="&amp;DATE(YEAR($A680),MONTH($A680),1),发射纪录!$G:$G,"&lt;="&amp;DATE(YEAR($A680),MONTH($A680),DAY(EOMONTH($A680,0))),发射纪录!$N:$N,"&lt;&gt;",发射纪录!$J:$J,"="&amp;发射地月間統計!J$3)</f>
        <v>0</v>
      </c>
      <c r="K680" s="34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COUNTIFS(发射纪录!$C:$C,"&lt;&gt;-",发射纪录!$G:$G,"&gt;="&amp;DATE(YEAR($A680),MONTH($A680),1),发射纪录!$G:$G,"&lt;="&amp;DATE(YEAR($A680),MONTH($A680),DAY(EOMONTH($A680,0))),发射纪录!$N:$N,"&lt;&gt;",发射纪录!$J:$J,"="&amp;发射地月間統計!K$3)</f>
        <v>1</v>
      </c>
      <c r="L680" s="34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COUNTIFS(发射纪录!$C:$C,"&lt;&gt;-",发射纪录!$G:$G,"&gt;="&amp;DATE(YEAR($A680),MONTH($A680),1),发射纪录!$G:$G,"&lt;="&amp;DATE(YEAR($A680),MONTH($A680),DAY(EOMONTH($A680,0))),发射纪录!$N:$N,"&lt;&gt;",发射纪录!$J:$J,"="&amp;发射地月間統計!L$3)</f>
        <v>0</v>
      </c>
      <c r="M680" s="34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COUNTIFS(发射纪录!$C:$C,"&lt;&gt;-",发射纪录!$G:$G,"&gt;="&amp;DATE(YEAR($A680),MONTH($A680),1),发射纪录!$G:$G,"&lt;="&amp;DATE(YEAR($A680),MONTH($A680),DAY(EOMONTH($A680,0))),发射纪录!$N:$N,"&lt;&gt;",发射纪录!$J:$J,"="&amp;发射地月間統計!M$3)</f>
        <v>0</v>
      </c>
      <c r="N680" s="441">
        <f ca="1">COUNTIFS(发射纪录!$C:$C,"&lt;&gt;-",发射纪录!$G:$G,"&gt;="&amp;DATE(YEAR($A680),MONTH($A680),1),发射纪录!$G:$G,"&lt;="&amp;DATE(YEAR($A680),MONTH($A680),DAY(EOMONTH($A680,0))),发射纪录!$N:$N,"&lt;&gt;",发射纪录!$J:$J,"="&amp;发射地月間統計!N$3)</f>
        <v>0</v>
      </c>
      <c r="O680" s="33">
        <f t="shared" ref="O680:O692" ca="1" si="23">SUM(I680:M680)</f>
        <v>2</v>
      </c>
      <c r="P680" s="35">
        <f t="shared" ref="P680:P692" ca="1" si="24">B680+I680</f>
        <v>2</v>
      </c>
      <c r="Q680" s="35">
        <f t="shared" ref="Q680:Q692" ca="1" si="25">C680+J680</f>
        <v>1</v>
      </c>
      <c r="R680" s="34">
        <f t="shared" ref="R680:R692" ca="1" si="26">D680+K680</f>
        <v>1</v>
      </c>
      <c r="S680" s="35">
        <f t="shared" ref="S680:S692" ca="1" si="27">E680+L680</f>
        <v>2</v>
      </c>
      <c r="T680" s="35">
        <f t="shared" ref="T680:U692" ca="1" si="28">F680+M680</f>
        <v>0</v>
      </c>
      <c r="U680" s="447">
        <f t="shared" ca="1" si="28"/>
        <v>0</v>
      </c>
      <c r="V680" s="33">
        <f ca="1">SUM(P680:U680)</f>
        <v>6</v>
      </c>
      <c r="W680" s="36">
        <f ca="1">V680</f>
        <v>6</v>
      </c>
    </row>
    <row r="681" spans="1:23" s="105" customFormat="1" x14ac:dyDescent="0.45">
      <c r="A681" s="64">
        <v>45689</v>
      </c>
      <c r="B681" s="15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COUNTIFS(发射纪录!$B:$B,"&lt;&gt;-",发射纪录!$G:$G,"&gt;="&amp;DATE(YEAR($A681),MONTH($A681),1),发射纪录!$G:$G,"&lt;="&amp;DATE(YEAR($A681),MONTH($A681),DAY(EOMONTH($A681,0))),发射纪录!$N:$N,"&lt;&gt;",发射纪录!$J:$J,"="&amp;发射地月間統計!B$3)</f>
        <v>1</v>
      </c>
      <c r="C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COUNTIFS(发射纪录!$B:$B,"&lt;&gt;-",发射纪录!$G:$G,"&gt;="&amp;DATE(YEAR($A681),MONTH($A681),1),发射纪录!$G:$G,"&lt;="&amp;DATE(YEAR($A681),MONTH($A681),DAY(EOMONTH($A681,0))),发射纪录!$N:$N,"&lt;&gt;",发射纪录!$J:$J,"="&amp;发射地月間統計!C$3)</f>
        <v>0</v>
      </c>
      <c r="D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COUNTIFS(发射纪录!$B:$B,"&lt;&gt;-",发射纪录!$G:$G,"&gt;="&amp;DATE(YEAR($A681),MONTH($A681),1),发射纪录!$G:$G,"&lt;="&amp;DATE(YEAR($A681),MONTH($A681),DAY(EOMONTH($A681,0))),发射纪录!$N:$N,"&lt;&gt;",发射纪录!$J:$J,"="&amp;发射地月間統計!D$3)</f>
        <v>0</v>
      </c>
      <c r="E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COUNTIFS(发射纪录!$B:$B,"&lt;&gt;-",发射纪录!$G:$G,"&gt;="&amp;DATE(YEAR($A681),MONTH($A681),1),发射纪录!$G:$G,"&lt;="&amp;DATE(YEAR($A681),MONTH($A681),DAY(EOMONTH($A681,0))),发射纪录!$N:$N,"&lt;&gt;",发射纪录!$J:$J,"="&amp;发射地月間統計!E$3)</f>
        <v>1</v>
      </c>
      <c r="F681" s="11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COUNTIFS(发射纪录!$B:$B,"&lt;&gt;-",发射纪录!$G:$G,"&gt;="&amp;DATE(YEAR($A681),MONTH($A681),1),发射纪录!$G:$G,"&lt;="&amp;DATE(YEAR($A681),MONTH($A681),DAY(EOMONTH($A681,0))),发射纪录!$N:$N,"&lt;&gt;",发射纪录!$J:$J,"="&amp;发射地月間統計!F$3)</f>
        <v>1</v>
      </c>
      <c r="G681" s="440">
        <f>COUNTIFS(发射纪录!$B:$B,"&lt;&gt;-",发射纪录!$G:$G,"&gt;="&amp;DATE(YEAR($A681),MONTH($A681),1),发射纪录!$G:$G,"&lt;="&amp;DATE(YEAR($A681),MONTH($A681),DAY(EOMONTH($A681,0))),发射纪录!$N:$N,"&lt;&gt;",发射纪录!$J:$J,"="&amp;发射地月間統計!G$3)</f>
        <v>0</v>
      </c>
      <c r="H681" s="8">
        <f t="shared" si="22"/>
        <v>3</v>
      </c>
      <c r="I681" s="11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COUNTIFS(发射纪录!$C:$C,"&lt;&gt;-",发射纪录!$G:$G,"&gt;="&amp;DATE(YEAR($A681),MONTH($A681),1),发射纪录!$G:$G,"&lt;="&amp;DATE(YEAR($A681),MONTH($A681),DAY(EOMONTH($A681,0))),发射纪录!$N:$N,"&lt;&gt;",发射纪录!$J:$J,"="&amp;发射地月間統計!I$3)</f>
        <v>0</v>
      </c>
      <c r="J681" s="11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COUNTIFS(发射纪录!$C:$C,"&lt;&gt;-",发射纪录!$G:$G,"&gt;="&amp;DATE(YEAR($A681),MONTH($A681),1),发射纪录!$G:$G,"&lt;="&amp;DATE(YEAR($A681),MONTH($A681),DAY(EOMONTH($A681,0))),发射纪录!$N:$N,"&lt;&gt;",发射纪录!$J:$J,"="&amp;发射地月間統計!J$3)</f>
        <v>0</v>
      </c>
      <c r="K681" s="11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COUNTIFS(发射纪录!$C:$C,"&lt;&gt;-",发射纪录!$G:$G,"&gt;="&amp;DATE(YEAR($A681),MONTH($A681),1),发射纪录!$G:$G,"&lt;="&amp;DATE(YEAR($A681),MONTH($A681),DAY(EOMONTH($A681,0))),发射纪录!$N:$N,"&lt;&gt;",发射纪录!$J:$J,"="&amp;发射地月間統計!K$3)</f>
        <v>0</v>
      </c>
      <c r="L681" s="11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COUNTIFS(发射纪录!$C:$C,"&lt;&gt;-",发射纪录!$G:$G,"&gt;="&amp;DATE(YEAR($A681),MONTH($A681),1),发射纪录!$G:$G,"&lt;="&amp;DATE(YEAR($A681),MONTH($A681),DAY(EOMONTH($A681,0))),发射纪录!$N:$N,"&lt;&gt;",发射纪录!$J:$J,"="&amp;发射地月間統計!L$3)</f>
        <v>0</v>
      </c>
      <c r="M681" s="11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COUNTIFS(发射纪录!$C:$C,"&lt;&gt;-",发射纪录!$G:$G,"&gt;="&amp;DATE(YEAR($A681),MONTH($A681),1),发射纪录!$G:$G,"&lt;="&amp;DATE(YEAR($A681),MONTH($A681),DAY(EOMONTH($A681,0))),发射纪录!$N:$N,"&lt;&gt;",发射纪录!$J:$J,"="&amp;发射地月間統計!M$3)</f>
        <v>0</v>
      </c>
      <c r="N681" s="440">
        <f ca="1">COUNTIFS(发射纪录!$C:$C,"&lt;&gt;-",发射纪录!$G:$G,"&gt;="&amp;DATE(YEAR($A681),MONTH($A681),1),发射纪录!$G:$G,"&lt;="&amp;DATE(YEAR($A681),MONTH($A681),DAY(EOMONTH($A681,0))),发射纪录!$N:$N,"&lt;&gt;",发射纪录!$J:$J,"="&amp;发射地月間統計!N$3)</f>
        <v>0</v>
      </c>
      <c r="O681" s="8">
        <f t="shared" ca="1" si="23"/>
        <v>0</v>
      </c>
      <c r="P681" s="30">
        <f t="shared" ca="1" si="24"/>
        <v>1</v>
      </c>
      <c r="Q681" s="30">
        <f t="shared" ca="1" si="25"/>
        <v>0</v>
      </c>
      <c r="R681" s="11">
        <f t="shared" ca="1" si="26"/>
        <v>0</v>
      </c>
      <c r="S681" s="30">
        <f t="shared" ca="1" si="27"/>
        <v>1</v>
      </c>
      <c r="T681" s="30">
        <f t="shared" ca="1" si="28"/>
        <v>1</v>
      </c>
      <c r="U681" s="445">
        <f t="shared" ca="1" si="28"/>
        <v>0</v>
      </c>
      <c r="V681" s="8">
        <f t="shared" ref="V681:V691" ca="1" si="29">SUM(P681:U681)</f>
        <v>3</v>
      </c>
      <c r="W681" s="31">
        <f t="shared" ref="W681:W691" ca="1" si="30">V681+W680</f>
        <v>9</v>
      </c>
    </row>
    <row r="682" spans="1:23" s="105" customFormat="1" x14ac:dyDescent="0.45">
      <c r="A682" s="64">
        <v>45717</v>
      </c>
      <c r="B682" s="15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COUNTIFS(发射纪录!$B:$B,"&lt;&gt;-",发射纪录!$G:$G,"&gt;="&amp;DATE(YEAR($A682),MONTH($A682),1),发射纪录!$G:$G,"&lt;="&amp;DATE(YEAR($A682),MONTH($A682),DAY(EOMONTH($A682,0))),发射纪录!$N:$N,"&lt;&gt;",发射纪录!$J:$J,"="&amp;发射地月間統計!B$3)</f>
        <v>1</v>
      </c>
      <c r="C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COUNTIFS(发射纪录!$B:$B,"&lt;&gt;-",发射纪录!$G:$G,"&gt;="&amp;DATE(YEAR($A682),MONTH($A682),1),发射纪录!$G:$G,"&lt;="&amp;DATE(YEAR($A682),MONTH($A682),DAY(EOMONTH($A682,0))),发射纪录!$N:$N,"&lt;&gt;",发射纪录!$J:$J,"="&amp;发射地月間統計!C$3)</f>
        <v>0</v>
      </c>
      <c r="D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COUNTIFS(发射纪录!$B:$B,"&lt;&gt;-",发射纪录!$G:$G,"&gt;="&amp;DATE(YEAR($A682),MONTH($A682),1),发射纪录!$G:$G,"&lt;="&amp;DATE(YEAR($A682),MONTH($A682),DAY(EOMONTH($A682,0))),发射纪录!$N:$N,"&lt;&gt;",发射纪录!$J:$J,"="&amp;发射地月間統計!D$3)</f>
        <v>0</v>
      </c>
      <c r="E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COUNTIFS(发射纪录!$B:$B,"&lt;&gt;-",发射纪录!$G:$G,"&gt;="&amp;DATE(YEAR($A682),MONTH($A682),1),发射纪录!$G:$G,"&lt;="&amp;DATE(YEAR($A682),MONTH($A682),DAY(EOMONTH($A682,0))),发射纪录!$N:$N,"&lt;&gt;",发射纪录!$J:$J,"="&amp;发射地月間統計!E$3)</f>
        <v>2</v>
      </c>
      <c r="F682" s="11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COUNTIFS(发射纪录!$B:$B,"&lt;&gt;-",发射纪录!$G:$G,"&gt;="&amp;DATE(YEAR($A682),MONTH($A682),1),发射纪录!$G:$G,"&lt;="&amp;DATE(YEAR($A682),MONTH($A682),DAY(EOMONTH($A682,0))),发射纪录!$N:$N,"&lt;&gt;",发射纪录!$J:$J,"="&amp;发射地月間統計!F$3)</f>
        <v>1</v>
      </c>
      <c r="G682" s="440">
        <f>COUNTIFS(发射纪录!$B:$B,"&lt;&gt;-",发射纪录!$G:$G,"&gt;="&amp;DATE(YEAR($A682),MONTH($A682),1),发射纪录!$G:$G,"&lt;="&amp;DATE(YEAR($A682),MONTH($A682),DAY(EOMONTH($A682,0))),发射纪录!$N:$N,"&lt;&gt;",发射纪录!$J:$J,"="&amp;发射地月間統計!G$3)</f>
        <v>1</v>
      </c>
      <c r="H682" s="8">
        <f t="shared" si="22"/>
        <v>4</v>
      </c>
      <c r="I682" s="11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COUNTIFS(发射纪录!$C:$C,"&lt;&gt;-",发射纪录!$G:$G,"&gt;="&amp;DATE(YEAR($A682),MONTH($A682),1),发射纪录!$G:$G,"&lt;="&amp;DATE(YEAR($A682),MONTH($A682),DAY(EOMONTH($A682,0))),发射纪录!$N:$N,"&lt;&gt;",发射纪录!$J:$J,"="&amp;发射地月間統計!I$3)</f>
        <v>2</v>
      </c>
      <c r="J682" s="11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COUNTIFS(发射纪录!$C:$C,"&lt;&gt;-",发射纪录!$G:$G,"&gt;="&amp;DATE(YEAR($A682),MONTH($A682),1),发射纪录!$G:$G,"&lt;="&amp;DATE(YEAR($A682),MONTH($A682),DAY(EOMONTH($A682,0))),发射纪录!$N:$N,"&lt;&gt;",发射纪录!$J:$J,"="&amp;发射地月間統計!J$3)</f>
        <v>0</v>
      </c>
      <c r="K682" s="11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COUNTIFS(发射纪录!$C:$C,"&lt;&gt;-",发射纪录!$G:$G,"&gt;="&amp;DATE(YEAR($A682),MONTH($A682),1),发射纪录!$G:$G,"&lt;="&amp;DATE(YEAR($A682),MONTH($A682),DAY(EOMONTH($A682,0))),发射纪录!$N:$N,"&lt;&gt;",发射纪录!$J:$J,"="&amp;发射地月間統計!K$3)</f>
        <v>0</v>
      </c>
      <c r="L682" s="11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COUNTIFS(发射纪录!$C:$C,"&lt;&gt;-",发射纪录!$G:$G,"&gt;="&amp;DATE(YEAR($A682),MONTH($A682),1),发射纪录!$G:$G,"&lt;="&amp;DATE(YEAR($A682),MONTH($A682),DAY(EOMONTH($A682,0))),发射纪录!$N:$N,"&lt;&gt;",发射纪录!$J:$J,"="&amp;发射地月間統計!L$3)</f>
        <v>0</v>
      </c>
      <c r="M682" s="11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COUNTIFS(发射纪录!$C:$C,"&lt;&gt;-",发射纪录!$G:$G,"&gt;="&amp;DATE(YEAR($A682),MONTH($A682),1),发射纪录!$G:$G,"&lt;="&amp;DATE(YEAR($A682),MONTH($A682),DAY(EOMONTH($A682,0))),发射纪录!$N:$N,"&lt;&gt;",发射纪录!$J:$J,"="&amp;发射地月間統計!M$3)</f>
        <v>0</v>
      </c>
      <c r="N682" s="440">
        <f ca="1">COUNTIFS(发射纪录!$C:$C,"&lt;&gt;-",发射纪录!$G:$G,"&gt;="&amp;DATE(YEAR($A682),MONTH($A682),1),发射纪录!$G:$G,"&lt;="&amp;DATE(YEAR($A682),MONTH($A682),DAY(EOMONTH($A682,0))),发射纪录!$N:$N,"&lt;&gt;",发射纪录!$J:$J,"="&amp;发射地月間統計!N$3)</f>
        <v>0</v>
      </c>
      <c r="O682" s="8">
        <f t="shared" ca="1" si="23"/>
        <v>2</v>
      </c>
      <c r="P682" s="11">
        <f t="shared" ca="1" si="24"/>
        <v>3</v>
      </c>
      <c r="Q682" s="11">
        <f t="shared" ca="1" si="25"/>
        <v>0</v>
      </c>
      <c r="R682" s="11">
        <f t="shared" ca="1" si="26"/>
        <v>0</v>
      </c>
      <c r="S682" s="11">
        <f t="shared" ca="1" si="27"/>
        <v>2</v>
      </c>
      <c r="T682" s="11">
        <f t="shared" ca="1" si="28"/>
        <v>1</v>
      </c>
      <c r="U682" s="440">
        <f t="shared" ca="1" si="28"/>
        <v>1</v>
      </c>
      <c r="V682" s="8">
        <f t="shared" ca="1" si="29"/>
        <v>7</v>
      </c>
      <c r="W682" s="31">
        <f t="shared" ca="1" si="30"/>
        <v>16</v>
      </c>
    </row>
    <row r="683" spans="1:23" s="105" customFormat="1" x14ac:dyDescent="0.45">
      <c r="A683" s="64">
        <v>45748</v>
      </c>
      <c r="B683" s="15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COUNTIFS(发射纪录!$B:$B,"&lt;&gt;-",发射纪录!$G:$G,"&gt;="&amp;DATE(YEAR($A683),MONTH($A683),1),发射纪录!$G:$G,"&lt;="&amp;DATE(YEAR($A683),MONTH($A683),DAY(EOMONTH($A683,0))),发射纪录!$N:$N,"&lt;&gt;",发射纪录!$J:$J,"="&amp;发射地月間統計!B$3)</f>
        <v>2</v>
      </c>
      <c r="C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COUNTIFS(发射纪录!$B:$B,"&lt;&gt;-",发射纪录!$G:$G,"&gt;="&amp;DATE(YEAR($A683),MONTH($A683),1),发射纪录!$G:$G,"&lt;="&amp;DATE(YEAR($A683),MONTH($A683),DAY(EOMONTH($A683,0))),发射纪录!$N:$N,"&lt;&gt;",发射纪录!$J:$J,"="&amp;发射地月間統計!C$3)</f>
        <v>2</v>
      </c>
      <c r="D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COUNTIFS(发射纪录!$B:$B,"&lt;&gt;-",发射纪录!$G:$G,"&gt;="&amp;DATE(YEAR($A683),MONTH($A683),1),发射纪录!$G:$G,"&lt;="&amp;DATE(YEAR($A683),MONTH($A683),DAY(EOMONTH($A683,0))),发射纪录!$N:$N,"&lt;&gt;",发射纪录!$J:$J,"="&amp;发射地月間統計!D$3)</f>
        <v>0</v>
      </c>
      <c r="E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COUNTIFS(发射纪录!$B:$B,"&lt;&gt;-",发射纪录!$G:$G,"&gt;="&amp;DATE(YEAR($A683),MONTH($A683),1),发射纪录!$G:$G,"&lt;="&amp;DATE(YEAR($A683),MONTH($A683),DAY(EOMONTH($A683,0))),发射纪录!$N:$N,"&lt;&gt;",发射纪录!$J:$J,"="&amp;发射地月間統計!E$3)</f>
        <v>2</v>
      </c>
      <c r="F683" s="11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COUNTIFS(发射纪录!$B:$B,"&lt;&gt;-",发射纪录!$G:$G,"&gt;="&amp;DATE(YEAR($A683),MONTH($A683),1),发射纪录!$G:$G,"&lt;="&amp;DATE(YEAR($A683),MONTH($A683),DAY(EOMONTH($A683,0))),发射纪录!$N:$N,"&lt;&gt;",发射纪录!$J:$J,"="&amp;发射地月間統計!F$3)</f>
        <v>1</v>
      </c>
      <c r="G683" s="440">
        <f>COUNTIFS(发射纪录!$B:$B,"&lt;&gt;-",发射纪录!$G:$G,"&gt;="&amp;DATE(YEAR($A683),MONTH($A683),1),发射纪录!$G:$G,"&lt;="&amp;DATE(YEAR($A683),MONTH($A683),DAY(EOMONTH($A683,0))),发射纪录!$N:$N,"&lt;&gt;",发射纪录!$J:$J,"="&amp;发射地月間統計!G$3)</f>
        <v>0</v>
      </c>
      <c r="H683" s="8">
        <f t="shared" si="22"/>
        <v>7</v>
      </c>
      <c r="I683" s="11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COUNTIFS(发射纪录!$C:$C,"&lt;&gt;-",发射纪录!$G:$G,"&gt;="&amp;DATE(YEAR($A683),MONTH($A683),1),发射纪录!$G:$G,"&lt;="&amp;DATE(YEAR($A683),MONTH($A683),DAY(EOMONTH($A683,0))),发射纪录!$N:$N,"&lt;&gt;",发射纪录!$J:$J,"="&amp;发射地月間統計!I$3)</f>
        <v>0</v>
      </c>
      <c r="J683" s="11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COUNTIFS(发射纪录!$C:$C,"&lt;&gt;-",发射纪录!$G:$G,"&gt;="&amp;DATE(YEAR($A683),MONTH($A683),1),发射纪录!$G:$G,"&lt;="&amp;DATE(YEAR($A683),MONTH($A683),DAY(EOMONTH($A683,0))),发射纪录!$N:$N,"&lt;&gt;",发射纪录!$J:$J,"="&amp;发射地月間統計!J$3)</f>
        <v>0</v>
      </c>
      <c r="K683" s="11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COUNTIFS(发射纪录!$C:$C,"&lt;&gt;-",发射纪录!$G:$G,"&gt;="&amp;DATE(YEAR($A683),MONTH($A683),1),发射纪录!$G:$G,"&lt;="&amp;DATE(YEAR($A683),MONTH($A683),DAY(EOMONTH($A683,0))),发射纪录!$N:$N,"&lt;&gt;",发射纪录!$J:$J,"="&amp;发射地月間統計!K$3)</f>
        <v>0</v>
      </c>
      <c r="L683" s="11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COUNTIFS(发射纪录!$C:$C,"&lt;&gt;-",发射纪录!$G:$G,"&gt;="&amp;DATE(YEAR($A683),MONTH($A683),1),发射纪录!$G:$G,"&lt;="&amp;DATE(YEAR($A683),MONTH($A683),DAY(EOMONTH($A683,0))),发射纪录!$N:$N,"&lt;&gt;",发射纪录!$J:$J,"="&amp;发射地月間統計!L$3)</f>
        <v>0</v>
      </c>
      <c r="M683" s="11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COUNTIFS(发射纪录!$C:$C,"&lt;&gt;-",发射纪录!$G:$G,"&gt;="&amp;DATE(YEAR($A683),MONTH($A683),1),发射纪录!$G:$G,"&lt;="&amp;DATE(YEAR($A683),MONTH($A683),DAY(EOMONTH($A683,0))),发射纪录!$N:$N,"&lt;&gt;",发射纪录!$J:$J,"="&amp;发射地月間統計!M$3)</f>
        <v>0</v>
      </c>
      <c r="N683" s="440">
        <f ca="1">COUNTIFS(发射纪录!$C:$C,"&lt;&gt;-",发射纪录!$G:$G,"&gt;="&amp;DATE(YEAR($A683),MONTH($A683),1),发射纪录!$G:$G,"&lt;="&amp;DATE(YEAR($A683),MONTH($A683),DAY(EOMONTH($A683,0))),发射纪录!$N:$N,"&lt;&gt;",发射纪录!$J:$J,"="&amp;发射地月間統計!N$3)</f>
        <v>0</v>
      </c>
      <c r="O683" s="8">
        <f t="shared" ca="1" si="23"/>
        <v>0</v>
      </c>
      <c r="P683" s="11">
        <f t="shared" ca="1" si="24"/>
        <v>2</v>
      </c>
      <c r="Q683" s="11">
        <f t="shared" ca="1" si="25"/>
        <v>2</v>
      </c>
      <c r="R683" s="11">
        <f t="shared" ca="1" si="26"/>
        <v>0</v>
      </c>
      <c r="S683" s="11">
        <f t="shared" ca="1" si="27"/>
        <v>2</v>
      </c>
      <c r="T683" s="11">
        <f t="shared" ca="1" si="28"/>
        <v>1</v>
      </c>
      <c r="U683" s="440">
        <f t="shared" ca="1" si="28"/>
        <v>0</v>
      </c>
      <c r="V683" s="8">
        <f t="shared" ca="1" si="29"/>
        <v>7</v>
      </c>
      <c r="W683" s="31">
        <f t="shared" ca="1" si="30"/>
        <v>23</v>
      </c>
    </row>
    <row r="684" spans="1:23" s="105" customFormat="1" x14ac:dyDescent="0.45">
      <c r="A684" s="64">
        <v>45778</v>
      </c>
      <c r="B684" s="15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COUNTIFS(发射纪录!$B:$B,"&lt;&gt;-",发射纪录!$G:$G,"&gt;="&amp;DATE(YEAR($A684),MONTH($A684),1),发射纪录!$G:$G,"&lt;="&amp;DATE(YEAR($A684),MONTH($A684),DAY(EOMONTH($A684,0))),发射纪录!$N:$N,"&lt;&gt;",发射纪录!$J:$J,"="&amp;发射地月間統計!B$3)</f>
        <v>2</v>
      </c>
      <c r="C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COUNTIFS(发射纪录!$B:$B,"&lt;&gt;-",发射纪录!$G:$G,"&gt;="&amp;DATE(YEAR($A684),MONTH($A684),1),发射纪录!$G:$G,"&lt;="&amp;DATE(YEAR($A684),MONTH($A684),DAY(EOMONTH($A684,0))),发射纪录!$N:$N,"&lt;&gt;",发射纪录!$J:$J,"="&amp;发射地月間統計!C$3)</f>
        <v>1</v>
      </c>
      <c r="D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COUNTIFS(发射纪录!$B:$B,"&lt;&gt;-",发射纪录!$G:$G,"&gt;="&amp;DATE(YEAR($A684),MONTH($A684),1),发射纪录!$G:$G,"&lt;="&amp;DATE(YEAR($A684),MONTH($A684),DAY(EOMONTH($A684,0))),发射纪录!$N:$N,"&lt;&gt;",发射纪录!$J:$J,"="&amp;发射地月間統計!D$3)</f>
        <v>0</v>
      </c>
      <c r="E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COUNTIFS(发射纪录!$B:$B,"&lt;&gt;-",发射纪录!$G:$G,"&gt;="&amp;DATE(YEAR($A684),MONTH($A684),1),发射纪录!$G:$G,"&lt;="&amp;DATE(YEAR($A684),MONTH($A684),DAY(EOMONTH($A684,0))),发射纪录!$N:$N,"&lt;&gt;",发射纪录!$J:$J,"="&amp;发射地月間統計!E$3)</f>
        <v>2</v>
      </c>
      <c r="F684" s="11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COUNTIFS(发射纪录!$B:$B,"&lt;&gt;-",发射纪录!$G:$G,"&gt;="&amp;DATE(YEAR($A684),MONTH($A684),1),发射纪录!$G:$G,"&lt;="&amp;DATE(YEAR($A684),MONTH($A684),DAY(EOMONTH($A684,0))),发射纪录!$N:$N,"&lt;&gt;",发射纪录!$J:$J,"="&amp;发射地月間統計!F$3)</f>
        <v>1</v>
      </c>
      <c r="G684" s="440">
        <f>COUNTIFS(发射纪录!$B:$B,"&lt;&gt;-",发射纪录!$G:$G,"&gt;="&amp;DATE(YEAR($A684),MONTH($A684),1),发射纪录!$G:$G,"&lt;="&amp;DATE(YEAR($A684),MONTH($A684),DAY(EOMONTH($A684,0))),发射纪录!$N:$N,"&lt;&gt;",发射纪录!$J:$J,"="&amp;发射地月間統計!G$3)</f>
        <v>0</v>
      </c>
      <c r="H684" s="8">
        <f t="shared" si="22"/>
        <v>6</v>
      </c>
      <c r="I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COUNTIFS(发射纪录!$C:$C,"&lt;&gt;-",发射纪录!$G:$G,"&gt;="&amp;DATE(YEAR($A684),MONTH($A684),1),发射纪录!$G:$G,"&lt;="&amp;DATE(YEAR($A684),MONTH($A684),DAY(EOMONTH($A684,0))),发射纪录!$N:$N,"&lt;&gt;",发射纪录!$J:$J,"="&amp;发射地月間統計!I$3)</f>
        <v>2</v>
      </c>
      <c r="J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COUNTIFS(发射纪录!$C:$C,"&lt;&gt;-",发射纪录!$G:$G,"&gt;="&amp;DATE(YEAR($A684),MONTH($A684),1),发射纪录!$G:$G,"&lt;="&amp;DATE(YEAR($A684),MONTH($A684),DAY(EOMONTH($A684,0))),发射纪录!$N:$N,"&lt;&gt;",发射纪录!$J:$J,"="&amp;发射地月間統計!J$3)</f>
        <v>0</v>
      </c>
      <c r="K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COUNTIFS(发射纪录!$C:$C,"&lt;&gt;-",发射纪录!$G:$G,"&gt;="&amp;DATE(YEAR($A684),MONTH($A684),1),发射纪录!$G:$G,"&lt;="&amp;DATE(YEAR($A684),MONTH($A684),DAY(EOMONTH($A684,0))),发射纪录!$N:$N,"&lt;&gt;",发射纪录!$J:$J,"="&amp;发射地月間統計!K$3)</f>
        <v>1</v>
      </c>
      <c r="L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COUNTIFS(发射纪录!$C:$C,"&lt;&gt;-",发射纪录!$G:$G,"&gt;="&amp;DATE(YEAR($A684),MONTH($A684),1),发射纪录!$G:$G,"&lt;="&amp;DATE(YEAR($A684),MONTH($A684),DAY(EOMONTH($A684,0))),发射纪录!$N:$N,"&lt;&gt;",发射纪录!$J:$J,"="&amp;发射地月間統計!L$3)</f>
        <v>0</v>
      </c>
      <c r="M684" s="11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COUNTIFS(发射纪录!$C:$C,"&lt;&gt;-",发射纪录!$G:$G,"&gt;="&amp;DATE(YEAR($A684),MONTH($A684),1),发射纪录!$G:$G,"&lt;="&amp;DATE(YEAR($A684),MONTH($A684),DAY(EOMONTH($A684,0))),发射纪录!$N:$N,"&lt;&gt;",发射纪录!$J:$J,"="&amp;发射地月間統計!M$3)</f>
        <v>0</v>
      </c>
      <c r="N684" s="440">
        <f ca="1">COUNTIFS(发射纪录!$C:$C,"&lt;&gt;-",发射纪录!$G:$G,"&gt;="&amp;DATE(YEAR($A684),MONTH($A684),1),发射纪录!$G:$G,"&lt;="&amp;DATE(YEAR($A684),MONTH($A684),DAY(EOMONTH($A684,0))),发射纪录!$N:$N,"&lt;&gt;",发射纪录!$J:$J,"="&amp;发射地月間統計!N$3)</f>
        <v>0</v>
      </c>
      <c r="O684" s="8">
        <f t="shared" ca="1" si="23"/>
        <v>3</v>
      </c>
      <c r="P684" s="11">
        <f t="shared" ca="1" si="24"/>
        <v>4</v>
      </c>
      <c r="Q684" s="11">
        <f t="shared" ca="1" si="25"/>
        <v>1</v>
      </c>
      <c r="R684" s="11">
        <f t="shared" ca="1" si="26"/>
        <v>1</v>
      </c>
      <c r="S684" s="11">
        <f t="shared" ca="1" si="27"/>
        <v>2</v>
      </c>
      <c r="T684" s="11">
        <f t="shared" ca="1" si="28"/>
        <v>1</v>
      </c>
      <c r="U684" s="440">
        <f t="shared" ca="1" si="28"/>
        <v>0</v>
      </c>
      <c r="V684" s="8">
        <f t="shared" ca="1" si="29"/>
        <v>9</v>
      </c>
      <c r="W684" s="31">
        <f t="shared" ca="1" si="30"/>
        <v>32</v>
      </c>
    </row>
    <row r="685" spans="1:23" s="105" customFormat="1" x14ac:dyDescent="0.45">
      <c r="A685" s="64">
        <v>45809</v>
      </c>
      <c r="B685" s="15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COUNTIFS(发射纪录!$B:$B,"&lt;&gt;-",发射纪录!$G:$G,"&gt;="&amp;DATE(YEAR($A685),MONTH($A685),1),发射纪录!$G:$G,"&lt;="&amp;DATE(YEAR($A685),MONTH($A685),DAY(EOMONTH($A685,0))),发射纪录!$N:$N,"&lt;&gt;",发射纪录!$J:$J,"="&amp;发射地月間統計!B$3)</f>
        <v>1</v>
      </c>
      <c r="C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COUNTIFS(发射纪录!$B:$B,"&lt;&gt;-",发射纪录!$G:$G,"&gt;="&amp;DATE(YEAR($A685),MONTH($A685),1),发射纪录!$G:$G,"&lt;="&amp;DATE(YEAR($A685),MONTH($A685),DAY(EOMONTH($A685,0))),发射纪录!$N:$N,"&lt;&gt;",发射纪录!$J:$J,"="&amp;发射地月間統計!C$3)</f>
        <v>1</v>
      </c>
      <c r="D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COUNTIFS(发射纪录!$B:$B,"&lt;&gt;-",发射纪录!$G:$G,"&gt;="&amp;DATE(YEAR($A685),MONTH($A685),1),发射纪录!$G:$G,"&lt;="&amp;DATE(YEAR($A685),MONTH($A685),DAY(EOMONTH($A685,0))),发射纪录!$N:$N,"&lt;&gt;",发射纪录!$J:$J,"="&amp;发射地月間統計!D$3)</f>
        <v>0</v>
      </c>
      <c r="E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COUNTIFS(发射纪录!$B:$B,"&lt;&gt;-",发射纪录!$G:$G,"&gt;="&amp;DATE(YEAR($A685),MONTH($A685),1),发射纪录!$G:$G,"&lt;="&amp;DATE(YEAR($A685),MONTH($A685),DAY(EOMONTH($A685,0))),发射纪录!$N:$N,"&lt;&gt;",发射纪录!$J:$J,"="&amp;发射地月間統計!E$3)</f>
        <v>1</v>
      </c>
      <c r="F685" s="11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COUNTIFS(发射纪录!$B:$B,"&lt;&gt;-",发射纪录!$G:$G,"&gt;="&amp;DATE(YEAR($A685),MONTH($A685),1),发射纪录!$G:$G,"&lt;="&amp;DATE(YEAR($A685),MONTH($A685),DAY(EOMONTH($A685,0))),发射纪录!$N:$N,"&lt;&gt;",发射纪录!$J:$J,"="&amp;发射地月間統計!F$3)</f>
        <v>0</v>
      </c>
      <c r="G685" s="440">
        <f>COUNTIFS(发射纪录!$B:$B,"&lt;&gt;-",发射纪录!$G:$G,"&gt;="&amp;DATE(YEAR($A685),MONTH($A685),1),发射纪录!$G:$G,"&lt;="&amp;DATE(YEAR($A685),MONTH($A685),DAY(EOMONTH($A685,0))),发射纪录!$N:$N,"&lt;&gt;",发射纪录!$J:$J,"="&amp;发射地月間統計!G$3)</f>
        <v>0</v>
      </c>
      <c r="H685" s="8">
        <f t="shared" si="22"/>
        <v>3</v>
      </c>
      <c r="I685" s="11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COUNTIFS(发射纪录!$C:$C,"&lt;&gt;-",发射纪录!$G:$G,"&gt;="&amp;DATE(YEAR($A685),MONTH($A685),1),发射纪录!$G:$G,"&lt;="&amp;DATE(YEAR($A685),MONTH($A685),DAY(EOMONTH($A685,0))),发射纪录!$N:$N,"&lt;&gt;",发射纪录!$J:$J,"="&amp;发射地月間統計!I$3)</f>
        <v>0</v>
      </c>
      <c r="J685" s="11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COUNTIFS(发射纪录!$C:$C,"&lt;&gt;-",发射纪录!$G:$G,"&gt;="&amp;DATE(YEAR($A685),MONTH($A685),1),发射纪录!$G:$G,"&lt;="&amp;DATE(YEAR($A685),MONTH($A685),DAY(EOMONTH($A685,0))),发射纪录!$N:$N,"&lt;&gt;",发射纪录!$J:$J,"="&amp;发射地月間統計!J$3)</f>
        <v>0</v>
      </c>
      <c r="K685" s="11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COUNTIFS(发射纪录!$C:$C,"&lt;&gt;-",发射纪录!$G:$G,"&gt;="&amp;DATE(YEAR($A685),MONTH($A685),1),发射纪录!$G:$G,"&lt;="&amp;DATE(YEAR($A685),MONTH($A685),DAY(EOMONTH($A685,0))),发射纪录!$N:$N,"&lt;&gt;",发射纪录!$J:$J,"="&amp;发射地月間統計!K$3)</f>
        <v>0</v>
      </c>
      <c r="L685" s="11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COUNTIFS(发射纪录!$C:$C,"&lt;&gt;-",发射纪录!$G:$G,"&gt;="&amp;DATE(YEAR($A685),MONTH($A685),1),发射纪录!$G:$G,"&lt;="&amp;DATE(YEAR($A685),MONTH($A685),DAY(EOMONTH($A685,0))),发射纪录!$N:$N,"&lt;&gt;",发射纪录!$J:$J,"="&amp;发射地月間統計!L$3)</f>
        <v>0</v>
      </c>
      <c r="M685" s="11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COUNTIFS(发射纪录!$C:$C,"&lt;&gt;-",发射纪录!$G:$G,"&gt;="&amp;DATE(YEAR($A685),MONTH($A685),1),发射纪录!$G:$G,"&lt;="&amp;DATE(YEAR($A685),MONTH($A685),DAY(EOMONTH($A685,0))),发射纪录!$N:$N,"&lt;&gt;",发射纪录!$J:$J,"="&amp;发射地月間統計!M$3)</f>
        <v>0</v>
      </c>
      <c r="N685" s="440">
        <f ca="1">COUNTIFS(发射纪录!$C:$C,"&lt;&gt;-",发射纪录!$G:$G,"&gt;="&amp;DATE(YEAR($A685),MONTH($A685),1),发射纪录!$G:$G,"&lt;="&amp;DATE(YEAR($A685),MONTH($A685),DAY(EOMONTH($A685,0))),发射纪录!$N:$N,"&lt;&gt;",发射纪录!$J:$J,"="&amp;发射地月間統計!N$3)</f>
        <v>0</v>
      </c>
      <c r="O685" s="8">
        <f t="shared" ca="1" si="23"/>
        <v>0</v>
      </c>
      <c r="P685" s="11">
        <f t="shared" ca="1" si="24"/>
        <v>1</v>
      </c>
      <c r="Q685" s="11">
        <f t="shared" ca="1" si="25"/>
        <v>1</v>
      </c>
      <c r="R685" s="11">
        <f t="shared" ca="1" si="26"/>
        <v>0</v>
      </c>
      <c r="S685" s="11">
        <f t="shared" ca="1" si="27"/>
        <v>1</v>
      </c>
      <c r="T685" s="11">
        <f t="shared" ca="1" si="28"/>
        <v>0</v>
      </c>
      <c r="U685" s="440">
        <f t="shared" ca="1" si="28"/>
        <v>0</v>
      </c>
      <c r="V685" s="8">
        <f t="shared" ca="1" si="29"/>
        <v>3</v>
      </c>
      <c r="W685" s="31">
        <f t="shared" ca="1" si="30"/>
        <v>35</v>
      </c>
    </row>
    <row r="686" spans="1:23" s="105" customFormat="1" x14ac:dyDescent="0.45">
      <c r="A686" s="64">
        <v>45839</v>
      </c>
      <c r="B686" s="15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COUNTIFS(发射纪录!$B:$B,"&lt;&gt;-",发射纪录!$G:$G,"&gt;="&amp;DATE(YEAR($A686),MONTH($A686),1),发射纪录!$G:$G,"&lt;="&amp;DATE(YEAR($A686),MONTH($A686),DAY(EOMONTH($A686,0))),发射纪录!$N:$N,"&lt;&gt;",发射纪录!$J:$J,"="&amp;发射地月間統計!B$3)</f>
        <v>0</v>
      </c>
      <c r="C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COUNTIFS(发射纪录!$B:$B,"&lt;&gt;-",发射纪录!$G:$G,"&gt;="&amp;DATE(YEAR($A686),MONTH($A686),1),发射纪录!$G:$G,"&lt;="&amp;DATE(YEAR($A686),MONTH($A686),DAY(EOMONTH($A686,0))),发射纪录!$N:$N,"&lt;&gt;",发射纪录!$J:$J,"="&amp;发射地月間統計!C$3)</f>
        <v>1</v>
      </c>
      <c r="D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COUNTIFS(发射纪录!$B:$B,"&lt;&gt;-",发射纪录!$G:$G,"&gt;="&amp;DATE(YEAR($A686),MONTH($A686),1),发射纪录!$G:$G,"&lt;="&amp;DATE(YEAR($A686),MONTH($A686),DAY(EOMONTH($A686,0))),发射纪录!$N:$N,"&lt;&gt;",发射纪录!$J:$J,"="&amp;发射地月間統計!D$3)</f>
        <v>0</v>
      </c>
      <c r="E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COUNTIFS(发射纪录!$B:$B,"&lt;&gt;-",发射纪录!$G:$G,"&gt;="&amp;DATE(YEAR($A686),MONTH($A686),1),发射纪录!$G:$G,"&lt;="&amp;DATE(YEAR($A686),MONTH($A686),DAY(EOMONTH($A686,0))),发射纪录!$N:$N,"&lt;&gt;",发射纪录!$J:$J,"="&amp;发射地月間統計!E$3)</f>
        <v>1</v>
      </c>
      <c r="F686" s="11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COUNTIFS(发射纪录!$B:$B,"&lt;&gt;-",发射纪录!$G:$G,"&gt;="&amp;DATE(YEAR($A686),MONTH($A686),1),发射纪录!$G:$G,"&lt;="&amp;DATE(YEAR($A686),MONTH($A686),DAY(EOMONTH($A686,0))),发射纪录!$N:$N,"&lt;&gt;",发射纪录!$J:$J,"="&amp;发射地月間統計!F$3)</f>
        <v>1</v>
      </c>
      <c r="G686" s="440">
        <f>COUNTIFS(发射纪录!$B:$B,"&lt;&gt;-",发射纪录!$G:$G,"&gt;="&amp;DATE(YEAR($A686),MONTH($A686),1),发射纪录!$G:$G,"&lt;="&amp;DATE(YEAR($A686),MONTH($A686),DAY(EOMONTH($A686,0))),发射纪录!$N:$N,"&lt;&gt;",发射纪录!$J:$J,"="&amp;发射地月間統計!G$3)</f>
        <v>1</v>
      </c>
      <c r="H686" s="8">
        <f t="shared" si="22"/>
        <v>3</v>
      </c>
      <c r="I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COUNTIFS(发射纪录!$C:$C,"&lt;&gt;-",发射纪录!$G:$G,"&gt;="&amp;DATE(YEAR($A686),MONTH($A686),1),发射纪录!$G:$G,"&lt;="&amp;DATE(YEAR($A686),MONTH($A686),DAY(EOMONTH($A686,0))),发射纪录!$N:$N,"&lt;&gt;",发射纪录!$J:$J,"="&amp;发射地月間統計!I$3)</f>
        <v>1</v>
      </c>
      <c r="J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COUNTIFS(发射纪录!$C:$C,"&lt;&gt;-",发射纪录!$G:$G,"&gt;="&amp;DATE(YEAR($A686),MONTH($A686),1),发射纪录!$G:$G,"&lt;="&amp;DATE(YEAR($A686),MONTH($A686),DAY(EOMONTH($A686,0))),发射纪录!$N:$N,"&lt;&gt;",发射纪录!$J:$J,"="&amp;发射地月間統計!J$3)</f>
        <v>0</v>
      </c>
      <c r="K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COUNTIFS(发射纪录!$C:$C,"&lt;&gt;-",发射纪录!$G:$G,"&gt;="&amp;DATE(YEAR($A686),MONTH($A686),1),发射纪录!$G:$G,"&lt;="&amp;DATE(YEAR($A686),MONTH($A686),DAY(EOMONTH($A686,0))),发射纪录!$N:$N,"&lt;&gt;",发射纪录!$J:$J,"="&amp;发射地月間統計!K$3)</f>
        <v>0</v>
      </c>
      <c r="L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COUNTIFS(发射纪录!$C:$C,"&lt;&gt;-",发射纪录!$G:$G,"&gt;="&amp;DATE(YEAR($A686),MONTH($A686),1),发射纪录!$G:$G,"&lt;="&amp;DATE(YEAR($A686),MONTH($A686),DAY(EOMONTH($A686,0))),发射纪录!$N:$N,"&lt;&gt;",发射纪录!$J:$J,"="&amp;发射地月間統計!L$3)</f>
        <v>1</v>
      </c>
      <c r="M686" s="11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COUNTIFS(发射纪录!$C:$C,"&lt;&gt;-",发射纪录!$G:$G,"&gt;="&amp;DATE(YEAR($A686),MONTH($A686),1),发射纪录!$G:$G,"&lt;="&amp;DATE(YEAR($A686),MONTH($A686),DAY(EOMONTH($A686,0))),发射纪录!$N:$N,"&lt;&gt;",发射纪录!$J:$J,"="&amp;发射地月間統計!M$3)</f>
        <v>0</v>
      </c>
      <c r="N686" s="440">
        <f ca="1">COUNTIFS(发射纪录!$C:$C,"&lt;&gt;-",发射纪录!$G:$G,"&gt;="&amp;DATE(YEAR($A686),MONTH($A686),1),发射纪录!$G:$G,"&lt;="&amp;DATE(YEAR($A686),MONTH($A686),DAY(EOMONTH($A686,0))),发射纪录!$N:$N,"&lt;&gt;",发射纪录!$J:$J,"="&amp;发射地月間統計!N$3)</f>
        <v>0</v>
      </c>
      <c r="O686" s="8">
        <f t="shared" ca="1" si="23"/>
        <v>2</v>
      </c>
      <c r="P686" s="37">
        <f t="shared" ca="1" si="24"/>
        <v>1</v>
      </c>
      <c r="Q686" s="37">
        <f t="shared" ca="1" si="25"/>
        <v>1</v>
      </c>
      <c r="R686" s="11">
        <f t="shared" ca="1" si="26"/>
        <v>0</v>
      </c>
      <c r="S686" s="11">
        <f t="shared" ca="1" si="27"/>
        <v>2</v>
      </c>
      <c r="T686" s="11">
        <f t="shared" ca="1" si="28"/>
        <v>1</v>
      </c>
      <c r="U686" s="440">
        <f t="shared" ca="1" si="28"/>
        <v>1</v>
      </c>
      <c r="V686" s="8">
        <f t="shared" ca="1" si="29"/>
        <v>6</v>
      </c>
      <c r="W686" s="31">
        <f t="shared" ca="1" si="30"/>
        <v>41</v>
      </c>
    </row>
    <row r="687" spans="1:23" s="105" customFormat="1" x14ac:dyDescent="0.45">
      <c r="A687" s="64">
        <v>45870</v>
      </c>
      <c r="B687" s="15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COUNTIFS(发射纪录!$B:$B,"&lt;&gt;-",发射纪录!$G:$G,"&gt;="&amp;DATE(YEAR($A687),MONTH($A687),1),发射纪录!$G:$G,"&lt;="&amp;DATE(YEAR($A687),MONTH($A687),DAY(EOMONTH($A687,0))),发射纪录!$N:$N,"&lt;&gt;",发射纪录!$J:$J,"="&amp;发射地月間統計!B$3)</f>
        <v>0</v>
      </c>
      <c r="C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COUNTIFS(发射纪录!$B:$B,"&lt;&gt;-",发射纪录!$G:$G,"&gt;="&amp;DATE(YEAR($A687),MONTH($A687),1),发射纪录!$G:$G,"&lt;="&amp;DATE(YEAR($A687),MONTH($A687),DAY(EOMONTH($A687,0))),发射纪录!$N:$N,"&lt;&gt;",发射纪录!$J:$J,"="&amp;发射地月間統計!C$3)</f>
        <v>1</v>
      </c>
      <c r="D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COUNTIFS(发射纪录!$B:$B,"&lt;&gt;-",发射纪录!$G:$G,"&gt;="&amp;DATE(YEAR($A687),MONTH($A687),1),发射纪录!$G:$G,"&lt;="&amp;DATE(YEAR($A687),MONTH($A687),DAY(EOMONTH($A687,0))),发射纪录!$N:$N,"&lt;&gt;",发射纪录!$J:$J,"="&amp;发射地月間統計!D$3)</f>
        <v>0</v>
      </c>
      <c r="E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COUNTIFS(发射纪录!$B:$B,"&lt;&gt;-",发射纪录!$G:$G,"&gt;="&amp;DATE(YEAR($A687),MONTH($A687),1),发射纪录!$G:$G,"&lt;="&amp;DATE(YEAR($A687),MONTH($A687),DAY(EOMONTH($A687,0))),发射纪录!$N:$N,"&lt;&gt;",发射纪录!$J:$J,"="&amp;发射地月間統計!E$3)</f>
        <v>1</v>
      </c>
      <c r="F687" s="11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COUNTIFS(发射纪录!$B:$B,"&lt;&gt;-",发射纪录!$G:$G,"&gt;="&amp;DATE(YEAR($A687),MONTH($A687),1),发射纪录!$G:$G,"&lt;="&amp;DATE(YEAR($A687),MONTH($A687),DAY(EOMONTH($A687,0))),发射纪录!$N:$N,"&lt;&gt;",发射纪录!$J:$J,"="&amp;发射地月間統計!F$3)</f>
        <v>1</v>
      </c>
      <c r="G687" s="440">
        <f>COUNTIFS(发射纪录!$B:$B,"&lt;&gt;-",发射纪录!$G:$G,"&gt;="&amp;DATE(YEAR($A687),MONTH($A687),1),发射纪录!$G:$G,"&lt;="&amp;DATE(YEAR($A687),MONTH($A687),DAY(EOMONTH($A687,0))),发射纪录!$N:$N,"&lt;&gt;",发射纪录!$J:$J,"="&amp;发射地月間統計!G$3)</f>
        <v>2</v>
      </c>
      <c r="H687" s="8">
        <f t="shared" si="22"/>
        <v>3</v>
      </c>
      <c r="I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COUNTIFS(发射纪录!$C:$C,"&lt;&gt;-",发射纪录!$G:$G,"&gt;="&amp;DATE(YEAR($A687),MONTH($A687),1),发射纪录!$G:$G,"&lt;="&amp;DATE(YEAR($A687),MONTH($A687),DAY(EOMONTH($A687,0))),发射纪录!$N:$N,"&lt;&gt;",发射纪录!$J:$J,"="&amp;发射地月間統計!I$3)</f>
        <v>2</v>
      </c>
      <c r="J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COUNTIFS(发射纪录!$C:$C,"&lt;&gt;-",发射纪录!$G:$G,"&gt;="&amp;DATE(YEAR($A687),MONTH($A687),1),发射纪录!$G:$G,"&lt;="&amp;DATE(YEAR($A687),MONTH($A687),DAY(EOMONTH($A687,0))),发射纪录!$N:$N,"&lt;&gt;",发射纪录!$J:$J,"="&amp;发射地月間統計!J$3)</f>
        <v>0</v>
      </c>
      <c r="K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COUNTIFS(发射纪录!$C:$C,"&lt;&gt;-",发射纪录!$G:$G,"&gt;="&amp;DATE(YEAR($A687),MONTH($A687),1),发射纪录!$G:$G,"&lt;="&amp;DATE(YEAR($A687),MONTH($A687),DAY(EOMONTH($A687,0))),发射纪录!$N:$N,"&lt;&gt;",发射纪录!$J:$J,"="&amp;发射地月間統計!K$3)</f>
        <v>1</v>
      </c>
      <c r="L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COUNTIFS(发射纪录!$C:$C,"&lt;&gt;-",发射纪录!$G:$G,"&gt;="&amp;DATE(YEAR($A687),MONTH($A687),1),发射纪录!$G:$G,"&lt;="&amp;DATE(YEAR($A687),MONTH($A687),DAY(EOMONTH($A687,0))),发射纪录!$N:$N,"&lt;&gt;",发射纪录!$J:$J,"="&amp;发射地月間統計!L$3)</f>
        <v>0</v>
      </c>
      <c r="M687" s="11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COUNTIFS(发射纪录!$C:$C,"&lt;&gt;-",发射纪录!$G:$G,"&gt;="&amp;DATE(YEAR($A687),MONTH($A687),1),发射纪录!$G:$G,"&lt;="&amp;DATE(YEAR($A687),MONTH($A687),DAY(EOMONTH($A687,0))),发射纪录!$N:$N,"&lt;&gt;",发射纪录!$J:$J,"="&amp;发射地月間統計!M$3)</f>
        <v>0</v>
      </c>
      <c r="N687" s="440">
        <f ca="1">COUNTIFS(发射纪录!$C:$C,"&lt;&gt;-",发射纪录!$G:$G,"&gt;="&amp;DATE(YEAR($A687),MONTH($A687),1),发射纪录!$G:$G,"&lt;="&amp;DATE(YEAR($A687),MONTH($A687),DAY(EOMONTH($A687,0))),发射纪录!$N:$N,"&lt;&gt;",发射纪录!$J:$J,"="&amp;发射地月間統計!N$3)</f>
        <v>0</v>
      </c>
      <c r="O687" s="8">
        <f t="shared" ca="1" si="23"/>
        <v>3</v>
      </c>
      <c r="P687" s="11">
        <f t="shared" ca="1" si="24"/>
        <v>2</v>
      </c>
      <c r="Q687" s="11">
        <f t="shared" ca="1" si="25"/>
        <v>1</v>
      </c>
      <c r="R687" s="11">
        <f t="shared" ca="1" si="26"/>
        <v>1</v>
      </c>
      <c r="S687" s="11">
        <f t="shared" ca="1" si="27"/>
        <v>1</v>
      </c>
      <c r="T687" s="11">
        <f t="shared" ca="1" si="28"/>
        <v>1</v>
      </c>
      <c r="U687" s="440">
        <f t="shared" ca="1" si="28"/>
        <v>2</v>
      </c>
      <c r="V687" s="8">
        <f t="shared" ca="1" si="29"/>
        <v>8</v>
      </c>
      <c r="W687" s="31">
        <f t="shared" ca="1" si="30"/>
        <v>49</v>
      </c>
    </row>
    <row r="688" spans="1:23" s="105" customFormat="1" x14ac:dyDescent="0.45">
      <c r="A688" s="64">
        <v>45901</v>
      </c>
      <c r="B688" s="15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COUNTIFS(发射纪录!$B:$B,"&lt;&gt;-",发射纪录!$G:$G,"&gt;="&amp;DATE(YEAR($A688),MONTH($A688),1),发射纪录!$G:$G,"&lt;="&amp;DATE(YEAR($A688),MONTH($A688),DAY(EOMONTH($A688,0))),发射纪录!$N:$N,"&lt;&gt;",发射纪录!$J:$J,"="&amp;发射地月間統計!B$3)</f>
        <v>2</v>
      </c>
      <c r="C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COUNTIFS(发射纪录!$B:$B,"&lt;&gt;-",发射纪录!$G:$G,"&gt;="&amp;DATE(YEAR($A688),MONTH($A688),1),发射纪录!$G:$G,"&lt;="&amp;DATE(YEAR($A688),MONTH($A688),DAY(EOMONTH($A688,0))),发射纪录!$N:$N,"&lt;&gt;",发射纪录!$J:$J,"="&amp;发射地月間統計!C$3)</f>
        <v>2</v>
      </c>
      <c r="D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COUNTIFS(发射纪录!$B:$B,"&lt;&gt;-",发射纪录!$G:$G,"&gt;="&amp;DATE(YEAR($A688),MONTH($A688),1),发射纪录!$G:$G,"&lt;="&amp;DATE(YEAR($A688),MONTH($A688),DAY(EOMONTH($A688,0))),发射纪录!$N:$N,"&lt;&gt;",发射纪录!$J:$J,"="&amp;发射地月間統計!D$3)</f>
        <v>0</v>
      </c>
      <c r="E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COUNTIFS(发射纪录!$B:$B,"&lt;&gt;-",发射纪录!$G:$G,"&gt;="&amp;DATE(YEAR($A688),MONTH($A688),1),发射纪录!$G:$G,"&lt;="&amp;DATE(YEAR($A688),MONTH($A688),DAY(EOMONTH($A688,0))),发射纪录!$N:$N,"&lt;&gt;",发射纪录!$J:$J,"="&amp;发射地月間統計!E$3)</f>
        <v>2</v>
      </c>
      <c r="F688" s="11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COUNTIFS(发射纪录!$B:$B,"&lt;&gt;-",发射纪录!$G:$G,"&gt;="&amp;DATE(YEAR($A688),MONTH($A688),1),发射纪录!$G:$G,"&lt;="&amp;DATE(YEAR($A688),MONTH($A688),DAY(EOMONTH($A688,0))),发射纪录!$N:$N,"&lt;&gt;",发射纪录!$J:$J,"="&amp;发射地月間統計!F$3)</f>
        <v>1</v>
      </c>
      <c r="G688" s="440">
        <f>COUNTIFS(发射纪录!$B:$B,"&lt;&gt;-",发射纪录!$G:$G,"&gt;="&amp;DATE(YEAR($A688),MONTH($A688),1),发射纪录!$G:$G,"&lt;="&amp;DATE(YEAR($A688),MONTH($A688),DAY(EOMONTH($A688,0))),发射纪录!$N:$N,"&lt;&gt;",发射纪录!$J:$J,"="&amp;发射地月間統計!G$3)</f>
        <v>0</v>
      </c>
      <c r="H688" s="8">
        <f t="shared" si="22"/>
        <v>7</v>
      </c>
      <c r="I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COUNTIFS(发射纪录!$C:$C,"&lt;&gt;-",发射纪录!$G:$G,"&gt;="&amp;DATE(YEAR($A688),MONTH($A688),1),发射纪录!$G:$G,"&lt;="&amp;DATE(YEAR($A688),MONTH($A688),DAY(EOMONTH($A688,0))),发射纪录!$N:$N,"&lt;&gt;",发射纪录!$J:$J,"="&amp;发射地月間統計!I$3)</f>
        <v>1</v>
      </c>
      <c r="J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COUNTIFS(发射纪录!$C:$C,"&lt;&gt;-",发射纪录!$G:$G,"&gt;="&amp;DATE(YEAR($A688),MONTH($A688),1),发射纪录!$G:$G,"&lt;="&amp;DATE(YEAR($A688),MONTH($A688),DAY(EOMONTH($A688,0))),发射纪录!$N:$N,"&lt;&gt;",发射纪录!$J:$J,"="&amp;发射地月間統計!J$3)</f>
        <v>0</v>
      </c>
      <c r="K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COUNTIFS(发射纪录!$C:$C,"&lt;&gt;-",发射纪录!$G:$G,"&gt;="&amp;DATE(YEAR($A688),MONTH($A688),1),发射纪录!$G:$G,"&lt;="&amp;DATE(YEAR($A688),MONTH($A688),DAY(EOMONTH($A688,0))),发射纪录!$N:$N,"&lt;&gt;",发射纪录!$J:$J,"="&amp;发射地月間統計!K$3)</f>
        <v>2</v>
      </c>
      <c r="L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COUNTIFS(发射纪录!$C:$C,"&lt;&gt;-",发射纪录!$G:$G,"&gt;="&amp;DATE(YEAR($A688),MONTH($A688),1),发射纪录!$G:$G,"&lt;="&amp;DATE(YEAR($A688),MONTH($A688),DAY(EOMONTH($A688,0))),发射纪录!$N:$N,"&lt;&gt;",发射纪录!$J:$J,"="&amp;发射地月間統計!L$3)</f>
        <v>0</v>
      </c>
      <c r="M688" s="11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COUNTIFS(发射纪录!$C:$C,"&lt;&gt;-",发射纪录!$G:$G,"&gt;="&amp;DATE(YEAR($A688),MONTH($A688),1),发射纪录!$G:$G,"&lt;="&amp;DATE(YEAR($A688),MONTH($A688),DAY(EOMONTH($A688,0))),发射纪录!$N:$N,"&lt;&gt;",发射纪录!$J:$J,"="&amp;发射地月間統計!M$3)</f>
        <v>0</v>
      </c>
      <c r="N688" s="440">
        <f ca="1">COUNTIFS(发射纪录!$C:$C,"&lt;&gt;-",发射纪录!$G:$G,"&gt;="&amp;DATE(YEAR($A688),MONTH($A688),1),发射纪录!$G:$G,"&lt;="&amp;DATE(YEAR($A688),MONTH($A688),DAY(EOMONTH($A688,0))),发射纪录!$N:$N,"&lt;&gt;",发射纪录!$J:$J,"="&amp;发射地月間統計!N$3)</f>
        <v>0</v>
      </c>
      <c r="O688" s="8">
        <f t="shared" ca="1" si="23"/>
        <v>3</v>
      </c>
      <c r="P688" s="11">
        <f t="shared" ca="1" si="24"/>
        <v>3</v>
      </c>
      <c r="Q688" s="11">
        <f t="shared" ca="1" si="25"/>
        <v>2</v>
      </c>
      <c r="R688" s="11">
        <f t="shared" ca="1" si="26"/>
        <v>2</v>
      </c>
      <c r="S688" s="11">
        <f t="shared" ca="1" si="27"/>
        <v>2</v>
      </c>
      <c r="T688" s="11">
        <f t="shared" ca="1" si="28"/>
        <v>1</v>
      </c>
      <c r="U688" s="440">
        <f t="shared" ca="1" si="28"/>
        <v>0</v>
      </c>
      <c r="V688" s="8">
        <f t="shared" ca="1" si="29"/>
        <v>10</v>
      </c>
      <c r="W688" s="31">
        <f t="shared" ca="1" si="30"/>
        <v>59</v>
      </c>
    </row>
    <row r="689" spans="1:23" s="105" customFormat="1" x14ac:dyDescent="0.45">
      <c r="A689" s="64">
        <v>45931</v>
      </c>
      <c r="B689" s="15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COUNTIFS(发射纪录!$B:$B,"&lt;&gt;-",发射纪录!$G:$G,"&gt;="&amp;DATE(YEAR($A689),MONTH($A689),1),发射纪录!$G:$G,"&lt;="&amp;DATE(YEAR($A689),MONTH($A689),DAY(EOMONTH($A689,0))),发射纪录!$N:$N,"&lt;&gt;",发射纪录!$J:$J,"="&amp;发射地月間統計!B$3)</f>
        <v>2</v>
      </c>
      <c r="C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COUNTIFS(发射纪录!$B:$B,"&lt;&gt;-",发射纪录!$G:$G,"&gt;="&amp;DATE(YEAR($A689),MONTH($A689),1),发射纪录!$G:$G,"&lt;="&amp;DATE(YEAR($A689),MONTH($A689),DAY(EOMONTH($A689,0))),发射纪录!$N:$N,"&lt;&gt;",发射纪录!$J:$J,"="&amp;发射地月間統計!C$3)</f>
        <v>1</v>
      </c>
      <c r="D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COUNTIFS(发射纪录!$B:$B,"&lt;&gt;-",发射纪录!$G:$G,"&gt;="&amp;DATE(YEAR($A689),MONTH($A689),1),发射纪录!$G:$G,"&lt;="&amp;DATE(YEAR($A689),MONTH($A689),DAY(EOMONTH($A689,0))),发射纪录!$N:$N,"&lt;&gt;",发射纪录!$J:$J,"="&amp;发射地月間統計!D$3)</f>
        <v>0</v>
      </c>
      <c r="E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COUNTIFS(发射纪录!$B:$B,"&lt;&gt;-",发射纪录!$G:$G,"&gt;="&amp;DATE(YEAR($A689),MONTH($A689),1),发射纪录!$G:$G,"&lt;="&amp;DATE(YEAR($A689),MONTH($A689),DAY(EOMONTH($A689,0))),发射纪录!$N:$N,"&lt;&gt;",发射纪录!$J:$J,"="&amp;发射地月間統計!E$3)</f>
        <v>1</v>
      </c>
      <c r="F689" s="11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COUNTIFS(发射纪录!$B:$B,"&lt;&gt;-",发射纪录!$G:$G,"&gt;="&amp;DATE(YEAR($A689),MONTH($A689),1),发射纪录!$G:$G,"&lt;="&amp;DATE(YEAR($A689),MONTH($A689),DAY(EOMONTH($A689,0))),发射纪录!$N:$N,"&lt;&gt;",发射纪录!$J:$J,"="&amp;发射地月間統計!F$3)</f>
        <v>1</v>
      </c>
      <c r="G689" s="440">
        <f>COUNTIFS(发射纪录!$B:$B,"&lt;&gt;-",发射纪录!$G:$G,"&gt;="&amp;DATE(YEAR($A689),MONTH($A689),1),发射纪录!$G:$G,"&lt;="&amp;DATE(YEAR($A689),MONTH($A689),DAY(EOMONTH($A689,0))),发射纪录!$N:$N,"&lt;&gt;",发射纪录!$J:$J,"="&amp;发射地月間統計!G$3)</f>
        <v>1</v>
      </c>
      <c r="H689" s="8">
        <f t="shared" si="22"/>
        <v>5</v>
      </c>
      <c r="I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COUNTIFS(发射纪录!$C:$C,"&lt;&gt;-",发射纪录!$G:$G,"&gt;="&amp;DATE(YEAR($A689),MONTH($A689),1),发射纪录!$G:$G,"&lt;="&amp;DATE(YEAR($A689),MONTH($A689),DAY(EOMONTH($A689,0))),发射纪录!$N:$N,"&lt;&gt;",发射纪录!$J:$J,"="&amp;发射地月間統計!I$3)</f>
        <v>1</v>
      </c>
      <c r="J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COUNTIFS(发射纪录!$C:$C,"&lt;&gt;-",发射纪录!$G:$G,"&gt;="&amp;DATE(YEAR($A689),MONTH($A689),1),发射纪录!$G:$G,"&lt;="&amp;DATE(YEAR($A689),MONTH($A689),DAY(EOMONTH($A689,0))),发射纪录!$N:$N,"&lt;&gt;",发射纪录!$J:$J,"="&amp;发射地月間統計!J$3)</f>
        <v>0</v>
      </c>
      <c r="K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COUNTIFS(发射纪录!$C:$C,"&lt;&gt;-",发射纪录!$G:$G,"&gt;="&amp;DATE(YEAR($A689),MONTH($A689),1),发射纪录!$G:$G,"&lt;="&amp;DATE(YEAR($A689),MONTH($A689),DAY(EOMONTH($A689,0))),发射纪录!$N:$N,"&lt;&gt;",发射纪录!$J:$J,"="&amp;发射地月間統計!K$3)</f>
        <v>1</v>
      </c>
      <c r="L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COUNTIFS(发射纪录!$C:$C,"&lt;&gt;-",发射纪录!$G:$G,"&gt;="&amp;DATE(YEAR($A689),MONTH($A689),1),发射纪录!$G:$G,"&lt;="&amp;DATE(YEAR($A689),MONTH($A689),DAY(EOMONTH($A689,0))),发射纪录!$N:$N,"&lt;&gt;",发射纪录!$J:$J,"="&amp;发射地月間統計!L$3)</f>
        <v>0</v>
      </c>
      <c r="M689" s="11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COUNTIFS(发射纪录!$C:$C,"&lt;&gt;-",发射纪录!$G:$G,"&gt;="&amp;DATE(YEAR($A689),MONTH($A689),1),发射纪录!$G:$G,"&lt;="&amp;DATE(YEAR($A689),MONTH($A689),DAY(EOMONTH($A689,0))),发射纪录!$N:$N,"&lt;&gt;",发射纪录!$J:$J,"="&amp;发射地月間統計!M$3)</f>
        <v>0</v>
      </c>
      <c r="N689" s="440">
        <f ca="1">COUNTIFS(发射纪录!$C:$C,"&lt;&gt;-",发射纪录!$G:$G,"&gt;="&amp;DATE(YEAR($A689),MONTH($A689),1),发射纪录!$G:$G,"&lt;="&amp;DATE(YEAR($A689),MONTH($A689),DAY(EOMONTH($A689,0))),发射纪录!$N:$N,"&lt;&gt;",发射纪录!$J:$J,"="&amp;发射地月間統計!N$3)</f>
        <v>0</v>
      </c>
      <c r="O689" s="8">
        <f t="shared" ca="1" si="23"/>
        <v>2</v>
      </c>
      <c r="P689" s="11">
        <f t="shared" ca="1" si="24"/>
        <v>3</v>
      </c>
      <c r="Q689" s="11">
        <f t="shared" ca="1" si="25"/>
        <v>1</v>
      </c>
      <c r="R689" s="11">
        <f t="shared" ca="1" si="26"/>
        <v>1</v>
      </c>
      <c r="S689" s="11">
        <f t="shared" ca="1" si="27"/>
        <v>1</v>
      </c>
      <c r="T689" s="11">
        <f t="shared" ca="1" si="28"/>
        <v>1</v>
      </c>
      <c r="U689" s="440">
        <f t="shared" ca="1" si="28"/>
        <v>1</v>
      </c>
      <c r="V689" s="8">
        <f t="shared" ca="1" si="29"/>
        <v>8</v>
      </c>
      <c r="W689" s="31">
        <f t="shared" ca="1" si="30"/>
        <v>67</v>
      </c>
    </row>
    <row r="690" spans="1:23" s="105" customFormat="1" x14ac:dyDescent="0.45">
      <c r="A690" s="64">
        <v>45962</v>
      </c>
      <c r="B690" s="15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COUNTIFS(发射纪录!$B:$B,"&lt;&gt;-",发射纪录!$G:$G,"&gt;="&amp;DATE(YEAR($A690),MONTH($A690),1),发射纪录!$G:$G,"&lt;="&amp;DATE(YEAR($A690),MONTH($A690),DAY(EOMONTH($A690,0))),发射纪录!$N:$N,"&lt;&gt;",发射纪录!$J:$J,"="&amp;发射地月間統計!B$3)</f>
        <v>2</v>
      </c>
      <c r="C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COUNTIFS(发射纪录!$B:$B,"&lt;&gt;-",发射纪录!$G:$G,"&gt;="&amp;DATE(YEAR($A690),MONTH($A690),1),发射纪录!$G:$G,"&lt;="&amp;DATE(YEAR($A690),MONTH($A690),DAY(EOMONTH($A690,0))),发射纪录!$N:$N,"&lt;&gt;",发射纪录!$J:$J,"="&amp;发射地月間統計!C$3)</f>
        <v>0</v>
      </c>
      <c r="D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COUNTIFS(发射纪录!$B:$B,"&lt;&gt;-",发射纪录!$G:$G,"&gt;="&amp;DATE(YEAR($A690),MONTH($A690),1),发射纪录!$G:$G,"&lt;="&amp;DATE(YEAR($A690),MONTH($A690),DAY(EOMONTH($A690,0))),发射纪录!$N:$N,"&lt;&gt;",发射纪录!$J:$J,"="&amp;发射地月間統計!D$3)</f>
        <v>1</v>
      </c>
      <c r="E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COUNTIFS(发射纪录!$B:$B,"&lt;&gt;-",发射纪录!$G:$G,"&gt;="&amp;DATE(YEAR($A690),MONTH($A690),1),发射纪录!$G:$G,"&lt;="&amp;DATE(YEAR($A690),MONTH($A690),DAY(EOMONTH($A690,0))),发射纪录!$N:$N,"&lt;&gt;",发射纪录!$J:$J,"="&amp;发射地月間統計!E$3)</f>
        <v>1</v>
      </c>
      <c r="F690" s="11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COUNTIFS(发射纪录!$B:$B,"&lt;&gt;-",发射纪录!$G:$G,"&gt;="&amp;DATE(YEAR($A690),MONTH($A690),1),发射纪录!$G:$G,"&lt;="&amp;DATE(YEAR($A690),MONTH($A690),DAY(EOMONTH($A690,0))),发射纪录!$N:$N,"&lt;&gt;",发射纪录!$J:$J,"="&amp;发射地月間統計!F$3)</f>
        <v>2</v>
      </c>
      <c r="G690" s="440">
        <f>COUNTIFS(发射纪录!$B:$B,"&lt;&gt;-",发射纪录!$G:$G,"&gt;="&amp;DATE(YEAR($A690),MONTH($A690),1),发射纪录!$G:$G,"&lt;="&amp;DATE(YEAR($A690),MONTH($A690),DAY(EOMONTH($A690,0))),发射纪录!$N:$N,"&lt;&gt;",发射纪录!$J:$J,"="&amp;发射地月間統計!G$3)</f>
        <v>1</v>
      </c>
      <c r="H690" s="8">
        <f t="shared" si="22"/>
        <v>6</v>
      </c>
      <c r="I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COUNTIFS(发射纪录!$C:$C,"&lt;&gt;-",发射纪录!$G:$G,"&gt;="&amp;DATE(YEAR($A690),MONTH($A690),1),发射纪录!$G:$G,"&lt;="&amp;DATE(YEAR($A690),MONTH($A690),DAY(EOMONTH($A690,0))),发射纪录!$N:$N,"&lt;&gt;",发射纪录!$J:$J,"="&amp;发射地月間統計!I$3)</f>
        <v>2</v>
      </c>
      <c r="J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COUNTIFS(发射纪录!$C:$C,"&lt;&gt;-",发射纪录!$G:$G,"&gt;="&amp;DATE(YEAR($A690),MONTH($A690),1),发射纪录!$G:$G,"&lt;="&amp;DATE(YEAR($A690),MONTH($A690),DAY(EOMONTH($A690,0))),发射纪录!$N:$N,"&lt;&gt;",发射纪录!$J:$J,"="&amp;发射地月間統計!J$3)</f>
        <v>0</v>
      </c>
      <c r="K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COUNTIFS(发射纪录!$C:$C,"&lt;&gt;-",发射纪录!$G:$G,"&gt;="&amp;DATE(YEAR($A690),MONTH($A690),1),发射纪录!$G:$G,"&lt;="&amp;DATE(YEAR($A690),MONTH($A690),DAY(EOMONTH($A690,0))),发射纪录!$N:$N,"&lt;&gt;",发射纪录!$J:$J,"="&amp;发射地月間統計!K$3)</f>
        <v>0</v>
      </c>
      <c r="L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COUNTIFS(发射纪录!$C:$C,"&lt;&gt;-",发射纪录!$G:$G,"&gt;="&amp;DATE(YEAR($A690),MONTH($A690),1),发射纪录!$G:$G,"&lt;="&amp;DATE(YEAR($A690),MONTH($A690),DAY(EOMONTH($A690,0))),发射纪录!$N:$N,"&lt;&gt;",发射纪录!$J:$J,"="&amp;发射地月間統計!L$3)</f>
        <v>0</v>
      </c>
      <c r="M690" s="11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COUNTIFS(发射纪录!$C:$C,"&lt;&gt;-",发射纪录!$G:$G,"&gt;="&amp;DATE(YEAR($A690),MONTH($A690),1),发射纪录!$G:$G,"&lt;="&amp;DATE(YEAR($A690),MONTH($A690),DAY(EOMONTH($A690,0))),发射纪录!$N:$N,"&lt;&gt;",发射纪录!$J:$J,"="&amp;发射地月間統計!M$3)</f>
        <v>0</v>
      </c>
      <c r="N690" s="440">
        <f ca="1">COUNTIFS(发射纪录!$C:$C,"&lt;&gt;-",发射纪录!$G:$G,"&gt;="&amp;DATE(YEAR($A690),MONTH($A690),1),发射纪录!$G:$G,"&lt;="&amp;DATE(YEAR($A690),MONTH($A690),DAY(EOMONTH($A690,0))),发射纪录!$N:$N,"&lt;&gt;",发射纪录!$J:$J,"="&amp;发射地月間統計!N$3)</f>
        <v>0</v>
      </c>
      <c r="O690" s="8">
        <f t="shared" ca="1" si="23"/>
        <v>2</v>
      </c>
      <c r="P690" s="11">
        <f t="shared" ca="1" si="24"/>
        <v>4</v>
      </c>
      <c r="Q690" s="11">
        <f t="shared" ca="1" si="25"/>
        <v>0</v>
      </c>
      <c r="R690" s="11">
        <f t="shared" ca="1" si="26"/>
        <v>1</v>
      </c>
      <c r="S690" s="11">
        <f t="shared" ca="1" si="27"/>
        <v>1</v>
      </c>
      <c r="T690" s="11">
        <f t="shared" ca="1" si="28"/>
        <v>2</v>
      </c>
      <c r="U690" s="440">
        <f t="shared" ca="1" si="28"/>
        <v>1</v>
      </c>
      <c r="V690" s="8">
        <f t="shared" ca="1" si="29"/>
        <v>9</v>
      </c>
      <c r="W690" s="31">
        <f t="shared" ca="1" si="30"/>
        <v>76</v>
      </c>
    </row>
    <row r="691" spans="1:23" s="105" customFormat="1" x14ac:dyDescent="0.45">
      <c r="A691" s="69">
        <v>45992</v>
      </c>
      <c r="B691" s="16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COUNTIFS(发射纪录!$B:$B,"&lt;&gt;-",发射纪录!$G:$G,"&gt;="&amp;DATE(YEAR($A691),MONTH($A691),1),发射纪录!$G:$G,"&lt;="&amp;DATE(YEAR($A691),MONTH($A691),DAY(EOMONTH($A691,0))),发射纪录!$N:$N,"&lt;&gt;",发射纪录!$J:$J,"="&amp;发射地月間統計!B$3)</f>
        <v>3</v>
      </c>
      <c r="C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COUNTIFS(发射纪录!$B:$B,"&lt;&gt;-",发射纪录!$G:$G,"&gt;="&amp;DATE(YEAR($A691),MONTH($A691),1),发射纪录!$G:$G,"&lt;="&amp;DATE(YEAR($A691),MONTH($A691),DAY(EOMONTH($A691,0))),发射纪录!$N:$N,"&lt;&gt;",发射纪录!$J:$J,"="&amp;发射地月間統計!C$3)</f>
        <v>2</v>
      </c>
      <c r="D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COUNTIFS(发射纪录!$B:$B,"&lt;&gt;-",发射纪录!$G:$G,"&gt;="&amp;DATE(YEAR($A691),MONTH($A691),1),发射纪录!$G:$G,"&lt;="&amp;DATE(YEAR($A691),MONTH($A691),DAY(EOMONTH($A691,0))),发射纪录!$N:$N,"&lt;&gt;",发射纪录!$J:$J,"="&amp;发射地月間統計!D$3)</f>
        <v>0</v>
      </c>
      <c r="E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COUNTIFS(发射纪录!$B:$B,"&lt;&gt;-",发射纪录!$G:$G,"&gt;="&amp;DATE(YEAR($A691),MONTH($A691),1),发射纪录!$G:$G,"&lt;="&amp;DATE(YEAR($A691),MONTH($A691),DAY(EOMONTH($A691,0))),发射纪录!$N:$N,"&lt;&gt;",发射纪录!$J:$J,"="&amp;发射地月間統計!E$3)</f>
        <v>2</v>
      </c>
      <c r="F691" s="42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COUNTIFS(发射纪录!$B:$B,"&lt;&gt;-",发射纪录!$G:$G,"&gt;="&amp;DATE(YEAR($A691),MONTH($A691),1),发射纪录!$G:$G,"&lt;="&amp;DATE(YEAR($A691),MONTH($A691),DAY(EOMONTH($A691,0))),发射纪录!$N:$N,"&lt;&gt;",发射纪录!$J:$J,"="&amp;发射地月間統計!F$3)</f>
        <v>2</v>
      </c>
      <c r="G691" s="438">
        <f>COUNTIFS(发射纪录!$B:$B,"&lt;&gt;-",发射纪录!$G:$G,"&gt;="&amp;DATE(YEAR($A691),MONTH($A691),1),发射纪录!$G:$G,"&lt;="&amp;DATE(YEAR($A691),MONTH($A691),DAY(EOMONTH($A691,0))),发射纪录!$N:$N,"&lt;&gt;",发射纪录!$J:$J,"="&amp;发射地月間統計!G$3)</f>
        <v>3</v>
      </c>
      <c r="H691" s="43">
        <f t="shared" si="22"/>
        <v>9</v>
      </c>
      <c r="I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COUNTIFS(发射纪录!$C:$C,"&lt;&gt;-",发射纪录!$G:$G,"&gt;="&amp;DATE(YEAR($A691),MONTH($A691),1),发射纪录!$G:$G,"&lt;="&amp;DATE(YEAR($A691),MONTH($A691),DAY(EOMONTH($A691,0))),发射纪录!$N:$N,"&lt;&gt;",发射纪录!$J:$J,"="&amp;发射地月間統計!I$3)</f>
        <v>4</v>
      </c>
      <c r="J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COUNTIFS(发射纪录!$C:$C,"&lt;&gt;-",发射纪录!$G:$G,"&gt;="&amp;DATE(YEAR($A691),MONTH($A691),1),发射纪录!$G:$G,"&lt;="&amp;DATE(YEAR($A691),MONTH($A691),DAY(EOMONTH($A691,0))),发射纪录!$N:$N,"&lt;&gt;",发射纪录!$J:$J,"="&amp;发射地月間統計!J$3)</f>
        <v>0</v>
      </c>
      <c r="K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COUNTIFS(发射纪录!$C:$C,"&lt;&gt;-",发射纪录!$G:$G,"&gt;="&amp;DATE(YEAR($A691),MONTH($A691),1),发射纪录!$G:$G,"&lt;="&amp;DATE(YEAR($A691),MONTH($A691),DAY(EOMONTH($A691,0))),发射纪录!$N:$N,"&lt;&gt;",发射纪录!$J:$J,"="&amp;发射地月間統計!K$3)</f>
        <v>0</v>
      </c>
      <c r="L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COUNTIFS(发射纪录!$C:$C,"&lt;&gt;-",发射纪录!$G:$G,"&gt;="&amp;DATE(YEAR($A691),MONTH($A691),1),发射纪录!$G:$G,"&lt;="&amp;DATE(YEAR($A691),MONTH($A691),DAY(EOMONTH($A691,0))),发射纪录!$N:$N,"&lt;&gt;",发射纪录!$J:$J,"="&amp;发射地月間統計!L$3)</f>
        <v>0</v>
      </c>
      <c r="M691" s="42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COUNTIFS(发射纪录!$C:$C,"&lt;&gt;-",发射纪录!$G:$G,"&gt;="&amp;DATE(YEAR($A691),MONTH($A691),1),发射纪录!$G:$G,"&lt;="&amp;DATE(YEAR($A691),MONTH($A691),DAY(EOMONTH($A691,0))),发射纪录!$N:$N,"&lt;&gt;",发射纪录!$J:$J,"="&amp;发射地月間統計!M$3)</f>
        <v>0</v>
      </c>
      <c r="N691" s="438">
        <f ca="1">COUNTIFS(发射纪录!$C:$C,"&lt;&gt;-",发射纪录!$G:$G,"&gt;="&amp;DATE(YEAR($A691),MONTH($A691),1),发射纪录!$G:$G,"&lt;="&amp;DATE(YEAR($A691),MONTH($A691),DAY(EOMONTH($A691,0))),发射纪录!$N:$N,"&lt;&gt;",发射纪录!$J:$J,"="&amp;发射地月間統計!N$3)</f>
        <v>0</v>
      </c>
      <c r="O691" s="43">
        <f t="shared" ca="1" si="23"/>
        <v>4</v>
      </c>
      <c r="P691" s="42">
        <f t="shared" ca="1" si="24"/>
        <v>7</v>
      </c>
      <c r="Q691" s="42">
        <f t="shared" ca="1" si="25"/>
        <v>2</v>
      </c>
      <c r="R691" s="42">
        <f t="shared" ca="1" si="26"/>
        <v>0</v>
      </c>
      <c r="S691" s="42">
        <f t="shared" ca="1" si="27"/>
        <v>2</v>
      </c>
      <c r="T691" s="42">
        <f t="shared" ca="1" si="28"/>
        <v>2</v>
      </c>
      <c r="U691" s="438">
        <f t="shared" ca="1" si="28"/>
        <v>3</v>
      </c>
      <c r="V691" s="43">
        <f t="shared" ca="1" si="29"/>
        <v>16</v>
      </c>
      <c r="W691" s="44">
        <f t="shared" ca="1" si="30"/>
        <v>92</v>
      </c>
    </row>
    <row r="692" spans="1:23" s="105" customFormat="1" ht="18.600000000000001" thickBot="1" x14ac:dyDescent="0.5">
      <c r="A692" s="67" t="s">
        <v>3337</v>
      </c>
      <c r="B692" s="39">
        <f t="shared" ref="B692:G692" si="31">SUM(B680:B691)</f>
        <v>17</v>
      </c>
      <c r="C692" s="40">
        <f t="shared" si="31"/>
        <v>12</v>
      </c>
      <c r="D692" s="40">
        <f t="shared" si="31"/>
        <v>1</v>
      </c>
      <c r="E692" s="40">
        <f t="shared" si="31"/>
        <v>18</v>
      </c>
      <c r="F692" s="40">
        <f t="shared" si="31"/>
        <v>12</v>
      </c>
      <c r="G692" s="439">
        <f t="shared" si="31"/>
        <v>9</v>
      </c>
      <c r="H692" s="41">
        <f>SUM(B692:G692)</f>
        <v>69</v>
      </c>
      <c r="I692" s="40">
        <f ca="1">SUM(I680:I691)</f>
        <v>16</v>
      </c>
      <c r="J692" s="40">
        <f ca="1">SUM(J680:J691)</f>
        <v>0</v>
      </c>
      <c r="K692" s="40">
        <f ca="1">SUM(K680:K691)</f>
        <v>6</v>
      </c>
      <c r="L692" s="40">
        <f ca="1">SUM(L680:L691)</f>
        <v>1</v>
      </c>
      <c r="M692" s="40">
        <f ca="1">SUM(M680:M691)</f>
        <v>0</v>
      </c>
      <c r="N692" s="439">
        <v>0</v>
      </c>
      <c r="O692" s="41">
        <f t="shared" ca="1" si="23"/>
        <v>23</v>
      </c>
      <c r="P692" s="40">
        <f t="shared" ca="1" si="24"/>
        <v>33</v>
      </c>
      <c r="Q692" s="40">
        <f t="shared" ca="1" si="25"/>
        <v>12</v>
      </c>
      <c r="R692" s="40">
        <f t="shared" ca="1" si="26"/>
        <v>7</v>
      </c>
      <c r="S692" s="40">
        <f t="shared" ca="1" si="27"/>
        <v>19</v>
      </c>
      <c r="T692" s="40">
        <f t="shared" ca="1" si="28"/>
        <v>12</v>
      </c>
      <c r="U692" s="40">
        <f t="shared" si="28"/>
        <v>9</v>
      </c>
      <c r="V692" s="41">
        <f ca="1">SUM(P692:U692)</f>
        <v>92</v>
      </c>
    </row>
    <row r="693" spans="1:23" ht="18.600000000000001" thickTop="1" x14ac:dyDescent="0.45">
      <c r="A693" s="68">
        <v>46023</v>
      </c>
      <c r="B693" s="32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COUNTIFS(发射纪录!$B:$B,"&lt;&gt;-",发射纪录!$G:$G,"&gt;="&amp;DATE(YEAR($A693),MONTH($A693),1),发射纪录!$G:$G,"&lt;="&amp;DATE(YEAR($A693),MONTH($A693),DAY(EOMONTH($A693,0))),发射纪录!$N:$N,"&lt;&gt;",发射纪录!$J:$J,"="&amp;发射地月間統計!B$3)</f>
        <v>2</v>
      </c>
      <c r="C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COUNTIFS(发射纪录!$B:$B,"&lt;&gt;-",发射纪录!$G:$G,"&gt;="&amp;DATE(YEAR($A693),MONTH($A693),1),发射纪录!$G:$G,"&lt;="&amp;DATE(YEAR($A693),MONTH($A693),DAY(EOMONTH($A693,0))),发射纪录!$N:$N,"&lt;&gt;",发射纪录!$J:$J,"="&amp;发射地月間統計!C$3)</f>
        <v>1</v>
      </c>
      <c r="D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COUNTIFS(发射纪录!$B:$B,"&lt;&gt;-",发射纪录!$G:$G,"&gt;="&amp;DATE(YEAR($A693),MONTH($A693),1),发射纪录!$G:$G,"&lt;="&amp;DATE(YEAR($A693),MONTH($A693),DAY(EOMONTH($A693,0))),发射纪录!$N:$N,"&lt;&gt;",发射纪录!$J:$J,"="&amp;发射地月間統計!D$3)</f>
        <v>0</v>
      </c>
      <c r="E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COUNTIFS(发射纪录!$B:$B,"&lt;&gt;-",发射纪录!$G:$G,"&gt;="&amp;DATE(YEAR($A693),MONTH($A693),1),发射纪录!$G:$G,"&lt;="&amp;DATE(YEAR($A693),MONTH($A693),DAY(EOMONTH($A693,0))),发射纪录!$N:$N,"&lt;&gt;",发射纪录!$J:$J,"="&amp;发射地月間統計!E$3)</f>
        <v>1</v>
      </c>
      <c r="F693" s="34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COUNTIFS(发射纪录!$B:$B,"&lt;&gt;-",发射纪录!$G:$G,"&gt;="&amp;DATE(YEAR($A693),MONTH($A693),1),发射纪录!$G:$G,"&lt;="&amp;DATE(YEAR($A693),MONTH($A693),DAY(EOMONTH($A693,0))),发射纪录!$N:$N,"&lt;&gt;",发射纪录!$J:$J,"="&amp;发射地月間統計!F$3)</f>
        <v>0</v>
      </c>
      <c r="G693" s="441">
        <f>COUNTIFS(发射纪录!$B:$B,"&lt;&gt;-",发射纪录!$G:$G,"&gt;="&amp;DATE(YEAR($A693),MONTH($A693),1),发射纪录!$G:$G,"&lt;="&amp;DATE(YEAR($A693),MONTH($A693),DAY(EOMONTH($A693,0))),发射纪录!$N:$N,"&lt;&gt;",发射纪录!$J:$J,"="&amp;发射地月間統計!G$3)</f>
        <v>2</v>
      </c>
      <c r="H693" s="33">
        <f t="shared" ref="H693:H704" si="32">SUM(B693:F693)</f>
        <v>4</v>
      </c>
      <c r="I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COUNTIFS(发射纪录!$C:$C,"&lt;&gt;-",发射纪录!$G:$G,"&gt;="&amp;DATE(YEAR($A693),MONTH($A693),1),发射纪录!$G:$G,"&lt;="&amp;DATE(YEAR($A693),MONTH($A693),DAY(EOMONTH($A693,0))),发射纪录!$N:$N,"&lt;&gt;",发射纪录!$J:$J,"="&amp;发射地月間統計!I$3)</f>
        <v>1</v>
      </c>
      <c r="J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COUNTIFS(发射纪录!$C:$C,"&lt;&gt;-",发射纪录!$G:$G,"&gt;="&amp;DATE(YEAR($A693),MONTH($A693),1),发射纪录!$G:$G,"&lt;="&amp;DATE(YEAR($A693),MONTH($A693),DAY(EOMONTH($A693,0))),发射纪录!$N:$N,"&lt;&gt;",发射纪录!$J:$J,"="&amp;发射地月間統計!J$3)</f>
        <v>0</v>
      </c>
      <c r="K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COUNTIFS(发射纪录!$C:$C,"&lt;&gt;-",发射纪录!$G:$G,"&gt;="&amp;DATE(YEAR($A693),MONTH($A693),1),发射纪录!$G:$G,"&lt;="&amp;DATE(YEAR($A693),MONTH($A693),DAY(EOMONTH($A693,0))),发射纪录!$N:$N,"&lt;&gt;",发射纪录!$J:$J,"="&amp;发射地月間統計!K$3)</f>
        <v>1</v>
      </c>
      <c r="L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COUNTIFS(发射纪录!$C:$C,"&lt;&gt;-",发射纪录!$G:$G,"&gt;="&amp;DATE(YEAR($A693),MONTH($A693),1),发射纪录!$G:$G,"&lt;="&amp;DATE(YEAR($A693),MONTH($A693),DAY(EOMONTH($A693,0))),发射纪录!$N:$N,"&lt;&gt;",发射纪录!$J:$J,"="&amp;发射地月間統計!L$3)</f>
        <v>0</v>
      </c>
      <c r="M693" s="34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COUNTIFS(发射纪录!$C:$C,"&lt;&gt;-",发射纪录!$G:$G,"&gt;="&amp;DATE(YEAR($A693),MONTH($A693),1),发射纪录!$G:$G,"&lt;="&amp;DATE(YEAR($A693),MONTH($A693),DAY(EOMONTH($A693,0))),发射纪录!$N:$N,"&lt;&gt;",发射纪录!$J:$J,"="&amp;发射地月間統計!M$3)</f>
        <v>0</v>
      </c>
      <c r="N693" s="441">
        <f ca="1">COUNTIFS(发射纪录!$C:$C,"&lt;&gt;-",发射纪录!$G:$G,"&gt;="&amp;DATE(YEAR($A693),MONTH($A693),1),发射纪录!$G:$G,"&lt;="&amp;DATE(YEAR($A693),MONTH($A693),DAY(EOMONTH($A693,0))),发射纪录!$N:$N,"&lt;&gt;",发射纪录!$J:$J,"="&amp;发射地月間統計!N$3)</f>
        <v>0</v>
      </c>
      <c r="O693" s="33">
        <f t="shared" ref="O693:O705" ca="1" si="33">SUM(I693:M693)</f>
        <v>2</v>
      </c>
      <c r="P693" s="35">
        <f t="shared" ref="P693:P705" ca="1" si="34">B693+I693</f>
        <v>3</v>
      </c>
      <c r="Q693" s="35">
        <f t="shared" ref="Q693:Q705" ca="1" si="35">C693+J693</f>
        <v>1</v>
      </c>
      <c r="R693" s="34">
        <f t="shared" ref="R693:R705" ca="1" si="36">D693+K693</f>
        <v>1</v>
      </c>
      <c r="S693" s="35">
        <f t="shared" ref="S693:S705" ca="1" si="37">E693+L693</f>
        <v>1</v>
      </c>
      <c r="T693" s="35">
        <f t="shared" ref="T693:T705" ca="1" si="38">F693+M693</f>
        <v>0</v>
      </c>
      <c r="U693" s="447">
        <f t="shared" ref="U693:U705" ca="1" si="39">G693+N693</f>
        <v>2</v>
      </c>
      <c r="V693" s="33">
        <f ca="1">SUM(P693:U693)</f>
        <v>8</v>
      </c>
      <c r="W693" s="36">
        <f ca="1">V693</f>
        <v>8</v>
      </c>
    </row>
    <row r="694" spans="1:23" x14ac:dyDescent="0.45">
      <c r="A694" s="64">
        <v>46054</v>
      </c>
      <c r="B694" s="15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COUNTIFS(发射纪录!$B:$B,"&lt;&gt;-",发射纪录!$G:$G,"&gt;="&amp;DATE(YEAR($A694),MONTH($A694),1),发射纪录!$G:$G,"&lt;="&amp;DATE(YEAR($A694),MONTH($A694),DAY(EOMONTH($A694,0))),发射纪录!$N:$N,"&lt;&gt;",发射纪录!$J:$J,"="&amp;发射地月間統計!B$3)</f>
        <v>1</v>
      </c>
      <c r="C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COUNTIFS(发射纪录!$B:$B,"&lt;&gt;-",发射纪录!$G:$G,"&gt;="&amp;DATE(YEAR($A694),MONTH($A694),1),发射纪录!$G:$G,"&lt;="&amp;DATE(YEAR($A694),MONTH($A694),DAY(EOMONTH($A694,0))),发射纪录!$N:$N,"&lt;&gt;",发射纪录!$J:$J,"="&amp;发射地月間統計!C$3)</f>
        <v>0</v>
      </c>
      <c r="D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COUNTIFS(发射纪录!$B:$B,"&lt;&gt;-",发射纪录!$G:$G,"&gt;="&amp;DATE(YEAR($A694),MONTH($A694),1),发射纪录!$G:$G,"&lt;="&amp;DATE(YEAR($A694),MONTH($A694),DAY(EOMONTH($A694,0))),发射纪录!$N:$N,"&lt;&gt;",发射纪录!$J:$J,"="&amp;发射地月間統計!D$3)</f>
        <v>0</v>
      </c>
      <c r="E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COUNTIFS(发射纪录!$B:$B,"&lt;&gt;-",发射纪录!$G:$G,"&gt;="&amp;DATE(YEAR($A694),MONTH($A694),1),发射纪录!$G:$G,"&lt;="&amp;DATE(YEAR($A694),MONTH($A694),DAY(EOMONTH($A694,0))),发射纪录!$N:$N,"&lt;&gt;",发射纪录!$J:$J,"="&amp;发射地月間統計!E$3)</f>
        <v>0</v>
      </c>
      <c r="F694" s="11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COUNTIFS(发射纪录!$B:$B,"&lt;&gt;-",发射纪录!$G:$G,"&gt;="&amp;DATE(YEAR($A694),MONTH($A694),1),发射纪录!$G:$G,"&lt;="&amp;DATE(YEAR($A694),MONTH($A694),DAY(EOMONTH($A694,0))),发射纪录!$N:$N,"&lt;&gt;",发射纪录!$J:$J,"="&amp;发射地月間統計!F$3)</f>
        <v>0</v>
      </c>
      <c r="G694" s="440">
        <f>COUNTIFS(发射纪录!$B:$B,"&lt;&gt;-",发射纪录!$G:$G,"&gt;="&amp;DATE(YEAR($A694),MONTH($A694),1),发射纪录!$G:$G,"&lt;="&amp;DATE(YEAR($A694),MONTH($A694),DAY(EOMONTH($A694,0))),发射纪录!$N:$N,"&lt;&gt;",发射纪录!$J:$J,"="&amp;发射地月間統計!G$3)</f>
        <v>0</v>
      </c>
      <c r="H694" s="8">
        <f t="shared" si="32"/>
        <v>1</v>
      </c>
      <c r="I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COUNTIFS(发射纪录!$C:$C,"&lt;&gt;-",发射纪录!$G:$G,"&gt;="&amp;DATE(YEAR($A694),MONTH($A694),1),发射纪录!$G:$G,"&lt;="&amp;DATE(YEAR($A694),MONTH($A694),DAY(EOMONTH($A694,0))),发射纪录!$N:$N,"&lt;&gt;",发射纪录!$J:$J,"="&amp;发射地月間統計!I$3)</f>
        <v>0</v>
      </c>
      <c r="J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COUNTIFS(发射纪录!$C:$C,"&lt;&gt;-",发射纪录!$G:$G,"&gt;="&amp;DATE(YEAR($A694),MONTH($A694),1),发射纪录!$G:$G,"&lt;="&amp;DATE(YEAR($A694),MONTH($A694),DAY(EOMONTH($A694,0))),发射纪录!$N:$N,"&lt;&gt;",发射纪录!$J:$J,"="&amp;发射地月間統計!J$3)</f>
        <v>0</v>
      </c>
      <c r="K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COUNTIFS(发射纪录!$C:$C,"&lt;&gt;-",发射纪录!$G:$G,"&gt;="&amp;DATE(YEAR($A694),MONTH($A694),1),发射纪录!$G:$G,"&lt;="&amp;DATE(YEAR($A694),MONTH($A694),DAY(EOMONTH($A694,0))),发射纪录!$N:$N,"&lt;&gt;",发射纪录!$J:$J,"="&amp;发射地月間統計!K$3)</f>
        <v>1</v>
      </c>
      <c r="L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COUNTIFS(发射纪录!$C:$C,"&lt;&gt;-",发射纪录!$G:$G,"&gt;="&amp;DATE(YEAR($A694),MONTH($A694),1),发射纪录!$G:$G,"&lt;="&amp;DATE(YEAR($A694),MONTH($A694),DAY(EOMONTH($A694,0))),发射纪录!$N:$N,"&lt;&gt;",发射纪录!$J:$J,"="&amp;发射地月間統計!L$3)</f>
        <v>0</v>
      </c>
      <c r="M694" s="11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COUNTIFS(发射纪录!$C:$C,"&lt;&gt;-",发射纪录!$G:$G,"&gt;="&amp;DATE(YEAR($A694),MONTH($A694),1),发射纪录!$G:$G,"&lt;="&amp;DATE(YEAR($A694),MONTH($A694),DAY(EOMONTH($A694,0))),发射纪录!$N:$N,"&lt;&gt;",发射纪录!$J:$J,"="&amp;发射地月間統計!M$3)</f>
        <v>0</v>
      </c>
      <c r="N694" s="440">
        <f ca="1">COUNTIFS(发射纪录!$C:$C,"&lt;&gt;-",发射纪录!$G:$G,"&gt;="&amp;DATE(YEAR($A694),MONTH($A694),1),发射纪录!$G:$G,"&lt;="&amp;DATE(YEAR($A694),MONTH($A694),DAY(EOMONTH($A694,0))),发射纪录!$N:$N,"&lt;&gt;",发射纪录!$J:$J,"="&amp;发射地月間統計!N$3)</f>
        <v>0</v>
      </c>
      <c r="O694" s="8">
        <f t="shared" ca="1" si="33"/>
        <v>1</v>
      </c>
      <c r="P694" s="30">
        <f t="shared" ca="1" si="34"/>
        <v>1</v>
      </c>
      <c r="Q694" s="30">
        <f t="shared" ca="1" si="35"/>
        <v>0</v>
      </c>
      <c r="R694" s="11">
        <f t="shared" ca="1" si="36"/>
        <v>1</v>
      </c>
      <c r="S694" s="30">
        <f t="shared" ca="1" si="37"/>
        <v>0</v>
      </c>
      <c r="T694" s="30">
        <f t="shared" ca="1" si="38"/>
        <v>0</v>
      </c>
      <c r="U694" s="445">
        <f t="shared" ca="1" si="39"/>
        <v>0</v>
      </c>
      <c r="V694" s="8">
        <f t="shared" ref="V694:V704" ca="1" si="40">SUM(P694:U694)</f>
        <v>2</v>
      </c>
      <c r="W694" s="31">
        <f t="shared" ref="W694:W704" ca="1" si="41">V694+W693</f>
        <v>10</v>
      </c>
    </row>
    <row r="695" spans="1:23" x14ac:dyDescent="0.45">
      <c r="A695" s="64">
        <v>46082</v>
      </c>
      <c r="B695" s="15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COUNTIFS(发射纪录!$B:$B,"&lt;&gt;-",发射纪录!$G:$G,"&gt;="&amp;DATE(YEAR($A695),MONTH($A695),1),发射纪录!$G:$G,"&lt;="&amp;DATE(YEAR($A695),MONTH($A695),DAY(EOMONTH($A695,0))),发射纪录!$N:$N,"&lt;&gt;",发射纪录!$J:$J,"="&amp;发射地月間統計!B$3)</f>
        <v>1</v>
      </c>
      <c r="C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COUNTIFS(发射纪录!$B:$B,"&lt;&gt;-",发射纪录!$G:$G,"&gt;="&amp;DATE(YEAR($A695),MONTH($A695),1),发射纪录!$G:$G,"&lt;="&amp;DATE(YEAR($A695),MONTH($A695),DAY(EOMONTH($A695,0))),发射纪录!$N:$N,"&lt;&gt;",发射纪录!$J:$J,"="&amp;发射地月間統計!C$3)</f>
        <v>2</v>
      </c>
      <c r="D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COUNTIFS(发射纪录!$B:$B,"&lt;&gt;-",发射纪录!$G:$G,"&gt;="&amp;DATE(YEAR($A695),MONTH($A695),1),发射纪录!$G:$G,"&lt;="&amp;DATE(YEAR($A695),MONTH($A695),DAY(EOMONTH($A695,0))),发射纪录!$N:$N,"&lt;&gt;",发射纪录!$J:$J,"="&amp;发射地月間統計!D$3)</f>
        <v>0</v>
      </c>
      <c r="E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COUNTIFS(发射纪录!$B:$B,"&lt;&gt;-",发射纪录!$G:$G,"&gt;="&amp;DATE(YEAR($A695),MONTH($A695),1),发射纪录!$G:$G,"&lt;="&amp;DATE(YEAR($A695),MONTH($A695),DAY(EOMONTH($A695,0))),发射纪录!$N:$N,"&lt;&gt;",发射纪录!$J:$J,"="&amp;发射地月間統計!E$3)</f>
        <v>1</v>
      </c>
      <c r="F695" s="11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COUNTIFS(发射纪录!$B:$B,"&lt;&gt;-",发射纪录!$G:$G,"&gt;="&amp;DATE(YEAR($A695),MONTH($A695),1),发射纪录!$G:$G,"&lt;="&amp;DATE(YEAR($A695),MONTH($A695),DAY(EOMONTH($A695,0))),发射纪录!$N:$N,"&lt;&gt;",发射纪录!$J:$J,"="&amp;发射地月間統計!F$3)</f>
        <v>0</v>
      </c>
      <c r="G695" s="440">
        <f>COUNTIFS(发射纪录!$B:$B,"&lt;&gt;-",发射纪录!$G:$G,"&gt;="&amp;DATE(YEAR($A695),MONTH($A695),1),发射纪录!$G:$G,"&lt;="&amp;DATE(YEAR($A695),MONTH($A695),DAY(EOMONTH($A695,0))),发射纪录!$N:$N,"&lt;&gt;",发射纪录!$J:$J,"="&amp;发射地月間統計!G$3)</f>
        <v>1</v>
      </c>
      <c r="H695" s="8">
        <f t="shared" si="32"/>
        <v>4</v>
      </c>
      <c r="I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COUNTIFS(发射纪录!$C:$C,"&lt;&gt;-",发射纪录!$G:$G,"&gt;="&amp;DATE(YEAR($A695),MONTH($A695),1),发射纪录!$G:$G,"&lt;="&amp;DATE(YEAR($A695),MONTH($A695),DAY(EOMONTH($A695,0))),发射纪录!$N:$N,"&lt;&gt;",发射纪录!$J:$J,"="&amp;发射地月間統計!I$3)</f>
        <v>2</v>
      </c>
      <c r="J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COUNTIFS(发射纪录!$C:$C,"&lt;&gt;-",发射纪录!$G:$G,"&gt;="&amp;DATE(YEAR($A695),MONTH($A695),1),发射纪录!$G:$G,"&lt;="&amp;DATE(YEAR($A695),MONTH($A695),DAY(EOMONTH($A695,0))),发射纪录!$N:$N,"&lt;&gt;",发射纪录!$J:$J,"="&amp;发射地月間統計!J$3)</f>
        <v>0</v>
      </c>
      <c r="K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COUNTIFS(发射纪录!$C:$C,"&lt;&gt;-",发射纪录!$G:$G,"&gt;="&amp;DATE(YEAR($A695),MONTH($A695),1),发射纪录!$G:$G,"&lt;="&amp;DATE(YEAR($A695),MONTH($A695),DAY(EOMONTH($A695,0))),发射纪录!$N:$N,"&lt;&gt;",发射纪录!$J:$J,"="&amp;发射地月間統計!K$3)</f>
        <v>1</v>
      </c>
      <c r="L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COUNTIFS(发射纪录!$C:$C,"&lt;&gt;-",发射纪录!$G:$G,"&gt;="&amp;DATE(YEAR($A695),MONTH($A695),1),发射纪录!$G:$G,"&lt;="&amp;DATE(YEAR($A695),MONTH($A695),DAY(EOMONTH($A695,0))),发射纪录!$N:$N,"&lt;&gt;",发射纪录!$J:$J,"="&amp;发射地月間統計!L$3)</f>
        <v>0</v>
      </c>
      <c r="M695" s="11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COUNTIFS(发射纪录!$C:$C,"&lt;&gt;-",发射纪录!$G:$G,"&gt;="&amp;DATE(YEAR($A695),MONTH($A695),1),发射纪录!$G:$G,"&lt;="&amp;DATE(YEAR($A695),MONTH($A695),DAY(EOMONTH($A695,0))),发射纪录!$N:$N,"&lt;&gt;",发射纪录!$J:$J,"="&amp;发射地月間統計!M$3)</f>
        <v>0</v>
      </c>
      <c r="N695" s="440">
        <f ca="1">COUNTIFS(发射纪录!$C:$C,"&lt;&gt;-",发射纪录!$G:$G,"&gt;="&amp;DATE(YEAR($A695),MONTH($A695),1),发射纪录!$G:$G,"&lt;="&amp;DATE(YEAR($A695),MONTH($A695),DAY(EOMONTH($A695,0))),发射纪录!$N:$N,"&lt;&gt;",发射纪录!$J:$J,"="&amp;发射地月間統計!N$3)</f>
        <v>0</v>
      </c>
      <c r="O695" s="8">
        <f t="shared" ca="1" si="33"/>
        <v>3</v>
      </c>
      <c r="P695" s="11">
        <f t="shared" ca="1" si="34"/>
        <v>3</v>
      </c>
      <c r="Q695" s="11">
        <f t="shared" ca="1" si="35"/>
        <v>2</v>
      </c>
      <c r="R695" s="11">
        <f t="shared" ca="1" si="36"/>
        <v>1</v>
      </c>
      <c r="S695" s="11">
        <f t="shared" ca="1" si="37"/>
        <v>1</v>
      </c>
      <c r="T695" s="11">
        <f t="shared" ca="1" si="38"/>
        <v>0</v>
      </c>
      <c r="U695" s="440">
        <f t="shared" ca="1" si="39"/>
        <v>1</v>
      </c>
      <c r="V695" s="8">
        <f t="shared" ca="1" si="40"/>
        <v>8</v>
      </c>
      <c r="W695" s="31">
        <f t="shared" ca="1" si="41"/>
        <v>18</v>
      </c>
    </row>
    <row r="696" spans="1:23" x14ac:dyDescent="0.45">
      <c r="A696" s="64">
        <v>46113</v>
      </c>
      <c r="B696" s="15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COUNTIFS(发射纪录!$B:$B,"&lt;&gt;-",发射纪录!$G:$G,"&gt;="&amp;DATE(YEAR($A696),MONTH($A696),1),发射纪录!$G:$G,"&lt;="&amp;DATE(YEAR($A696),MONTH($A696),DAY(EOMONTH($A696,0))),发射纪录!$N:$N,"&lt;&gt;",发射纪录!$J:$J,"="&amp;发射地月間統計!B$3)</f>
        <v>1</v>
      </c>
      <c r="C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COUNTIFS(发射纪录!$B:$B,"&lt;&gt;-",发射纪录!$G:$G,"&gt;="&amp;DATE(YEAR($A696),MONTH($A696),1),发射纪录!$G:$G,"&lt;="&amp;DATE(YEAR($A696),MONTH($A696),DAY(EOMONTH($A696,0))),发射纪录!$N:$N,"&lt;&gt;",发射纪录!$J:$J,"="&amp;发射地月間統計!C$3)</f>
        <v>2</v>
      </c>
      <c r="D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COUNTIFS(发射纪录!$B:$B,"&lt;&gt;-",发射纪录!$G:$G,"&gt;="&amp;DATE(YEAR($A696),MONTH($A696),1),发射纪录!$G:$G,"&lt;="&amp;DATE(YEAR($A696),MONTH($A696),DAY(EOMONTH($A696,0))),发射纪录!$N:$N,"&lt;&gt;",发射纪录!$J:$J,"="&amp;发射地月間統計!D$3)</f>
        <v>0</v>
      </c>
      <c r="E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COUNTIFS(发射纪录!$B:$B,"&lt;&gt;-",发射纪录!$G:$G,"&gt;="&amp;DATE(YEAR($A696),MONTH($A696),1),发射纪录!$G:$G,"&lt;="&amp;DATE(YEAR($A696),MONTH($A696),DAY(EOMONTH($A696,0))),发射纪录!$N:$N,"&lt;&gt;",发射纪录!$J:$J,"="&amp;发射地月間統計!E$3)</f>
        <v>1</v>
      </c>
      <c r="F696" s="11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COUNTIFS(发射纪录!$B:$B,"&lt;&gt;-",发射纪录!$G:$G,"&gt;="&amp;DATE(YEAR($A696),MONTH($A696),1),发射纪录!$G:$G,"&lt;="&amp;DATE(YEAR($A696),MONTH($A696),DAY(EOMONTH($A696,0))),发射纪录!$N:$N,"&lt;&gt;",发射纪录!$J:$J,"="&amp;发射地月間統計!F$3)</f>
        <v>0</v>
      </c>
      <c r="G696" s="440">
        <f>COUNTIFS(发射纪录!$B:$B,"&lt;&gt;-",发射纪录!$G:$G,"&gt;="&amp;DATE(YEAR($A696),MONTH($A696),1),发射纪录!$G:$G,"&lt;="&amp;DATE(YEAR($A696),MONTH($A696),DAY(EOMONTH($A696,0))),发射纪录!$N:$N,"&lt;&gt;",发射纪录!$J:$J,"="&amp;发射地月間統計!G$3)</f>
        <v>1</v>
      </c>
      <c r="H696" s="8">
        <f t="shared" si="32"/>
        <v>4</v>
      </c>
      <c r="I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COUNTIFS(发射纪录!$C:$C,"&lt;&gt;-",发射纪录!$G:$G,"&gt;="&amp;DATE(YEAR($A696),MONTH($A696),1),发射纪录!$G:$G,"&lt;="&amp;DATE(YEAR($A696),MONTH($A696),DAY(EOMONTH($A696,0))),发射纪录!$N:$N,"&lt;&gt;",发射纪录!$J:$J,"="&amp;发射地月間統計!I$3)</f>
        <v>2</v>
      </c>
      <c r="J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COUNTIFS(发射纪录!$C:$C,"&lt;&gt;-",发射纪录!$G:$G,"&gt;="&amp;DATE(YEAR($A696),MONTH($A696),1),发射纪录!$G:$G,"&lt;="&amp;DATE(YEAR($A696),MONTH($A696),DAY(EOMONTH($A696,0))),发射纪录!$N:$N,"&lt;&gt;",发射纪录!$J:$J,"="&amp;发射地月間統計!J$3)</f>
        <v>0</v>
      </c>
      <c r="K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COUNTIFS(发射纪录!$C:$C,"&lt;&gt;-",发射纪录!$G:$G,"&gt;="&amp;DATE(YEAR($A696),MONTH($A696),1),发射纪录!$G:$G,"&lt;="&amp;DATE(YEAR($A696),MONTH($A696),DAY(EOMONTH($A696,0))),发射纪录!$N:$N,"&lt;&gt;",发射纪录!$J:$J,"="&amp;发射地月間統計!K$3)</f>
        <v>1</v>
      </c>
      <c r="L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COUNTIFS(发射纪录!$C:$C,"&lt;&gt;-",发射纪录!$G:$G,"&gt;="&amp;DATE(YEAR($A696),MONTH($A696),1),发射纪录!$G:$G,"&lt;="&amp;DATE(YEAR($A696),MONTH($A696),DAY(EOMONTH($A696,0))),发射纪录!$N:$N,"&lt;&gt;",发射纪录!$J:$J,"="&amp;发射地月間統計!L$3)</f>
        <v>0</v>
      </c>
      <c r="M696" s="11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COUNTIFS(发射纪录!$C:$C,"&lt;&gt;-",发射纪录!$G:$G,"&gt;="&amp;DATE(YEAR($A696),MONTH($A696),1),发射纪录!$G:$G,"&lt;="&amp;DATE(YEAR($A696),MONTH($A696),DAY(EOMONTH($A696,0))),发射纪录!$N:$N,"&lt;&gt;",发射纪录!$J:$J,"="&amp;发射地月間統計!M$3)</f>
        <v>0</v>
      </c>
      <c r="N696" s="440">
        <f ca="1">COUNTIFS(发射纪录!$C:$C,"&lt;&gt;-",发射纪录!$G:$G,"&gt;="&amp;DATE(YEAR($A696),MONTH($A696),1),发射纪录!$G:$G,"&lt;="&amp;DATE(YEAR($A696),MONTH($A696),DAY(EOMONTH($A696,0))),发射纪录!$N:$N,"&lt;&gt;",发射纪录!$J:$J,"="&amp;发射地月間統計!N$3)</f>
        <v>0</v>
      </c>
      <c r="O696" s="8">
        <f t="shared" ca="1" si="33"/>
        <v>3</v>
      </c>
      <c r="P696" s="11">
        <f t="shared" ca="1" si="34"/>
        <v>3</v>
      </c>
      <c r="Q696" s="11">
        <f t="shared" ca="1" si="35"/>
        <v>2</v>
      </c>
      <c r="R696" s="11">
        <f t="shared" ca="1" si="36"/>
        <v>1</v>
      </c>
      <c r="S696" s="11">
        <f t="shared" ca="1" si="37"/>
        <v>1</v>
      </c>
      <c r="T696" s="11">
        <f t="shared" ca="1" si="38"/>
        <v>0</v>
      </c>
      <c r="U696" s="440">
        <f t="shared" ca="1" si="39"/>
        <v>1</v>
      </c>
      <c r="V696" s="8">
        <f t="shared" ca="1" si="40"/>
        <v>8</v>
      </c>
      <c r="W696" s="31">
        <f t="shared" ca="1" si="41"/>
        <v>26</v>
      </c>
    </row>
    <row r="697" spans="1:23" x14ac:dyDescent="0.45">
      <c r="A697" s="64">
        <v>46143</v>
      </c>
      <c r="B697" s="15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COUNTIFS(发射纪录!$B:$B,"&lt;&gt;-",发射纪录!$G:$G,"&gt;="&amp;DATE(YEAR($A697),MONTH($A697),1),发射纪录!$G:$G,"&lt;="&amp;DATE(YEAR($A697),MONTH($A697),DAY(EOMONTH($A697,0))),发射纪录!$N:$N,"&lt;&gt;",发射纪录!$J:$J,"="&amp;发射地月間統計!B$3)</f>
        <v>1</v>
      </c>
      <c r="C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COUNTIFS(发射纪录!$B:$B,"&lt;&gt;-",发射纪录!$G:$G,"&gt;="&amp;DATE(YEAR($A697),MONTH($A697),1),发射纪录!$G:$G,"&lt;="&amp;DATE(YEAR($A697),MONTH($A697),DAY(EOMONTH($A697,0))),发射纪录!$N:$N,"&lt;&gt;",发射纪录!$J:$J,"="&amp;发射地月間統計!C$3)</f>
        <v>1</v>
      </c>
      <c r="D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COUNTIFS(发射纪录!$B:$B,"&lt;&gt;-",发射纪录!$G:$G,"&gt;="&amp;DATE(YEAR($A697),MONTH($A697),1),发射纪录!$G:$G,"&lt;="&amp;DATE(YEAR($A697),MONTH($A697),DAY(EOMONTH($A697,0))),发射纪录!$N:$N,"&lt;&gt;",发射纪录!$J:$J,"="&amp;发射地月間統計!D$3)</f>
        <v>0</v>
      </c>
      <c r="E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COUNTIFS(发射纪录!$B:$B,"&lt;&gt;-",发射纪录!$G:$G,"&gt;="&amp;DATE(YEAR($A697),MONTH($A697),1),发射纪录!$G:$G,"&lt;="&amp;DATE(YEAR($A697),MONTH($A697),DAY(EOMONTH($A697,0))),发射纪录!$N:$N,"&lt;&gt;",发射纪录!$J:$J,"="&amp;发射地月間統計!E$3)</f>
        <v>1</v>
      </c>
      <c r="F697" s="11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COUNTIFS(发射纪录!$B:$B,"&lt;&gt;-",发射纪录!$G:$G,"&gt;="&amp;DATE(YEAR($A697),MONTH($A697),1),发射纪录!$G:$G,"&lt;="&amp;DATE(YEAR($A697),MONTH($A697),DAY(EOMONTH($A697,0))),发射纪录!$N:$N,"&lt;&gt;",发射纪录!$J:$J,"="&amp;发射地月間統計!F$3)</f>
        <v>2</v>
      </c>
      <c r="G697" s="440">
        <f>COUNTIFS(发射纪录!$B:$B,"&lt;&gt;-",发射纪录!$G:$G,"&gt;="&amp;DATE(YEAR($A697),MONTH($A697),1),发射纪录!$G:$G,"&lt;="&amp;DATE(YEAR($A697),MONTH($A697),DAY(EOMONTH($A697,0))),发射纪录!$N:$N,"&lt;&gt;",发射纪录!$J:$J,"="&amp;发射地月間統計!G$3)</f>
        <v>1</v>
      </c>
      <c r="H697" s="8">
        <f t="shared" si="32"/>
        <v>5</v>
      </c>
      <c r="I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COUNTIFS(发射纪录!$C:$C,"&lt;&gt;-",发射纪录!$G:$G,"&gt;="&amp;DATE(YEAR($A697),MONTH($A697),1),发射纪录!$G:$G,"&lt;="&amp;DATE(YEAR($A697),MONTH($A697),DAY(EOMONTH($A697,0))),发射纪录!$N:$N,"&lt;&gt;",发射纪录!$J:$J,"="&amp;发射地月間統計!I$3)</f>
        <v>2</v>
      </c>
      <c r="J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COUNTIFS(发射纪录!$C:$C,"&lt;&gt;-",发射纪录!$G:$G,"&gt;="&amp;DATE(YEAR($A697),MONTH($A697),1),发射纪录!$G:$G,"&lt;="&amp;DATE(YEAR($A697),MONTH($A697),DAY(EOMONTH($A697,0))),发射纪录!$N:$N,"&lt;&gt;",发射纪录!$J:$J,"="&amp;发射地月間統計!J$3)</f>
        <v>0</v>
      </c>
      <c r="K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COUNTIFS(发射纪录!$C:$C,"&lt;&gt;-",发射纪录!$G:$G,"&gt;="&amp;DATE(YEAR($A697),MONTH($A697),1),发射纪录!$G:$G,"&lt;="&amp;DATE(YEAR($A697),MONTH($A697),DAY(EOMONTH($A697,0))),发射纪录!$N:$N,"&lt;&gt;",发射纪录!$J:$J,"="&amp;发射地月間統計!K$3)</f>
        <v>0</v>
      </c>
      <c r="L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COUNTIFS(发射纪录!$C:$C,"&lt;&gt;-",发射纪录!$G:$G,"&gt;="&amp;DATE(YEAR($A697),MONTH($A697),1),发射纪录!$G:$G,"&lt;="&amp;DATE(YEAR($A697),MONTH($A697),DAY(EOMONTH($A697,0))),发射纪录!$N:$N,"&lt;&gt;",发射纪录!$J:$J,"="&amp;发射地月間統計!L$3)</f>
        <v>0</v>
      </c>
      <c r="M697" s="11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COUNTIFS(发射纪录!$C:$C,"&lt;&gt;-",发射纪录!$G:$G,"&gt;="&amp;DATE(YEAR($A697),MONTH($A697),1),发射纪录!$G:$G,"&lt;="&amp;DATE(YEAR($A697),MONTH($A697),DAY(EOMONTH($A697,0))),发射纪录!$N:$N,"&lt;&gt;",发射纪录!$J:$J,"="&amp;发射地月間統計!M$3)</f>
        <v>0</v>
      </c>
      <c r="N697" s="440">
        <f ca="1">COUNTIFS(发射纪录!$C:$C,"&lt;&gt;-",发射纪录!$G:$G,"&gt;="&amp;DATE(YEAR($A697),MONTH($A697),1),发射纪录!$G:$G,"&lt;="&amp;DATE(YEAR($A697),MONTH($A697),DAY(EOMONTH($A697,0))),发射纪录!$N:$N,"&lt;&gt;",发射纪录!$J:$J,"="&amp;发射地月間統計!N$3)</f>
        <v>0</v>
      </c>
      <c r="O697" s="8">
        <f t="shared" ca="1" si="33"/>
        <v>2</v>
      </c>
      <c r="P697" s="11">
        <f t="shared" ca="1" si="34"/>
        <v>3</v>
      </c>
      <c r="Q697" s="11">
        <f t="shared" ca="1" si="35"/>
        <v>1</v>
      </c>
      <c r="R697" s="11">
        <f t="shared" ca="1" si="36"/>
        <v>0</v>
      </c>
      <c r="S697" s="11">
        <f t="shared" ca="1" si="37"/>
        <v>1</v>
      </c>
      <c r="T697" s="11">
        <f t="shared" ca="1" si="38"/>
        <v>2</v>
      </c>
      <c r="U697" s="440">
        <f t="shared" ca="1" si="39"/>
        <v>1</v>
      </c>
      <c r="V697" s="8">
        <f t="shared" ca="1" si="40"/>
        <v>8</v>
      </c>
      <c r="W697" s="31">
        <f t="shared" ca="1" si="41"/>
        <v>34</v>
      </c>
    </row>
    <row r="698" spans="1:23" x14ac:dyDescent="0.45">
      <c r="A698" s="64">
        <v>46174</v>
      </c>
      <c r="B698" s="15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COUNTIFS(发射纪录!$B:$B,"&lt;&gt;-",发射纪录!$G:$G,"&gt;="&amp;DATE(YEAR($A698),MONTH($A698),1),发射纪录!$G:$G,"&lt;="&amp;DATE(YEAR($A698),MONTH($A698),DAY(EOMONTH($A698,0))),发射纪录!$N:$N,"&lt;&gt;",发射纪录!$J:$J,"="&amp;发射地月間統計!B$3)</f>
        <v>1</v>
      </c>
      <c r="C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COUNTIFS(发射纪录!$B:$B,"&lt;&gt;-",发射纪录!$G:$G,"&gt;="&amp;DATE(YEAR($A698),MONTH($A698),1),发射纪录!$G:$G,"&lt;="&amp;DATE(YEAR($A698),MONTH($A698),DAY(EOMONTH($A698,0))),发射纪录!$N:$N,"&lt;&gt;",发射纪录!$J:$J,"="&amp;发射地月間統計!C$3)</f>
        <v>1</v>
      </c>
      <c r="D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COUNTIFS(发射纪录!$B:$B,"&lt;&gt;-",发射纪录!$G:$G,"&gt;="&amp;DATE(YEAR($A698),MONTH($A698),1),发射纪录!$G:$G,"&lt;="&amp;DATE(YEAR($A698),MONTH($A698),DAY(EOMONTH($A698,0))),发射纪录!$N:$N,"&lt;&gt;",发射纪录!$J:$J,"="&amp;发射地月間統計!D$3)</f>
        <v>0</v>
      </c>
      <c r="E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COUNTIFS(发射纪录!$B:$B,"&lt;&gt;-",发射纪录!$G:$G,"&gt;="&amp;DATE(YEAR($A698),MONTH($A698),1),发射纪录!$G:$G,"&lt;="&amp;DATE(YEAR($A698),MONTH($A698),DAY(EOMONTH($A698,0))),发射纪录!$N:$N,"&lt;&gt;",发射纪录!$J:$J,"="&amp;发射地月間統計!E$3)</f>
        <v>1</v>
      </c>
      <c r="F698" s="11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COUNTIFS(发射纪录!$B:$B,"&lt;&gt;-",发射纪录!$G:$G,"&gt;="&amp;DATE(YEAR($A698),MONTH($A698),1),发射纪录!$G:$G,"&lt;="&amp;DATE(YEAR($A698),MONTH($A698),DAY(EOMONTH($A698,0))),发射纪录!$N:$N,"&lt;&gt;",发射纪录!$J:$J,"="&amp;发射地月間統計!F$3)</f>
        <v>2</v>
      </c>
      <c r="G698" s="440">
        <f>COUNTIFS(发射纪录!$B:$B,"&lt;&gt;-",发射纪录!$G:$G,"&gt;="&amp;DATE(YEAR($A698),MONTH($A698),1),发射纪录!$G:$G,"&lt;="&amp;DATE(YEAR($A698),MONTH($A698),DAY(EOMONTH($A698,0))),发射纪录!$N:$N,"&lt;&gt;",发射纪录!$J:$J,"="&amp;发射地月間統計!G$3)</f>
        <v>2</v>
      </c>
      <c r="H698" s="8">
        <f t="shared" si="32"/>
        <v>5</v>
      </c>
      <c r="I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COUNTIFS(发射纪录!$C:$C,"&lt;&gt;-",发射纪录!$G:$G,"&gt;="&amp;DATE(YEAR($A698),MONTH($A698),1),发射纪录!$G:$G,"&lt;="&amp;DATE(YEAR($A698),MONTH($A698),DAY(EOMONTH($A698,0))),发射纪录!$N:$N,"&lt;&gt;",发射纪录!$J:$J,"="&amp;发射地月間統計!I$3)</f>
        <v>3</v>
      </c>
      <c r="J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COUNTIFS(发射纪录!$C:$C,"&lt;&gt;-",发射纪录!$G:$G,"&gt;="&amp;DATE(YEAR($A698),MONTH($A698),1),发射纪录!$G:$G,"&lt;="&amp;DATE(YEAR($A698),MONTH($A698),DAY(EOMONTH($A698,0))),发射纪录!$N:$N,"&lt;&gt;",发射纪录!$J:$J,"="&amp;发射地月間統計!J$3)</f>
        <v>0</v>
      </c>
      <c r="K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COUNTIFS(发射纪录!$C:$C,"&lt;&gt;-",发射纪录!$G:$G,"&gt;="&amp;DATE(YEAR($A698),MONTH($A698),1),发射纪录!$G:$G,"&lt;="&amp;DATE(YEAR($A698),MONTH($A698),DAY(EOMONTH($A698,0))),发射纪录!$N:$N,"&lt;&gt;",发射纪录!$J:$J,"="&amp;发射地月間統計!K$3)</f>
        <v>0</v>
      </c>
      <c r="L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COUNTIFS(发射纪录!$C:$C,"&lt;&gt;-",发射纪录!$G:$G,"&gt;="&amp;DATE(YEAR($A698),MONTH($A698),1),发射纪录!$G:$G,"&lt;="&amp;DATE(YEAR($A698),MONTH($A698),DAY(EOMONTH($A698,0))),发射纪录!$N:$N,"&lt;&gt;",发射纪录!$J:$J,"="&amp;发射地月間統計!L$3)</f>
        <v>0</v>
      </c>
      <c r="M698" s="11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COUNTIFS(发射纪录!$C:$C,"&lt;&gt;-",发射纪录!$G:$G,"&gt;="&amp;DATE(YEAR($A698),MONTH($A698),1),发射纪录!$G:$G,"&lt;="&amp;DATE(YEAR($A698),MONTH($A698),DAY(EOMONTH($A698,0))),发射纪录!$N:$N,"&lt;&gt;",发射纪录!$J:$J,"="&amp;发射地月間統計!M$3)</f>
        <v>0</v>
      </c>
      <c r="N698" s="440">
        <f ca="1">COUNTIFS(发射纪录!$C:$C,"&lt;&gt;-",发射纪录!$G:$G,"&gt;="&amp;DATE(YEAR($A698),MONTH($A698),1),发射纪录!$G:$G,"&lt;="&amp;DATE(YEAR($A698),MONTH($A698),DAY(EOMONTH($A698,0))),发射纪录!$N:$N,"&lt;&gt;",发射纪录!$J:$J,"="&amp;发射地月間統計!N$3)</f>
        <v>0</v>
      </c>
      <c r="O698" s="8">
        <f t="shared" ca="1" si="33"/>
        <v>3</v>
      </c>
      <c r="P698" s="11">
        <f t="shared" ca="1" si="34"/>
        <v>4</v>
      </c>
      <c r="Q698" s="11">
        <f t="shared" ca="1" si="35"/>
        <v>1</v>
      </c>
      <c r="R698" s="11">
        <f t="shared" ca="1" si="36"/>
        <v>0</v>
      </c>
      <c r="S698" s="11">
        <f t="shared" ca="1" si="37"/>
        <v>1</v>
      </c>
      <c r="T698" s="11">
        <f t="shared" ca="1" si="38"/>
        <v>2</v>
      </c>
      <c r="U698" s="440">
        <f t="shared" ca="1" si="39"/>
        <v>2</v>
      </c>
      <c r="V698" s="8">
        <f t="shared" ca="1" si="40"/>
        <v>10</v>
      </c>
      <c r="W698" s="31">
        <f t="shared" ca="1" si="41"/>
        <v>44</v>
      </c>
    </row>
    <row r="699" spans="1:23" x14ac:dyDescent="0.45">
      <c r="A699" s="64">
        <v>46204</v>
      </c>
      <c r="B699" s="15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COUNTIFS(发射纪录!$B:$B,"&lt;&gt;-",发射纪录!$G:$G,"&gt;="&amp;DATE(YEAR($A699),MONTH($A699),1),发射纪录!$G:$G,"&lt;="&amp;DATE(YEAR($A699),MONTH($A699),DAY(EOMONTH($A699,0))),发射纪录!$N:$N,"&lt;&gt;",发射纪录!$J:$J,"="&amp;发射地月間統計!B$3)</f>
        <v>1</v>
      </c>
      <c r="C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COUNTIFS(发射纪录!$B:$B,"&lt;&gt;-",发射纪录!$G:$G,"&gt;="&amp;DATE(YEAR($A699),MONTH($A699),1),发射纪录!$G:$G,"&lt;="&amp;DATE(YEAR($A699),MONTH($A699),DAY(EOMONTH($A699,0))),发射纪录!$N:$N,"&lt;&gt;",发射纪录!$J:$J,"="&amp;发射地月間統計!C$3)</f>
        <v>1</v>
      </c>
      <c r="D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COUNTIFS(发射纪录!$B:$B,"&lt;&gt;-",发射纪录!$G:$G,"&gt;="&amp;DATE(YEAR($A699),MONTH($A699),1),发射纪录!$G:$G,"&lt;="&amp;DATE(YEAR($A699),MONTH($A699),DAY(EOMONTH($A699,0))),发射纪录!$N:$N,"&lt;&gt;",发射纪录!$J:$J,"="&amp;发射地月間統計!D$3)</f>
        <v>0</v>
      </c>
      <c r="E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COUNTIFS(发射纪录!$B:$B,"&lt;&gt;-",发射纪录!$G:$G,"&gt;="&amp;DATE(YEAR($A699),MONTH($A699),1),发射纪录!$G:$G,"&lt;="&amp;DATE(YEAR($A699),MONTH($A699),DAY(EOMONTH($A699,0))),发射纪录!$N:$N,"&lt;&gt;",发射纪录!$J:$J,"="&amp;发射地月間統計!E$3)</f>
        <v>0</v>
      </c>
      <c r="F699" s="11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COUNTIFS(发射纪录!$B:$B,"&lt;&gt;-",发射纪录!$G:$G,"&gt;="&amp;DATE(YEAR($A699),MONTH($A699),1),发射纪录!$G:$G,"&lt;="&amp;DATE(YEAR($A699),MONTH($A699),DAY(EOMONTH($A699,0))),发射纪录!$N:$N,"&lt;&gt;",发射纪录!$J:$J,"="&amp;发射地月間統計!F$3)</f>
        <v>0</v>
      </c>
      <c r="G699" s="440">
        <f>COUNTIFS(发射纪录!$B:$B,"&lt;&gt;-",发射纪录!$G:$G,"&gt;="&amp;DATE(YEAR($A699),MONTH($A699),1),发射纪录!$G:$G,"&lt;="&amp;DATE(YEAR($A699),MONTH($A699),DAY(EOMONTH($A699,0))),发射纪录!$N:$N,"&lt;&gt;",发射纪录!$J:$J,"="&amp;发射地月間統計!G$3)</f>
        <v>1</v>
      </c>
      <c r="H699" s="8">
        <f t="shared" si="32"/>
        <v>2</v>
      </c>
      <c r="I699" s="11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COUNTIFS(发射纪录!$C:$C,"&lt;&gt;-",发射纪录!$G:$G,"&gt;="&amp;DATE(YEAR($A699),MONTH($A699),1),发射纪录!$G:$G,"&lt;="&amp;DATE(YEAR($A699),MONTH($A699),DAY(EOMONTH($A699,0))),发射纪录!$N:$N,"&lt;&gt;",发射纪录!$J:$J,"="&amp;发射地月間統計!I$3)</f>
        <v>0</v>
      </c>
      <c r="J699" s="11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COUNTIFS(发射纪录!$C:$C,"&lt;&gt;-",发射纪录!$G:$G,"&gt;="&amp;DATE(YEAR($A699),MONTH($A699),1),发射纪录!$G:$G,"&lt;="&amp;DATE(YEAR($A699),MONTH($A699),DAY(EOMONTH($A699,0))),发射纪录!$N:$N,"&lt;&gt;",发射纪录!$J:$J,"="&amp;发射地月間統計!J$3)</f>
        <v>0</v>
      </c>
      <c r="K699" s="11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COUNTIFS(发射纪录!$C:$C,"&lt;&gt;-",发射纪录!$G:$G,"&gt;="&amp;DATE(YEAR($A699),MONTH($A699),1),发射纪录!$G:$G,"&lt;="&amp;DATE(YEAR($A699),MONTH($A699),DAY(EOMONTH($A699,0))),发射纪录!$N:$N,"&lt;&gt;",发射纪录!$J:$J,"="&amp;发射地月間統計!K$3)</f>
        <v>0</v>
      </c>
      <c r="L699" s="11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COUNTIFS(发射纪录!$C:$C,"&lt;&gt;-",发射纪录!$G:$G,"&gt;="&amp;DATE(YEAR($A699),MONTH($A699),1),发射纪录!$G:$G,"&lt;="&amp;DATE(YEAR($A699),MONTH($A699),DAY(EOMONTH($A699,0))),发射纪录!$N:$N,"&lt;&gt;",发射纪录!$J:$J,"="&amp;发射地月間統計!L$3)</f>
        <v>0</v>
      </c>
      <c r="M699" s="11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COUNTIFS(发射纪录!$C:$C,"&lt;&gt;-",发射纪录!$G:$G,"&gt;="&amp;DATE(YEAR($A699),MONTH($A699),1),发射纪录!$G:$G,"&lt;="&amp;DATE(YEAR($A699),MONTH($A699),DAY(EOMONTH($A699,0))),发射纪录!$N:$N,"&lt;&gt;",发射纪录!$J:$J,"="&amp;发射地月間統計!M$3)</f>
        <v>0</v>
      </c>
      <c r="N699" s="440">
        <f ca="1">COUNTIFS(发射纪录!$C:$C,"&lt;&gt;-",发射纪录!$G:$G,"&gt;="&amp;DATE(YEAR($A699),MONTH($A699),1),发射纪录!$G:$G,"&lt;="&amp;DATE(YEAR($A699),MONTH($A699),DAY(EOMONTH($A699,0))),发射纪录!$N:$N,"&lt;&gt;",发射纪录!$J:$J,"="&amp;发射地月間統計!N$3)</f>
        <v>0</v>
      </c>
      <c r="O699" s="8">
        <f t="shared" ca="1" si="33"/>
        <v>0</v>
      </c>
      <c r="P699" s="37">
        <f t="shared" ca="1" si="34"/>
        <v>1</v>
      </c>
      <c r="Q699" s="37">
        <f t="shared" ca="1" si="35"/>
        <v>1</v>
      </c>
      <c r="R699" s="11">
        <f t="shared" ca="1" si="36"/>
        <v>0</v>
      </c>
      <c r="S699" s="11">
        <f t="shared" ca="1" si="37"/>
        <v>0</v>
      </c>
      <c r="T699" s="11">
        <f t="shared" ca="1" si="38"/>
        <v>0</v>
      </c>
      <c r="U699" s="440">
        <f t="shared" ca="1" si="39"/>
        <v>1</v>
      </c>
      <c r="V699" s="8">
        <f t="shared" ca="1" si="40"/>
        <v>3</v>
      </c>
      <c r="W699" s="31">
        <f t="shared" ca="1" si="41"/>
        <v>47</v>
      </c>
    </row>
    <row r="700" spans="1:23" x14ac:dyDescent="0.45">
      <c r="A700" s="64">
        <v>46235</v>
      </c>
      <c r="B700" s="15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COUNTIFS(发射纪录!$B:$B,"&lt;&gt;-",发射纪录!$G:$G,"&gt;="&amp;DATE(YEAR($A700),MONTH($A700),1),发射纪录!$G:$G,"&lt;="&amp;DATE(YEAR($A700),MONTH($A700),DAY(EOMONTH($A700,0))),发射纪录!$N:$N,"&lt;&gt;",发射纪录!$J:$J,"="&amp;发射地月間統計!B$3)</f>
        <v>0</v>
      </c>
      <c r="C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COUNTIFS(发射纪录!$B:$B,"&lt;&gt;-",发射纪录!$G:$G,"&gt;="&amp;DATE(YEAR($A700),MONTH($A700),1),发射纪录!$G:$G,"&lt;="&amp;DATE(YEAR($A700),MONTH($A700),DAY(EOMONTH($A700,0))),发射纪录!$N:$N,"&lt;&gt;",发射纪录!$J:$J,"="&amp;发射地月間統計!C$3)</f>
        <v>0</v>
      </c>
      <c r="D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COUNTIFS(发射纪录!$B:$B,"&lt;&gt;-",发射纪录!$G:$G,"&gt;="&amp;DATE(YEAR($A700),MONTH($A700),1),发射纪录!$G:$G,"&lt;="&amp;DATE(YEAR($A700),MONTH($A700),DAY(EOMONTH($A700,0))),发射纪录!$N:$N,"&lt;&gt;",发射纪录!$J:$J,"="&amp;发射地月間統計!D$3)</f>
        <v>0</v>
      </c>
      <c r="E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COUNTIFS(发射纪录!$B:$B,"&lt;&gt;-",发射纪录!$G:$G,"&gt;="&amp;DATE(YEAR($A700),MONTH($A700),1),发射纪录!$G:$G,"&lt;="&amp;DATE(YEAR($A700),MONTH($A700),DAY(EOMONTH($A700,0))),发射纪录!$N:$N,"&lt;&gt;",发射纪录!$J:$J,"="&amp;发射地月間統計!E$3)</f>
        <v>0</v>
      </c>
      <c r="F700" s="11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COUNTIFS(发射纪录!$B:$B,"&lt;&gt;-",发射纪录!$G:$G,"&gt;="&amp;DATE(YEAR($A700),MONTH($A700),1),发射纪录!$G:$G,"&lt;="&amp;DATE(YEAR($A700),MONTH($A700),DAY(EOMONTH($A700,0))),发射纪录!$N:$N,"&lt;&gt;",发射纪录!$J:$J,"="&amp;发射地月間統計!F$3)</f>
        <v>0</v>
      </c>
      <c r="G700" s="440">
        <f>COUNTIFS(发射纪录!$B:$B,"&lt;&gt;-",发射纪录!$G:$G,"&gt;="&amp;DATE(YEAR($A700),MONTH($A700),1),发射纪录!$G:$G,"&lt;="&amp;DATE(YEAR($A700),MONTH($A700),DAY(EOMONTH($A700,0))),发射纪录!$N:$N,"&lt;&gt;",发射纪录!$J:$J,"="&amp;发射地月間統計!G$3)</f>
        <v>0</v>
      </c>
      <c r="H700" s="8">
        <f t="shared" si="32"/>
        <v>0</v>
      </c>
      <c r="I700" s="11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COUNTIFS(发射纪录!$C:$C,"&lt;&gt;-",发射纪录!$G:$G,"&gt;="&amp;DATE(YEAR($A700),MONTH($A700),1),发射纪录!$G:$G,"&lt;="&amp;DATE(YEAR($A700),MONTH($A700),DAY(EOMONTH($A700,0))),发射纪录!$N:$N,"&lt;&gt;",发射纪录!$J:$J,"="&amp;发射地月間統計!I$3)</f>
        <v>0</v>
      </c>
      <c r="J700" s="11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COUNTIFS(发射纪录!$C:$C,"&lt;&gt;-",发射纪录!$G:$G,"&gt;="&amp;DATE(YEAR($A700),MONTH($A700),1),发射纪录!$G:$G,"&lt;="&amp;DATE(YEAR($A700),MONTH($A700),DAY(EOMONTH($A700,0))),发射纪录!$N:$N,"&lt;&gt;",发射纪录!$J:$J,"="&amp;发射地月間統計!J$3)</f>
        <v>0</v>
      </c>
      <c r="K700" s="11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COUNTIFS(发射纪录!$C:$C,"&lt;&gt;-",发射纪录!$G:$G,"&gt;="&amp;DATE(YEAR($A700),MONTH($A700),1),发射纪录!$G:$G,"&lt;="&amp;DATE(YEAR($A700),MONTH($A700),DAY(EOMONTH($A700,0))),发射纪录!$N:$N,"&lt;&gt;",发射纪录!$J:$J,"="&amp;发射地月間統計!K$3)</f>
        <v>0</v>
      </c>
      <c r="L700" s="11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COUNTIFS(发射纪录!$C:$C,"&lt;&gt;-",发射纪录!$G:$G,"&gt;="&amp;DATE(YEAR($A700),MONTH($A700),1),发射纪录!$G:$G,"&lt;="&amp;DATE(YEAR($A700),MONTH($A700),DAY(EOMONTH($A700,0))),发射纪录!$N:$N,"&lt;&gt;",发射纪录!$J:$J,"="&amp;发射地月間統計!L$3)</f>
        <v>0</v>
      </c>
      <c r="M700" s="11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COUNTIFS(发射纪录!$C:$C,"&lt;&gt;-",发射纪录!$G:$G,"&gt;="&amp;DATE(YEAR($A700),MONTH($A700),1),发射纪录!$G:$G,"&lt;="&amp;DATE(YEAR($A700),MONTH($A700),DAY(EOMONTH($A700,0))),发射纪录!$N:$N,"&lt;&gt;",发射纪录!$J:$J,"="&amp;发射地月間統計!M$3)</f>
        <v>0</v>
      </c>
      <c r="N700" s="440">
        <f ca="1">COUNTIFS(发射纪录!$C:$C,"&lt;&gt;-",发射纪录!$G:$G,"&gt;="&amp;DATE(YEAR($A700),MONTH($A700),1),发射纪录!$G:$G,"&lt;="&amp;DATE(YEAR($A700),MONTH($A700),DAY(EOMONTH($A700,0))),发射纪录!$N:$N,"&lt;&gt;",发射纪录!$J:$J,"="&amp;发射地月間統計!N$3)</f>
        <v>0</v>
      </c>
      <c r="O700" s="8">
        <f t="shared" ca="1" si="33"/>
        <v>0</v>
      </c>
      <c r="P700" s="11">
        <f t="shared" ca="1" si="34"/>
        <v>0</v>
      </c>
      <c r="Q700" s="11">
        <f t="shared" ca="1" si="35"/>
        <v>0</v>
      </c>
      <c r="R700" s="11">
        <f t="shared" ca="1" si="36"/>
        <v>0</v>
      </c>
      <c r="S700" s="11">
        <f t="shared" ca="1" si="37"/>
        <v>0</v>
      </c>
      <c r="T700" s="11">
        <f t="shared" ca="1" si="38"/>
        <v>0</v>
      </c>
      <c r="U700" s="440">
        <f t="shared" ca="1" si="39"/>
        <v>0</v>
      </c>
      <c r="V700" s="8">
        <f t="shared" ca="1" si="40"/>
        <v>0</v>
      </c>
      <c r="W700" s="31">
        <f t="shared" ca="1" si="41"/>
        <v>47</v>
      </c>
    </row>
    <row r="701" spans="1:23" x14ac:dyDescent="0.45">
      <c r="A701" s="64">
        <v>46266</v>
      </c>
      <c r="B701" s="15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COUNTIFS(发射纪录!$B:$B,"&lt;&gt;-",发射纪录!$G:$G,"&gt;="&amp;DATE(YEAR($A701),MONTH($A701),1),发射纪录!$G:$G,"&lt;="&amp;DATE(YEAR($A701),MONTH($A701),DAY(EOMONTH($A701,0))),发射纪录!$N:$N,"&lt;&gt;",发射纪录!$J:$J,"="&amp;发射地月間統計!B$3)</f>
        <v>0</v>
      </c>
      <c r="C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COUNTIFS(发射纪录!$B:$B,"&lt;&gt;-",发射纪录!$G:$G,"&gt;="&amp;DATE(YEAR($A701),MONTH($A701),1),发射纪录!$G:$G,"&lt;="&amp;DATE(YEAR($A701),MONTH($A701),DAY(EOMONTH($A701,0))),发射纪录!$N:$N,"&lt;&gt;",发射纪录!$J:$J,"="&amp;发射地月間統計!C$3)</f>
        <v>0</v>
      </c>
      <c r="D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COUNTIFS(发射纪录!$B:$B,"&lt;&gt;-",发射纪录!$G:$G,"&gt;="&amp;DATE(YEAR($A701),MONTH($A701),1),发射纪录!$G:$G,"&lt;="&amp;DATE(YEAR($A701),MONTH($A701),DAY(EOMONTH($A701,0))),发射纪录!$N:$N,"&lt;&gt;",发射纪录!$J:$J,"="&amp;发射地月間統計!D$3)</f>
        <v>0</v>
      </c>
      <c r="E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COUNTIFS(发射纪录!$B:$B,"&lt;&gt;-",发射纪录!$G:$G,"&gt;="&amp;DATE(YEAR($A701),MONTH($A701),1),发射纪录!$G:$G,"&lt;="&amp;DATE(YEAR($A701),MONTH($A701),DAY(EOMONTH($A701,0))),发射纪录!$N:$N,"&lt;&gt;",发射纪录!$J:$J,"="&amp;发射地月間統計!E$3)</f>
        <v>0</v>
      </c>
      <c r="F701" s="11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COUNTIFS(发射纪录!$B:$B,"&lt;&gt;-",发射纪录!$G:$G,"&gt;="&amp;DATE(YEAR($A701),MONTH($A701),1),发射纪录!$G:$G,"&lt;="&amp;DATE(YEAR($A701),MONTH($A701),DAY(EOMONTH($A701,0))),发射纪录!$N:$N,"&lt;&gt;",发射纪录!$J:$J,"="&amp;发射地月間統計!F$3)</f>
        <v>0</v>
      </c>
      <c r="G701" s="440">
        <f>COUNTIFS(发射纪录!$B:$B,"&lt;&gt;-",发射纪录!$G:$G,"&gt;="&amp;DATE(YEAR($A701),MONTH($A701),1),发射纪录!$G:$G,"&lt;="&amp;DATE(YEAR($A701),MONTH($A701),DAY(EOMONTH($A701,0))),发射纪录!$N:$N,"&lt;&gt;",发射纪录!$J:$J,"="&amp;发射地月間統計!G$3)</f>
        <v>0</v>
      </c>
      <c r="H701" s="8">
        <f t="shared" si="32"/>
        <v>0</v>
      </c>
      <c r="I701" s="11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COUNTIFS(发射纪录!$C:$C,"&lt;&gt;-",发射纪录!$G:$G,"&gt;="&amp;DATE(YEAR($A701),MONTH($A701),1),发射纪录!$G:$G,"&lt;="&amp;DATE(YEAR($A701),MONTH($A701),DAY(EOMONTH($A701,0))),发射纪录!$N:$N,"&lt;&gt;",发射纪录!$J:$J,"="&amp;发射地月間統計!I$3)</f>
        <v>0</v>
      </c>
      <c r="J701" s="11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COUNTIFS(发射纪录!$C:$C,"&lt;&gt;-",发射纪录!$G:$G,"&gt;="&amp;DATE(YEAR($A701),MONTH($A701),1),发射纪录!$G:$G,"&lt;="&amp;DATE(YEAR($A701),MONTH($A701),DAY(EOMONTH($A701,0))),发射纪录!$N:$N,"&lt;&gt;",发射纪录!$J:$J,"="&amp;发射地月間統計!J$3)</f>
        <v>0</v>
      </c>
      <c r="K701" s="11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COUNTIFS(发射纪录!$C:$C,"&lt;&gt;-",发射纪录!$G:$G,"&gt;="&amp;DATE(YEAR($A701),MONTH($A701),1),发射纪录!$G:$G,"&lt;="&amp;DATE(YEAR($A701),MONTH($A701),DAY(EOMONTH($A701,0))),发射纪录!$N:$N,"&lt;&gt;",发射纪录!$J:$J,"="&amp;发射地月間統計!K$3)</f>
        <v>0</v>
      </c>
      <c r="L701" s="11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COUNTIFS(发射纪录!$C:$C,"&lt;&gt;-",发射纪录!$G:$G,"&gt;="&amp;DATE(YEAR($A701),MONTH($A701),1),发射纪录!$G:$G,"&lt;="&amp;DATE(YEAR($A701),MONTH($A701),DAY(EOMONTH($A701,0))),发射纪录!$N:$N,"&lt;&gt;",发射纪录!$J:$J,"="&amp;发射地月間統計!L$3)</f>
        <v>0</v>
      </c>
      <c r="M701" s="11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COUNTIFS(发射纪录!$C:$C,"&lt;&gt;-",发射纪录!$G:$G,"&gt;="&amp;DATE(YEAR($A701),MONTH($A701),1),发射纪录!$G:$G,"&lt;="&amp;DATE(YEAR($A701),MONTH($A701),DAY(EOMONTH($A701,0))),发射纪录!$N:$N,"&lt;&gt;",发射纪录!$J:$J,"="&amp;发射地月間統計!M$3)</f>
        <v>0</v>
      </c>
      <c r="N701" s="440">
        <f ca="1">COUNTIFS(发射纪录!$C:$C,"&lt;&gt;-",发射纪录!$G:$G,"&gt;="&amp;DATE(YEAR($A701),MONTH($A701),1),发射纪录!$G:$G,"&lt;="&amp;DATE(YEAR($A701),MONTH($A701),DAY(EOMONTH($A701,0))),发射纪录!$N:$N,"&lt;&gt;",发射纪录!$J:$J,"="&amp;发射地月間統計!N$3)</f>
        <v>0</v>
      </c>
      <c r="O701" s="8">
        <f t="shared" ca="1" si="33"/>
        <v>0</v>
      </c>
      <c r="P701" s="11">
        <f t="shared" ca="1" si="34"/>
        <v>0</v>
      </c>
      <c r="Q701" s="11">
        <f t="shared" ca="1" si="35"/>
        <v>0</v>
      </c>
      <c r="R701" s="11">
        <f t="shared" ca="1" si="36"/>
        <v>0</v>
      </c>
      <c r="S701" s="11">
        <f t="shared" ca="1" si="37"/>
        <v>0</v>
      </c>
      <c r="T701" s="11">
        <f t="shared" ca="1" si="38"/>
        <v>0</v>
      </c>
      <c r="U701" s="440">
        <f t="shared" ca="1" si="39"/>
        <v>0</v>
      </c>
      <c r="V701" s="8">
        <f t="shared" ca="1" si="40"/>
        <v>0</v>
      </c>
      <c r="W701" s="31">
        <f t="shared" ca="1" si="41"/>
        <v>47</v>
      </c>
    </row>
    <row r="702" spans="1:23" x14ac:dyDescent="0.45">
      <c r="A702" s="64">
        <v>46296</v>
      </c>
      <c r="B702" s="15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COUNTIFS(发射纪录!$B:$B,"&lt;&gt;-",发射纪录!$G:$G,"&gt;="&amp;DATE(YEAR($A702),MONTH($A702),1),发射纪录!$G:$G,"&lt;="&amp;DATE(YEAR($A702),MONTH($A702),DAY(EOMONTH($A702,0))),发射纪录!$N:$N,"&lt;&gt;",发射纪录!$J:$J,"="&amp;发射地月間統計!B$3)</f>
        <v>0</v>
      </c>
      <c r="C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COUNTIFS(发射纪录!$B:$B,"&lt;&gt;-",发射纪录!$G:$G,"&gt;="&amp;DATE(YEAR($A702),MONTH($A702),1),发射纪录!$G:$G,"&lt;="&amp;DATE(YEAR($A702),MONTH($A702),DAY(EOMONTH($A702,0))),发射纪录!$N:$N,"&lt;&gt;",发射纪录!$J:$J,"="&amp;发射地月間統計!C$3)</f>
        <v>0</v>
      </c>
      <c r="D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COUNTIFS(发射纪录!$B:$B,"&lt;&gt;-",发射纪录!$G:$G,"&gt;="&amp;DATE(YEAR($A702),MONTH($A702),1),发射纪录!$G:$G,"&lt;="&amp;DATE(YEAR($A702),MONTH($A702),DAY(EOMONTH($A702,0))),发射纪录!$N:$N,"&lt;&gt;",发射纪录!$J:$J,"="&amp;发射地月間統計!D$3)</f>
        <v>0</v>
      </c>
      <c r="E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COUNTIFS(发射纪录!$B:$B,"&lt;&gt;-",发射纪录!$G:$G,"&gt;="&amp;DATE(YEAR($A702),MONTH($A702),1),发射纪录!$G:$G,"&lt;="&amp;DATE(YEAR($A702),MONTH($A702),DAY(EOMONTH($A702,0))),发射纪录!$N:$N,"&lt;&gt;",发射纪录!$J:$J,"="&amp;发射地月間統計!E$3)</f>
        <v>0</v>
      </c>
      <c r="F702" s="11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COUNTIFS(发射纪录!$B:$B,"&lt;&gt;-",发射纪录!$G:$G,"&gt;="&amp;DATE(YEAR($A702),MONTH($A702),1),发射纪录!$G:$G,"&lt;="&amp;DATE(YEAR($A702),MONTH($A702),DAY(EOMONTH($A702,0))),发射纪录!$N:$N,"&lt;&gt;",发射纪录!$J:$J,"="&amp;发射地月間統計!F$3)</f>
        <v>0</v>
      </c>
      <c r="G702" s="440">
        <f>COUNTIFS(发射纪录!$B:$B,"&lt;&gt;-",发射纪录!$G:$G,"&gt;="&amp;DATE(YEAR($A702),MONTH($A702),1),发射纪录!$G:$G,"&lt;="&amp;DATE(YEAR($A702),MONTH($A702),DAY(EOMONTH($A702,0))),发射纪录!$N:$N,"&lt;&gt;",发射纪录!$J:$J,"="&amp;发射地月間統計!G$3)</f>
        <v>0</v>
      </c>
      <c r="H702" s="8">
        <f t="shared" si="32"/>
        <v>0</v>
      </c>
      <c r="I702" s="11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COUNTIFS(发射纪录!$C:$C,"&lt;&gt;-",发射纪录!$G:$G,"&gt;="&amp;DATE(YEAR($A702),MONTH($A702),1),发射纪录!$G:$G,"&lt;="&amp;DATE(YEAR($A702),MONTH($A702),DAY(EOMONTH($A702,0))),发射纪录!$N:$N,"&lt;&gt;",发射纪录!$J:$J,"="&amp;发射地月間統計!I$3)</f>
        <v>0</v>
      </c>
      <c r="J702" s="11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COUNTIFS(发射纪录!$C:$C,"&lt;&gt;-",发射纪录!$G:$G,"&gt;="&amp;DATE(YEAR($A702),MONTH($A702),1),发射纪录!$G:$G,"&lt;="&amp;DATE(YEAR($A702),MONTH($A702),DAY(EOMONTH($A702,0))),发射纪录!$N:$N,"&lt;&gt;",发射纪录!$J:$J,"="&amp;发射地月間統計!J$3)</f>
        <v>0</v>
      </c>
      <c r="K702" s="11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COUNTIFS(发射纪录!$C:$C,"&lt;&gt;-",发射纪录!$G:$G,"&gt;="&amp;DATE(YEAR($A702),MONTH($A702),1),发射纪录!$G:$G,"&lt;="&amp;DATE(YEAR($A702),MONTH($A702),DAY(EOMONTH($A702,0))),发射纪录!$N:$N,"&lt;&gt;",发射纪录!$J:$J,"="&amp;发射地月間統計!K$3)</f>
        <v>0</v>
      </c>
      <c r="L702" s="11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COUNTIFS(发射纪录!$C:$C,"&lt;&gt;-",发射纪录!$G:$G,"&gt;="&amp;DATE(YEAR($A702),MONTH($A702),1),发射纪录!$G:$G,"&lt;="&amp;DATE(YEAR($A702),MONTH($A702),DAY(EOMONTH($A702,0))),发射纪录!$N:$N,"&lt;&gt;",发射纪录!$J:$J,"="&amp;发射地月間統計!L$3)</f>
        <v>0</v>
      </c>
      <c r="M702" s="11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COUNTIFS(发射纪录!$C:$C,"&lt;&gt;-",发射纪录!$G:$G,"&gt;="&amp;DATE(YEAR($A702),MONTH($A702),1),发射纪录!$G:$G,"&lt;="&amp;DATE(YEAR($A702),MONTH($A702),DAY(EOMONTH($A702,0))),发射纪录!$N:$N,"&lt;&gt;",发射纪录!$J:$J,"="&amp;发射地月間統計!M$3)</f>
        <v>0</v>
      </c>
      <c r="N702" s="440">
        <f ca="1">COUNTIFS(发射纪录!$C:$C,"&lt;&gt;-",发射纪录!$G:$G,"&gt;="&amp;DATE(YEAR($A702),MONTH($A702),1),发射纪录!$G:$G,"&lt;="&amp;DATE(YEAR($A702),MONTH($A702),DAY(EOMONTH($A702,0))),发射纪录!$N:$N,"&lt;&gt;",发射纪录!$J:$J,"="&amp;发射地月間統計!N$3)</f>
        <v>0</v>
      </c>
      <c r="O702" s="8">
        <f t="shared" ca="1" si="33"/>
        <v>0</v>
      </c>
      <c r="P702" s="11">
        <f t="shared" ca="1" si="34"/>
        <v>0</v>
      </c>
      <c r="Q702" s="11">
        <f t="shared" ca="1" si="35"/>
        <v>0</v>
      </c>
      <c r="R702" s="11">
        <f t="shared" ca="1" si="36"/>
        <v>0</v>
      </c>
      <c r="S702" s="11">
        <f t="shared" ca="1" si="37"/>
        <v>0</v>
      </c>
      <c r="T702" s="11">
        <f t="shared" ca="1" si="38"/>
        <v>0</v>
      </c>
      <c r="U702" s="440">
        <f t="shared" ca="1" si="39"/>
        <v>0</v>
      </c>
      <c r="V702" s="8">
        <f t="shared" ca="1" si="40"/>
        <v>0</v>
      </c>
      <c r="W702" s="31">
        <f t="shared" ca="1" si="41"/>
        <v>47</v>
      </c>
    </row>
    <row r="703" spans="1:23" x14ac:dyDescent="0.45">
      <c r="A703" s="64">
        <v>46327</v>
      </c>
      <c r="B703" s="15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COUNTIFS(发射纪录!$B:$B,"&lt;&gt;-",发射纪录!$G:$G,"&gt;="&amp;DATE(YEAR($A703),MONTH($A703),1),发射纪录!$G:$G,"&lt;="&amp;DATE(YEAR($A703),MONTH($A703),DAY(EOMONTH($A703,0))),发射纪录!$N:$N,"&lt;&gt;",发射纪录!$J:$J,"="&amp;发射地月間統計!B$3)</f>
        <v>0</v>
      </c>
      <c r="C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COUNTIFS(发射纪录!$B:$B,"&lt;&gt;-",发射纪录!$G:$G,"&gt;="&amp;DATE(YEAR($A703),MONTH($A703),1),发射纪录!$G:$G,"&lt;="&amp;DATE(YEAR($A703),MONTH($A703),DAY(EOMONTH($A703,0))),发射纪录!$N:$N,"&lt;&gt;",发射纪录!$J:$J,"="&amp;发射地月間統計!C$3)</f>
        <v>0</v>
      </c>
      <c r="D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COUNTIFS(发射纪录!$B:$B,"&lt;&gt;-",发射纪录!$G:$G,"&gt;="&amp;DATE(YEAR($A703),MONTH($A703),1),发射纪录!$G:$G,"&lt;="&amp;DATE(YEAR($A703),MONTH($A703),DAY(EOMONTH($A703,0))),发射纪录!$N:$N,"&lt;&gt;",发射纪录!$J:$J,"="&amp;发射地月間統計!D$3)</f>
        <v>0</v>
      </c>
      <c r="E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COUNTIFS(发射纪录!$B:$B,"&lt;&gt;-",发射纪录!$G:$G,"&gt;="&amp;DATE(YEAR($A703),MONTH($A703),1),发射纪录!$G:$G,"&lt;="&amp;DATE(YEAR($A703),MONTH($A703),DAY(EOMONTH($A703,0))),发射纪录!$N:$N,"&lt;&gt;",发射纪录!$J:$J,"="&amp;发射地月間統計!E$3)</f>
        <v>0</v>
      </c>
      <c r="F703" s="11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COUNTIFS(发射纪录!$B:$B,"&lt;&gt;-",发射纪录!$G:$G,"&gt;="&amp;DATE(YEAR($A703),MONTH($A703),1),发射纪录!$G:$G,"&lt;="&amp;DATE(YEAR($A703),MONTH($A703),DAY(EOMONTH($A703,0))),发射纪录!$N:$N,"&lt;&gt;",发射纪录!$J:$J,"="&amp;发射地月間統計!F$3)</f>
        <v>0</v>
      </c>
      <c r="G703" s="440">
        <f>COUNTIFS(发射纪录!$B:$B,"&lt;&gt;-",发射纪录!$G:$G,"&gt;="&amp;DATE(YEAR($A703),MONTH($A703),1),发射纪录!$G:$G,"&lt;="&amp;DATE(YEAR($A703),MONTH($A703),DAY(EOMONTH($A703,0))),发射纪录!$N:$N,"&lt;&gt;",发射纪录!$J:$J,"="&amp;发射地月間統計!G$3)</f>
        <v>0</v>
      </c>
      <c r="H703" s="8">
        <f t="shared" si="32"/>
        <v>0</v>
      </c>
      <c r="I703" s="11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COUNTIFS(发射纪录!$C:$C,"&lt;&gt;-",发射纪录!$G:$G,"&gt;="&amp;DATE(YEAR($A703),MONTH($A703),1),发射纪录!$G:$G,"&lt;="&amp;DATE(YEAR($A703),MONTH($A703),DAY(EOMONTH($A703,0))),发射纪录!$N:$N,"&lt;&gt;",发射纪录!$J:$J,"="&amp;发射地月間統計!I$3)</f>
        <v>0</v>
      </c>
      <c r="J703" s="11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COUNTIFS(发射纪录!$C:$C,"&lt;&gt;-",发射纪录!$G:$G,"&gt;="&amp;DATE(YEAR($A703),MONTH($A703),1),发射纪录!$G:$G,"&lt;="&amp;DATE(YEAR($A703),MONTH($A703),DAY(EOMONTH($A703,0))),发射纪录!$N:$N,"&lt;&gt;",发射纪录!$J:$J,"="&amp;发射地月間統計!J$3)</f>
        <v>0</v>
      </c>
      <c r="K703" s="11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COUNTIFS(发射纪录!$C:$C,"&lt;&gt;-",发射纪录!$G:$G,"&gt;="&amp;DATE(YEAR($A703),MONTH($A703),1),发射纪录!$G:$G,"&lt;="&amp;DATE(YEAR($A703),MONTH($A703),DAY(EOMONTH($A703,0))),发射纪录!$N:$N,"&lt;&gt;",发射纪录!$J:$J,"="&amp;发射地月間統計!K$3)</f>
        <v>0</v>
      </c>
      <c r="L703" s="11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COUNTIFS(发射纪录!$C:$C,"&lt;&gt;-",发射纪录!$G:$G,"&gt;="&amp;DATE(YEAR($A703),MONTH($A703),1),发射纪录!$G:$G,"&lt;="&amp;DATE(YEAR($A703),MONTH($A703),DAY(EOMONTH($A703,0))),发射纪录!$N:$N,"&lt;&gt;",发射纪录!$J:$J,"="&amp;发射地月間統計!L$3)</f>
        <v>0</v>
      </c>
      <c r="M703" s="11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COUNTIFS(发射纪录!$C:$C,"&lt;&gt;-",发射纪录!$G:$G,"&gt;="&amp;DATE(YEAR($A703),MONTH($A703),1),发射纪录!$G:$G,"&lt;="&amp;DATE(YEAR($A703),MONTH($A703),DAY(EOMONTH($A703,0))),发射纪录!$N:$N,"&lt;&gt;",发射纪录!$J:$J,"="&amp;发射地月間統計!M$3)</f>
        <v>0</v>
      </c>
      <c r="N703" s="440">
        <f ca="1">COUNTIFS(发射纪录!$C:$C,"&lt;&gt;-",发射纪录!$G:$G,"&gt;="&amp;DATE(YEAR($A703),MONTH($A703),1),发射纪录!$G:$G,"&lt;="&amp;DATE(YEAR($A703),MONTH($A703),DAY(EOMONTH($A703,0))),发射纪录!$N:$N,"&lt;&gt;",发射纪录!$J:$J,"="&amp;发射地月間統計!N$3)</f>
        <v>0</v>
      </c>
      <c r="O703" s="8">
        <f t="shared" ca="1" si="33"/>
        <v>0</v>
      </c>
      <c r="P703" s="11">
        <f t="shared" ca="1" si="34"/>
        <v>0</v>
      </c>
      <c r="Q703" s="11">
        <f t="shared" ca="1" si="35"/>
        <v>0</v>
      </c>
      <c r="R703" s="11">
        <f t="shared" ca="1" si="36"/>
        <v>0</v>
      </c>
      <c r="S703" s="11">
        <f t="shared" ca="1" si="37"/>
        <v>0</v>
      </c>
      <c r="T703" s="11">
        <f t="shared" ca="1" si="38"/>
        <v>0</v>
      </c>
      <c r="U703" s="440">
        <f t="shared" ca="1" si="39"/>
        <v>0</v>
      </c>
      <c r="V703" s="8">
        <f t="shared" ca="1" si="40"/>
        <v>0</v>
      </c>
      <c r="W703" s="31">
        <f t="shared" ca="1" si="41"/>
        <v>47</v>
      </c>
    </row>
    <row r="704" spans="1:23" x14ac:dyDescent="0.45">
      <c r="A704" s="69">
        <v>46357</v>
      </c>
      <c r="B704" s="16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COUNTIFS(发射纪录!$B:$B,"&lt;&gt;-",发射纪录!$G:$G,"&gt;="&amp;DATE(YEAR($A704),MONTH($A704),1),发射纪录!$G:$G,"&lt;="&amp;DATE(YEAR($A704),MONTH($A704),DAY(EOMONTH($A704,0))),发射纪录!$N:$N,"&lt;&gt;",发射纪录!$J:$J,"="&amp;发射地月間統計!B$3)</f>
        <v>0</v>
      </c>
      <c r="C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COUNTIFS(发射纪录!$B:$B,"&lt;&gt;-",发射纪录!$G:$G,"&gt;="&amp;DATE(YEAR($A704),MONTH($A704),1),发射纪录!$G:$G,"&lt;="&amp;DATE(YEAR($A704),MONTH($A704),DAY(EOMONTH($A704,0))),发射纪录!$N:$N,"&lt;&gt;",发射纪录!$J:$J,"="&amp;发射地月間統計!C$3)</f>
        <v>0</v>
      </c>
      <c r="D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COUNTIFS(发射纪录!$B:$B,"&lt;&gt;-",发射纪录!$G:$G,"&gt;="&amp;DATE(YEAR($A704),MONTH($A704),1),发射纪录!$G:$G,"&lt;="&amp;DATE(YEAR($A704),MONTH($A704),DAY(EOMONTH($A704,0))),发射纪录!$N:$N,"&lt;&gt;",发射纪录!$J:$J,"="&amp;发射地月間統計!D$3)</f>
        <v>0</v>
      </c>
      <c r="E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COUNTIFS(发射纪录!$B:$B,"&lt;&gt;-",发射纪录!$G:$G,"&gt;="&amp;DATE(YEAR($A704),MONTH($A704),1),发射纪录!$G:$G,"&lt;="&amp;DATE(YEAR($A704),MONTH($A704),DAY(EOMONTH($A704,0))),发射纪录!$N:$N,"&lt;&gt;",发射纪录!$J:$J,"="&amp;发射地月間統計!E$3)</f>
        <v>0</v>
      </c>
      <c r="F704" s="42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COUNTIFS(发射纪录!$B:$B,"&lt;&gt;-",发射纪录!$G:$G,"&gt;="&amp;DATE(YEAR($A704),MONTH($A704),1),发射纪录!$G:$G,"&lt;="&amp;DATE(YEAR($A704),MONTH($A704),DAY(EOMONTH($A704,0))),发射纪录!$N:$N,"&lt;&gt;",发射纪录!$J:$J,"="&amp;发射地月間統計!F$3)</f>
        <v>0</v>
      </c>
      <c r="G704" s="438">
        <f>COUNTIFS(发射纪录!$B:$B,"&lt;&gt;-",发射纪录!$G:$G,"&gt;="&amp;DATE(YEAR($A704),MONTH($A704),1),发射纪录!$G:$G,"&lt;="&amp;DATE(YEAR($A704),MONTH($A704),DAY(EOMONTH($A704,0))),发射纪录!$N:$N,"&lt;&gt;",发射纪录!$J:$J,"="&amp;发射地月間統計!G$3)</f>
        <v>0</v>
      </c>
      <c r="H704" s="43">
        <f t="shared" si="32"/>
        <v>0</v>
      </c>
      <c r="I704" s="42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COUNTIFS(发射纪录!$C:$C,"&lt;&gt;-",发射纪录!$G:$G,"&gt;="&amp;DATE(YEAR($A704),MONTH($A704),1),发射纪录!$G:$G,"&lt;="&amp;DATE(YEAR($A704),MONTH($A704),DAY(EOMONTH($A704,0))),发射纪录!$N:$N,"&lt;&gt;",发射纪录!$J:$J,"="&amp;发射地月間統計!I$3)</f>
        <v>0</v>
      </c>
      <c r="J704" s="42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COUNTIFS(发射纪录!$C:$C,"&lt;&gt;-",发射纪录!$G:$G,"&gt;="&amp;DATE(YEAR($A704),MONTH($A704),1),发射纪录!$G:$G,"&lt;="&amp;DATE(YEAR($A704),MONTH($A704),DAY(EOMONTH($A704,0))),发射纪录!$N:$N,"&lt;&gt;",发射纪录!$J:$J,"="&amp;发射地月間統計!J$3)</f>
        <v>0</v>
      </c>
      <c r="K704" s="42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COUNTIFS(发射纪录!$C:$C,"&lt;&gt;-",发射纪录!$G:$G,"&gt;="&amp;DATE(YEAR($A704),MONTH($A704),1),发射纪录!$G:$G,"&lt;="&amp;DATE(YEAR($A704),MONTH($A704),DAY(EOMONTH($A704,0))),发射纪录!$N:$N,"&lt;&gt;",发射纪录!$J:$J,"="&amp;发射地月間統計!K$3)</f>
        <v>0</v>
      </c>
      <c r="L704" s="42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COUNTIFS(发射纪录!$C:$C,"&lt;&gt;-",发射纪录!$G:$G,"&gt;="&amp;DATE(YEAR($A704),MONTH($A704),1),发射纪录!$G:$G,"&lt;="&amp;DATE(YEAR($A704),MONTH($A704),DAY(EOMONTH($A704,0))),发射纪录!$N:$N,"&lt;&gt;",发射纪录!$J:$J,"="&amp;发射地月間統計!L$3)</f>
        <v>0</v>
      </c>
      <c r="M704" s="42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COUNTIFS(发射纪录!$C:$C,"&lt;&gt;-",发射纪录!$G:$G,"&gt;="&amp;DATE(YEAR($A704),MONTH($A704),1),发射纪录!$G:$G,"&lt;="&amp;DATE(YEAR($A704),MONTH($A704),DAY(EOMONTH($A704,0))),发射纪录!$N:$N,"&lt;&gt;",发射纪录!$J:$J,"="&amp;发射地月間統計!M$3)</f>
        <v>0</v>
      </c>
      <c r="N704" s="438">
        <f ca="1">COUNTIFS(发射纪录!$C:$C,"&lt;&gt;-",发射纪录!$G:$G,"&gt;="&amp;DATE(YEAR($A704),MONTH($A704),1),发射纪录!$G:$G,"&lt;="&amp;DATE(YEAR($A704),MONTH($A704),DAY(EOMONTH($A704,0))),发射纪录!$N:$N,"&lt;&gt;",发射纪录!$J:$J,"="&amp;发射地月間統計!N$3)</f>
        <v>0</v>
      </c>
      <c r="O704" s="43">
        <f t="shared" ca="1" si="33"/>
        <v>0</v>
      </c>
      <c r="P704" s="42">
        <f t="shared" ca="1" si="34"/>
        <v>0</v>
      </c>
      <c r="Q704" s="42">
        <f t="shared" ca="1" si="35"/>
        <v>0</v>
      </c>
      <c r="R704" s="42">
        <f t="shared" ca="1" si="36"/>
        <v>0</v>
      </c>
      <c r="S704" s="42">
        <f t="shared" ca="1" si="37"/>
        <v>0</v>
      </c>
      <c r="T704" s="42">
        <f t="shared" ca="1" si="38"/>
        <v>0</v>
      </c>
      <c r="U704" s="438">
        <f t="shared" ca="1" si="39"/>
        <v>0</v>
      </c>
      <c r="V704" s="43">
        <f t="shared" ca="1" si="40"/>
        <v>0</v>
      </c>
      <c r="W704" s="44">
        <f t="shared" ca="1" si="41"/>
        <v>47</v>
      </c>
    </row>
    <row r="705" spans="1:23" ht="18.600000000000001" thickBot="1" x14ac:dyDescent="0.5">
      <c r="A705" s="67" t="s">
        <v>3336</v>
      </c>
      <c r="B705" s="39">
        <f t="shared" ref="B705:G705" si="42">SUM(B693:B704)</f>
        <v>8</v>
      </c>
      <c r="C705" s="40">
        <f t="shared" si="42"/>
        <v>8</v>
      </c>
      <c r="D705" s="40">
        <f t="shared" si="42"/>
        <v>0</v>
      </c>
      <c r="E705" s="40">
        <f t="shared" si="42"/>
        <v>5</v>
      </c>
      <c r="F705" s="40">
        <f t="shared" si="42"/>
        <v>4</v>
      </c>
      <c r="G705" s="439">
        <f t="shared" si="42"/>
        <v>8</v>
      </c>
      <c r="H705" s="41">
        <f>SUM(B705:G705)</f>
        <v>33</v>
      </c>
      <c r="I705" s="40">
        <f ca="1">SUM(I693:I704)</f>
        <v>10</v>
      </c>
      <c r="J705" s="40">
        <f ca="1">SUM(J693:J704)</f>
        <v>0</v>
      </c>
      <c r="K705" s="40">
        <f ca="1">SUM(K693:K704)</f>
        <v>4</v>
      </c>
      <c r="L705" s="40">
        <f ca="1">SUM(L693:L704)</f>
        <v>0</v>
      </c>
      <c r="M705" s="40">
        <f ca="1">SUM(M693:M704)</f>
        <v>0</v>
      </c>
      <c r="N705" s="439">
        <v>0</v>
      </c>
      <c r="O705" s="41">
        <f t="shared" ca="1" si="33"/>
        <v>14</v>
      </c>
      <c r="P705" s="40">
        <f t="shared" ca="1" si="34"/>
        <v>18</v>
      </c>
      <c r="Q705" s="40">
        <f t="shared" ca="1" si="35"/>
        <v>8</v>
      </c>
      <c r="R705" s="40">
        <f t="shared" ca="1" si="36"/>
        <v>4</v>
      </c>
      <c r="S705" s="40">
        <f t="shared" ca="1" si="37"/>
        <v>5</v>
      </c>
      <c r="T705" s="40">
        <f t="shared" ca="1" si="38"/>
        <v>4</v>
      </c>
      <c r="U705" s="40">
        <f t="shared" si="39"/>
        <v>8</v>
      </c>
      <c r="V705" s="41">
        <f ca="1">SUM(P705:U705)</f>
        <v>47</v>
      </c>
      <c r="W705" s="105"/>
    </row>
    <row r="706" spans="1:23" ht="18.600000000000001" thickTop="1" x14ac:dyDescent="0.45"/>
  </sheetData>
  <mergeCells count="6">
    <mergeCell ref="A1:W1"/>
    <mergeCell ref="B2:H2"/>
    <mergeCell ref="P2:V2"/>
    <mergeCell ref="W2:W4"/>
    <mergeCell ref="A2:A3"/>
    <mergeCell ref="I2:O2"/>
  </mergeCells>
  <phoneticPr fontId="2"/>
  <conditionalFormatting sqref="A680:W691">
    <cfRule type="expression" dxfId="1" priority="2">
      <formula>AND(YEAR($A680)=YEAR(TODAY())-1,MONTH($A680)=MONTH(TODAY()))</formula>
    </cfRule>
  </conditionalFormatting>
  <conditionalFormatting sqref="A693:W704">
    <cfRule type="expression" dxfId="0" priority="1">
      <formula>AND(YEAR($A693)=YEAR(TODAY()),MONTH($A693)=MONTH(TODAY()))</formula>
    </cfRule>
  </conditionalFormatting>
  <pageMargins left="0.7" right="0.7" top="0.75" bottom="0.75" header="0.3" footer="0.3"/>
  <pageSetup paperSize="9" orientation="portrait" horizontalDpi="0" verticalDpi="0"/>
  <ignoredErrors>
    <ignoredError sqref="O653 V666 B653:F653 B679:M679 B666:M666 H653:M653 O666:T666 V677:V679 H692 B692:G692 I692:T692 V692 H70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4"/>
  <sheetViews>
    <sheetView showGridLines="0" zoomScale="76" zoomScaleNormal="76" workbookViewId="0">
      <selection activeCell="K23" sqref="K23"/>
    </sheetView>
  </sheetViews>
  <sheetFormatPr defaultRowHeight="26.4" x14ac:dyDescent="0.45"/>
  <cols>
    <col min="1" max="3" width="9" style="38" customWidth="1"/>
    <col min="19" max="19" width="3.09765625" style="59" customWidth="1"/>
  </cols>
  <sheetData>
    <row r="1" spans="1:26" x14ac:dyDescent="0.45">
      <c r="A1" s="71"/>
      <c r="B1" s="71"/>
      <c r="C1" s="71"/>
      <c r="D1" s="72"/>
      <c r="E1" s="72"/>
      <c r="F1" s="72"/>
      <c r="G1" s="72"/>
      <c r="H1" s="73" t="s">
        <v>969</v>
      </c>
      <c r="I1" s="74"/>
      <c r="J1" s="74"/>
      <c r="K1" s="72"/>
      <c r="L1" s="72"/>
      <c r="M1" s="72"/>
      <c r="N1" s="72"/>
      <c r="O1" s="72"/>
      <c r="P1" s="72"/>
      <c r="Q1" s="72"/>
      <c r="R1" s="72"/>
      <c r="S1" s="75"/>
      <c r="T1" s="76" t="s">
        <v>970</v>
      </c>
      <c r="U1" s="75"/>
      <c r="V1" s="75"/>
      <c r="W1" s="75"/>
      <c r="X1" s="75"/>
      <c r="Y1" s="75"/>
      <c r="Z1" s="75"/>
    </row>
    <row r="2" spans="1:26" x14ac:dyDescent="0.45">
      <c r="A2" s="71"/>
      <c r="B2" s="71"/>
      <c r="C2" s="71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5"/>
      <c r="T2" s="75"/>
      <c r="U2" s="75"/>
      <c r="V2" s="75"/>
      <c r="W2" s="75"/>
      <c r="X2" s="75"/>
      <c r="Y2" s="75"/>
      <c r="Z2" s="75"/>
    </row>
    <row r="3" spans="1:26" x14ac:dyDescent="0.45">
      <c r="A3" s="71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5"/>
      <c r="T3" s="75"/>
      <c r="U3" s="75"/>
      <c r="V3" s="75"/>
      <c r="W3" s="75"/>
      <c r="X3" s="75"/>
      <c r="Y3" s="75"/>
      <c r="Z3" s="75"/>
    </row>
    <row r="4" spans="1:26" x14ac:dyDescent="0.45">
      <c r="A4" s="71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5"/>
      <c r="T4" s="75"/>
      <c r="U4" s="75"/>
      <c r="V4" s="75"/>
      <c r="W4" s="75"/>
      <c r="X4" s="75"/>
      <c r="Y4" s="75"/>
      <c r="Z4" s="75"/>
    </row>
    <row r="5" spans="1:26" x14ac:dyDescent="0.45">
      <c r="A5" s="71"/>
      <c r="B5" s="71"/>
      <c r="C5" s="71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5"/>
      <c r="T5" s="75"/>
      <c r="U5" s="75"/>
      <c r="V5" s="75"/>
      <c r="W5" s="75"/>
      <c r="X5" s="75"/>
      <c r="Y5" s="75"/>
      <c r="Z5" s="75"/>
    </row>
    <row r="6" spans="1:26" x14ac:dyDescent="0.45">
      <c r="A6" s="71"/>
      <c r="B6" s="71"/>
      <c r="C6" s="71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5"/>
      <c r="T6" s="75"/>
      <c r="U6" s="75"/>
      <c r="V6" s="75"/>
      <c r="W6" s="75"/>
      <c r="X6" s="75"/>
      <c r="Y6" s="75"/>
      <c r="Z6" s="75"/>
    </row>
    <row r="7" spans="1:26" x14ac:dyDescent="0.45">
      <c r="A7" s="71"/>
      <c r="B7" s="71"/>
      <c r="C7" s="71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5"/>
      <c r="T7" s="75"/>
      <c r="U7" s="75"/>
      <c r="V7" s="75"/>
      <c r="W7" s="75"/>
      <c r="X7" s="75"/>
      <c r="Y7" s="75"/>
      <c r="Z7" s="75"/>
    </row>
    <row r="8" spans="1:26" x14ac:dyDescent="0.45">
      <c r="A8" s="71"/>
      <c r="B8" s="71"/>
      <c r="C8" s="71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5"/>
      <c r="T8" s="75"/>
      <c r="U8" s="75"/>
      <c r="V8" s="75"/>
      <c r="W8" s="75"/>
      <c r="X8" s="75"/>
      <c r="Y8" s="75"/>
      <c r="Z8" s="75"/>
    </row>
    <row r="9" spans="1:26" x14ac:dyDescent="0.45">
      <c r="A9" s="71"/>
      <c r="B9" s="71"/>
      <c r="C9" s="71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5"/>
      <c r="T9" s="75"/>
      <c r="U9" s="75"/>
      <c r="V9" s="75"/>
      <c r="W9" s="75"/>
      <c r="X9" s="75"/>
      <c r="Y9" s="75"/>
      <c r="Z9" s="75"/>
    </row>
    <row r="10" spans="1:26" x14ac:dyDescent="0.45">
      <c r="A10" s="71"/>
      <c r="B10" s="71"/>
      <c r="C10" s="7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5"/>
      <c r="T10" s="75"/>
      <c r="U10" s="75"/>
      <c r="V10" s="75"/>
      <c r="W10" s="75"/>
      <c r="X10" s="75"/>
      <c r="Y10" s="75"/>
      <c r="Z10" s="75"/>
    </row>
    <row r="11" spans="1:26" x14ac:dyDescent="0.45">
      <c r="A11" s="71"/>
      <c r="B11" s="71"/>
      <c r="C11" s="71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5"/>
      <c r="T11" s="75"/>
      <c r="U11" s="75"/>
      <c r="V11" s="75"/>
      <c r="W11" s="75"/>
      <c r="X11" s="75"/>
      <c r="Y11" s="75"/>
      <c r="Z11" s="75"/>
    </row>
    <row r="12" spans="1:26" x14ac:dyDescent="0.45">
      <c r="A12" s="71"/>
      <c r="B12" s="71"/>
      <c r="C12" s="71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5"/>
      <c r="T12" s="75"/>
      <c r="U12" s="75"/>
      <c r="V12" s="75"/>
      <c r="W12" s="75"/>
      <c r="X12" s="75"/>
      <c r="Y12" s="75"/>
      <c r="Z12" s="75"/>
    </row>
    <row r="13" spans="1:26" x14ac:dyDescent="0.45">
      <c r="A13" s="71"/>
      <c r="B13" s="71"/>
      <c r="C13" s="71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5"/>
      <c r="T13" s="75"/>
      <c r="U13" s="75"/>
      <c r="V13" s="75"/>
      <c r="W13" s="75"/>
      <c r="X13" s="75"/>
      <c r="Y13" s="75"/>
      <c r="Z13" s="75"/>
    </row>
    <row r="14" spans="1:26" x14ac:dyDescent="0.45">
      <c r="A14" s="71"/>
      <c r="B14" s="71"/>
      <c r="C14" s="71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5"/>
      <c r="T14" s="75"/>
      <c r="U14" s="75"/>
      <c r="V14" s="75"/>
      <c r="W14" s="75"/>
      <c r="X14" s="75"/>
      <c r="Y14" s="75"/>
      <c r="Z14" s="75"/>
    </row>
    <row r="15" spans="1:26" x14ac:dyDescent="0.45">
      <c r="A15" s="71"/>
      <c r="B15" s="71"/>
      <c r="C15" s="71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5"/>
      <c r="T15" s="75"/>
      <c r="U15" s="75"/>
      <c r="V15" s="75"/>
      <c r="W15" s="75"/>
      <c r="X15" s="75"/>
      <c r="Y15" s="75"/>
      <c r="Z15" s="75"/>
    </row>
    <row r="16" spans="1:26" x14ac:dyDescent="0.45">
      <c r="A16" s="71"/>
      <c r="B16" s="71"/>
      <c r="C16" s="71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5"/>
      <c r="T16" s="75"/>
      <c r="U16" s="75"/>
      <c r="V16" s="75"/>
      <c r="W16" s="75"/>
      <c r="X16" s="75"/>
      <c r="Y16" s="75"/>
      <c r="Z16" s="75"/>
    </row>
    <row r="17" spans="1:26" x14ac:dyDescent="0.45">
      <c r="A17" s="71"/>
      <c r="B17" s="71"/>
      <c r="C17" s="7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5"/>
      <c r="T17" s="75"/>
      <c r="U17" s="75"/>
      <c r="V17" s="75"/>
      <c r="W17" s="75"/>
      <c r="X17" s="75"/>
      <c r="Y17" s="75"/>
      <c r="Z17" s="75"/>
    </row>
    <row r="18" spans="1:26" x14ac:dyDescent="0.45">
      <c r="A18" s="71"/>
      <c r="B18" s="71"/>
      <c r="C18" s="71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5"/>
      <c r="T18" s="75"/>
      <c r="U18" s="75"/>
      <c r="V18" s="75"/>
      <c r="W18" s="75"/>
      <c r="X18" s="75"/>
      <c r="Y18" s="75"/>
      <c r="Z18" s="75"/>
    </row>
    <row r="19" spans="1:26" x14ac:dyDescent="0.45">
      <c r="A19" s="71"/>
      <c r="B19" s="71"/>
      <c r="C19" s="71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5"/>
      <c r="T19" s="75"/>
      <c r="U19" s="75"/>
      <c r="V19" s="75"/>
      <c r="W19" s="75"/>
      <c r="X19" s="75"/>
      <c r="Y19" s="75"/>
      <c r="Z19" s="75"/>
    </row>
    <row r="20" spans="1:26" x14ac:dyDescent="0.45">
      <c r="A20" s="71"/>
      <c r="B20" s="71"/>
      <c r="C20" s="71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5"/>
      <c r="T20" s="75"/>
      <c r="U20" s="75"/>
      <c r="V20" s="75"/>
      <c r="W20" s="75"/>
      <c r="X20" s="75"/>
      <c r="Y20" s="75"/>
      <c r="Z20" s="75"/>
    </row>
    <row r="21" spans="1:26" x14ac:dyDescent="0.45">
      <c r="A21" s="71"/>
      <c r="B21" s="71"/>
      <c r="C21" s="71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5"/>
      <c r="T21" s="75"/>
      <c r="U21" s="75"/>
      <c r="V21" s="75"/>
      <c r="W21" s="75"/>
      <c r="X21" s="75"/>
      <c r="Y21" s="75"/>
      <c r="Z21" s="75"/>
    </row>
    <row r="22" spans="1:26" x14ac:dyDescent="0.45">
      <c r="A22" s="71"/>
      <c r="B22" s="71"/>
      <c r="C22" s="71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5"/>
      <c r="T22" s="75"/>
      <c r="U22" s="75"/>
      <c r="V22" s="75"/>
      <c r="W22" s="75"/>
      <c r="X22" s="75"/>
      <c r="Y22" s="75"/>
      <c r="Z22" s="75"/>
    </row>
    <row r="23" spans="1:26" x14ac:dyDescent="0.45">
      <c r="A23" s="71"/>
      <c r="B23" s="71"/>
      <c r="C23" s="71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5"/>
      <c r="T23" s="75"/>
      <c r="U23" s="75"/>
      <c r="V23" s="75"/>
      <c r="W23" s="75"/>
      <c r="X23" s="75"/>
      <c r="Y23" s="75"/>
      <c r="Z23" s="75"/>
    </row>
    <row r="24" spans="1:26" x14ac:dyDescent="0.45">
      <c r="A24" s="71"/>
      <c r="B24" s="71"/>
      <c r="C24" s="71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5"/>
      <c r="T24" s="75"/>
      <c r="U24" s="75"/>
      <c r="V24" s="75"/>
      <c r="W24" s="75"/>
      <c r="X24" s="75"/>
      <c r="Y24" s="75"/>
      <c r="Z24" s="75"/>
    </row>
  </sheetData>
  <phoneticPr fontId="2"/>
  <pageMargins left="0.7" right="0.7" top="0.75" bottom="0.75" header="0.3" footer="0.3"/>
  <pageSetup paperSize="9" orientation="portrait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45"/>
  <sheetViews>
    <sheetView zoomScale="85" zoomScaleNormal="85" workbookViewId="0">
      <selection activeCell="N33" sqref="N33"/>
    </sheetView>
  </sheetViews>
  <sheetFormatPr defaultColWidth="3" defaultRowHeight="17.399999999999999" x14ac:dyDescent="0.45"/>
  <cols>
    <col min="1" max="1" width="3" style="177"/>
    <col min="2" max="11" width="3" style="7"/>
    <col min="12" max="12" width="3" style="54"/>
    <col min="13" max="13" width="3" style="7"/>
    <col min="14" max="16384" width="3" style="54"/>
  </cols>
  <sheetData>
    <row r="1" spans="1:18" ht="18" customHeight="1" x14ac:dyDescent="0.45">
      <c r="A1" s="1991" t="s">
        <v>899</v>
      </c>
      <c r="B1" s="1992"/>
      <c r="C1" s="1992"/>
      <c r="D1" s="1992"/>
      <c r="E1" s="1992"/>
      <c r="F1" s="1992"/>
      <c r="G1" s="1992"/>
      <c r="H1" s="1992"/>
      <c r="I1" s="1992"/>
      <c r="J1" s="1992"/>
      <c r="K1" s="1992"/>
    </row>
    <row r="2" spans="1:18" ht="18" customHeight="1" x14ac:dyDescent="0.45">
      <c r="A2" s="172" t="s">
        <v>854</v>
      </c>
      <c r="B2" s="1993" t="s">
        <v>775</v>
      </c>
      <c r="C2" s="1994"/>
      <c r="D2" s="1995"/>
      <c r="E2" s="1993" t="s">
        <v>900</v>
      </c>
      <c r="F2" s="1994"/>
      <c r="G2" s="1995"/>
      <c r="H2" s="1996" t="s">
        <v>901</v>
      </c>
      <c r="I2" s="1992"/>
      <c r="J2" s="1992"/>
      <c r="K2" s="1992"/>
      <c r="L2" s="54" t="s">
        <v>902</v>
      </c>
    </row>
    <row r="3" spans="1:18" ht="19.5" customHeight="1" x14ac:dyDescent="0.45">
      <c r="A3" s="173">
        <f t="shared" ref="A3:A33" si="0">ROW()-2</f>
        <v>1</v>
      </c>
      <c r="B3" s="1432" t="s">
        <v>799</v>
      </c>
      <c r="C3" s="1432"/>
      <c r="D3" s="1432"/>
      <c r="E3" s="1432" t="s">
        <v>903</v>
      </c>
      <c r="F3" s="1432"/>
      <c r="G3" s="1432"/>
      <c r="H3" s="1432" t="s">
        <v>904</v>
      </c>
      <c r="I3" s="501"/>
      <c r="J3" s="501"/>
      <c r="K3" s="501"/>
      <c r="L3" s="54" t="s">
        <v>905</v>
      </c>
      <c r="R3" s="54" t="s">
        <v>906</v>
      </c>
    </row>
    <row r="4" spans="1:18" ht="18" customHeight="1" x14ac:dyDescent="0.35">
      <c r="A4" s="173">
        <f t="shared" si="0"/>
        <v>2</v>
      </c>
      <c r="B4" s="1432" t="s">
        <v>795</v>
      </c>
      <c r="C4" s="1432"/>
      <c r="D4" s="1432"/>
      <c r="E4" s="1432" t="s">
        <v>907</v>
      </c>
      <c r="F4" s="1432"/>
      <c r="G4" s="1432"/>
      <c r="H4" s="167"/>
      <c r="I4" s="171"/>
      <c r="J4" s="171"/>
      <c r="K4" s="171"/>
      <c r="L4" s="54" t="s">
        <v>908</v>
      </c>
      <c r="R4" s="6" t="s">
        <v>909</v>
      </c>
    </row>
    <row r="5" spans="1:18" ht="18" customHeight="1" x14ac:dyDescent="0.35">
      <c r="A5" s="173">
        <f t="shared" si="0"/>
        <v>3</v>
      </c>
      <c r="B5" s="1432" t="s">
        <v>782</v>
      </c>
      <c r="C5" s="1432"/>
      <c r="D5" s="1432"/>
      <c r="E5" s="1432" t="s">
        <v>910</v>
      </c>
      <c r="F5" s="1432"/>
      <c r="G5" s="1432"/>
      <c r="H5" s="167"/>
      <c r="I5" s="171"/>
      <c r="J5" s="171"/>
      <c r="K5" s="171"/>
      <c r="L5" s="54" t="s">
        <v>911</v>
      </c>
      <c r="R5" s="6" t="s">
        <v>912</v>
      </c>
    </row>
    <row r="6" spans="1:18" ht="18" customHeight="1" x14ac:dyDescent="0.35">
      <c r="A6" s="173">
        <f t="shared" si="0"/>
        <v>4</v>
      </c>
      <c r="B6" s="1432" t="s">
        <v>781</v>
      </c>
      <c r="C6" s="1432"/>
      <c r="D6" s="1432"/>
      <c r="E6" s="1432" t="s">
        <v>913</v>
      </c>
      <c r="F6" s="1432"/>
      <c r="G6" s="1432"/>
      <c r="H6" s="167"/>
      <c r="I6" s="171"/>
      <c r="J6" s="171"/>
      <c r="K6" s="171"/>
      <c r="L6" s="54" t="s">
        <v>914</v>
      </c>
      <c r="R6" s="6" t="s">
        <v>915</v>
      </c>
    </row>
    <row r="7" spans="1:18" x14ac:dyDescent="0.35">
      <c r="A7" s="173">
        <f t="shared" si="0"/>
        <v>5</v>
      </c>
      <c r="B7" s="1432" t="s">
        <v>784</v>
      </c>
      <c r="C7" s="1432"/>
      <c r="D7" s="1432"/>
      <c r="E7" s="1432" t="s">
        <v>916</v>
      </c>
      <c r="F7" s="1432"/>
      <c r="G7" s="1432"/>
      <c r="H7" s="167"/>
      <c r="I7" s="171"/>
      <c r="J7" s="171"/>
      <c r="K7" s="171"/>
      <c r="L7" s="54" t="s">
        <v>917</v>
      </c>
    </row>
    <row r="8" spans="1:18" x14ac:dyDescent="0.35">
      <c r="A8" s="173">
        <f t="shared" si="0"/>
        <v>6</v>
      </c>
      <c r="B8" s="1432" t="s">
        <v>780</v>
      </c>
      <c r="C8" s="1432"/>
      <c r="D8" s="1432"/>
      <c r="E8" s="1432" t="s">
        <v>918</v>
      </c>
      <c r="F8" s="1432"/>
      <c r="G8" s="1432"/>
      <c r="H8" s="167"/>
      <c r="I8" s="171"/>
      <c r="J8" s="171"/>
      <c r="K8" s="171"/>
      <c r="L8" s="54" t="s">
        <v>919</v>
      </c>
    </row>
    <row r="9" spans="1:18" ht="18" customHeight="1" x14ac:dyDescent="0.35">
      <c r="A9" s="173">
        <f t="shared" si="0"/>
        <v>7</v>
      </c>
      <c r="B9" s="1432" t="s">
        <v>790</v>
      </c>
      <c r="C9" s="1432"/>
      <c r="D9" s="1432"/>
      <c r="E9" s="1432" t="s">
        <v>920</v>
      </c>
      <c r="F9" s="1432"/>
      <c r="G9" s="1432"/>
      <c r="H9" s="167"/>
      <c r="I9" s="171"/>
      <c r="J9" s="171"/>
      <c r="K9" s="171"/>
      <c r="L9" s="54" t="s">
        <v>921</v>
      </c>
      <c r="R9" s="6" t="s">
        <v>922</v>
      </c>
    </row>
    <row r="10" spans="1:18" ht="18" customHeight="1" x14ac:dyDescent="0.35">
      <c r="A10" s="173">
        <f t="shared" si="0"/>
        <v>8</v>
      </c>
      <c r="B10" s="503" t="s">
        <v>923</v>
      </c>
      <c r="C10" s="503"/>
      <c r="D10" s="503"/>
      <c r="E10" s="503" t="s">
        <v>924</v>
      </c>
      <c r="F10" s="503"/>
      <c r="G10" s="503"/>
      <c r="H10" s="167"/>
      <c r="I10" s="171"/>
      <c r="J10" s="171"/>
      <c r="K10" s="171"/>
      <c r="L10" s="54" t="s">
        <v>925</v>
      </c>
      <c r="R10" s="6" t="s">
        <v>926</v>
      </c>
    </row>
    <row r="11" spans="1:18" x14ac:dyDescent="0.35">
      <c r="A11" s="173">
        <f t="shared" si="0"/>
        <v>9</v>
      </c>
      <c r="B11" s="503" t="s">
        <v>927</v>
      </c>
      <c r="C11" s="503"/>
      <c r="D11" s="503"/>
      <c r="E11" s="503" t="s">
        <v>928</v>
      </c>
      <c r="F11" s="503"/>
      <c r="G11" s="503"/>
      <c r="H11" s="167"/>
      <c r="I11" s="171"/>
      <c r="J11" s="171"/>
      <c r="K11" s="171"/>
      <c r="L11" s="54" t="s">
        <v>929</v>
      </c>
    </row>
    <row r="12" spans="1:18" x14ac:dyDescent="0.35">
      <c r="A12" s="173">
        <f t="shared" si="0"/>
        <v>10</v>
      </c>
      <c r="B12" s="1432" t="s">
        <v>802</v>
      </c>
      <c r="C12" s="1432"/>
      <c r="D12" s="1432"/>
      <c r="E12" s="1432" t="s">
        <v>930</v>
      </c>
      <c r="F12" s="1432"/>
      <c r="G12" s="1432"/>
      <c r="H12" s="167"/>
      <c r="I12" s="171"/>
      <c r="J12" s="171"/>
      <c r="K12" s="171"/>
      <c r="L12" s="54" t="s">
        <v>931</v>
      </c>
    </row>
    <row r="13" spans="1:18" ht="18" thickBot="1" x14ac:dyDescent="0.4">
      <c r="A13" s="174">
        <f t="shared" si="0"/>
        <v>11</v>
      </c>
      <c r="B13" s="116" t="s">
        <v>803</v>
      </c>
      <c r="C13" s="116"/>
      <c r="D13" s="116"/>
      <c r="E13" s="116" t="s">
        <v>932</v>
      </c>
      <c r="F13" s="116"/>
      <c r="G13" s="116"/>
      <c r="H13" s="168"/>
      <c r="I13" s="504"/>
      <c r="J13" s="505"/>
      <c r="K13" s="505"/>
    </row>
    <row r="14" spans="1:18" ht="18" thickTop="1" x14ac:dyDescent="0.45">
      <c r="A14" s="175">
        <f t="shared" si="0"/>
        <v>12</v>
      </c>
      <c r="B14" s="115" t="s">
        <v>1207</v>
      </c>
      <c r="C14" s="115"/>
      <c r="D14" s="115"/>
      <c r="E14" s="115" t="s">
        <v>1210</v>
      </c>
      <c r="F14" s="115"/>
      <c r="G14" s="115"/>
      <c r="H14" s="506" t="s">
        <v>1209</v>
      </c>
      <c r="I14" s="507"/>
      <c r="J14" s="507"/>
      <c r="K14" s="507"/>
    </row>
    <row r="15" spans="1:18" x14ac:dyDescent="0.45">
      <c r="A15" s="176">
        <f t="shared" si="0"/>
        <v>13</v>
      </c>
      <c r="B15" s="45" t="s">
        <v>806</v>
      </c>
      <c r="C15" s="165"/>
      <c r="D15" s="165"/>
      <c r="E15" s="45" t="s">
        <v>1341</v>
      </c>
      <c r="F15" s="165"/>
      <c r="G15" s="165"/>
      <c r="H15" s="165" t="s">
        <v>957</v>
      </c>
      <c r="I15" s="508"/>
      <c r="J15" s="508"/>
      <c r="K15" s="508"/>
      <c r="L15" s="54" t="s">
        <v>937</v>
      </c>
    </row>
    <row r="16" spans="1:18" x14ac:dyDescent="0.45">
      <c r="A16" s="176">
        <f t="shared" si="0"/>
        <v>14</v>
      </c>
      <c r="B16" s="58" t="s">
        <v>796</v>
      </c>
      <c r="C16" s="115"/>
      <c r="D16" s="115"/>
      <c r="E16" s="58" t="s">
        <v>955</v>
      </c>
      <c r="F16" s="49"/>
      <c r="G16" s="49"/>
      <c r="H16" s="165" t="s">
        <v>956</v>
      </c>
      <c r="I16" s="508"/>
      <c r="J16" s="508"/>
      <c r="K16" s="508"/>
      <c r="L16" s="54" t="s">
        <v>940</v>
      </c>
    </row>
    <row r="17" spans="1:28" x14ac:dyDescent="0.45">
      <c r="A17" s="173">
        <f t="shared" si="0"/>
        <v>15</v>
      </c>
      <c r="B17" s="45" t="s">
        <v>788</v>
      </c>
      <c r="C17" s="165"/>
      <c r="D17" s="165"/>
      <c r="E17" s="45" t="s">
        <v>933</v>
      </c>
      <c r="F17" s="46"/>
      <c r="G17" s="46"/>
      <c r="H17" s="165" t="s">
        <v>934</v>
      </c>
      <c r="I17" s="508"/>
      <c r="J17" s="508"/>
      <c r="K17" s="508"/>
      <c r="L17" s="54" t="s">
        <v>943</v>
      </c>
      <c r="AB17" s="53"/>
    </row>
    <row r="18" spans="1:28" x14ac:dyDescent="0.45">
      <c r="A18" s="176">
        <f t="shared" si="0"/>
        <v>16</v>
      </c>
      <c r="B18" s="45" t="s">
        <v>958</v>
      </c>
      <c r="C18" s="165"/>
      <c r="D18" s="165"/>
      <c r="E18" s="45" t="s">
        <v>959</v>
      </c>
      <c r="F18" s="165"/>
      <c r="G18" s="165"/>
      <c r="H18" s="165" t="s">
        <v>960</v>
      </c>
      <c r="I18" s="508"/>
      <c r="J18" s="508"/>
      <c r="K18" s="508"/>
      <c r="L18" s="54" t="s">
        <v>946</v>
      </c>
      <c r="AB18" s="53"/>
    </row>
    <row r="19" spans="1:28" ht="18.75" customHeight="1" x14ac:dyDescent="0.45">
      <c r="A19" s="173">
        <f t="shared" si="0"/>
        <v>17</v>
      </c>
      <c r="B19" s="45" t="s">
        <v>801</v>
      </c>
      <c r="C19" s="165"/>
      <c r="D19" s="165"/>
      <c r="E19" s="45" t="s">
        <v>935</v>
      </c>
      <c r="F19" s="46"/>
      <c r="G19" s="46"/>
      <c r="H19" s="165" t="s">
        <v>936</v>
      </c>
      <c r="I19" s="508"/>
      <c r="J19" s="508"/>
      <c r="K19" s="508"/>
      <c r="L19" s="54" t="s">
        <v>1583</v>
      </c>
      <c r="AB19" s="53"/>
    </row>
    <row r="20" spans="1:28" x14ac:dyDescent="0.45">
      <c r="A20" s="173">
        <f t="shared" si="0"/>
        <v>18</v>
      </c>
      <c r="B20" s="45" t="s">
        <v>792</v>
      </c>
      <c r="C20" s="165"/>
      <c r="D20" s="165"/>
      <c r="E20" s="45" t="s">
        <v>938</v>
      </c>
      <c r="F20" s="46"/>
      <c r="G20" s="46"/>
      <c r="H20" s="165" t="s">
        <v>939</v>
      </c>
      <c r="I20" s="508"/>
      <c r="J20" s="508"/>
      <c r="K20" s="508"/>
      <c r="L20" s="161" t="s">
        <v>950</v>
      </c>
      <c r="M20" s="162"/>
    </row>
    <row r="21" spans="1:28" ht="18.75" customHeight="1" x14ac:dyDescent="0.45">
      <c r="A21" s="173">
        <f t="shared" si="0"/>
        <v>19</v>
      </c>
      <c r="B21" s="47" t="s">
        <v>1636</v>
      </c>
      <c r="C21" s="47"/>
      <c r="D21" s="47"/>
      <c r="E21" s="47" t="s">
        <v>944</v>
      </c>
      <c r="F21" s="170"/>
      <c r="G21" s="170"/>
      <c r="H21" s="1983" t="s">
        <v>945</v>
      </c>
      <c r="I21" s="1984"/>
      <c r="J21" s="1429"/>
      <c r="K21" s="1429"/>
      <c r="L21" s="161" t="s">
        <v>953</v>
      </c>
      <c r="M21" s="162"/>
    </row>
    <row r="22" spans="1:28" x14ac:dyDescent="0.35">
      <c r="A22" s="173">
        <f t="shared" si="0"/>
        <v>20</v>
      </c>
      <c r="B22" s="57" t="s">
        <v>783</v>
      </c>
      <c r="C22" s="57"/>
      <c r="D22" s="57"/>
      <c r="E22" s="57" t="s">
        <v>947</v>
      </c>
      <c r="F22" s="115"/>
      <c r="G22" s="115"/>
      <c r="H22" s="1985"/>
      <c r="I22" s="1986"/>
      <c r="J22" s="509"/>
      <c r="K22" s="509"/>
    </row>
    <row r="23" spans="1:28" x14ac:dyDescent="0.45">
      <c r="A23" s="173">
        <f t="shared" si="0"/>
        <v>21</v>
      </c>
      <c r="B23" s="45" t="s">
        <v>787</v>
      </c>
      <c r="C23" s="165"/>
      <c r="D23" s="165"/>
      <c r="E23" s="45" t="s">
        <v>948</v>
      </c>
      <c r="F23" s="46"/>
      <c r="G23" s="46"/>
      <c r="H23" s="165" t="s">
        <v>949</v>
      </c>
      <c r="I23" s="508"/>
      <c r="J23" s="508"/>
      <c r="K23" s="508"/>
    </row>
    <row r="24" spans="1:28" x14ac:dyDescent="0.45">
      <c r="A24" s="176">
        <f t="shared" si="0"/>
        <v>22</v>
      </c>
      <c r="B24" s="306" t="s">
        <v>2658</v>
      </c>
      <c r="C24" s="307"/>
      <c r="D24" s="307"/>
      <c r="E24" s="306" t="s">
        <v>2659</v>
      </c>
      <c r="F24" s="307"/>
      <c r="G24" s="307"/>
      <c r="H24" s="307" t="s">
        <v>2660</v>
      </c>
      <c r="I24" s="510"/>
      <c r="J24" s="510"/>
      <c r="K24" s="510"/>
      <c r="L24" s="7"/>
      <c r="M24" s="54"/>
    </row>
    <row r="25" spans="1:28" x14ac:dyDescent="0.45">
      <c r="A25" s="173">
        <f t="shared" si="0"/>
        <v>23</v>
      </c>
      <c r="B25" s="307" t="s">
        <v>3073</v>
      </c>
      <c r="C25" s="307"/>
      <c r="D25" s="307"/>
      <c r="E25" s="307" t="s">
        <v>3075</v>
      </c>
      <c r="F25" s="307"/>
      <c r="G25" s="307"/>
      <c r="H25" s="511" t="s">
        <v>3074</v>
      </c>
      <c r="I25" s="510"/>
      <c r="J25" s="510"/>
      <c r="K25" s="510"/>
      <c r="L25" s="7"/>
      <c r="M25" s="54"/>
    </row>
    <row r="26" spans="1:28" x14ac:dyDescent="0.45">
      <c r="A26" s="176">
        <f t="shared" si="0"/>
        <v>24</v>
      </c>
      <c r="B26" s="45" t="s">
        <v>1337</v>
      </c>
      <c r="C26" s="165"/>
      <c r="D26" s="165"/>
      <c r="E26" s="45" t="s">
        <v>1339</v>
      </c>
      <c r="F26" s="165"/>
      <c r="G26" s="165"/>
      <c r="H26" s="1983" t="s">
        <v>1338</v>
      </c>
      <c r="I26" s="1984"/>
      <c r="J26" s="1429"/>
      <c r="K26" s="1429"/>
    </row>
    <row r="27" spans="1:28" x14ac:dyDescent="0.35">
      <c r="A27" s="173">
        <f t="shared" si="0"/>
        <v>25</v>
      </c>
      <c r="B27" s="115" t="s">
        <v>1978</v>
      </c>
      <c r="C27" s="115"/>
      <c r="D27" s="115"/>
      <c r="E27" s="115" t="s">
        <v>1979</v>
      </c>
      <c r="F27" s="49"/>
      <c r="G27" s="49"/>
      <c r="H27" s="1985"/>
      <c r="I27" s="1986"/>
      <c r="J27" s="509"/>
      <c r="K27" s="509"/>
    </row>
    <row r="28" spans="1:28" x14ac:dyDescent="0.45">
      <c r="A28" s="176">
        <f t="shared" si="0"/>
        <v>26</v>
      </c>
      <c r="B28" s="45" t="s">
        <v>1305</v>
      </c>
      <c r="C28" s="165"/>
      <c r="D28" s="165"/>
      <c r="E28" s="45" t="s">
        <v>1306</v>
      </c>
      <c r="F28" s="165"/>
      <c r="G28" s="165"/>
      <c r="H28" s="165" t="s">
        <v>1306</v>
      </c>
      <c r="I28" s="508"/>
      <c r="J28" s="508"/>
      <c r="K28" s="508"/>
    </row>
    <row r="29" spans="1:28" x14ac:dyDescent="0.45">
      <c r="A29" s="173">
        <f t="shared" si="0"/>
        <v>27</v>
      </c>
      <c r="B29" s="48" t="s">
        <v>797</v>
      </c>
      <c r="C29" s="48"/>
      <c r="D29" s="48"/>
      <c r="E29" s="48" t="s">
        <v>954</v>
      </c>
      <c r="F29" s="114"/>
      <c r="G29" s="114"/>
      <c r="H29" s="1983" t="s">
        <v>952</v>
      </c>
      <c r="I29" s="1984"/>
      <c r="J29" s="1984"/>
      <c r="K29" s="1984"/>
    </row>
    <row r="30" spans="1:28" x14ac:dyDescent="0.45">
      <c r="A30" s="176">
        <f t="shared" si="0"/>
        <v>28</v>
      </c>
      <c r="B30" s="57" t="s">
        <v>785</v>
      </c>
      <c r="C30" s="57"/>
      <c r="D30" s="57"/>
      <c r="E30" s="57" t="s">
        <v>951</v>
      </c>
      <c r="F30" s="115"/>
      <c r="G30" s="115"/>
      <c r="H30" s="1985"/>
      <c r="I30" s="1986"/>
      <c r="J30" s="1986"/>
      <c r="K30" s="1986"/>
    </row>
    <row r="31" spans="1:28" ht="18.75" customHeight="1" x14ac:dyDescent="0.45">
      <c r="A31" s="173">
        <f t="shared" si="0"/>
        <v>29</v>
      </c>
      <c r="B31" s="306" t="s">
        <v>794</v>
      </c>
      <c r="C31" s="307"/>
      <c r="D31" s="307"/>
      <c r="E31" s="306" t="s">
        <v>941</v>
      </c>
      <c r="F31" s="502"/>
      <c r="G31" s="502"/>
      <c r="H31" s="1987" t="s">
        <v>942</v>
      </c>
      <c r="I31" s="1988"/>
      <c r="J31" s="1988"/>
      <c r="K31" s="1988"/>
      <c r="O31" s="164"/>
    </row>
    <row r="32" spans="1:28" ht="18.75" customHeight="1" x14ac:dyDescent="0.45">
      <c r="A32" s="173">
        <f t="shared" si="0"/>
        <v>30</v>
      </c>
      <c r="B32" s="307" t="s">
        <v>3775</v>
      </c>
      <c r="C32" s="307"/>
      <c r="D32" s="307"/>
      <c r="E32" s="307" t="s">
        <v>3776</v>
      </c>
      <c r="F32" s="502"/>
      <c r="G32" s="502"/>
      <c r="H32" s="1989"/>
      <c r="I32" s="1990"/>
      <c r="J32" s="1990"/>
      <c r="K32" s="1990"/>
      <c r="O32" s="164"/>
    </row>
    <row r="33" spans="1:22" ht="19.5" customHeight="1" x14ac:dyDescent="0.45">
      <c r="A33" s="173">
        <f t="shared" si="0"/>
        <v>31</v>
      </c>
      <c r="B33" s="306" t="s">
        <v>961</v>
      </c>
      <c r="C33" s="307"/>
      <c r="D33" s="307"/>
      <c r="E33" s="306" t="s">
        <v>3082</v>
      </c>
      <c r="F33" s="307"/>
      <c r="G33" s="307"/>
      <c r="H33" s="307" t="s">
        <v>3081</v>
      </c>
      <c r="I33" s="510"/>
      <c r="J33" s="510"/>
      <c r="K33" s="510"/>
      <c r="L33" s="7"/>
      <c r="M33" s="54"/>
    </row>
    <row r="34" spans="1:22" ht="18" thickBot="1" x14ac:dyDescent="0.5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70"/>
    </row>
    <row r="35" spans="1:22" ht="18" thickBot="1" x14ac:dyDescent="0.5">
      <c r="B35" s="1978" t="s">
        <v>1639</v>
      </c>
      <c r="C35" s="1979"/>
      <c r="D35" s="1979" t="s">
        <v>1657</v>
      </c>
      <c r="E35" s="1979"/>
      <c r="F35" s="1980" t="s">
        <v>1660</v>
      </c>
      <c r="G35" s="1979"/>
      <c r="H35" s="1979" t="s">
        <v>1656</v>
      </c>
      <c r="I35" s="1979"/>
      <c r="J35" s="1980" t="s">
        <v>1641</v>
      </c>
      <c r="K35" s="1980"/>
      <c r="L35" s="1974" t="s">
        <v>1645</v>
      </c>
      <c r="M35" s="1975"/>
      <c r="N35" s="1976"/>
      <c r="O35" s="1977"/>
    </row>
    <row r="36" spans="1:22" ht="18.600000000000001" customHeight="1" thickBot="1" x14ac:dyDescent="0.5">
      <c r="B36" s="1978" t="s">
        <v>1639</v>
      </c>
      <c r="C36" s="1979"/>
      <c r="D36" s="1979" t="s">
        <v>1657</v>
      </c>
      <c r="E36" s="1979"/>
      <c r="F36" s="1979" t="s">
        <v>1658</v>
      </c>
      <c r="G36" s="1979"/>
      <c r="H36" s="1979" t="s">
        <v>1656</v>
      </c>
      <c r="I36" s="1979"/>
      <c r="J36" s="1980" t="s">
        <v>1659</v>
      </c>
      <c r="K36" s="1980"/>
      <c r="L36" s="1974" t="s">
        <v>1645</v>
      </c>
      <c r="M36" s="1975"/>
      <c r="N36" s="1976"/>
      <c r="O36" s="1977"/>
    </row>
    <row r="37" spans="1:22" ht="18.600000000000001" customHeight="1" thickBot="1" x14ac:dyDescent="0.5">
      <c r="B37" s="1978" t="s">
        <v>1639</v>
      </c>
      <c r="C37" s="1979"/>
      <c r="D37" s="1979" t="s">
        <v>1657</v>
      </c>
      <c r="E37" s="1979"/>
      <c r="F37" s="1979" t="s">
        <v>1640</v>
      </c>
      <c r="G37" s="1979"/>
      <c r="H37" s="1979" t="s">
        <v>1656</v>
      </c>
      <c r="I37" s="1979"/>
      <c r="J37" s="1980" t="s">
        <v>1641</v>
      </c>
      <c r="K37" s="1980"/>
      <c r="L37" s="1974" t="s">
        <v>1642</v>
      </c>
      <c r="M37" s="1975"/>
      <c r="N37" s="1976"/>
      <c r="O37" s="1977"/>
      <c r="P37" s="55"/>
      <c r="Q37" s="70"/>
    </row>
    <row r="38" spans="1:22" ht="18" thickBot="1" x14ac:dyDescent="0.5">
      <c r="B38" s="1978" t="s">
        <v>1643</v>
      </c>
      <c r="C38" s="1979"/>
      <c r="D38" s="1979" t="s">
        <v>1656</v>
      </c>
      <c r="E38" s="1979"/>
      <c r="F38" s="1979" t="s">
        <v>1644</v>
      </c>
      <c r="G38" s="1979"/>
      <c r="H38" s="1979" t="s">
        <v>1656</v>
      </c>
      <c r="I38" s="1979"/>
      <c r="J38" s="1980" t="s">
        <v>1645</v>
      </c>
      <c r="K38" s="1980"/>
      <c r="L38" s="1974" t="s">
        <v>1642</v>
      </c>
      <c r="M38" s="1975"/>
      <c r="N38" s="1981" t="s">
        <v>1646</v>
      </c>
      <c r="O38" s="1982"/>
      <c r="P38" s="55"/>
      <c r="Q38" s="70"/>
      <c r="R38" s="7"/>
    </row>
    <row r="39" spans="1:22" x14ac:dyDescent="0.45">
      <c r="B39" s="181"/>
      <c r="C39" s="178"/>
      <c r="D39" s="181"/>
      <c r="E39" s="178"/>
      <c r="F39" s="181"/>
      <c r="G39" s="178"/>
      <c r="H39" s="182"/>
      <c r="I39" s="178"/>
      <c r="J39" s="181"/>
      <c r="K39" s="178"/>
      <c r="L39" s="181"/>
      <c r="M39" s="178"/>
      <c r="N39" s="179"/>
      <c r="O39" s="186" t="s">
        <v>1647</v>
      </c>
      <c r="P39" s="187"/>
      <c r="Q39" s="188"/>
      <c r="R39" s="1431"/>
      <c r="S39" s="1431"/>
      <c r="T39" s="1431"/>
      <c r="U39" s="1431"/>
      <c r="V39" s="1431"/>
    </row>
    <row r="40" spans="1:22" x14ac:dyDescent="0.45">
      <c r="B40" s="181"/>
      <c r="C40" s="178"/>
      <c r="D40" s="181"/>
      <c r="E40" s="178"/>
      <c r="F40" s="181"/>
      <c r="G40" s="178"/>
      <c r="H40" s="182"/>
      <c r="I40" s="178"/>
      <c r="J40" s="181"/>
      <c r="K40" s="178"/>
      <c r="L40" s="181"/>
      <c r="M40" s="186" t="s">
        <v>1648</v>
      </c>
      <c r="N40" s="1431"/>
      <c r="O40" s="187"/>
      <c r="P40" s="178"/>
      <c r="Q40" s="180"/>
    </row>
    <row r="41" spans="1:22" x14ac:dyDescent="0.45">
      <c r="B41" s="181"/>
      <c r="C41" s="178"/>
      <c r="D41" s="181"/>
      <c r="E41" s="178"/>
      <c r="F41" s="181"/>
      <c r="G41" s="178"/>
      <c r="H41" s="182"/>
      <c r="I41" s="178"/>
      <c r="J41" s="181"/>
      <c r="K41" s="186" t="s">
        <v>1649</v>
      </c>
      <c r="L41" s="187"/>
      <c r="M41" s="178"/>
      <c r="O41" s="178"/>
      <c r="P41" s="178"/>
      <c r="Q41" s="180"/>
    </row>
    <row r="42" spans="1:22" x14ac:dyDescent="0.45">
      <c r="B42" s="181"/>
      <c r="C42" s="178"/>
      <c r="D42" s="181"/>
      <c r="E42" s="178"/>
      <c r="F42" s="181"/>
      <c r="G42" s="178"/>
      <c r="H42" s="182"/>
      <c r="I42" s="186" t="s">
        <v>1650</v>
      </c>
      <c r="J42" s="187"/>
      <c r="K42" s="178"/>
      <c r="L42" s="178"/>
      <c r="M42" s="178"/>
      <c r="O42" s="178"/>
      <c r="P42" s="178"/>
      <c r="Q42" s="180"/>
    </row>
    <row r="43" spans="1:22" x14ac:dyDescent="0.45">
      <c r="B43" s="181"/>
      <c r="C43" s="178"/>
      <c r="D43" s="181"/>
      <c r="E43" s="178"/>
      <c r="F43" s="181"/>
      <c r="G43" s="186" t="s">
        <v>1652</v>
      </c>
      <c r="H43" s="189"/>
      <c r="I43" s="1431"/>
      <c r="J43" s="178"/>
      <c r="K43" s="178"/>
      <c r="L43" s="178"/>
      <c r="M43" s="178"/>
      <c r="O43" s="178"/>
      <c r="P43" s="178"/>
      <c r="Q43" s="180"/>
    </row>
    <row r="44" spans="1:22" x14ac:dyDescent="0.45">
      <c r="B44" s="181"/>
      <c r="C44" s="178"/>
      <c r="D44" s="181"/>
      <c r="E44" s="186" t="s">
        <v>1650</v>
      </c>
      <c r="F44" s="187"/>
      <c r="G44" s="178"/>
      <c r="H44" s="178"/>
      <c r="K44" s="178"/>
      <c r="M44" s="178"/>
      <c r="N44" s="178"/>
      <c r="O44" s="180"/>
    </row>
    <row r="45" spans="1:22" x14ac:dyDescent="0.45">
      <c r="B45" s="181"/>
      <c r="C45" s="1430" t="s">
        <v>1651</v>
      </c>
      <c r="D45" s="189"/>
      <c r="E45" s="189"/>
    </row>
  </sheetData>
  <mergeCells count="36">
    <mergeCell ref="A1:K1"/>
    <mergeCell ref="E2:G2"/>
    <mergeCell ref="B2:D2"/>
    <mergeCell ref="H2:K2"/>
    <mergeCell ref="H21:I22"/>
    <mergeCell ref="H29:K30"/>
    <mergeCell ref="H26:I27"/>
    <mergeCell ref="B37:C37"/>
    <mergeCell ref="B38:C38"/>
    <mergeCell ref="D37:E37"/>
    <mergeCell ref="D38:E38"/>
    <mergeCell ref="F37:G37"/>
    <mergeCell ref="F38:G38"/>
    <mergeCell ref="H37:I37"/>
    <mergeCell ref="H38:I38"/>
    <mergeCell ref="H31:K32"/>
    <mergeCell ref="L37:M37"/>
    <mergeCell ref="L38:M38"/>
    <mergeCell ref="N38:O38"/>
    <mergeCell ref="N37:O37"/>
    <mergeCell ref="J37:K37"/>
    <mergeCell ref="J38:K38"/>
    <mergeCell ref="L36:M36"/>
    <mergeCell ref="N36:O36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</mergeCells>
  <phoneticPr fontId="2"/>
  <pageMargins left="0.7" right="0.7" top="0.75" bottom="0.75" header="0.3" footer="0.3"/>
  <pageSetup paperSize="0" orientation="portrait" horizontalDpi="0" verticalDpi="0" copies="0"/>
  <ignoredErrors>
    <ignoredError sqref="J37:L38 J36:M36 F35:M35" numberStoredAsText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N25" sqref="N25"/>
    </sheetView>
  </sheetViews>
  <sheetFormatPr defaultColWidth="9" defaultRowHeight="17.399999999999999" x14ac:dyDescent="0.45"/>
  <cols>
    <col min="1" max="1" width="5.09765625" style="7" bestFit="1" customWidth="1"/>
    <col min="2" max="2" width="13.3984375" style="7" bestFit="1" customWidth="1"/>
    <col min="3" max="3" width="14.69921875" style="7" bestFit="1" customWidth="1"/>
    <col min="4" max="4" width="10.8984375" style="7" bestFit="1" customWidth="1"/>
    <col min="5" max="5" width="13.3984375" style="7" bestFit="1" customWidth="1"/>
    <col min="6" max="9" width="6.19921875" style="7" bestFit="1" customWidth="1"/>
    <col min="10" max="11" width="8.5" style="7" bestFit="1" customWidth="1"/>
    <col min="12" max="12" width="10.8984375" style="7" bestFit="1" customWidth="1"/>
    <col min="13" max="13" width="10.8984375" style="197" bestFit="1" customWidth="1"/>
    <col min="14" max="14" width="19.296875" style="253" bestFit="1" customWidth="1"/>
    <col min="15" max="15" width="11.8984375" style="197" bestFit="1" customWidth="1"/>
    <col min="16" max="16" width="14" style="197" bestFit="1" customWidth="1"/>
    <col min="17" max="17" width="8" style="197" bestFit="1" customWidth="1"/>
    <col min="18" max="18" width="8.8984375" style="197" bestFit="1" customWidth="1"/>
    <col min="19" max="19" width="6.69921875" style="197" bestFit="1" customWidth="1"/>
    <col min="20" max="20" width="9" style="54" customWidth="1"/>
    <col min="21" max="16384" width="9" style="54"/>
  </cols>
  <sheetData>
    <row r="1" spans="1:15" x14ac:dyDescent="0.4">
      <c r="A1" s="2000" t="s">
        <v>854</v>
      </c>
      <c r="B1" s="2000" t="s">
        <v>855</v>
      </c>
      <c r="C1" s="2000" t="s">
        <v>856</v>
      </c>
      <c r="D1" s="2000" t="s">
        <v>857</v>
      </c>
      <c r="E1" s="2025"/>
      <c r="F1" s="2001"/>
      <c r="G1" s="2000" t="s">
        <v>858</v>
      </c>
      <c r="H1" s="2000" t="s">
        <v>859</v>
      </c>
      <c r="I1" s="2001"/>
      <c r="J1" s="2013" t="s">
        <v>860</v>
      </c>
      <c r="K1" s="2013" t="s">
        <v>861</v>
      </c>
      <c r="L1" s="2017" t="s">
        <v>862</v>
      </c>
      <c r="M1" s="2017" t="s">
        <v>863</v>
      </c>
      <c r="N1" s="2022" t="s">
        <v>864</v>
      </c>
      <c r="O1" s="2017" t="s">
        <v>865</v>
      </c>
    </row>
    <row r="2" spans="1:15" x14ac:dyDescent="0.45">
      <c r="A2" s="2012"/>
      <c r="B2" s="2012"/>
      <c r="C2" s="2012"/>
      <c r="D2" s="198" t="s">
        <v>866</v>
      </c>
      <c r="E2" s="199" t="s">
        <v>867</v>
      </c>
      <c r="F2" s="200" t="s">
        <v>868</v>
      </c>
      <c r="G2" s="2012"/>
      <c r="H2" s="201" t="s">
        <v>869</v>
      </c>
      <c r="I2" s="201" t="s">
        <v>870</v>
      </c>
      <c r="J2" s="2012"/>
      <c r="K2" s="2012"/>
      <c r="L2" s="2012"/>
      <c r="M2" s="2012"/>
      <c r="N2" s="2012"/>
      <c r="O2" s="2012"/>
    </row>
    <row r="3" spans="1:15" x14ac:dyDescent="0.4">
      <c r="A3" s="202">
        <f t="shared" ref="A3:A30" si="0">ROW()-2</f>
        <v>1</v>
      </c>
      <c r="B3" s="203" t="s">
        <v>509</v>
      </c>
      <c r="C3" s="202" t="s">
        <v>871</v>
      </c>
      <c r="D3" s="2019" t="s">
        <v>872</v>
      </c>
      <c r="E3" s="2020"/>
      <c r="F3" s="2021"/>
      <c r="G3" s="202">
        <v>4</v>
      </c>
      <c r="H3" s="202"/>
      <c r="I3" s="202"/>
      <c r="J3" s="204">
        <v>19.5</v>
      </c>
      <c r="K3" s="204">
        <v>1.2</v>
      </c>
      <c r="L3" s="205">
        <v>23</v>
      </c>
      <c r="M3" s="206"/>
      <c r="N3" s="207">
        <v>0.2</v>
      </c>
      <c r="O3" s="207" t="s">
        <v>873</v>
      </c>
    </row>
    <row r="4" spans="1:15" x14ac:dyDescent="0.4">
      <c r="A4" s="208">
        <f t="shared" si="0"/>
        <v>2</v>
      </c>
      <c r="B4" s="209" t="s">
        <v>409</v>
      </c>
      <c r="C4" s="208" t="s">
        <v>874</v>
      </c>
      <c r="D4" s="2018" t="s">
        <v>872</v>
      </c>
      <c r="E4" s="2015"/>
      <c r="F4" s="2016"/>
      <c r="G4" s="208">
        <v>3</v>
      </c>
      <c r="H4" s="208">
        <v>1</v>
      </c>
      <c r="I4" s="208">
        <v>1</v>
      </c>
      <c r="J4" s="210">
        <v>20</v>
      </c>
      <c r="K4" s="210">
        <v>1.4</v>
      </c>
      <c r="L4" s="211">
        <v>30</v>
      </c>
      <c r="M4" s="212"/>
      <c r="N4" s="213">
        <v>0.3</v>
      </c>
      <c r="O4" s="213" t="s">
        <v>875</v>
      </c>
    </row>
    <row r="5" spans="1:15" x14ac:dyDescent="0.4">
      <c r="A5" s="208">
        <f t="shared" si="0"/>
        <v>3</v>
      </c>
      <c r="B5" s="209" t="s">
        <v>506</v>
      </c>
      <c r="C5" s="208" t="s">
        <v>871</v>
      </c>
      <c r="D5" s="2018" t="s">
        <v>872</v>
      </c>
      <c r="E5" s="2015"/>
      <c r="F5" s="2016"/>
      <c r="G5" s="208">
        <v>4</v>
      </c>
      <c r="H5" s="208"/>
      <c r="I5" s="208"/>
      <c r="J5" s="210">
        <v>24</v>
      </c>
      <c r="K5" s="210">
        <v>1.4</v>
      </c>
      <c r="L5" s="211">
        <v>42</v>
      </c>
      <c r="M5" s="212"/>
      <c r="N5" s="213">
        <v>0.3</v>
      </c>
      <c r="O5" s="213" t="s">
        <v>873</v>
      </c>
    </row>
    <row r="6" spans="1:15" x14ac:dyDescent="0.4">
      <c r="A6" s="208">
        <f t="shared" si="0"/>
        <v>4</v>
      </c>
      <c r="B6" s="209" t="s">
        <v>579</v>
      </c>
      <c r="C6" s="208" t="s">
        <v>876</v>
      </c>
      <c r="D6" s="2018" t="s">
        <v>872</v>
      </c>
      <c r="E6" s="2015"/>
      <c r="F6" s="2016"/>
      <c r="G6" s="208">
        <v>4</v>
      </c>
      <c r="H6" s="208">
        <v>1</v>
      </c>
      <c r="I6" s="208">
        <v>1</v>
      </c>
      <c r="J6" s="210">
        <v>19</v>
      </c>
      <c r="K6" s="210">
        <v>1.4</v>
      </c>
      <c r="L6" s="211">
        <v>30</v>
      </c>
      <c r="M6" s="212"/>
      <c r="N6" s="213">
        <v>0.35</v>
      </c>
      <c r="O6" s="213" t="s">
        <v>873</v>
      </c>
    </row>
    <row r="7" spans="1:15" x14ac:dyDescent="0.4">
      <c r="A7" s="214">
        <f t="shared" si="0"/>
        <v>5</v>
      </c>
      <c r="B7" s="166" t="s">
        <v>357</v>
      </c>
      <c r="C7" s="214" t="s">
        <v>877</v>
      </c>
      <c r="D7" s="2014" t="s">
        <v>872</v>
      </c>
      <c r="E7" s="2015"/>
      <c r="F7" s="2016"/>
      <c r="G7" s="214">
        <v>4</v>
      </c>
      <c r="H7" s="215" t="s">
        <v>878</v>
      </c>
      <c r="I7" s="214">
        <v>1</v>
      </c>
      <c r="J7" s="216">
        <v>20.8</v>
      </c>
      <c r="K7" s="216">
        <v>2</v>
      </c>
      <c r="L7" s="217">
        <v>58</v>
      </c>
      <c r="M7" s="218">
        <v>1200</v>
      </c>
      <c r="N7" s="219">
        <v>0.75</v>
      </c>
      <c r="O7" s="219" t="s">
        <v>875</v>
      </c>
    </row>
    <row r="8" spans="1:15" x14ac:dyDescent="0.4">
      <c r="A8" s="208">
        <f t="shared" si="0"/>
        <v>6</v>
      </c>
      <c r="B8" s="209" t="s">
        <v>562</v>
      </c>
      <c r="C8" s="208" t="s">
        <v>879</v>
      </c>
      <c r="D8" s="2018" t="s">
        <v>872</v>
      </c>
      <c r="E8" s="2015"/>
      <c r="F8" s="2016"/>
      <c r="G8" s="208">
        <v>3</v>
      </c>
      <c r="H8" s="208">
        <v>1</v>
      </c>
      <c r="I8" s="208">
        <v>1</v>
      </c>
      <c r="J8" s="210">
        <v>24</v>
      </c>
      <c r="K8" s="210">
        <v>2.2000000000000002</v>
      </c>
      <c r="L8" s="211">
        <v>78</v>
      </c>
      <c r="M8" s="212"/>
      <c r="N8" s="213">
        <v>1.5</v>
      </c>
      <c r="O8" s="213" t="s">
        <v>875</v>
      </c>
    </row>
    <row r="9" spans="1:15" ht="24" customHeight="1" x14ac:dyDescent="0.4">
      <c r="A9" s="220">
        <f t="shared" si="0"/>
        <v>7</v>
      </c>
      <c r="B9" s="221" t="s">
        <v>355</v>
      </c>
      <c r="C9" s="220" t="s">
        <v>877</v>
      </c>
      <c r="D9" s="2002" t="s">
        <v>987</v>
      </c>
      <c r="E9" s="2003"/>
      <c r="F9" s="2004"/>
      <c r="G9" s="220">
        <v>3</v>
      </c>
      <c r="H9" s="222">
        <v>1</v>
      </c>
      <c r="I9" s="220">
        <v>1</v>
      </c>
      <c r="J9" s="223">
        <v>29.286999999999999</v>
      </c>
      <c r="K9" s="223">
        <v>3.35</v>
      </c>
      <c r="L9" s="224">
        <v>103.2</v>
      </c>
      <c r="M9" s="225">
        <v>1200</v>
      </c>
      <c r="N9" s="226">
        <v>1.5</v>
      </c>
      <c r="O9" s="226" t="s">
        <v>873</v>
      </c>
    </row>
    <row r="10" spans="1:15" x14ac:dyDescent="0.4">
      <c r="A10" s="208">
        <f t="shared" si="0"/>
        <v>8</v>
      </c>
      <c r="B10" s="209" t="s">
        <v>695</v>
      </c>
      <c r="C10" s="208" t="s">
        <v>880</v>
      </c>
      <c r="D10" s="2018" t="s">
        <v>872</v>
      </c>
      <c r="E10" s="2015"/>
      <c r="F10" s="2016"/>
      <c r="G10" s="208">
        <v>4</v>
      </c>
      <c r="H10" s="208">
        <v>1</v>
      </c>
      <c r="I10" s="208">
        <v>1</v>
      </c>
      <c r="J10" s="210">
        <v>30</v>
      </c>
      <c r="K10" s="210">
        <v>2.65</v>
      </c>
      <c r="L10" s="211">
        <v>135</v>
      </c>
      <c r="M10" s="212"/>
      <c r="N10" s="213">
        <v>2</v>
      </c>
      <c r="O10" s="213" t="s">
        <v>873</v>
      </c>
    </row>
    <row r="11" spans="1:15" x14ac:dyDescent="0.4">
      <c r="A11" s="227">
        <f t="shared" si="0"/>
        <v>9</v>
      </c>
      <c r="B11" s="228" t="s">
        <v>766</v>
      </c>
      <c r="C11" s="227" t="s">
        <v>881</v>
      </c>
      <c r="D11" s="2009" t="s">
        <v>882</v>
      </c>
      <c r="E11" s="2010"/>
      <c r="F11" s="2011"/>
      <c r="G11" s="227">
        <v>3</v>
      </c>
      <c r="H11" s="227">
        <v>2</v>
      </c>
      <c r="I11" s="227">
        <v>1</v>
      </c>
      <c r="J11" s="229">
        <v>32.799999999999997</v>
      </c>
      <c r="K11" s="229">
        <v>3.35</v>
      </c>
      <c r="L11" s="230">
        <v>153</v>
      </c>
      <c r="M11" s="231">
        <v>1893</v>
      </c>
      <c r="N11" s="232">
        <v>2</v>
      </c>
      <c r="O11" s="232" t="s">
        <v>875</v>
      </c>
    </row>
    <row r="12" spans="1:15" x14ac:dyDescent="0.4">
      <c r="A12" s="227">
        <f t="shared" si="0"/>
        <v>10</v>
      </c>
      <c r="B12" s="228" t="s">
        <v>732</v>
      </c>
      <c r="C12" s="227" t="s">
        <v>880</v>
      </c>
      <c r="D12" s="2006" t="s">
        <v>872</v>
      </c>
      <c r="E12" s="2007"/>
      <c r="F12" s="2008"/>
      <c r="G12" s="227">
        <v>4</v>
      </c>
      <c r="H12" s="227">
        <v>1</v>
      </c>
      <c r="I12" s="227">
        <v>2</v>
      </c>
      <c r="J12" s="229">
        <v>31</v>
      </c>
      <c r="K12" s="229">
        <v>2.65</v>
      </c>
      <c r="L12" s="230">
        <v>140</v>
      </c>
      <c r="M12" s="231"/>
      <c r="N12" s="232">
        <v>2.4</v>
      </c>
      <c r="O12" s="232" t="s">
        <v>875</v>
      </c>
    </row>
    <row r="13" spans="1:15" x14ac:dyDescent="0.4">
      <c r="A13" s="233">
        <f t="shared" si="0"/>
        <v>11</v>
      </c>
      <c r="B13" s="234" t="s">
        <v>41</v>
      </c>
      <c r="C13" s="233" t="s">
        <v>883</v>
      </c>
      <c r="D13" s="2005" t="s">
        <v>884</v>
      </c>
      <c r="E13" s="2003"/>
      <c r="F13" s="2004"/>
      <c r="G13" s="233">
        <v>2</v>
      </c>
      <c r="H13" s="235">
        <v>1</v>
      </c>
      <c r="I13" s="235">
        <v>0</v>
      </c>
      <c r="J13" s="236">
        <v>43.72</v>
      </c>
      <c r="K13" s="236">
        <v>3.35</v>
      </c>
      <c r="L13" s="237">
        <v>245</v>
      </c>
      <c r="M13" s="238">
        <v>2962</v>
      </c>
      <c r="N13" s="239">
        <v>4</v>
      </c>
      <c r="O13" s="239" t="s">
        <v>875</v>
      </c>
    </row>
    <row r="14" spans="1:15" x14ac:dyDescent="0.4">
      <c r="A14" s="233">
        <f t="shared" si="0"/>
        <v>12</v>
      </c>
      <c r="B14" s="234" t="s">
        <v>83</v>
      </c>
      <c r="C14" s="233" t="s">
        <v>885</v>
      </c>
      <c r="D14" s="2005" t="s">
        <v>884</v>
      </c>
      <c r="E14" s="2003"/>
      <c r="F14" s="2004"/>
      <c r="G14" s="233">
        <v>2</v>
      </c>
      <c r="H14" s="235">
        <v>1</v>
      </c>
      <c r="I14" s="233">
        <v>0</v>
      </c>
      <c r="J14" s="236">
        <v>41.055999999999997</v>
      </c>
      <c r="K14" s="236">
        <v>3.35</v>
      </c>
      <c r="L14" s="237">
        <v>250</v>
      </c>
      <c r="M14" s="238">
        <v>2962</v>
      </c>
      <c r="N14" s="239">
        <v>4</v>
      </c>
      <c r="O14" s="239" t="s">
        <v>875</v>
      </c>
    </row>
    <row r="15" spans="1:15" x14ac:dyDescent="0.4">
      <c r="A15" s="214">
        <f t="shared" si="0"/>
        <v>13</v>
      </c>
      <c r="B15" s="166" t="s">
        <v>132</v>
      </c>
      <c r="C15" s="214" t="s">
        <v>886</v>
      </c>
      <c r="D15" s="2005" t="s">
        <v>884</v>
      </c>
      <c r="E15" s="2003"/>
      <c r="F15" s="2004"/>
      <c r="G15" s="214">
        <v>3</v>
      </c>
      <c r="H15" s="215">
        <v>1</v>
      </c>
      <c r="I15" s="215">
        <v>1</v>
      </c>
      <c r="J15" s="216">
        <v>47.976999999999997</v>
      </c>
      <c r="K15" s="216">
        <v>3.35</v>
      </c>
      <c r="L15" s="217">
        <v>249</v>
      </c>
      <c r="M15" s="218">
        <v>2962</v>
      </c>
      <c r="N15" s="219">
        <v>4.2</v>
      </c>
      <c r="O15" s="219" t="s">
        <v>873</v>
      </c>
    </row>
    <row r="16" spans="1:15" x14ac:dyDescent="0.4">
      <c r="A16" s="214">
        <f t="shared" si="0"/>
        <v>14</v>
      </c>
      <c r="B16" s="166" t="s">
        <v>182</v>
      </c>
      <c r="C16" s="214" t="s">
        <v>887</v>
      </c>
      <c r="D16" s="2005" t="s">
        <v>884</v>
      </c>
      <c r="E16" s="2003"/>
      <c r="F16" s="2004"/>
      <c r="G16" s="214">
        <v>3</v>
      </c>
      <c r="H16" s="215">
        <v>1</v>
      </c>
      <c r="I16" s="214">
        <v>1</v>
      </c>
      <c r="J16" s="216">
        <v>47.976999999999997</v>
      </c>
      <c r="K16" s="216">
        <v>3.35</v>
      </c>
      <c r="L16" s="217">
        <v>249</v>
      </c>
      <c r="M16" s="218">
        <v>2962</v>
      </c>
      <c r="N16" s="219">
        <v>4.2</v>
      </c>
      <c r="O16" s="219" t="s">
        <v>873</v>
      </c>
    </row>
    <row r="17" spans="1:15" x14ac:dyDescent="0.4">
      <c r="A17" s="227">
        <f t="shared" si="0"/>
        <v>15</v>
      </c>
      <c r="B17" s="228" t="s">
        <v>1035</v>
      </c>
      <c r="C17" s="227" t="s">
        <v>1458</v>
      </c>
      <c r="D17" s="2006" t="s">
        <v>872</v>
      </c>
      <c r="E17" s="2007"/>
      <c r="F17" s="2008"/>
      <c r="G17" s="227">
        <v>3.5</v>
      </c>
      <c r="H17" s="227">
        <v>1</v>
      </c>
      <c r="I17" s="227">
        <v>2</v>
      </c>
      <c r="J17" s="229">
        <v>31</v>
      </c>
      <c r="K17" s="229">
        <v>2.65</v>
      </c>
      <c r="L17" s="230">
        <v>140</v>
      </c>
      <c r="M17" s="231"/>
      <c r="N17" s="232">
        <v>4.2</v>
      </c>
      <c r="O17" s="232" t="s">
        <v>875</v>
      </c>
    </row>
    <row r="18" spans="1:15" ht="24" customHeight="1" x14ac:dyDescent="0.4">
      <c r="A18" s="220">
        <f t="shared" si="0"/>
        <v>16</v>
      </c>
      <c r="B18" s="221" t="s">
        <v>1201</v>
      </c>
      <c r="C18" s="220" t="s">
        <v>980</v>
      </c>
      <c r="D18" s="2002" t="s">
        <v>889</v>
      </c>
      <c r="E18" s="2003"/>
      <c r="F18" s="2004"/>
      <c r="G18" s="220">
        <v>2</v>
      </c>
      <c r="H18" s="222">
        <v>1</v>
      </c>
      <c r="I18" s="220">
        <v>1</v>
      </c>
      <c r="J18" s="223">
        <v>43</v>
      </c>
      <c r="K18" s="223">
        <v>3.35</v>
      </c>
      <c r="L18" s="224">
        <v>217</v>
      </c>
      <c r="M18" s="225">
        <v>2354</v>
      </c>
      <c r="N18" s="226">
        <v>4.5</v>
      </c>
      <c r="O18" s="226" t="s">
        <v>1317</v>
      </c>
    </row>
    <row r="19" spans="1:15" x14ac:dyDescent="0.4">
      <c r="A19" s="220">
        <f t="shared" si="0"/>
        <v>17</v>
      </c>
      <c r="B19" s="221" t="s">
        <v>670</v>
      </c>
      <c r="C19" s="220" t="s">
        <v>880</v>
      </c>
      <c r="D19" s="2002" t="s">
        <v>888</v>
      </c>
      <c r="E19" s="2003"/>
      <c r="F19" s="2004"/>
      <c r="G19" s="220">
        <v>2.5</v>
      </c>
      <c r="H19" s="222">
        <v>1</v>
      </c>
      <c r="I19" s="220">
        <v>1</v>
      </c>
      <c r="J19" s="223">
        <v>50</v>
      </c>
      <c r="K19" s="223">
        <v>3.35</v>
      </c>
      <c r="L19" s="224">
        <v>530</v>
      </c>
      <c r="M19" s="225">
        <v>7230</v>
      </c>
      <c r="N19" s="226">
        <v>4.5</v>
      </c>
      <c r="O19" s="226" t="s">
        <v>873</v>
      </c>
    </row>
    <row r="20" spans="1:15" x14ac:dyDescent="0.4">
      <c r="A20" s="220">
        <f t="shared" si="0"/>
        <v>18</v>
      </c>
      <c r="B20" s="221" t="s">
        <v>543</v>
      </c>
      <c r="C20" s="220" t="s">
        <v>876</v>
      </c>
      <c r="D20" s="2002" t="s">
        <v>889</v>
      </c>
      <c r="E20" s="2003"/>
      <c r="F20" s="2004"/>
      <c r="G20" s="220">
        <v>3.5</v>
      </c>
      <c r="H20" s="220">
        <v>0</v>
      </c>
      <c r="I20" s="222" t="s">
        <v>890</v>
      </c>
      <c r="J20" s="223">
        <v>60.13</v>
      </c>
      <c r="K20" s="223">
        <v>3.35</v>
      </c>
      <c r="L20" s="224">
        <v>573</v>
      </c>
      <c r="M20" s="225">
        <v>7200</v>
      </c>
      <c r="N20" s="226">
        <v>5.5</v>
      </c>
      <c r="O20" s="226" t="s">
        <v>891</v>
      </c>
    </row>
    <row r="21" spans="1:15" x14ac:dyDescent="0.4">
      <c r="A21" s="227">
        <f t="shared" si="0"/>
        <v>19</v>
      </c>
      <c r="B21" s="228" t="s">
        <v>734</v>
      </c>
      <c r="C21" s="227" t="s">
        <v>880</v>
      </c>
      <c r="D21" s="2009" t="s">
        <v>892</v>
      </c>
      <c r="E21" s="2010"/>
      <c r="F21" s="2011"/>
      <c r="G21" s="227">
        <v>2</v>
      </c>
      <c r="H21" s="227"/>
      <c r="I21" s="227"/>
      <c r="J21" s="229">
        <v>49.5</v>
      </c>
      <c r="K21" s="229">
        <v>3.35</v>
      </c>
      <c r="L21" s="230">
        <v>268</v>
      </c>
      <c r="M21" s="231"/>
      <c r="N21" s="232">
        <v>6</v>
      </c>
      <c r="O21" s="232" t="s">
        <v>875</v>
      </c>
    </row>
    <row r="22" spans="1:15" x14ac:dyDescent="0.4">
      <c r="A22" s="240">
        <f t="shared" si="0"/>
        <v>20</v>
      </c>
      <c r="B22" s="241" t="s">
        <v>91</v>
      </c>
      <c r="C22" s="240" t="s">
        <v>893</v>
      </c>
      <c r="D22" s="2024" t="s">
        <v>894</v>
      </c>
      <c r="E22" s="2003"/>
      <c r="F22" s="2004"/>
      <c r="G22" s="240">
        <v>3</v>
      </c>
      <c r="H22" s="240">
        <v>1</v>
      </c>
      <c r="I22" s="240">
        <v>1</v>
      </c>
      <c r="J22" s="242">
        <v>52.52</v>
      </c>
      <c r="K22" s="242">
        <v>3.35</v>
      </c>
      <c r="L22" s="243">
        <v>241</v>
      </c>
      <c r="M22" s="244">
        <v>2962</v>
      </c>
      <c r="N22" s="245">
        <v>6</v>
      </c>
      <c r="O22" s="245" t="s">
        <v>891</v>
      </c>
    </row>
    <row r="23" spans="1:15" x14ac:dyDescent="0.4">
      <c r="A23" s="220">
        <f t="shared" si="0"/>
        <v>21</v>
      </c>
      <c r="B23" s="221" t="s">
        <v>585</v>
      </c>
      <c r="C23" s="220" t="s">
        <v>876</v>
      </c>
      <c r="D23" s="2002" t="s">
        <v>889</v>
      </c>
      <c r="E23" s="2003"/>
      <c r="F23" s="2004"/>
      <c r="G23" s="220">
        <v>2.5</v>
      </c>
      <c r="H23" s="220">
        <v>0</v>
      </c>
      <c r="I23" s="220">
        <v>1</v>
      </c>
      <c r="J23" s="223">
        <v>50.3</v>
      </c>
      <c r="K23" s="223">
        <v>3.35</v>
      </c>
      <c r="L23" s="224">
        <v>356.6</v>
      </c>
      <c r="M23" s="225">
        <v>4800</v>
      </c>
      <c r="N23" s="226">
        <v>8.4</v>
      </c>
      <c r="O23" s="226" t="s">
        <v>873</v>
      </c>
    </row>
    <row r="24" spans="1:15" x14ac:dyDescent="0.4">
      <c r="A24" s="214">
        <f t="shared" si="0"/>
        <v>22</v>
      </c>
      <c r="B24" s="166" t="s">
        <v>138</v>
      </c>
      <c r="C24" s="214" t="s">
        <v>886</v>
      </c>
      <c r="D24" s="2005" t="s">
        <v>884</v>
      </c>
      <c r="E24" s="2003"/>
      <c r="F24" s="2004"/>
      <c r="G24" s="214">
        <v>2.5</v>
      </c>
      <c r="H24" s="214">
        <v>2</v>
      </c>
      <c r="I24" s="214">
        <v>0</v>
      </c>
      <c r="J24" s="216">
        <v>58.34</v>
      </c>
      <c r="K24" s="216">
        <v>3.35</v>
      </c>
      <c r="L24" s="246">
        <v>493</v>
      </c>
      <c r="M24" s="218">
        <v>5923</v>
      </c>
      <c r="N24" s="219">
        <v>8.6</v>
      </c>
      <c r="O24" s="219" t="s">
        <v>895</v>
      </c>
    </row>
    <row r="25" spans="1:15" x14ac:dyDescent="0.4">
      <c r="A25" s="240">
        <f t="shared" si="0"/>
        <v>23</v>
      </c>
      <c r="B25" s="241" t="s">
        <v>203</v>
      </c>
      <c r="C25" s="240" t="s">
        <v>896</v>
      </c>
      <c r="D25" s="2024" t="s">
        <v>894</v>
      </c>
      <c r="E25" s="2003"/>
      <c r="F25" s="2004"/>
      <c r="G25" s="240">
        <v>3.5</v>
      </c>
      <c r="H25" s="240">
        <v>2</v>
      </c>
      <c r="I25" s="240">
        <v>1</v>
      </c>
      <c r="J25" s="242">
        <v>57.125999999999998</v>
      </c>
      <c r="K25" s="242">
        <v>3.35</v>
      </c>
      <c r="L25" s="243">
        <v>345</v>
      </c>
      <c r="M25" s="244">
        <v>4442</v>
      </c>
      <c r="N25" s="245">
        <v>9.1</v>
      </c>
      <c r="O25" s="245" t="s">
        <v>891</v>
      </c>
    </row>
    <row r="26" spans="1:15" x14ac:dyDescent="0.4">
      <c r="A26" s="214">
        <f t="shared" si="0"/>
        <v>24</v>
      </c>
      <c r="B26" s="166" t="s">
        <v>105</v>
      </c>
      <c r="C26" s="214" t="s">
        <v>897</v>
      </c>
      <c r="D26" s="2023" t="s">
        <v>894</v>
      </c>
      <c r="E26" s="2003"/>
      <c r="F26" s="2004"/>
      <c r="G26" s="214">
        <v>3.5</v>
      </c>
      <c r="H26" s="214">
        <v>2</v>
      </c>
      <c r="I26" s="214">
        <v>1</v>
      </c>
      <c r="J26" s="216">
        <v>57.125999999999998</v>
      </c>
      <c r="K26" s="216">
        <v>3.35</v>
      </c>
      <c r="L26" s="246">
        <v>459</v>
      </c>
      <c r="M26" s="218">
        <v>5923</v>
      </c>
      <c r="N26" s="219">
        <v>11.5</v>
      </c>
      <c r="O26" s="219" t="s">
        <v>891</v>
      </c>
    </row>
    <row r="27" spans="1:15" x14ac:dyDescent="0.4">
      <c r="A27" s="227">
        <f t="shared" si="0"/>
        <v>25</v>
      </c>
      <c r="B27" s="209" t="s">
        <v>1460</v>
      </c>
      <c r="C27" s="227" t="s">
        <v>1461</v>
      </c>
      <c r="D27" s="2009" t="s">
        <v>882</v>
      </c>
      <c r="E27" s="2010"/>
      <c r="F27" s="2011"/>
      <c r="G27" s="227">
        <v>3.5</v>
      </c>
      <c r="H27" s="227">
        <v>2</v>
      </c>
      <c r="I27" s="227">
        <v>1</v>
      </c>
      <c r="J27" s="229">
        <v>53</v>
      </c>
      <c r="K27" s="229">
        <v>3.35</v>
      </c>
      <c r="L27" s="230">
        <v>628</v>
      </c>
      <c r="M27" s="231">
        <f>9.8*766</f>
        <v>7506.8</v>
      </c>
      <c r="N27" s="232">
        <v>12</v>
      </c>
      <c r="O27" s="232" t="s">
        <v>875</v>
      </c>
    </row>
    <row r="28" spans="1:15" x14ac:dyDescent="0.4">
      <c r="A28" s="220">
        <f t="shared" si="0"/>
        <v>26</v>
      </c>
      <c r="B28" s="221" t="s">
        <v>386</v>
      </c>
      <c r="C28" s="220" t="s">
        <v>898</v>
      </c>
      <c r="D28" s="2002" t="s">
        <v>882</v>
      </c>
      <c r="E28" s="2003"/>
      <c r="F28" s="2004"/>
      <c r="G28" s="220">
        <v>2.5</v>
      </c>
      <c r="H28" s="220">
        <v>0</v>
      </c>
      <c r="I28" s="220">
        <v>1</v>
      </c>
      <c r="J28" s="223">
        <v>53.075000000000003</v>
      </c>
      <c r="K28" s="223">
        <v>3.35</v>
      </c>
      <c r="L28" s="224">
        <v>597</v>
      </c>
      <c r="M28" s="225">
        <v>7200</v>
      </c>
      <c r="N28" s="226">
        <v>14</v>
      </c>
      <c r="O28" s="226" t="s">
        <v>895</v>
      </c>
    </row>
    <row r="29" spans="1:15" x14ac:dyDescent="0.4">
      <c r="A29" s="220">
        <f t="shared" si="0"/>
        <v>27</v>
      </c>
      <c r="B29" s="221" t="s">
        <v>548</v>
      </c>
      <c r="C29" s="220" t="s">
        <v>876</v>
      </c>
      <c r="D29" s="2002" t="s">
        <v>889</v>
      </c>
      <c r="E29" s="2003"/>
      <c r="F29" s="2004"/>
      <c r="G29" s="220">
        <v>1.5</v>
      </c>
      <c r="H29" s="220">
        <v>0</v>
      </c>
      <c r="I29" s="220">
        <v>2</v>
      </c>
      <c r="J29" s="223">
        <v>53.66</v>
      </c>
      <c r="K29" s="223">
        <v>5</v>
      </c>
      <c r="L29" s="224">
        <v>837</v>
      </c>
      <c r="M29" s="225">
        <v>10620</v>
      </c>
      <c r="N29" s="226">
        <v>25</v>
      </c>
      <c r="O29" s="226" t="s">
        <v>895</v>
      </c>
    </row>
    <row r="30" spans="1:15" x14ac:dyDescent="0.4">
      <c r="A30" s="247">
        <f t="shared" si="0"/>
        <v>28</v>
      </c>
      <c r="B30" s="248" t="s">
        <v>399</v>
      </c>
      <c r="C30" s="247" t="s">
        <v>898</v>
      </c>
      <c r="D30" s="1997" t="s">
        <v>889</v>
      </c>
      <c r="E30" s="1998"/>
      <c r="F30" s="1999"/>
      <c r="G30" s="247">
        <v>2.5</v>
      </c>
      <c r="H30" s="247">
        <v>0</v>
      </c>
      <c r="I30" s="247">
        <v>3</v>
      </c>
      <c r="J30" s="249">
        <v>56.97</v>
      </c>
      <c r="K30" s="249">
        <v>5</v>
      </c>
      <c r="L30" s="250">
        <v>869</v>
      </c>
      <c r="M30" s="251">
        <v>10620</v>
      </c>
      <c r="N30" s="252">
        <v>52</v>
      </c>
      <c r="O30" s="252" t="s">
        <v>891</v>
      </c>
    </row>
  </sheetData>
  <autoFilter ref="A2:S30" xr:uid="{00000000-0001-0000-0900-000000000000}"/>
  <mergeCells count="40">
    <mergeCell ref="A1:A2"/>
    <mergeCell ref="B1:B2"/>
    <mergeCell ref="D18:F18"/>
    <mergeCell ref="D28:F28"/>
    <mergeCell ref="L1:L2"/>
    <mergeCell ref="D15:F15"/>
    <mergeCell ref="D8:F8"/>
    <mergeCell ref="D26:F26"/>
    <mergeCell ref="D14:F14"/>
    <mergeCell ref="D5:F5"/>
    <mergeCell ref="D25:F25"/>
    <mergeCell ref="G1:G2"/>
    <mergeCell ref="D22:F22"/>
    <mergeCell ref="D1:F1"/>
    <mergeCell ref="D10:F10"/>
    <mergeCell ref="D21:F21"/>
    <mergeCell ref="O1:O2"/>
    <mergeCell ref="D4:F4"/>
    <mergeCell ref="D20:F20"/>
    <mergeCell ref="D12:F12"/>
    <mergeCell ref="D3:F3"/>
    <mergeCell ref="N1:N2"/>
    <mergeCell ref="D6:F6"/>
    <mergeCell ref="J1:J2"/>
    <mergeCell ref="D9:F9"/>
    <mergeCell ref="C1:C2"/>
    <mergeCell ref="K1:K2"/>
    <mergeCell ref="D7:F7"/>
    <mergeCell ref="M1:M2"/>
    <mergeCell ref="D16:F16"/>
    <mergeCell ref="D13:F13"/>
    <mergeCell ref="D11:F11"/>
    <mergeCell ref="D30:F30"/>
    <mergeCell ref="H1:I1"/>
    <mergeCell ref="D19:F19"/>
    <mergeCell ref="D29:F29"/>
    <mergeCell ref="D23:F23"/>
    <mergeCell ref="D24:F24"/>
    <mergeCell ref="D17:F17"/>
    <mergeCell ref="D27:F27"/>
  </mergeCells>
  <phoneticPr fontId="2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9</vt:i4>
      </vt:variant>
    </vt:vector>
  </HeadingPairs>
  <TitlesOfParts>
    <vt:vector size="25" baseType="lpstr">
      <vt:lpstr>发射纪录</vt:lpstr>
      <vt:lpstr>发射预测</vt:lpstr>
      <vt:lpstr>发射时间预测</vt:lpstr>
      <vt:lpstr>火箭年間統計</vt:lpstr>
      <vt:lpstr>火箭成功率</vt:lpstr>
      <vt:lpstr>航天员</vt:lpstr>
      <vt:lpstr>乘组预测</vt:lpstr>
      <vt:lpstr>乘组</vt:lpstr>
      <vt:lpstr>出舱</vt:lpstr>
      <vt:lpstr>年間統計</vt:lpstr>
      <vt:lpstr>发射地年間統計</vt:lpstr>
      <vt:lpstr>月間統計</vt:lpstr>
      <vt:lpstr>发射地月間統計</vt:lpstr>
      <vt:lpstr>火箭级数</vt:lpstr>
      <vt:lpstr>飞航情报区</vt:lpstr>
      <vt:lpstr>火箭系列</vt:lpstr>
      <vt:lpstr>火箭系列!Print_Area</vt:lpstr>
      <vt:lpstr>火箭年間統計!Print_Area</vt:lpstr>
      <vt:lpstr>月間統計!Print_Area</vt:lpstr>
      <vt:lpstr>年間統計!Print_Area</vt:lpstr>
      <vt:lpstr>发射地月間統計!Print_Area</vt:lpstr>
      <vt:lpstr>发射时间预测!Print_Area</vt:lpstr>
      <vt:lpstr>发射纪录!Print_Area</vt:lpstr>
      <vt:lpstr>发射预测!Print_Area</vt:lpstr>
      <vt:lpstr>飞航情报区!Print_Area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w802479</dc:creator>
  <cp:lastModifiedBy>w802479</cp:lastModifiedBy>
  <dcterms:created xsi:type="dcterms:W3CDTF">2021-11-19T01:41:43Z</dcterms:created>
  <dcterms:modified xsi:type="dcterms:W3CDTF">2026-07-06T09:02:19Z</dcterms:modified>
</cp:coreProperties>
</file>