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<sst xmlns="http://schemas.openxmlformats.org/spreadsheetml/2006/main" count="242" uniqueCount="154">
  <si>
    <t>року</t>
  </si>
  <si>
    <t xml:space="preserve">Додаток 82
до Інструкції з обліку військового майна у </t>
  </si>
  <si>
    <t>Адреса збереження PDF:</t>
  </si>
  <si>
    <t>Дійсний до</t>
  </si>
  <si>
    <t>Збройних Силах України (пункт 4 розділу ХVІІІ)</t>
  </si>
  <si>
    <t>C:\Users\zdane\Desktop\Шляховий</t>
  </si>
  <si>
    <t>ДОРОЖНІЙ ЛИСТ №</t>
  </si>
  <si>
    <t>Військова частина (підрозділ)</t>
  </si>
  <si>
    <t>Дата документа</t>
  </si>
  <si>
    <t>Марка причепа</t>
  </si>
  <si>
    <t>Водій</t>
  </si>
  <si>
    <t>Старший машини</t>
  </si>
  <si>
    <t>Начальник КТП</t>
  </si>
  <si>
    <t>Майбах М.Б.</t>
  </si>
  <si>
    <t>Маршрут руху:</t>
  </si>
  <si>
    <t>Кременець - Тернопіль</t>
  </si>
  <si>
    <t>Технік</t>
  </si>
  <si>
    <t>Руль В.М.</t>
  </si>
  <si>
    <t>Вибуття</t>
  </si>
  <si>
    <t>Прибуття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</si>
  <si>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</si>
  <si>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</si>
  <si>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</si>
  <si>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</si>
  <si>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</si>
  <si>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</si>
  <si>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</si>
  <si>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</si>
  <si>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</si>
  <si>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</si>
  <si>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Дата</t>
  </si>
  <si>
    <t>Час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</si>
  <si>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</si>
  <si>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</si>
  <si>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</si>
  <si>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</si>
  <si>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</si>
  <si>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</si>
  <si>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Фактично</t>
  </si>
  <si>
    <t>поїздка</t>
  </si>
  <si>
    <t>EndSpeedometer5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</si>
  <si>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</si>
  <si>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</si>
  <si>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</si>
  <si>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</si>
  <si>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</si>
  <si>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</si>
  <si>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</si>
  <si>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</si>
  <si>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</si>
  <si>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</si>
  <si>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</si>
  <si>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</si>
  <si>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</si>
  <si>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</si>
  <si>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</si>
  <si>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</si>
  <si>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</si>
  <si>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</si>
  <si>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</si>
  <si>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Підстава:</t>
  </si>
  <si>
    <t>бетмобіль</t>
  </si>
  <si>
    <t>Наряд №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</si>
  <si>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</si>
  <si>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</si>
  <si>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</si>
  <si>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</si>
  <si>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</si>
  <si>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</si>
  <si>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</si>
  <si>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</si>
  <si>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</si>
  <si>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</si>
  <si>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</si>
  <si>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</si>
  <si>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</si>
  <si>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</si>
  <si>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</si>
  <si>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</si>
  <si>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</si>
  <si>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</si>
  <si>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</si>
  <si>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</si>
  <si>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</si>
  <si>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</si>
  <si>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</si>
  <si>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</si>
  <si>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</si>
  <si>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</si>
  <si>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</si>
  <si>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</si>
  <si>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</si>
  <si>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</si>
  <si>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</si>
  <si>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</si>
  <si>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</si>
  <si>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</si>
  <si>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</si>
  <si>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</si>
  <si>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</si>
  <si>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</si>
  <si>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</si>
  <si>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</si>
  <si>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</si>
  <si>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</si>
  <si>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</si>
  <si>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</si>
  <si>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</si>
  <si>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</si>
  <si>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</si>
  <si>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</si>
  <si>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</si>
  <si>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</si>
  <si>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</si>
  <si>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=IFERROR(INDEX(Таблиця3[посада];MATCH(N26;Таблиця3[ПІБ];0));"")&amp;", "&amp;IFERROR(INDEX(Таблиця3[звання];MATCH(N26;Таблиця3[ПІБ];0));"")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</si>
  <si>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</si>
  <si>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</si>
  <si>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</si>
  <si>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</si>
  <si>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</si>
  <si>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</si>
  <si>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</si>
  <si>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</si>
  <si>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</si>
  <si>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</si>
  <si>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</si>
  <si>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</si>
  <si>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</si>
  <si>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</si>
  <si>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</si>
  <si>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</si>
  <si>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</si>
  <si>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</si>
  <si>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</si>
  <si>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</si>
  <si>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</si>
  <si>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</si>
  <si>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</si>
  <si>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BB1234ЗД</t>
  </si>
  <si>
    <t>ДТ</t>
  </si>
  <si>
    <t>10</t>
  </si>
  <si>
    <t>Моторна</t>
  </si>
  <si>
    <t>1</t>
  </si>
  <si>
    <t>Тр</t>
  </si>
  <si>
    <t>Транспортна</t>
  </si>
  <si>
    <t>Петро П.І.</t>
  </si>
  <si>
    <t>Старший сержант</t>
  </si>
  <si>
    <t>Відділ</t>
  </si>
  <si>
    <t>Іван І.І.</t>
  </si>
  <si>
    <t>Старший лейтенант</t>
  </si>
  <si>
    <t>старший відділення</t>
  </si>
  <si>
    <t>капітан</t>
  </si>
  <si>
    <t>к-н</t>
  </si>
  <si>
    <t>Майбах С.Т.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</si>
</sst>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8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Dashed"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14" fontId="9" fillId="2" borderId="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9" fillId="2" borderId="6" xfId="0" applyFont="1" applyFill="1" applyBorder="1"/>
    <xf numFmtId="0" fontId="14" fillId="0" borderId="0" xfId="0" applyFont="1"/>
    <xf numFmtId="0" fontId="6" fillId="2" borderId="5" xfId="0" applyFont="1" applyFill="1" applyBorder="1" applyAlignment="1">
      <alignment horizontal="left"/>
    </xf>
    <xf numFmtId="0" fontId="9" fillId="2" borderId="7" xfId="0" applyFont="1" applyFill="1" applyBorder="1"/>
    <xf numFmtId="0" fontId="15" fillId="0" borderId="5" xfId="0" applyFont="1" applyBorder="1"/>
    <xf numFmtId="0" fontId="10" fillId="0" borderId="5" xfId="0" applyFont="1" applyBorder="1"/>
    <xf numFmtId="0" fontId="16" fillId="2" borderId="5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textRotation="90"/>
    </xf>
    <xf numFmtId="0" fontId="17" fillId="0" borderId="10" xfId="0" applyFont="1" applyBorder="1" applyAlignment="1">
      <alignment horizontal="left" vertical="center" textRotation="90"/>
    </xf>
    <xf numFmtId="0" fontId="0" fillId="0" borderId="4" xfId="0" applyBorder="1"/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Continuous" vertical="top"/>
    </xf>
    <xf numFmtId="0" fontId="17" fillId="0" borderId="0" xfId="0" applyFont="1" applyAlignment="1">
      <alignment horizontal="centerContinuous" vertical="top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0" xfId="0" applyFont="1" applyAlignment="1">
      <alignment textRotation="90"/>
    </xf>
    <xf numFmtId="0" fontId="19" fillId="2" borderId="2" xfId="0" applyFont="1" applyFill="1" applyBorder="1" applyAlignment="1">
      <alignment horizontal="center" textRotation="90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6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/>
    <xf numFmtId="14" fontId="21" fillId="2" borderId="18" xfId="0" applyNumberFormat="1" applyFont="1" applyFill="1" applyBorder="1" applyAlignment="1">
      <alignment horizontal="center" vertical="center"/>
    </xf>
    <xf numFmtId="20" fontId="21" fillId="2" borderId="19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8" fillId="0" borderId="1" xfId="0" applyFont="1" applyBorder="1" applyAlignment="1">
      <alignment horizontal="center" textRotation="90"/>
    </xf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4" fontId="12" fillId="0" borderId="1" xfId="0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21" fillId="2" borderId="16" xfId="0" applyNumberFormat="1" applyFont="1" applyFill="1" applyBorder="1" applyAlignment="1">
      <alignment horizontal="center" vertical="center"/>
    </xf>
    <xf numFmtId="20" fontId="21" fillId="2" borderId="17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22" fillId="0" borderId="0" xfId="0" applyFont="1" applyAlignment="1">
      <alignment horizontal="center" vertical="center"/>
    </xf>
    <xf numFmtId="0" fontId="1" fillId="0" borderId="1" xfId="0" applyFont="1" applyBorder="1"/>
    <xf numFmtId="0" fontId="2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16" xfId="0" applyNumberFormat="1" applyFont="1" applyBorder="1"/>
    <xf numFmtId="20" fontId="9" fillId="0" borderId="17" xfId="0" applyNumberFormat="1" applyFont="1" applyBorder="1"/>
    <xf numFmtId="14" fontId="21" fillId="0" borderId="16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0" borderId="0" xfId="0" applyFont="1" applyAlignment="1">
      <alignment horizontal="right"/>
    </xf>
    <xf numFmtId="14" fontId="12" fillId="0" borderId="1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14" fontId="9" fillId="0" borderId="20" xfId="0" applyNumberFormat="1" applyFont="1" applyBorder="1"/>
    <xf numFmtId="20" fontId="9" fillId="0" borderId="21" xfId="0" applyNumberFormat="1" applyFont="1" applyBorder="1"/>
    <xf numFmtId="14" fontId="21" fillId="0" borderId="20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0" fillId="0" borderId="2" xfId="0" applyFont="1" applyBorder="1" applyAlignment="1">
      <alignment horizontal="center" vertical="center" textRotation="90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2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1" fillId="0" borderId="6" xfId="0" applyFont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14" fontId="21" fillId="2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9" fillId="2" borderId="0" xfId="0" applyFont="1" applyFill="1"/>
    <xf numFmtId="0" fontId="21" fillId="3" borderId="6" xfId="0" applyFont="1" applyFill="1" applyBorder="1" applyAlignment="1">
      <alignment vertical="center" wrapText="1"/>
    </xf>
    <xf numFmtId="14" fontId="21" fillId="3" borderId="6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27" fillId="2" borderId="6" xfId="0" applyFont="1" applyFill="1" applyBorder="1"/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165" fontId="1" fillId="0" borderId="6" xfId="0" applyNumberFormat="1" applyFont="1" applyBorder="1"/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6" xfId="0" applyFont="1" applyBorder="1"/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5" xfId="0" applyBorder="1"/>
    <xf numFmtId="0" fontId="18" fillId="0" borderId="14" xfId="0" applyFont="1" applyBorder="1" applyAlignment="1">
      <alignment horizontal="center" vertical="top"/>
    </xf>
    <xf numFmtId="0" fontId="9" fillId="2" borderId="5" xfId="0" applyFont="1" applyFill="1" applyBorder="1" applyAlignment="1">
      <alignment horizontal="right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9"/>
  <sheetViews>
    <sheetView workbookViewId="0" zoomScale="100" zoomScaleNormal="100">
      <selection activeCell="P9" sqref="P9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45" customFormat="1" x14ac:dyDescent="0.25">
      <c r="A2" s="145" t="s">
        <v>115</v>
      </c>
      <c r="B2" s="145" t="s">
        <v>116</v>
      </c>
      <c r="C2" s="145" t="s">
        <v>117</v>
      </c>
      <c r="D2" s="145" t="s">
        <v>118</v>
      </c>
      <c r="E2" s="145" t="s">
        <v>119</v>
      </c>
      <c r="F2" s="145" t="s">
        <v>120</v>
      </c>
      <c r="G2" s="145" t="s">
        <v>57</v>
      </c>
      <c r="H2" s="145" t="s">
        <v>121</v>
      </c>
      <c r="I2" s="145" t="s">
        <v>10</v>
      </c>
      <c r="J2" s="145" t="s">
        <v>122</v>
      </c>
      <c r="K2" s="145" t="s">
        <v>123</v>
      </c>
      <c r="L2" s="145" t="s">
        <v>124</v>
      </c>
      <c r="M2" s="145" t="s">
        <v>125</v>
      </c>
      <c r="O2" s="145" t="s">
        <v>126</v>
      </c>
      <c r="P2" s="145" t="s">
        <v>127</v>
      </c>
      <c r="Q2" s="145" t="s">
        <v>128</v>
      </c>
      <c r="S2" s="145" t="s">
        <v>129</v>
      </c>
      <c r="T2" s="145" t="s">
        <v>130</v>
      </c>
      <c r="U2" s="145" t="s">
        <v>131</v>
      </c>
      <c r="V2" s="145" t="s">
        <v>132</v>
      </c>
      <c r="Y2" s="145" t="s">
        <v>126</v>
      </c>
      <c r="Z2" s="145" t="s">
        <v>133</v>
      </c>
      <c r="AA2" s="145" t="s">
        <v>134</v>
      </c>
      <c r="AB2" s="145" t="s">
        <v>135</v>
      </c>
      <c r="AC2" s="145" t="s">
        <v>136</v>
      </c>
    </row>
    <row r="3" spans="1:22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  <c r="H3" t="s">
        <v>144</v>
      </c>
      <c r="I3" t="s">
        <v>145</v>
      </c>
      <c r="J3" t="s">
        <v>146</v>
      </c>
      <c r="K3" t="s">
        <v>147</v>
      </c>
      <c r="L3" t="s">
        <v>148</v>
      </c>
      <c r="M3" t="s">
        <v>149</v>
      </c>
      <c r="S3" t="s">
        <v>150</v>
      </c>
      <c r="T3" t="s">
        <v>151</v>
      </c>
      <c r="U3" t="s">
        <v>152</v>
      </c>
      <c r="V3" t="s">
        <v>153</v>
      </c>
    </row>
    <row r="4" spans="1:13" x14ac:dyDescent="0.25"/>
    <row r="5" spans="2:2" x14ac:dyDescent="0.25"/>
    <row r="6" spans="2:2" x14ac:dyDescent="0.25"/>
    <row r="7" spans="2:2" x14ac:dyDescent="0.25"/>
    <row r="8" spans="2:2" x14ac:dyDescent="0.25"/>
    <row r="9" spans="2:2" x14ac:dyDescent="0.25"/>
    <row r="10" spans="2:2" x14ac:dyDescent="0.25"/>
    <row r="11" spans="2:2" x14ac:dyDescent="0.25"/>
    <row r="12" spans="2:2" x14ac:dyDescent="0.25"/>
    <row r="13" spans="2:2" x14ac:dyDescent="0.25"/>
    <row r="14" spans="2:2" x14ac:dyDescent="0.25"/>
    <row r="15" spans="2:2" x14ac:dyDescent="0.25"/>
    <row r="16" spans="2:2" x14ac:dyDescent="0.25"/>
    <row r="17" spans="2:2" x14ac:dyDescent="0.25"/>
    <row r="18" spans="2:2" x14ac:dyDescent="0.25"/>
    <row r="19" spans="2:2" x14ac:dyDescent="0.25"/>
    <row r="20" spans="2:2" x14ac:dyDescent="0.25"/>
    <row r="21" spans="2:2" x14ac:dyDescent="0.25"/>
    <row r="22" spans="2:2" x14ac:dyDescent="0.25"/>
    <row r="23" spans="2:2" x14ac:dyDescent="0.25"/>
    <row r="24" spans="2:2" x14ac:dyDescent="0.25"/>
    <row r="25" spans="2:2" x14ac:dyDescent="0.25"/>
    <row r="26" spans="2:2" x14ac:dyDescent="0.25"/>
    <row r="27" spans="2:2" x14ac:dyDescent="0.25"/>
    <row r="28" spans="2:2" x14ac:dyDescent="0.25"/>
    <row r="29" spans="2:2" x14ac:dyDescent="0.25"/>
  </sheetData>
  <autoFilter ref="S2:V2"/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Y14" sqref="Y14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42578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24" x14ac:dyDescent="0.25">
      <c r="B1" s="2">
        <f>N33</f>
        <v>0</v>
      </c>
      <c r="C1" s="3" t="e">
        <f>INDEX(#REF!,MATCH('Ш Лист 1'!L33,#REF!,0))</f>
        <v>#REF!</v>
      </c>
      <c r="D1" s="4" t="e">
        <f>L5</f>
        <v>#REF!</v>
      </c>
      <c r="E1" s="5" t="str">
        <f>K6</f>
        <v>Кременець - Тернопіль</v>
      </c>
      <c r="F1" s="6" t="s">
        <v>0</v>
      </c>
      <c r="G1" s="7"/>
      <c r="H1" s="8"/>
      <c r="Q1" s="9" t="s">
        <v>1</v>
      </c>
      <c r="R1" s="9"/>
      <c r="X1" s="1" t="s">
        <v>2</v>
      </c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3</v>
      </c>
      <c r="N2" s="10">
        <v>45211</v>
      </c>
      <c r="O2" s="1" t="s">
        <v>0</v>
      </c>
      <c r="Q2" s="11" t="s">
        <v>4</v>
      </c>
      <c r="R2" s="12"/>
      <c r="X2" s="13" t="s">
        <v>5</v>
      </c>
    </row>
    <row r="3" ht="12" customHeight="1" spans="2:15" x14ac:dyDescent="0.25">
      <c r="B3" s="2"/>
      <c r="C3" s="3"/>
      <c r="D3" s="4"/>
      <c r="E3" s="5"/>
      <c r="F3" s="6"/>
      <c r="G3" s="7"/>
      <c r="H3" s="8"/>
      <c r="M3" s="14" t="s">
        <v>6</v>
      </c>
      <c r="O3" s="15">
        <v>35</v>
      </c>
    </row>
    <row r="4" ht="14.45" customHeight="1" spans="2:21" x14ac:dyDescent="0.25">
      <c r="B4" s="2"/>
      <c r="C4" s="3"/>
      <c r="D4" s="4"/>
      <c r="E4" s="5"/>
      <c r="F4" s="16">
        <f>J33</f>
        <v>45201</v>
      </c>
      <c r="G4" s="7"/>
      <c r="H4" s="8"/>
      <c r="I4" s="17" t="s">
        <v>7</v>
      </c>
      <c r="L4" s="18" t="e">
        <f>INDEX(#REF!,MATCH('Ш Лист 1'!L33,#REF!,0))</f>
        <v>#REF!</v>
      </c>
      <c r="M4" s="19"/>
      <c r="N4" s="19"/>
      <c r="O4" s="19"/>
      <c r="P4" s="19"/>
      <c r="Q4" s="19"/>
      <c r="R4" s="19"/>
      <c r="S4" s="1" t="s">
        <v>8</v>
      </c>
      <c r="U4" s="20">
        <v>45201</v>
      </c>
    </row>
    <row r="5" ht="13.35" customHeight="1" spans="2:21" x14ac:dyDescent="0.25">
      <c r="B5" s="21" t="s">
        <v>9</v>
      </c>
      <c r="C5" s="3"/>
      <c r="D5" s="4"/>
      <c r="E5" s="5"/>
      <c r="F5" s="16"/>
      <c r="G5" s="7"/>
      <c r="H5" s="8"/>
      <c r="I5" s="17" t="s">
        <v>10</v>
      </c>
      <c r="J5" s="22">
        <f>IFERROR(INDEX(#REF!,MATCH('Ш Лист 1'!L5,#REF!,0)),"")</f>
      </c>
      <c r="K5" s="19"/>
      <c r="L5" s="23" t="e">
        <f>INDEX(#REF!,MATCH('Ш Лист 1'!L33,#REF!,0))</f>
        <v>#REF!</v>
      </c>
      <c r="M5" s="19"/>
      <c r="O5" s="24" t="s">
        <v>11</v>
      </c>
      <c r="P5" s="22">
        <f>IFERROR(INDEX(#REF!,MATCH('Ш Лист 1'!R5,#REF!,0)),"")</f>
      </c>
      <c r="Q5" s="19"/>
      <c r="R5" s="23" t="e">
        <f>INDEX(#REF!,MATCH('Ш Лист 1'!L33,#REF!,0))</f>
        <v>#REF!</v>
      </c>
      <c r="S5" s="1" t="s">
        <v>12</v>
      </c>
      <c r="U5" s="25" t="s">
        <v>13</v>
      </c>
    </row>
    <row r="6" ht="13.7" customHeight="1" spans="2:21" x14ac:dyDescent="0.25">
      <c r="B6" s="21"/>
      <c r="C6" s="3"/>
      <c r="D6" s="4"/>
      <c r="E6" s="5"/>
      <c r="F6" s="16"/>
      <c r="G6" s="7"/>
      <c r="H6" s="8"/>
      <c r="I6" s="26" t="s">
        <v>14</v>
      </c>
      <c r="K6" s="27" t="s">
        <v>15</v>
      </c>
      <c r="L6" s="27"/>
      <c r="M6" s="27"/>
      <c r="N6" s="27"/>
      <c r="O6" s="27"/>
      <c r="P6" s="27"/>
      <c r="Q6" s="27"/>
      <c r="R6" s="27"/>
      <c r="S6" s="1" t="s">
        <v>16</v>
      </c>
      <c r="U6" s="28" t="s">
        <v>17</v>
      </c>
    </row>
    <row r="7" ht="15.75" customHeight="1" spans="2:34" x14ac:dyDescent="0.25">
      <c r="B7" s="21"/>
      <c r="C7" s="3"/>
      <c r="D7" s="4"/>
      <c r="E7" s="5"/>
      <c r="F7" s="16"/>
      <c r="G7" s="7"/>
      <c r="H7" s="8"/>
      <c r="I7" s="29" t="str">
        <f>IFERROR(INDEX(#REF!,MATCH('Ш Лист 1'!R7,#REF!,0)),"")&amp;", "&amp;IFERROR(INDEX(#REF!,MATCH('Ш Лист 1'!R7,#REF!,0)),"")</f>
        <v>, </v>
      </c>
      <c r="J7" s="30"/>
      <c r="K7" s="30"/>
      <c r="L7" s="30"/>
      <c r="M7" s="30"/>
      <c r="N7" s="30"/>
      <c r="O7" s="30"/>
      <c r="P7" s="30"/>
      <c r="Q7" s="30"/>
      <c r="R7" s="31" t="s">
        <v>13</v>
      </c>
      <c r="T7" s="32" t="s">
        <v>18</v>
      </c>
      <c r="U7" s="33"/>
      <c r="V7" s="32" t="s">
        <v>19</v>
      </c>
      <c r="W7" s="33"/>
      <c r="AE7" s="1" t="s">
        <v>20</v>
      </c>
      <c r="AF7" s="1" t="s">
        <v>21</v>
      </c>
      <c r="AG7" s="1" t="s">
        <v>22</v>
      </c>
      <c r="AH7" s="1" t="s">
        <v>23</v>
      </c>
    </row>
    <row r="8" ht="10.35" customHeight="1" spans="2:34" x14ac:dyDescent="0.25">
      <c r="B8" s="21"/>
      <c r="C8" s="3"/>
      <c r="D8" s="4"/>
      <c r="E8" s="5"/>
      <c r="F8" s="34"/>
      <c r="G8" s="35" t="s">
        <v>24</v>
      </c>
      <c r="H8" s="36"/>
      <c r="I8" s="37" t="s">
        <v>25</v>
      </c>
      <c r="J8" s="38" t="s">
        <v>26</v>
      </c>
      <c r="K8" s="39"/>
      <c r="L8" s="39"/>
      <c r="M8" s="39"/>
      <c r="N8" s="39"/>
      <c r="O8" s="39"/>
      <c r="P8" s="39"/>
      <c r="Q8" s="39"/>
      <c r="R8" s="39"/>
      <c r="T8" s="40"/>
      <c r="U8" s="41"/>
      <c r="V8" s="40"/>
      <c r="W8" s="41"/>
      <c r="AE8" s="1" t="s">
        <v>20</v>
      </c>
      <c r="AF8" s="1" t="s">
        <v>27</v>
      </c>
      <c r="AG8" s="1" t="s">
        <v>22</v>
      </c>
      <c r="AH8" s="1" t="s">
        <v>23</v>
      </c>
    </row>
    <row r="9" ht="9" customHeight="1" spans="1:34" x14ac:dyDescent="0.25">
      <c r="A9" s="42"/>
      <c r="B9" s="21"/>
      <c r="D9" s="4"/>
      <c r="E9" s="5"/>
      <c r="F9" s="43" t="s">
        <v>13</v>
      </c>
      <c r="G9" s="35"/>
      <c r="H9" s="8"/>
      <c r="I9" s="44" t="s">
        <v>28</v>
      </c>
      <c r="J9" s="45"/>
      <c r="K9" s="46"/>
      <c r="L9" s="44" t="s">
        <v>29</v>
      </c>
      <c r="M9" s="45"/>
      <c r="N9" s="46"/>
      <c r="O9" s="47" t="s">
        <v>18</v>
      </c>
      <c r="P9" s="47"/>
      <c r="Q9" s="47" t="s">
        <v>19</v>
      </c>
      <c r="R9" s="47"/>
      <c r="T9" s="48" t="s">
        <v>30</v>
      </c>
      <c r="U9" s="49" t="s">
        <v>31</v>
      </c>
      <c r="V9" s="49" t="s">
        <v>30</v>
      </c>
      <c r="W9" s="50" t="s">
        <v>31</v>
      </c>
      <c r="AE9" s="1" t="s">
        <v>20</v>
      </c>
      <c r="AF9" s="1" t="s">
        <v>32</v>
      </c>
      <c r="AG9" s="1" t="s">
        <v>22</v>
      </c>
      <c r="AH9" s="1" t="s">
        <v>23</v>
      </c>
    </row>
    <row r="10" ht="10.7" customHeight="1" spans="1:34" x14ac:dyDescent="0.25">
      <c r="A10" s="42"/>
      <c r="B10" s="21"/>
      <c r="C10" s="21" t="s">
        <v>33</v>
      </c>
      <c r="D10" s="4"/>
      <c r="E10" s="5"/>
      <c r="F10" s="43"/>
      <c r="G10" s="35"/>
      <c r="H10" s="8"/>
      <c r="I10" s="51" t="s">
        <v>34</v>
      </c>
      <c r="J10" s="52"/>
      <c r="K10" s="53"/>
      <c r="L10" s="54" t="s">
        <v>35</v>
      </c>
      <c r="M10" s="55"/>
      <c r="N10" s="56"/>
      <c r="O10" s="57" t="s">
        <v>36</v>
      </c>
      <c r="P10" s="58" t="str">
        <f>IF(T10,TEXT(U10,"ч:мм")&amp;" "&amp;TEXT(T10,"дд.мм.гггг"),"")</f>
        <v>ч:мм дд.мм.гггг</v>
      </c>
      <c r="Q10" s="57" t="s">
        <v>36</v>
      </c>
      <c r="R10" s="59" t="str">
        <f>IF(V10,TEXT(W10,"ч:мм")&amp;" "&amp;TEXT(V10,"дд.мм.гггг"),"")</f>
        <v>ч:мм дд.мм.гггг</v>
      </c>
      <c r="T10" s="60">
        <v>45201</v>
      </c>
      <c r="U10" s="61"/>
      <c r="V10" s="60">
        <v>45211</v>
      </c>
      <c r="W10" s="61"/>
      <c r="Y10" s="1">
        <v>45198</v>
      </c>
      <c r="Z10" s="1">
        <v>0.2638888888888889</v>
      </c>
      <c r="AA10" s="1">
        <v>45199</v>
      </c>
      <c r="AB10" s="1">
        <v>0.7916666666666666</v>
      </c>
      <c r="AE10" s="1" t="s">
        <v>20</v>
      </c>
      <c r="AF10" s="1" t="s">
        <v>37</v>
      </c>
      <c r="AG10" s="1" t="s">
        <v>22</v>
      </c>
      <c r="AH10" s="1" t="s">
        <v>23</v>
      </c>
    </row>
    <row r="11" ht="11.45" customHeight="1" spans="2:34" x14ac:dyDescent="0.25">
      <c r="B11" s="21"/>
      <c r="C11" s="21"/>
      <c r="D11" s="4"/>
      <c r="E11" s="5"/>
      <c r="F11" s="43"/>
      <c r="G11" s="35"/>
      <c r="H11" s="8"/>
      <c r="I11" s="51"/>
      <c r="J11" s="52"/>
      <c r="K11" s="53"/>
      <c r="L11" s="54" t="s">
        <v>12</v>
      </c>
      <c r="M11" s="55"/>
      <c r="N11" s="56"/>
      <c r="O11" s="62" t="s">
        <v>38</v>
      </c>
      <c r="P11" s="62"/>
      <c r="Q11" s="62" t="s">
        <v>38</v>
      </c>
      <c r="R11" s="62"/>
      <c r="S11" s="1" t="s">
        <v>39</v>
      </c>
      <c r="T11" s="63"/>
      <c r="U11" s="64"/>
      <c r="V11" s="63"/>
      <c r="W11" s="64"/>
      <c r="AE11" s="1" t="s">
        <v>20</v>
      </c>
      <c r="AF11" s="1" t="s">
        <v>40</v>
      </c>
      <c r="AG11" s="1" t="s">
        <v>22</v>
      </c>
      <c r="AH11" s="1" t="s">
        <v>23</v>
      </c>
    </row>
    <row r="12" ht="9.6" customHeight="1" spans="1:34" x14ac:dyDescent="0.25">
      <c r="A12" s="65">
        <f>O3</f>
        <v>35</v>
      </c>
      <c r="B12" s="3" t="e">
        <f>M33</f>
        <v>#REF!</v>
      </c>
      <c r="C12" s="21"/>
      <c r="D12" s="4"/>
      <c r="E12" s="5"/>
      <c r="F12" s="43"/>
      <c r="G12" s="35"/>
      <c r="H12" s="8"/>
      <c r="I12" s="66">
        <f>IFERROR(INDEX(#REF!,MATCH('Ш Лист 1'!J12,#REF!,0)),"")</f>
      </c>
      <c r="J12" s="67" t="str">
        <f>IF(T12,$U$5,"")</f>
        <v>Майбах М.Б.</v>
      </c>
      <c r="K12" s="68">
        <f>IF(T12,T12,"")</f>
        <v>45198</v>
      </c>
      <c r="L12" s="66">
        <f>IFERROR(INDEX(#REF!,MATCH('Ш Лист 1'!M12,#REF!,0)),"")</f>
      </c>
      <c r="M12" s="67" t="str">
        <f>IF(T12,$U$6,"")</f>
        <v>Руль В.М.</v>
      </c>
      <c r="N12" s="68">
        <f>IF(T12,T12,"")</f>
        <v>45198</v>
      </c>
      <c r="O12" s="69" t="str">
        <f>IF(T12,TEXT(U12,"ч:мм")&amp;" "&amp;TEXT(T12,"дд.мм.гггг"),"")</f>
        <v>ч:мм дд.мм.гггг</v>
      </c>
      <c r="P12" s="70">
        <v>123777</v>
      </c>
      <c r="Q12" s="69" t="str">
        <f>IF(T12,TEXT(W12,"ч:мм")&amp;" "&amp;TEXT(V12,"дд.мм.гггг"),"")</f>
        <v>ч:мм дд.мм.гггг</v>
      </c>
      <c r="R12" s="70">
        <v>123888</v>
      </c>
      <c r="S12" s="71">
        <v>1</v>
      </c>
      <c r="T12" s="72">
        <v>45198</v>
      </c>
      <c r="U12" s="73">
        <v>0.3125</v>
      </c>
      <c r="V12" s="72">
        <v>45198</v>
      </c>
      <c r="W12" s="73">
        <v>0.7569444444452529</v>
      </c>
      <c r="Y12" s="1">
        <v>45150</v>
      </c>
      <c r="Z12" s="1">
        <v>0.7291666666666666</v>
      </c>
      <c r="AA12" s="1">
        <v>45151</v>
      </c>
      <c r="AB12" s="1">
        <v>0.2916666666666667</v>
      </c>
      <c r="AE12" s="1" t="s">
        <v>20</v>
      </c>
      <c r="AF12" s="1" t="s">
        <v>41</v>
      </c>
      <c r="AG12" s="1" t="s">
        <v>22</v>
      </c>
      <c r="AH12" s="1" t="s">
        <v>23</v>
      </c>
    </row>
    <row r="13" ht="6" customHeight="1" spans="1:34" x14ac:dyDescent="0.25">
      <c r="A13" s="65"/>
      <c r="B13" s="3"/>
      <c r="C13" s="21"/>
      <c r="D13" s="4"/>
      <c r="E13" s="5"/>
      <c r="F13" s="43"/>
      <c r="G13" s="35"/>
      <c r="H13" s="8"/>
      <c r="I13" s="74"/>
      <c r="J13" s="75" t="s">
        <v>42</v>
      </c>
      <c r="K13" s="76"/>
      <c r="L13" s="74"/>
      <c r="M13" s="75" t="s">
        <v>42</v>
      </c>
      <c r="N13" s="76"/>
      <c r="O13" s="77" t="s">
        <v>43</v>
      </c>
      <c r="P13" s="78"/>
      <c r="Q13" s="77" t="s">
        <v>43</v>
      </c>
      <c r="R13" s="79"/>
      <c r="T13" s="80"/>
      <c r="U13" s="81"/>
      <c r="V13" s="82"/>
      <c r="W13" s="81"/>
      <c r="AE13" s="1" t="s">
        <v>20</v>
      </c>
      <c r="AF13" s="1" t="s">
        <v>44</v>
      </c>
      <c r="AG13" s="1" t="s">
        <v>22</v>
      </c>
      <c r="AH13" s="1" t="s">
        <v>23</v>
      </c>
    </row>
    <row r="14" ht="9.6" customHeight="1" spans="1:34" x14ac:dyDescent="0.25">
      <c r="A14" s="65"/>
      <c r="B14" s="3"/>
      <c r="C14" s="21"/>
      <c r="D14" s="4"/>
      <c r="E14" s="5"/>
      <c r="F14" s="43"/>
      <c r="G14" s="35"/>
      <c r="H14" s="8"/>
      <c r="I14" s="83">
        <f>IFERROR(INDEX(#REF!,MATCH('Ш Лист 1'!J14,#REF!,0)),"")</f>
      </c>
      <c r="J14" s="84" t="str">
        <f>IF(T14,$U$5,"")</f>
        <v>Майбах М.Б.</v>
      </c>
      <c r="K14" s="85">
        <f>IF(T14,T14,"")</f>
        <v>45199</v>
      </c>
      <c r="L14" s="83">
        <f>IFERROR(INDEX(#REF!,MATCH('Ш Лист 1'!M14,#REF!,0)),"")</f>
      </c>
      <c r="M14" s="84" t="str">
        <f>IF(T14,$U$6,"")</f>
        <v>Руль В.М.</v>
      </c>
      <c r="N14" s="85">
        <f>IF(T14,T14,"")</f>
        <v>45199</v>
      </c>
      <c r="O14" s="86" t="str">
        <f>IF(T14,TEXT(U14,"ч:мм")&amp;" "&amp;TEXT(T14,"дд.мм.гггг"),"")</f>
        <v>ч:мм дд.мм.гггг</v>
      </c>
      <c r="P14" s="87">
        <f>IF(T14,R12,"")</f>
        <v>123888</v>
      </c>
      <c r="Q14" s="86" t="str">
        <f>IF(T14,TEXT(W14,"ч:мм")&amp;" "&amp;TEXT(V14,"дд.мм.гггг"),"")</f>
        <v>ч:мм дд.мм.гггг</v>
      </c>
      <c r="R14" s="70">
        <v>123889</v>
      </c>
      <c r="S14" s="88">
        <v>2</v>
      </c>
      <c r="T14" s="72">
        <v>45199</v>
      </c>
      <c r="U14" s="73">
        <v>0.32638888889050577</v>
      </c>
      <c r="V14" s="72">
        <v>45199</v>
      </c>
      <c r="W14" s="73">
        <v>0.7916666666678793</v>
      </c>
      <c r="Y14" s="1">
        <v>45150</v>
      </c>
      <c r="Z14" s="1">
        <v>0.7291666666666666</v>
      </c>
      <c r="AA14" s="1">
        <v>45151</v>
      </c>
      <c r="AB14" s="1">
        <v>0.2916666666666667</v>
      </c>
      <c r="AE14" s="1" t="s">
        <v>20</v>
      </c>
      <c r="AF14" s="1" t="s">
        <v>45</v>
      </c>
      <c r="AG14" s="1" t="s">
        <v>22</v>
      </c>
      <c r="AH14" s="1" t="s">
        <v>23</v>
      </c>
    </row>
    <row r="15" ht="6" customHeight="1" spans="1:34" x14ac:dyDescent="0.25">
      <c r="A15" s="65"/>
      <c r="B15" s="3"/>
      <c r="C15" s="21"/>
      <c r="D15" s="4"/>
      <c r="E15" s="5"/>
      <c r="F15" s="43"/>
      <c r="G15" s="35"/>
      <c r="H15" s="8"/>
      <c r="I15" s="74"/>
      <c r="J15" s="75" t="s">
        <v>42</v>
      </c>
      <c r="K15" s="76"/>
      <c r="L15" s="74"/>
      <c r="M15" s="75" t="s">
        <v>42</v>
      </c>
      <c r="N15" s="76"/>
      <c r="O15" s="77" t="s">
        <v>43</v>
      </c>
      <c r="P15" s="78"/>
      <c r="Q15" s="77" t="s">
        <v>43</v>
      </c>
      <c r="R15" s="79"/>
      <c r="S15" s="88"/>
      <c r="T15" s="80"/>
      <c r="U15" s="81"/>
      <c r="V15" s="82"/>
      <c r="W15" s="81"/>
      <c r="AE15" s="1" t="s">
        <v>20</v>
      </c>
      <c r="AF15" s="1" t="s">
        <v>46</v>
      </c>
      <c r="AG15" s="1" t="s">
        <v>22</v>
      </c>
      <c r="AH15" s="1" t="s">
        <v>23</v>
      </c>
    </row>
    <row r="16" ht="9.6" customHeight="1" spans="1:34" x14ac:dyDescent="0.25">
      <c r="A16" s="65"/>
      <c r="B16" s="3"/>
      <c r="C16" s="21"/>
      <c r="D16" s="4"/>
      <c r="E16" s="5"/>
      <c r="F16" s="43"/>
      <c r="G16" s="35"/>
      <c r="H16" s="8"/>
      <c r="I16" s="83">
        <f>IFERROR(INDEX(#REF!,MATCH('Ш Лист 1'!J16,#REF!,0)),"")</f>
      </c>
      <c r="J16" s="84" t="str">
        <f>IF(T16,$U$5,"")</f>
        <v>Майбах М.Б.</v>
      </c>
      <c r="K16" s="85">
        <f>IF(T16,T16,"")</f>
        <v>45198</v>
      </c>
      <c r="L16" s="83">
        <f>IFERROR(INDEX(#REF!,MATCH('Ш Лист 1'!M16,#REF!,0)),"")</f>
      </c>
      <c r="M16" s="84" t="str">
        <f>IF(T16,$U$6,"")</f>
        <v>Руль В.М.</v>
      </c>
      <c r="N16" s="85">
        <f>IF(T16,T16,"")</f>
        <v>45198</v>
      </c>
      <c r="O16" s="86" t="str">
        <f>IF(T16,TEXT(U16,"ч:мм")&amp;" "&amp;TEXT(T16,"дд.мм.гггг"),"")</f>
        <v>ч:мм дд.мм.гггг</v>
      </c>
      <c r="P16" s="87">
        <f>IF(T16,R14,"")</f>
        <v>123889</v>
      </c>
      <c r="Q16" s="86" t="str">
        <f>IF(T16,TEXT(W16,"ч:мм")&amp;" "&amp;TEXT(V16,"дд.мм.гггг"),"")</f>
        <v>ч:мм дд.мм.гггг</v>
      </c>
      <c r="R16" s="70">
        <v>123890</v>
      </c>
      <c r="S16" s="88">
        <v>3</v>
      </c>
      <c r="T16" s="72">
        <v>45198</v>
      </c>
      <c r="U16" s="73">
        <v>0.3694444444445253</v>
      </c>
      <c r="V16" s="72">
        <v>45198</v>
      </c>
      <c r="W16" s="73">
        <v>0.7222222222226264</v>
      </c>
      <c r="Y16" s="1">
        <v>45150</v>
      </c>
      <c r="Z16" s="1">
        <v>0.7291666666666666</v>
      </c>
      <c r="AA16" s="1">
        <v>45151</v>
      </c>
      <c r="AB16" s="1">
        <v>0.2916666666666667</v>
      </c>
      <c r="AE16" s="1" t="s">
        <v>20</v>
      </c>
      <c r="AF16" s="1" t="s">
        <v>47</v>
      </c>
      <c r="AG16" s="1" t="s">
        <v>22</v>
      </c>
      <c r="AH16" s="1" t="s">
        <v>23</v>
      </c>
    </row>
    <row r="17" ht="6" customHeight="1" spans="1:23" x14ac:dyDescent="0.25">
      <c r="A17" s="65"/>
      <c r="B17" s="3"/>
      <c r="C17" s="21"/>
      <c r="D17" s="4"/>
      <c r="E17" s="5"/>
      <c r="F17" s="43"/>
      <c r="G17" s="35"/>
      <c r="H17" s="8"/>
      <c r="I17" s="74"/>
      <c r="J17" s="75" t="s">
        <v>42</v>
      </c>
      <c r="K17" s="89"/>
      <c r="L17" s="74"/>
      <c r="M17" s="75" t="s">
        <v>42</v>
      </c>
      <c r="N17" s="89"/>
      <c r="O17" s="77" t="s">
        <v>43</v>
      </c>
      <c r="P17" s="78"/>
      <c r="Q17" s="77" t="s">
        <v>43</v>
      </c>
      <c r="R17" s="79"/>
      <c r="S17" s="88"/>
      <c r="T17" s="80"/>
      <c r="U17" s="81"/>
      <c r="V17" s="82"/>
      <c r="W17" s="81"/>
    </row>
    <row r="18" ht="9.6" customHeight="1" spans="1:28" x14ac:dyDescent="0.25">
      <c r="A18" s="90" t="s">
        <v>48</v>
      </c>
      <c r="B18" s="3"/>
      <c r="C18" s="21"/>
      <c r="D18" s="4"/>
      <c r="E18" s="5"/>
      <c r="F18" s="43"/>
      <c r="G18" s="35"/>
      <c r="H18" s="8"/>
      <c r="I18" s="83">
        <f>IFERROR(INDEX(#REF!,MATCH('Ш Лист 1'!J18,#REF!,0)),"")</f>
      </c>
      <c r="J18" s="84" t="str">
        <f>IF(T18,$U$5,"")</f>
        <v>Майбах М.Б.</v>
      </c>
      <c r="K18" s="85">
        <f>IF(T18,T18,"")</f>
        <v>45198</v>
      </c>
      <c r="L18" s="83">
        <f>IFERROR(INDEX(#REF!,MATCH('Ш Лист 1'!M18,#REF!,0)),"")</f>
      </c>
      <c r="M18" s="84" t="str">
        <f>IF(T18,$U$6,"")</f>
        <v>Руль В.М.</v>
      </c>
      <c r="N18" s="85">
        <f>IF(T18,T18,"")</f>
        <v>45198</v>
      </c>
      <c r="O18" s="86" t="str">
        <f>IF(T18,TEXT(U18,"ч:мм")&amp;" "&amp;TEXT(T18,"дд.мм.гггг"),"")</f>
        <v>ч:мм дд.мм.гггг</v>
      </c>
      <c r="P18" s="87">
        <f>IF(T18,R16,"")</f>
        <v>123890</v>
      </c>
      <c r="Q18" s="86" t="str">
        <f>IF(T18,TEXT(W18,"ч:мм")&amp;" "&amp;TEXT(V18,"дд.мм.гггг"),"")</f>
        <v>ч:мм дд.мм.гггг</v>
      </c>
      <c r="R18" s="70">
        <v>123891</v>
      </c>
      <c r="S18" s="88">
        <v>4</v>
      </c>
      <c r="T18" s="72">
        <v>45198</v>
      </c>
      <c r="U18" s="73">
        <v>0.26388888889050577</v>
      </c>
      <c r="V18" s="72">
        <v>45198</v>
      </c>
      <c r="W18" s="73">
        <v>0.7222222222226264</v>
      </c>
      <c r="Y18" s="1">
        <v>45150</v>
      </c>
      <c r="Z18" s="1">
        <v>0.7291666666666666</v>
      </c>
      <c r="AA18" s="1">
        <v>45151</v>
      </c>
      <c r="AB18" s="1">
        <v>0.2916666666666667</v>
      </c>
    </row>
    <row r="19" ht="6" customHeight="1" spans="1:23" x14ac:dyDescent="0.25">
      <c r="A19" s="90"/>
      <c r="B19" s="3"/>
      <c r="C19" s="21"/>
      <c r="D19" s="4"/>
      <c r="E19" s="5"/>
      <c r="F19" s="43"/>
      <c r="G19" s="35"/>
      <c r="H19" s="8"/>
      <c r="I19" s="74"/>
      <c r="J19" s="75" t="s">
        <v>42</v>
      </c>
      <c r="K19" s="89"/>
      <c r="L19" s="74"/>
      <c r="M19" s="75" t="s">
        <v>42</v>
      </c>
      <c r="N19" s="89"/>
      <c r="O19" s="77" t="s">
        <v>43</v>
      </c>
      <c r="P19" s="78"/>
      <c r="Q19" s="77" t="s">
        <v>43</v>
      </c>
      <c r="R19" s="79"/>
      <c r="S19" s="88"/>
      <c r="T19" s="80"/>
      <c r="U19" s="81"/>
      <c r="V19" s="82"/>
      <c r="W19" s="81"/>
    </row>
    <row r="20" ht="9.6" customHeight="1" spans="1:28" x14ac:dyDescent="0.25">
      <c r="A20" s="90"/>
      <c r="B20" s="21" t="s">
        <v>49</v>
      </c>
      <c r="C20" s="21"/>
      <c r="D20" s="4"/>
      <c r="E20" s="5"/>
      <c r="F20" s="43"/>
      <c r="G20" s="35"/>
      <c r="H20" s="8"/>
      <c r="I20" s="83">
        <f>IFERROR(INDEX(#REF!,MATCH('Ш Лист 1'!J20,#REF!,0)),"")</f>
      </c>
      <c r="J20" s="84" t="str">
        <f>IF(T20,$U$5,"")</f>
        <v>Майбах М.Б.</v>
      </c>
      <c r="K20" s="85">
        <f>IF(T20,T20,"")</f>
        <v>45198</v>
      </c>
      <c r="L20" s="83">
        <f>IFERROR(INDEX(#REF!,MATCH('Ш Лист 1'!M20,#REF!,0)),"")</f>
      </c>
      <c r="M20" s="84" t="str">
        <f>IF(T20,$U$6,"")</f>
        <v>Руль В.М.</v>
      </c>
      <c r="N20" s="85">
        <f>IF(T20,T20,"")</f>
        <v>45198</v>
      </c>
      <c r="O20" s="86" t="str">
        <f>IF(T20,TEXT(U20,"ч:мм")&amp;" "&amp;TEXT(T20,"дд.мм.гггг"),"")</f>
        <v>ч:мм дд.мм.гггг</v>
      </c>
      <c r="P20" s="87">
        <f>IF(T20,R18,"")</f>
        <v>123891</v>
      </c>
      <c r="Q20" s="86" t="str">
        <f>IF(T20,TEXT(W20,"ч:мм")&amp;" "&amp;TEXT(V20,"дд.мм.гггг"),"")</f>
        <v>ч:мм дд.мм.гггг</v>
      </c>
      <c r="R20" s="70">
        <v>123892</v>
      </c>
      <c r="S20" s="88">
        <v>5</v>
      </c>
      <c r="T20" s="72">
        <v>45198</v>
      </c>
      <c r="U20" s="73">
        <v>0.24305555555474712</v>
      </c>
      <c r="V20" s="72">
        <v>45198</v>
      </c>
      <c r="W20" s="73">
        <v>0.7166666666671517</v>
      </c>
      <c r="Y20" s="1">
        <v>45150</v>
      </c>
      <c r="Z20" s="1">
        <v>0.7291666666666666</v>
      </c>
      <c r="AA20" s="1">
        <v>45151</v>
      </c>
      <c r="AB20" s="1">
        <v>0.2916666666666667</v>
      </c>
    </row>
    <row r="21" ht="6" customHeight="1" spans="1:23" x14ac:dyDescent="0.25">
      <c r="A21" s="90"/>
      <c r="B21" s="21"/>
      <c r="C21" s="34"/>
      <c r="D21" s="4"/>
      <c r="E21" s="5"/>
      <c r="F21" s="43"/>
      <c r="G21" s="35"/>
      <c r="H21" s="8"/>
      <c r="I21" s="74"/>
      <c r="J21" s="75" t="s">
        <v>42</v>
      </c>
      <c r="K21" s="89"/>
      <c r="L21" s="74"/>
      <c r="M21" s="75" t="s">
        <v>42</v>
      </c>
      <c r="N21" s="89"/>
      <c r="O21" s="77" t="s">
        <v>43</v>
      </c>
      <c r="P21" s="78"/>
      <c r="Q21" s="77" t="s">
        <v>43</v>
      </c>
      <c r="R21" s="79"/>
      <c r="S21" s="88"/>
      <c r="T21" s="80"/>
      <c r="U21" s="81"/>
      <c r="V21" s="82"/>
      <c r="W21" s="81"/>
    </row>
    <row r="22" ht="9.6" customHeight="1" spans="1:28" x14ac:dyDescent="0.25">
      <c r="A22" s="90"/>
      <c r="B22" s="21"/>
      <c r="C22" s="34"/>
      <c r="D22" s="4"/>
      <c r="E22" s="5"/>
      <c r="F22" s="43"/>
      <c r="G22" s="35"/>
      <c r="H22" s="8"/>
      <c r="I22" s="83">
        <f>IFERROR(INDEX(#REF!,MATCH('Ш Лист 1'!J22,#REF!,0)),"")</f>
      </c>
      <c r="J22" s="84" t="str">
        <f>IF(T22,$U$5,"")</f>
        <v>Майбах М.Б.</v>
      </c>
      <c r="K22" s="85">
        <f>IF(T22,T22,"")</f>
        <v>45198</v>
      </c>
      <c r="L22" s="83">
        <f>IFERROR(INDEX(#REF!,MATCH('Ш Лист 1'!M22,#REF!,0)),"")</f>
      </c>
      <c r="M22" s="84" t="str">
        <f>IF(T22,$U$6,"")</f>
        <v>Руль В.М.</v>
      </c>
      <c r="N22" s="85">
        <f>IF(T22,T22,"")</f>
        <v>45198</v>
      </c>
      <c r="O22" s="86" t="str">
        <f>IF(T22,TEXT(U22,"ч:мм")&amp;" "&amp;TEXT(T22,"дд.мм.гггг"),"")</f>
        <v>ч:мм дд.мм.гггг</v>
      </c>
      <c r="P22" s="87">
        <f>IF(T22,R20,"")</f>
        <v>123892</v>
      </c>
      <c r="Q22" s="86" t="str">
        <f>IF(T22,TEXT(W22,"ч:мм")&amp;" "&amp;TEXT(V22,"дд.мм.гггг"),"")</f>
        <v>ч:мм дд.мм.гггг</v>
      </c>
      <c r="R22" s="70">
        <v>123893</v>
      </c>
      <c r="S22" s="88">
        <v>6</v>
      </c>
      <c r="T22" s="72">
        <v>45198</v>
      </c>
      <c r="U22" s="73">
        <v>0.3055555555547471</v>
      </c>
      <c r="V22" s="72">
        <v>45198</v>
      </c>
      <c r="W22" s="73">
        <v>0.6597222222226264</v>
      </c>
      <c r="Y22" s="1">
        <v>45150</v>
      </c>
      <c r="Z22" s="1">
        <v>0.7291666666666666</v>
      </c>
      <c r="AA22" s="1">
        <v>45151</v>
      </c>
      <c r="AB22" s="1">
        <v>0.2916666666666667</v>
      </c>
    </row>
    <row r="23" ht="6" customHeight="1" spans="1:23" x14ac:dyDescent="0.25">
      <c r="A23" s="90"/>
      <c r="B23" s="21"/>
      <c r="C23" s="34"/>
      <c r="D23" s="4"/>
      <c r="E23" s="5"/>
      <c r="F23" s="43"/>
      <c r="G23" s="35"/>
      <c r="H23" s="8"/>
      <c r="I23" s="74"/>
      <c r="J23" s="75" t="s">
        <v>42</v>
      </c>
      <c r="K23" s="89"/>
      <c r="L23" s="74"/>
      <c r="M23" s="75" t="s">
        <v>42</v>
      </c>
      <c r="N23" s="89"/>
      <c r="O23" s="77" t="s">
        <v>43</v>
      </c>
      <c r="P23" s="78"/>
      <c r="Q23" s="77" t="s">
        <v>43</v>
      </c>
      <c r="R23" s="79"/>
      <c r="S23" s="88"/>
      <c r="T23" s="80"/>
      <c r="U23" s="81"/>
      <c r="V23" s="82"/>
      <c r="W23" s="81"/>
    </row>
    <row r="24" ht="10.35" customHeight="1" spans="1:28" x14ac:dyDescent="0.25">
      <c r="A24" s="90"/>
      <c r="B24" s="21"/>
      <c r="C24" s="34"/>
      <c r="D24" s="4"/>
      <c r="E24" s="5"/>
      <c r="F24" s="43"/>
      <c r="G24" s="35"/>
      <c r="H24" s="8"/>
      <c r="I24" s="83">
        <f>IFERROR(INDEX(#REF!,MATCH('Ш Лист 1'!J24,#REF!,0)),"")</f>
      </c>
      <c r="J24" s="84" t="str">
        <f>IF(T24,$U$5,"")</f>
        <v>Майбах М.Б.</v>
      </c>
      <c r="K24" s="85">
        <f>IF(T24,T24,"")</f>
        <v>45198</v>
      </c>
      <c r="L24" s="83">
        <f>IFERROR(INDEX(#REF!,MATCH('Ш Лист 1'!M24,#REF!,0)),"")</f>
      </c>
      <c r="M24" s="84" t="str">
        <f>IF(T24,$U$6,"")</f>
        <v>Руль В.М.</v>
      </c>
      <c r="N24" s="85">
        <f>IF(T24,T24,"")</f>
        <v>45198</v>
      </c>
      <c r="O24" s="86" t="str">
        <f>IF(T24,TEXT(U24,"ч:мм")&amp;" "&amp;TEXT(T24,"дд.мм.гггг"),"")</f>
        <v>ч:мм дд.мм.гггг</v>
      </c>
      <c r="P24" s="87">
        <f>IF(T24,R22,"")</f>
        <v>123893</v>
      </c>
      <c r="Q24" s="86" t="str">
        <f>IF(T24,TEXT(W24,"ч:мм")&amp;" "&amp;TEXT(V24,"дд.мм.гггг"),"")</f>
        <v>ч:мм дд.мм.гггг</v>
      </c>
      <c r="R24" s="70">
        <v>123894</v>
      </c>
      <c r="S24" s="88">
        <v>7</v>
      </c>
      <c r="T24" s="72">
        <v>45198</v>
      </c>
      <c r="U24" s="73">
        <v>0.5138888888905058</v>
      </c>
      <c r="V24" s="72">
        <v>45198</v>
      </c>
      <c r="W24" s="73">
        <v>0.7569444444452529</v>
      </c>
      <c r="Y24" s="1">
        <v>45150</v>
      </c>
      <c r="Z24" s="1">
        <v>0.7291666666666666</v>
      </c>
      <c r="AA24" s="1">
        <v>45151</v>
      </c>
      <c r="AB24" s="1">
        <v>0.2916666666666667</v>
      </c>
    </row>
    <row r="25" ht="6" customHeight="1" spans="1:23" x14ac:dyDescent="0.25">
      <c r="A25" s="90"/>
      <c r="B25" s="21"/>
      <c r="C25" s="34"/>
      <c r="D25" s="4"/>
      <c r="E25" s="5"/>
      <c r="F25" s="43"/>
      <c r="G25" s="35"/>
      <c r="H25" s="8"/>
      <c r="I25" s="74"/>
      <c r="J25" s="75" t="s">
        <v>42</v>
      </c>
      <c r="K25" s="89"/>
      <c r="L25" s="74"/>
      <c r="M25" s="75" t="s">
        <v>42</v>
      </c>
      <c r="N25" s="89"/>
      <c r="O25" s="77" t="s">
        <v>43</v>
      </c>
      <c r="P25" s="78"/>
      <c r="Q25" s="77" t="s">
        <v>43</v>
      </c>
      <c r="R25" s="79"/>
      <c r="S25" s="88"/>
      <c r="T25" s="80"/>
      <c r="U25" s="81"/>
      <c r="V25" s="82"/>
      <c r="W25" s="81"/>
    </row>
    <row r="26" ht="10.35" customHeight="1" spans="1:23" x14ac:dyDescent="0.25">
      <c r="A26" s="90"/>
      <c r="B26" s="21"/>
      <c r="C26" s="91">
        <f>O33</f>
      </c>
      <c r="D26" s="4"/>
      <c r="E26" s="5"/>
      <c r="F26" s="43"/>
      <c r="G26" s="35"/>
      <c r="H26" s="8"/>
      <c r="I26" s="83">
        <f>IFERROR(INDEX(#REF!,MATCH('Ш Лист 1'!J26,#REF!,0)),"")</f>
      </c>
      <c r="J26" s="84" t="str">
        <f>IF(T26,$U$5,"")</f>
        <v>Майбах М.Б.</v>
      </c>
      <c r="K26" s="85">
        <f>IF(T26,T26,"")</f>
        <v>45198</v>
      </c>
      <c r="L26" s="83">
        <f>IFERROR(INDEX(#REF!,MATCH('Ш Лист 1'!M26,#REF!,0)),"")</f>
      </c>
      <c r="M26" s="84" t="str">
        <f>IF(T26,$U$6,"")</f>
        <v>Руль В.М.</v>
      </c>
      <c r="N26" s="85">
        <f>IF(T26,T26,"")</f>
        <v>45198</v>
      </c>
      <c r="O26" s="86" t="str">
        <f>IF(T26,TEXT(U26,"ч:мм")&amp;" "&amp;TEXT(T26,"дд.мм.гггг"),"")</f>
        <v>ч:мм дд.мм.гггг</v>
      </c>
      <c r="P26" s="87">
        <f>IF(T26,R24,"")</f>
        <v>123894</v>
      </c>
      <c r="Q26" s="86" t="str">
        <f>IF(T26,TEXT(W26,"ч:мм")&amp;" "&amp;TEXT(V26,"дд.мм.гггг"),"")</f>
        <v>ч:мм дд.мм.гггг</v>
      </c>
      <c r="R26" s="70">
        <v>123895</v>
      </c>
      <c r="S26" s="88">
        <v>8</v>
      </c>
      <c r="T26" s="72">
        <v>45198</v>
      </c>
      <c r="U26" s="73">
        <v>0.5208333333321207</v>
      </c>
      <c r="V26" s="72">
        <v>45198</v>
      </c>
      <c r="W26" s="73">
        <v>0.7986111111094942</v>
      </c>
    </row>
    <row r="27" ht="6" customHeight="1" spans="1:23" x14ac:dyDescent="0.25">
      <c r="A27" s="90"/>
      <c r="B27" s="21"/>
      <c r="C27" s="91"/>
      <c r="D27" s="4"/>
      <c r="E27" s="5"/>
      <c r="F27" s="43"/>
      <c r="G27" s="35"/>
      <c r="H27" s="8"/>
      <c r="I27" s="74"/>
      <c r="J27" s="75" t="s">
        <v>42</v>
      </c>
      <c r="K27" s="89"/>
      <c r="L27" s="74"/>
      <c r="M27" s="75" t="s">
        <v>42</v>
      </c>
      <c r="N27" s="89"/>
      <c r="O27" s="77" t="s">
        <v>43</v>
      </c>
      <c r="P27" s="78"/>
      <c r="Q27" s="77" t="s">
        <v>43</v>
      </c>
      <c r="R27" s="79"/>
      <c r="S27" s="88"/>
      <c r="T27" s="80"/>
      <c r="U27" s="81"/>
      <c r="V27" s="82"/>
      <c r="W27" s="81"/>
    </row>
    <row r="28" ht="9.6" customHeight="1" spans="1:23" x14ac:dyDescent="0.25">
      <c r="A28" s="90"/>
      <c r="B28" s="21"/>
      <c r="C28" s="91"/>
      <c r="D28" s="4"/>
      <c r="E28" s="5"/>
      <c r="F28" s="43"/>
      <c r="G28" s="35"/>
      <c r="H28" s="8"/>
      <c r="I28" s="83">
        <f>IFERROR(INDEX(#REF!,MATCH('Ш Лист 1'!J28,#REF!,0)),"")</f>
      </c>
      <c r="J28" s="84">
        <f>IF(T28,$U$5,"")</f>
      </c>
      <c r="K28" s="85">
        <f>IF(T28,T28,"")</f>
      </c>
      <c r="L28" s="83">
        <f>IFERROR(INDEX(#REF!,MATCH('Ш Лист 1'!M28,#REF!,0)),"")</f>
      </c>
      <c r="M28" s="84">
        <f>IF(T28,$U$6,"")</f>
      </c>
      <c r="N28" s="85">
        <f>IF(T28,T28,"")</f>
      </c>
      <c r="O28" s="86">
        <f>IF(T28,TEXT(U28,"ч:мм")&amp;" "&amp;TEXT(T28,"дд.мм.гггг"),"")</f>
      </c>
      <c r="P28" s="87">
        <f>IF(T28,R26,"")</f>
      </c>
      <c r="Q28" s="86">
        <f>IF(T28,TEXT(W28,"ч:мм")&amp;" "&amp;TEXT(V28,"дд.мм.гггг"),"")</f>
      </c>
      <c r="R28" s="70"/>
      <c r="S28" s="88">
        <v>9</v>
      </c>
      <c r="T28" s="72"/>
      <c r="U28" s="73"/>
      <c r="V28" s="72"/>
      <c r="W28" s="73"/>
    </row>
    <row r="29" ht="6" customHeight="1" spans="1:23" x14ac:dyDescent="0.25">
      <c r="A29" s="90"/>
      <c r="B29" s="21"/>
      <c r="C29" s="91"/>
      <c r="D29" s="4"/>
      <c r="E29" s="5"/>
      <c r="F29" s="43"/>
      <c r="G29" s="35"/>
      <c r="H29" s="8"/>
      <c r="I29" s="74"/>
      <c r="J29" s="75" t="s">
        <v>42</v>
      </c>
      <c r="K29" s="89"/>
      <c r="L29" s="74"/>
      <c r="M29" s="75" t="s">
        <v>42</v>
      </c>
      <c r="N29" s="89"/>
      <c r="O29" s="77" t="s">
        <v>43</v>
      </c>
      <c r="P29" s="78"/>
      <c r="Q29" s="77" t="s">
        <v>43</v>
      </c>
      <c r="R29" s="79"/>
      <c r="S29" s="88"/>
      <c r="T29" s="80"/>
      <c r="U29" s="81"/>
      <c r="V29" s="82"/>
      <c r="W29" s="81"/>
    </row>
    <row r="30" ht="9.6" customHeight="1" spans="1:23" x14ac:dyDescent="0.25">
      <c r="A30" s="90"/>
      <c r="B30" s="21"/>
      <c r="C30" s="91"/>
      <c r="D30" s="4"/>
      <c r="E30" s="5"/>
      <c r="F30" s="43"/>
      <c r="G30" s="35"/>
      <c r="H30" s="8"/>
      <c r="I30" s="83">
        <f>IFERROR(INDEX(#REF!,MATCH('Ш Лист 1'!J30,#REF!,0)),"")</f>
      </c>
      <c r="J30" s="84">
        <f>IF(T30,$U$5,"")</f>
      </c>
      <c r="K30" s="85">
        <f>IF(T30,T30,"")</f>
      </c>
      <c r="L30" s="83">
        <f>IFERROR(INDEX(#REF!,MATCH('Ш Лист 1'!M30,#REF!,0)),"")</f>
      </c>
      <c r="M30" s="84">
        <f>IF(T30,$U$6,"")</f>
      </c>
      <c r="N30" s="85">
        <f>IF(T30,T30,"")</f>
      </c>
      <c r="O30" s="86">
        <f>IF(T30,TEXT(U30,"ч:мм")&amp;" "&amp;TEXT(T30,"дд.мм.гггг"),"")</f>
      </c>
      <c r="P30" s="87">
        <f>IF(T30,R28,"")</f>
      </c>
      <c r="Q30" s="86">
        <f>IF(T30,TEXT(W30,"ч:мм")&amp;" "&amp;TEXT(V30,"дд.мм.гггг"),"")</f>
      </c>
      <c r="R30" s="70"/>
      <c r="S30" s="88">
        <v>10</v>
      </c>
      <c r="T30" s="72"/>
      <c r="U30" s="73"/>
      <c r="V30" s="72"/>
      <c r="W30" s="73"/>
    </row>
    <row r="31" ht="6" customHeight="1" spans="1:23" x14ac:dyDescent="0.25">
      <c r="A31" s="90"/>
      <c r="B31" s="21"/>
      <c r="C31" s="91"/>
      <c r="D31" s="4"/>
      <c r="E31" s="5"/>
      <c r="F31" s="92"/>
      <c r="G31" s="35"/>
      <c r="H31" s="8"/>
      <c r="I31" s="74"/>
      <c r="J31" s="75" t="s">
        <v>42</v>
      </c>
      <c r="K31" s="76"/>
      <c r="L31" s="74"/>
      <c r="M31" s="75" t="s">
        <v>42</v>
      </c>
      <c r="N31" s="76"/>
      <c r="O31" s="77" t="s">
        <v>43</v>
      </c>
      <c r="P31" s="78"/>
      <c r="Q31" s="77" t="s">
        <v>43</v>
      </c>
      <c r="R31" s="79"/>
      <c r="T31" s="93"/>
      <c r="U31" s="94"/>
      <c r="V31" s="95"/>
      <c r="W31" s="94"/>
    </row>
    <row r="32" ht="25.7" customHeight="1" spans="1:24" x14ac:dyDescent="0.25">
      <c r="A32" s="90"/>
      <c r="B32" s="21"/>
      <c r="C32" s="91"/>
      <c r="D32" s="4"/>
      <c r="E32" s="5"/>
      <c r="F32" s="92"/>
      <c r="G32" s="35"/>
      <c r="H32" s="8"/>
      <c r="I32" s="96" t="s">
        <v>50</v>
      </c>
      <c r="J32" s="96" t="s">
        <v>51</v>
      </c>
      <c r="K32" s="96" t="s">
        <v>52</v>
      </c>
      <c r="L32" s="96" t="s">
        <v>53</v>
      </c>
      <c r="M32" s="97" t="s">
        <v>54</v>
      </c>
      <c r="N32" s="97" t="s">
        <v>55</v>
      </c>
      <c r="O32" s="97" t="s">
        <v>56</v>
      </c>
      <c r="P32" s="97" t="s">
        <v>57</v>
      </c>
      <c r="Q32" s="97" t="s">
        <v>58</v>
      </c>
      <c r="R32" s="97" t="s">
        <v>59</v>
      </c>
      <c r="S32" s="1" t="s">
        <v>60</v>
      </c>
      <c r="T32" s="1">
        <f>COLUMN()</f>
        <v>20</v>
      </c>
      <c r="U32" s="1">
        <f>COLUMN()</f>
        <v>21</v>
      </c>
      <c r="V32" s="1">
        <f>COLUMN()</f>
        <v>22</v>
      </c>
      <c r="W32" s="1">
        <f>COLUMN()</f>
        <v>23</v>
      </c>
      <c r="X32" s="1">
        <f>COUNT(T12:T31)</f>
        <v>8</v>
      </c>
    </row>
    <row r="33" ht="25.7" customHeight="1" spans="1:19" s="52" customFormat="1" x14ac:dyDescent="0.25">
      <c r="A33" s="90"/>
      <c r="B33" s="98" t="str">
        <f>L33</f>
        <v>бетмобіль</v>
      </c>
      <c r="C33" s="91"/>
      <c r="D33" s="4"/>
      <c r="E33" s="5"/>
      <c r="F33" s="99"/>
      <c r="G33" s="35"/>
      <c r="H33" s="100"/>
      <c r="I33" s="101">
        <f>O3</f>
        <v>35</v>
      </c>
      <c r="J33" s="102">
        <f>U4</f>
        <v>45201</v>
      </c>
      <c r="K33" s="103" t="str">
        <f>S33&amp;" "&amp;S34</f>
        <v>Наряд № </v>
      </c>
      <c r="L33" s="104" t="s">
        <v>61</v>
      </c>
      <c r="M33" s="101" t="e">
        <f>INDEX(#REF!,MATCH('Ш Лист 1'!L33,#REF!,0))</f>
        <v>#REF!</v>
      </c>
      <c r="N33" s="104"/>
      <c r="O33" s="101">
        <f>IFERROR(INDEX(#REF!,MATCH('Ш Лист 1'!N33,#REF!,0)),"")</f>
      </c>
      <c r="P33" s="101" t="e">
        <f>INDEX(#REF!,MATCH('Ш Лист 1'!L33,#REF!,0))</f>
        <v>#REF!</v>
      </c>
      <c r="Q33" s="101"/>
      <c r="R33" s="101"/>
      <c r="S33" s="105" t="s">
        <v>62</v>
      </c>
    </row>
    <row r="34" ht="12" customHeight="1" spans="1:19" x14ac:dyDescent="0.25">
      <c r="A34" s="90"/>
      <c r="B34" s="98"/>
      <c r="C34" s="91"/>
      <c r="D34" s="4"/>
      <c r="E34" s="5"/>
      <c r="F34" s="92"/>
      <c r="G34" s="35"/>
      <c r="H34" s="8"/>
      <c r="I34" s="106" t="s">
        <v>63</v>
      </c>
      <c r="J34" s="107"/>
      <c r="K34" s="107"/>
      <c r="L34" s="107"/>
      <c r="M34" s="107"/>
      <c r="N34" s="107"/>
      <c r="O34" s="107"/>
      <c r="P34" s="107"/>
      <c r="Q34" s="107"/>
      <c r="R34" s="107"/>
      <c r="S34" s="105"/>
    </row>
    <row r="35" ht="34.7" customHeight="1" spans="1:18" x14ac:dyDescent="0.25">
      <c r="A35" s="90"/>
      <c r="B35" s="98"/>
      <c r="C35" s="21" t="s">
        <v>64</v>
      </c>
      <c r="D35" s="4"/>
      <c r="E35" s="5"/>
      <c r="F35" s="21" t="s">
        <v>65</v>
      </c>
      <c r="G35" s="35"/>
      <c r="H35" s="8"/>
      <c r="I35" s="96" t="s">
        <v>66</v>
      </c>
      <c r="J35" s="96" t="s">
        <v>67</v>
      </c>
      <c r="K35" s="96" t="s">
        <v>68</v>
      </c>
      <c r="L35" s="108" t="s">
        <v>69</v>
      </c>
      <c r="M35" s="109"/>
      <c r="N35" s="97" t="s">
        <v>70</v>
      </c>
      <c r="O35" s="97" t="s">
        <v>71</v>
      </c>
      <c r="P35" s="97" t="s">
        <v>72</v>
      </c>
      <c r="Q35" s="97" t="s">
        <v>73</v>
      </c>
      <c r="R35" s="97" t="s">
        <v>74</v>
      </c>
    </row>
    <row r="36" ht="10.7" customHeight="1" spans="1:19" x14ac:dyDescent="0.25">
      <c r="A36" s="42"/>
      <c r="B36" s="98"/>
      <c r="C36" s="21"/>
      <c r="D36" s="21" t="s">
        <v>75</v>
      </c>
      <c r="E36" s="21" t="s">
        <v>76</v>
      </c>
      <c r="F36" s="21"/>
      <c r="G36" s="110"/>
      <c r="H36" s="8"/>
      <c r="I36" s="111" t="e">
        <f>IF(M36,'Ш Лист 2'!$A$18,"")</f>
        <v>#REF!</v>
      </c>
      <c r="J36" s="112"/>
      <c r="K36" s="112">
        <v>12</v>
      </c>
      <c r="L36" s="113">
        <v>45198</v>
      </c>
      <c r="M36" s="112">
        <v>50</v>
      </c>
      <c r="N36" s="114" t="e">
        <f>SUMIFS($M$36:$M$44,$I$36:$I$44,I36)+SUMIFS($K$36:$K$44,$I$36:$I$44,I36)-O36</f>
        <v>#REF!</v>
      </c>
      <c r="O36" s="114" t="e">
        <f>'Ш Лист 2'!H18</f>
        <v>#REF!</v>
      </c>
      <c r="P36" s="114" t="e">
        <f t="shared" ref="P36:P41" si="0">O36</f>
        <v>#REF!</v>
      </c>
      <c r="Q36" s="114" t="e">
        <f>IF(O36&lt;P36,P36-O36,"")</f>
        <v>#REF!</v>
      </c>
      <c r="R36" s="115" t="e">
        <f>IF(O36&gt;P36,O36-P36,"")</f>
        <v>#REF!</v>
      </c>
      <c r="S36" s="116"/>
    </row>
    <row r="37" ht="10.7" customHeight="1" spans="1:19" x14ac:dyDescent="0.25">
      <c r="A37" s="42"/>
      <c r="B37" s="98"/>
      <c r="C37" s="21"/>
      <c r="D37" s="21"/>
      <c r="E37" s="21"/>
      <c r="F37" s="21"/>
      <c r="G37" s="110"/>
      <c r="H37" s="8"/>
      <c r="I37" s="111">
        <f>IF(M37,'Ш Лист 2'!$A$18,"")</f>
      </c>
      <c r="J37" s="112"/>
      <c r="K37" s="112"/>
      <c r="L37" s="113"/>
      <c r="M37" s="112"/>
      <c r="N37" s="114"/>
      <c r="O37" s="114"/>
      <c r="P37" s="114"/>
      <c r="Q37" s="114">
        <f t="shared" ref="Q37:Q42" si="1">IF(O37&lt;P37,P37-O37,"")</f>
      </c>
      <c r="R37" s="115">
        <f t="shared" ref="R37:R42" si="2">IF(O37&gt;P37,O37-P37,"")</f>
      </c>
      <c r="S37" s="116"/>
    </row>
    <row r="38" ht="10.7" customHeight="1" spans="1:19" x14ac:dyDescent="0.25">
      <c r="A38" s="42"/>
      <c r="B38" s="98"/>
      <c r="C38" s="21"/>
      <c r="D38" s="21"/>
      <c r="E38" s="21"/>
      <c r="F38" s="21"/>
      <c r="G38" s="110"/>
      <c r="H38" s="8"/>
      <c r="I38" s="111">
        <f>IF(M38,'Ш Лист 2'!$A$18,"")</f>
      </c>
      <c r="J38" s="112"/>
      <c r="K38" s="112"/>
      <c r="L38" s="113"/>
      <c r="M38" s="112"/>
      <c r="N38" s="114"/>
      <c r="O38" s="114"/>
      <c r="P38" s="114"/>
      <c r="Q38" s="114">
        <f t="shared" si="1"/>
      </c>
      <c r="R38" s="115">
        <f t="shared" si="2"/>
      </c>
      <c r="S38" s="116"/>
    </row>
    <row r="39" ht="10.7" customHeight="1" spans="1:18" x14ac:dyDescent="0.25">
      <c r="A39" s="42"/>
      <c r="B39" s="21" t="s">
        <v>77</v>
      </c>
      <c r="C39" s="21"/>
      <c r="D39" s="21"/>
      <c r="E39" s="21"/>
      <c r="F39" s="21"/>
      <c r="G39" s="110"/>
      <c r="H39" s="8"/>
      <c r="I39" s="111">
        <f>IF(M39,'Ш Лист 2'!$A$18,"")</f>
      </c>
      <c r="J39" s="112"/>
      <c r="K39" s="112"/>
      <c r="L39" s="113"/>
      <c r="M39" s="112"/>
      <c r="N39" s="114"/>
      <c r="O39" s="114"/>
      <c r="P39" s="114"/>
      <c r="Q39" s="114">
        <f t="shared" si="1"/>
      </c>
      <c r="R39" s="115">
        <f t="shared" si="2"/>
      </c>
    </row>
    <row r="40" ht="10.7" customHeight="1" spans="1:19" x14ac:dyDescent="0.25">
      <c r="A40" s="42"/>
      <c r="B40" s="21"/>
      <c r="C40" s="21"/>
      <c r="D40" s="21"/>
      <c r="E40" s="21"/>
      <c r="F40" s="21"/>
      <c r="G40" s="110"/>
      <c r="H40" s="8"/>
      <c r="I40" s="111">
        <f>IF(M40,'Ш Лист 2'!$A$18,"")</f>
      </c>
      <c r="J40" s="112"/>
      <c r="K40" s="112"/>
      <c r="L40" s="113"/>
      <c r="M40" s="112"/>
      <c r="N40" s="114"/>
      <c r="O40" s="114"/>
      <c r="P40" s="114"/>
      <c r="Q40" s="114">
        <f t="shared" si="1"/>
      </c>
      <c r="R40" s="115">
        <f t="shared" si="2"/>
      </c>
      <c r="S40" s="116">
        <f>COUNT(L36:L40)</f>
        <v>1</v>
      </c>
    </row>
    <row r="41" ht="10.7" customHeight="1" spans="1:19" x14ac:dyDescent="0.25">
      <c r="A41" s="42"/>
      <c r="B41" s="21"/>
      <c r="C41" s="21"/>
      <c r="D41" s="21"/>
      <c r="E41" s="21"/>
      <c r="F41" s="21"/>
      <c r="G41" s="110"/>
      <c r="H41" s="8"/>
      <c r="I41" s="111">
        <f>IF(M41,'Ш Лист 2'!$A$20,"")</f>
      </c>
      <c r="J41" s="117"/>
      <c r="K41" s="117"/>
      <c r="L41" s="118"/>
      <c r="M41" s="117"/>
      <c r="N41" s="114">
        <f>IFERROR(SUMIFS($M$36:$M$44,$I$36:$I$44,I41)+SUMIFS($K$36:$K$44,$I$36:$I$44,I41)-O41,"")</f>
      </c>
      <c r="O41" s="114">
        <f>'Ш Лист 2'!F20</f>
      </c>
      <c r="P41" s="114">
        <f t="shared" si="0"/>
      </c>
      <c r="Q41" s="114">
        <f t="shared" si="1"/>
      </c>
      <c r="R41" s="115">
        <f t="shared" si="2"/>
      </c>
      <c r="S41" s="116"/>
    </row>
    <row r="42" ht="10.7" customHeight="1" spans="1:19" x14ac:dyDescent="0.25">
      <c r="A42" s="42"/>
      <c r="B42" s="21"/>
      <c r="C42" s="21"/>
      <c r="D42" s="21"/>
      <c r="E42" s="21"/>
      <c r="F42" s="21"/>
      <c r="G42" s="110"/>
      <c r="H42" s="8"/>
      <c r="I42" s="111">
        <f>IF(M42,'Ш Лист 2'!$A$20,"")</f>
      </c>
      <c r="J42" s="117"/>
      <c r="K42" s="117"/>
      <c r="L42" s="118"/>
      <c r="M42" s="117"/>
      <c r="N42" s="114"/>
      <c r="O42" s="114"/>
      <c r="P42" s="114"/>
      <c r="Q42" s="114">
        <f t="shared" si="1"/>
      </c>
      <c r="R42" s="115">
        <f t="shared" si="2"/>
      </c>
      <c r="S42" s="116"/>
    </row>
    <row r="43" ht="10.7" customHeight="1" spans="1:19" x14ac:dyDescent="0.25">
      <c r="A43" s="42"/>
      <c r="B43" s="21"/>
      <c r="C43" s="21"/>
      <c r="D43" s="21"/>
      <c r="E43" s="21"/>
      <c r="F43" s="21"/>
      <c r="G43" s="110"/>
      <c r="H43" s="8"/>
      <c r="I43" s="111">
        <f>IF(M43,'Ш Лист 2'!$A$20,"")</f>
      </c>
      <c r="J43" s="117"/>
      <c r="K43" s="117"/>
      <c r="L43" s="118"/>
      <c r="M43" s="117"/>
      <c r="N43" s="114"/>
      <c r="O43" s="114"/>
      <c r="P43" s="114"/>
      <c r="Q43" s="114">
        <f t="shared" ref="Q43:Q44" si="3">IF(O43&lt;P43,P43-O43,"")</f>
      </c>
      <c r="R43" s="115">
        <f t="shared" ref="R43:R44" si="4">IF(O43&gt;P43,O43-P43,"")</f>
      </c>
      <c r="S43" s="116"/>
    </row>
    <row r="44" ht="10.7" customHeight="1" spans="2:19" x14ac:dyDescent="0.25">
      <c r="B44" s="21"/>
      <c r="C44" s="21"/>
      <c r="D44" s="21"/>
      <c r="E44" s="21"/>
      <c r="F44" s="21"/>
      <c r="G44" s="110"/>
      <c r="H44" s="8"/>
      <c r="I44" s="111">
        <f>IF(M44,'Ш Лист 2'!$A$20,"")</f>
      </c>
      <c r="J44" s="117"/>
      <c r="K44" s="117"/>
      <c r="L44" s="118"/>
      <c r="M44" s="117"/>
      <c r="N44" s="114"/>
      <c r="O44" s="114"/>
      <c r="P44" s="114"/>
      <c r="Q44" s="114">
        <f t="shared" si="3"/>
      </c>
      <c r="R44" s="115">
        <f t="shared" si="4"/>
      </c>
      <c r="S44" s="116">
        <f>COUNT(L41:L44)</f>
        <v>0</v>
      </c>
    </row>
  </sheetData>
  <mergeCells count="33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 zoomScale="100" zoomScaleNormal="100" view="pageBreakPreview">
      <selection activeCell="A6" sqref="A6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19" t="s">
        <v>78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ht="15.75" customHeight="1" spans="1:14" x14ac:dyDescent="0.25">
      <c r="A2" s="120" t="s">
        <v>79</v>
      </c>
      <c r="B2" s="121" t="s">
        <v>80</v>
      </c>
      <c r="C2" s="121"/>
      <c r="D2" s="122" t="s">
        <v>81</v>
      </c>
      <c r="E2" s="122"/>
      <c r="F2" s="122"/>
      <c r="G2" s="122"/>
      <c r="H2" s="122"/>
      <c r="I2" s="121" t="s">
        <v>82</v>
      </c>
      <c r="J2" s="121"/>
      <c r="K2" s="121"/>
      <c r="L2" s="121" t="s">
        <v>83</v>
      </c>
      <c r="M2" s="121"/>
      <c r="N2" s="121" t="s">
        <v>84</v>
      </c>
    </row>
    <row r="3" ht="30.6" customHeight="1" spans="1:14" x14ac:dyDescent="0.25">
      <c r="A3" s="120"/>
      <c r="B3" s="121"/>
      <c r="C3" s="121"/>
      <c r="D3" s="123" t="s">
        <v>85</v>
      </c>
      <c r="E3" s="123" t="s">
        <v>86</v>
      </c>
      <c r="F3" s="123" t="s">
        <v>87</v>
      </c>
      <c r="G3" s="122" t="s">
        <v>88</v>
      </c>
      <c r="H3" s="122"/>
      <c r="I3" s="121"/>
      <c r="J3" s="121"/>
      <c r="K3" s="121"/>
      <c r="L3" s="121"/>
      <c r="M3" s="121"/>
      <c r="N3" s="121"/>
    </row>
    <row r="4" ht="91.35" customHeight="1" spans="1:15" x14ac:dyDescent="0.25">
      <c r="A4" s="120"/>
      <c r="B4" s="123" t="s">
        <v>89</v>
      </c>
      <c r="C4" s="123" t="s">
        <v>90</v>
      </c>
      <c r="D4" s="123"/>
      <c r="E4" s="123"/>
      <c r="F4" s="123"/>
      <c r="G4" s="124" t="s">
        <v>91</v>
      </c>
      <c r="H4" s="124" t="s">
        <v>92</v>
      </c>
      <c r="I4" s="123" t="s">
        <v>93</v>
      </c>
      <c r="J4" s="123" t="s">
        <v>94</v>
      </c>
      <c r="K4" s="123" t="s">
        <v>87</v>
      </c>
      <c r="L4" s="124" t="s">
        <v>95</v>
      </c>
      <c r="M4" s="123" t="s">
        <v>96</v>
      </c>
      <c r="N4" s="121"/>
      <c r="O4" s="125" t="s">
        <v>97</v>
      </c>
    </row>
    <row r="5" ht="15.75" customHeight="1" spans="1:14" x14ac:dyDescent="0.25">
      <c r="A5" s="126">
        <v>1</v>
      </c>
      <c r="B5" s="126">
        <v>2</v>
      </c>
      <c r="C5" s="126">
        <v>3</v>
      </c>
      <c r="D5" s="126">
        <v>4</v>
      </c>
      <c r="E5" s="126">
        <v>5</v>
      </c>
      <c r="F5" s="126">
        <v>6</v>
      </c>
      <c r="G5" s="126">
        <v>7</v>
      </c>
      <c r="H5" s="126">
        <v>8</v>
      </c>
      <c r="I5" s="126">
        <v>9</v>
      </c>
      <c r="J5" s="126">
        <v>10</v>
      </c>
      <c r="K5" s="126">
        <v>11</v>
      </c>
      <c r="L5" s="126">
        <v>12</v>
      </c>
      <c r="M5" s="126">
        <v>13</v>
      </c>
      <c r="N5" s="126">
        <v>14</v>
      </c>
    </row>
    <row r="6" ht="16.7" customHeight="1" spans="1:16" x14ac:dyDescent="0.25">
      <c r="A6" s="127" t="s">
        <v>15</v>
      </c>
      <c r="B6" s="128" t="str">
        <f>IF('Ш Лист 1'!T12,TEXT('Ш Лист 1'!U12,"ч:мм")&amp;CHAR(10)&amp;TEXT('Ш Лист 1'!T12,"дд.мм.гг"),"")</f>
        <v>ч:мм
дд.мм.гг</v>
      </c>
      <c r="C6" s="128" t="str">
        <f>IF('Ш Лист 1'!T12,TEXT('Ш Лист 1'!W12,"ч:мм")&amp;CHAR(10)&amp;TEXT('Ш Лист 1'!V12,"дд.мм.гг"),"")</f>
        <v>ч:мм
дд.мм.гг</v>
      </c>
      <c r="D6" s="129"/>
      <c r="E6" s="129"/>
      <c r="F6" s="130">
        <f>IFERROR('Ш Лист 1'!R12-'Ш Лист 1'!P12,0)</f>
        <v>111</v>
      </c>
      <c r="G6" s="129"/>
      <c r="H6" s="129"/>
      <c r="I6" s="129"/>
      <c r="J6" s="129"/>
      <c r="K6" s="129"/>
      <c r="L6" s="129"/>
      <c r="M6" s="129"/>
      <c r="N6" s="131">
        <f>IF('Ш Лист 1'!R12,'Ш Лист 1'!R12,"")</f>
        <v>123888</v>
      </c>
      <c r="P6" s="132">
        <v>1</v>
      </c>
    </row>
    <row r="7" ht="16.7" customHeight="1" spans="1:16" x14ac:dyDescent="0.25">
      <c r="A7" s="127" t="s">
        <v>98</v>
      </c>
      <c r="B7" s="128" t="str">
        <f>IF('Ш Лист 1'!T14,TEXT('Ш Лист 1'!U14,"ч:мм")&amp;CHAR(10)&amp;TEXT('Ш Лист 1'!T14,"дд.мм.гг"),"")</f>
        <v>ч:мм
дд.мм.гг</v>
      </c>
      <c r="C7" s="128" t="str">
        <f>IF('Ш Лист 1'!T14,TEXT('Ш Лист 1'!W14,"ч:мм")&amp;CHAR(10)&amp;TEXT('Ш Лист 1'!V14,"дд.мм.гг"),"")</f>
        <v>ч:мм
дд.мм.гг</v>
      </c>
      <c r="D7" s="129"/>
      <c r="E7" s="129"/>
      <c r="F7" s="130">
        <f>IFERROR('Ш Лист 1'!R14-'Ш Лист 1'!P14,0)</f>
        <v>1</v>
      </c>
      <c r="G7" s="129"/>
      <c r="H7" s="129"/>
      <c r="I7" s="129"/>
      <c r="J7" s="129"/>
      <c r="K7" s="129"/>
      <c r="L7" s="129"/>
      <c r="M7" s="129"/>
      <c r="N7" s="131">
        <f>IF('Ш Лист 1'!R14,'Ш Лист 1'!R14,"")</f>
        <v>123889</v>
      </c>
      <c r="P7" s="132">
        <v>2</v>
      </c>
    </row>
    <row r="8" ht="16.7" customHeight="1" spans="1:16" x14ac:dyDescent="0.25">
      <c r="A8" s="127" t="s">
        <v>98</v>
      </c>
      <c r="B8" s="128" t="str">
        <f>IF('Ш Лист 1'!T16,TEXT('Ш Лист 1'!U16,"ч:мм")&amp;CHAR(10)&amp;TEXT('Ш Лист 1'!T16,"дд.мм.гг"),"")</f>
        <v>ч:мм
дд.мм.гг</v>
      </c>
      <c r="C8" s="128" t="str">
        <f>IF('Ш Лист 1'!T16,TEXT('Ш Лист 1'!W16,"ч:мм")&amp;CHAR(10)&amp;TEXT('Ш Лист 1'!V16,"дд.мм.гг"),"")</f>
        <v>ч:мм
дд.мм.гг</v>
      </c>
      <c r="D8" s="129"/>
      <c r="E8" s="129"/>
      <c r="F8" s="130">
        <f>IFERROR('Ш Лист 1'!R16-'Ш Лист 1'!P16,0)</f>
        <v>1</v>
      </c>
      <c r="G8" s="129"/>
      <c r="H8" s="129"/>
      <c r="I8" s="129"/>
      <c r="J8" s="129"/>
      <c r="K8" s="129"/>
      <c r="L8" s="129"/>
      <c r="M8" s="129"/>
      <c r="N8" s="131">
        <f>IF('Ш Лист 1'!R16,'Ш Лист 1'!R16,"")</f>
        <v>123890</v>
      </c>
      <c r="P8" s="132">
        <v>3</v>
      </c>
    </row>
    <row r="9" ht="16.7" customHeight="1" spans="1:16" x14ac:dyDescent="0.25">
      <c r="A9" s="127" t="s">
        <v>98</v>
      </c>
      <c r="B9" s="128" t="str">
        <f>IF('Ш Лист 1'!T18,TEXT('Ш Лист 1'!U18,"ч:мм")&amp;CHAR(10)&amp;TEXT('Ш Лист 1'!T18,"дд.мм.гг"),"")</f>
        <v>ч:мм
дд.мм.гг</v>
      </c>
      <c r="C9" s="128" t="str">
        <f>IF('Ш Лист 1'!T18,TEXT('Ш Лист 1'!W18,"ч:мм")&amp;CHAR(10)&amp;TEXT('Ш Лист 1'!V18,"дд.мм.гг"),"")</f>
        <v>ч:мм
дд.мм.гг</v>
      </c>
      <c r="D9" s="129"/>
      <c r="E9" s="129"/>
      <c r="F9" s="130">
        <f>IFERROR('Ш Лист 1'!R18-'Ш Лист 1'!P18,0)</f>
        <v>1</v>
      </c>
      <c r="G9" s="129"/>
      <c r="H9" s="129"/>
      <c r="I9" s="129"/>
      <c r="J9" s="129"/>
      <c r="K9" s="129"/>
      <c r="L9" s="129"/>
      <c r="M9" s="129"/>
      <c r="N9" s="131">
        <f>IF('Ш Лист 1'!R18,'Ш Лист 1'!R18,"")</f>
        <v>123891</v>
      </c>
      <c r="P9" s="132">
        <v>4</v>
      </c>
    </row>
    <row r="10" ht="16.7" customHeight="1" spans="1:16" x14ac:dyDescent="0.25">
      <c r="A10" s="127" t="s">
        <v>15</v>
      </c>
      <c r="B10" s="128" t="str">
        <f>IF('Ш Лист 1'!T20,TEXT('Ш Лист 1'!U20,"ч:мм")&amp;CHAR(10)&amp;TEXT('Ш Лист 1'!T20,"дд.мм.гг"),"")</f>
        <v>ч:мм
дд.мм.гг</v>
      </c>
      <c r="C10" s="128" t="str">
        <f>IF('Ш Лист 1'!T20,TEXT('Ш Лист 1'!W20,"ч:мм")&amp;CHAR(10)&amp;TEXT('Ш Лист 1'!V20,"дд.мм.гг"),"")</f>
        <v>ч:мм
дд.мм.гг</v>
      </c>
      <c r="D10" s="129"/>
      <c r="E10" s="129"/>
      <c r="F10" s="130">
        <f>IFERROR('Ш Лист 1'!R20-'Ш Лист 1'!P20,0)</f>
        <v>1</v>
      </c>
      <c r="G10" s="129"/>
      <c r="H10" s="129"/>
      <c r="I10" s="129"/>
      <c r="J10" s="129"/>
      <c r="K10" s="129"/>
      <c r="L10" s="129"/>
      <c r="M10" s="129"/>
      <c r="N10" s="131">
        <f>IF('Ш Лист 1'!R20,'Ш Лист 1'!R20,"")</f>
        <v>123892</v>
      </c>
      <c r="P10" s="132">
        <v>5</v>
      </c>
    </row>
    <row r="11" ht="16.7" customHeight="1" spans="1:16" x14ac:dyDescent="0.25">
      <c r="A11" s="127" t="s">
        <v>15</v>
      </c>
      <c r="B11" s="128" t="str">
        <f>IF('Ш Лист 1'!T22,TEXT('Ш Лист 1'!U22,"ч:мм")&amp;CHAR(10)&amp;TEXT('Ш Лист 1'!T22,"дд.мм.гг"),"")</f>
        <v>ч:мм
дд.мм.гг</v>
      </c>
      <c r="C11" s="128" t="str">
        <f>IF('Ш Лист 1'!T22,TEXT('Ш Лист 1'!W22,"ч:мм")&amp;CHAR(10)&amp;TEXT('Ш Лист 1'!V22,"дд.мм.гг"),"")</f>
        <v>ч:мм
дд.мм.гг</v>
      </c>
      <c r="D11" s="129"/>
      <c r="E11" s="129"/>
      <c r="F11" s="130">
        <f>IFERROR('Ш Лист 1'!R22-'Ш Лист 1'!P22,0)</f>
        <v>1</v>
      </c>
      <c r="G11" s="129"/>
      <c r="H11" s="129"/>
      <c r="I11" s="129"/>
      <c r="J11" s="129"/>
      <c r="K11" s="129"/>
      <c r="L11" s="129"/>
      <c r="M11" s="129"/>
      <c r="N11" s="131">
        <f>IF('Ш Лист 1'!R22,'Ш Лист 1'!R22,"")</f>
        <v>123893</v>
      </c>
      <c r="P11" s="132">
        <v>6</v>
      </c>
    </row>
    <row r="12" ht="16.7" customHeight="1" spans="1:16" x14ac:dyDescent="0.25">
      <c r="A12" s="127" t="s">
        <v>15</v>
      </c>
      <c r="B12" s="128" t="str">
        <f>IF('Ш Лист 1'!T24,TEXT('Ш Лист 1'!U24,"ч:мм")&amp;CHAR(10)&amp;TEXT('Ш Лист 1'!T24,"дд.мм.гг"),"")</f>
        <v>ч:мм
дд.мм.гг</v>
      </c>
      <c r="C12" s="128" t="str">
        <f>IF('Ш Лист 1'!T24,TEXT('Ш Лист 1'!W24,"ч:мм")&amp;CHAR(10)&amp;TEXT('Ш Лист 1'!V24,"дд.мм.гг"),"")</f>
        <v>ч:мм
дд.мм.гг</v>
      </c>
      <c r="D12" s="129"/>
      <c r="E12" s="129"/>
      <c r="F12" s="130">
        <f>IFERROR('Ш Лист 1'!R24-'Ш Лист 1'!P24,0)</f>
        <v>1</v>
      </c>
      <c r="G12" s="129"/>
      <c r="H12" s="129"/>
      <c r="I12" s="129"/>
      <c r="J12" s="129"/>
      <c r="K12" s="129"/>
      <c r="L12" s="129"/>
      <c r="M12" s="129"/>
      <c r="N12" s="131">
        <f>IF('Ш Лист 1'!R24,'Ш Лист 1'!R24,"")</f>
        <v>123894</v>
      </c>
      <c r="P12" s="132">
        <v>7</v>
      </c>
    </row>
    <row r="13" ht="16.7" customHeight="1" spans="1:16" x14ac:dyDescent="0.25">
      <c r="A13" s="127" t="s">
        <v>15</v>
      </c>
      <c r="B13" s="128" t="str">
        <f>IF('Ш Лист 1'!T26,TEXT('Ш Лист 1'!U26,"ч:мм")&amp;CHAR(10)&amp;TEXT('Ш Лист 1'!T26,"дд.мм.гг"),"")</f>
        <v>ч:мм
дд.мм.гг</v>
      </c>
      <c r="C13" s="128" t="str">
        <f>IF('Ш Лист 1'!T26,TEXT('Ш Лист 1'!W26,"ч:мм")&amp;CHAR(10)&amp;TEXT('Ш Лист 1'!V26,"дд.мм.гг"),"")</f>
        <v>ч:мм
дд.мм.гг</v>
      </c>
      <c r="D13" s="129"/>
      <c r="E13" s="129"/>
      <c r="F13" s="130">
        <f>IFERROR('Ш Лист 1'!R26-'Ш Лист 1'!P26,0)</f>
        <v>1</v>
      </c>
      <c r="G13" s="129"/>
      <c r="H13" s="129"/>
      <c r="I13" s="129"/>
      <c r="J13" s="129"/>
      <c r="K13" s="129"/>
      <c r="L13" s="129"/>
      <c r="M13" s="129"/>
      <c r="N13" s="131">
        <f>IF('Ш Лист 1'!R26,'Ш Лист 1'!R26,"")</f>
        <v>123895</v>
      </c>
      <c r="P13" s="132">
        <v>8</v>
      </c>
    </row>
    <row r="14" ht="16.7" customHeight="1" spans="1:16" x14ac:dyDescent="0.25">
      <c r="A14" s="127"/>
      <c r="B14" s="128">
        <f>IF('Ш Лист 1'!T28,TEXT('Ш Лист 1'!U28,"ч:мм")&amp;CHAR(10)&amp;TEXT('Ш Лист 1'!T28,"дд.мм.гг"),"")</f>
      </c>
      <c r="C14" s="128">
        <f>IF('Ш Лист 1'!T28,TEXT('Ш Лист 1'!W28,"ч:мм")&amp;CHAR(10)&amp;TEXT('Ш Лист 1'!V28,"дд.мм.гг"),"")</f>
      </c>
      <c r="D14" s="129"/>
      <c r="E14" s="129"/>
      <c r="F14" s="130">
        <f>IFERROR('Ш Лист 1'!R28-'Ш Лист 1'!P28,0)</f>
        <v>0</v>
      </c>
      <c r="G14" s="129"/>
      <c r="H14" s="129"/>
      <c r="I14" s="129"/>
      <c r="J14" s="129"/>
      <c r="K14" s="129"/>
      <c r="L14" s="129"/>
      <c r="M14" s="129"/>
      <c r="N14" s="131">
        <f>IF('Ш Лист 1'!R28,'Ш Лист 1'!R28,"")</f>
      </c>
      <c r="P14" s="132">
        <v>9</v>
      </c>
    </row>
    <row r="15" ht="16.7" customHeight="1" spans="1:16" x14ac:dyDescent="0.25">
      <c r="A15" s="127"/>
      <c r="B15" s="128">
        <f>IF('Ш Лист 1'!T30,TEXT('Ш Лист 1'!U30,"ч:мм")&amp;CHAR(10)&amp;TEXT('Ш Лист 1'!T30,"дд.мм.гг"),"")</f>
      </c>
      <c r="C15" s="128">
        <f>IF('Ш Лист 1'!T30,TEXT('Ш Лист 1'!W30,"ч:мм")&amp;CHAR(10)&amp;TEXT('Ш Лист 1'!V30,"дд.мм.гг"),"")</f>
      </c>
      <c r="D15" s="129"/>
      <c r="E15" s="129"/>
      <c r="F15" s="130">
        <f>IFERROR('Ш Лист 1'!R30-'Ш Лист 1'!P30,0)</f>
        <v>0</v>
      </c>
      <c r="G15" s="129"/>
      <c r="H15" s="129"/>
      <c r="I15" s="129"/>
      <c r="J15" s="129"/>
      <c r="K15" s="129"/>
      <c r="L15" s="129"/>
      <c r="M15" s="129"/>
      <c r="N15" s="131">
        <f>IF('Ш Лист 1'!R30,'Ш Лист 1'!R30,"")</f>
      </c>
      <c r="P15" s="132">
        <v>10</v>
      </c>
    </row>
    <row r="16" spans="1:14" x14ac:dyDescent="0.25">
      <c r="A16" s="57" t="s">
        <v>99</v>
      </c>
      <c r="B16" s="133"/>
      <c r="C16" s="133"/>
      <c r="D16" s="130">
        <f t="shared" ref="D16:E16" si="0">SUM(D6:D15)</f>
        <v>0</v>
      </c>
      <c r="E16" s="130">
        <f t="shared" si="0"/>
        <v>0</v>
      </c>
      <c r="F16" s="130">
        <f>SUM(F6:F15)</f>
        <v>118</v>
      </c>
      <c r="G16" s="130">
        <f t="shared" ref="G16" si="1">SUM(G6:G15)</f>
        <v>0</v>
      </c>
      <c r="H16" s="130">
        <f t="shared" ref="H16:I16" si="2">SUM(H6:H15)</f>
        <v>0</v>
      </c>
      <c r="I16" s="130">
        <f t="shared" si="2"/>
        <v>0</v>
      </c>
      <c r="J16" s="130">
        <f t="shared" ref="J16" si="3">SUM(J6:J15)</f>
        <v>0</v>
      </c>
      <c r="K16" s="130">
        <f t="shared" ref="K16:L16" si="4">SUM(K6:K15)</f>
        <v>0</v>
      </c>
      <c r="L16" s="130">
        <f t="shared" si="4"/>
        <v>0</v>
      </c>
      <c r="M16" s="130">
        <f t="shared" ref="M16" si="5">SUM(M6:M15)</f>
        <v>0</v>
      </c>
      <c r="N16" s="133"/>
    </row>
    <row r="17" spans="1:1" x14ac:dyDescent="0.25">
      <c r="A17" s="116" t="s">
        <v>100</v>
      </c>
    </row>
    <row r="18" ht="12" customHeight="1" spans="1:14" x14ac:dyDescent="0.25">
      <c r="A18" s="88" t="e">
        <f>INDEX(#REF!,MATCH('Ш Лист 1'!L33,#REF!,0))</f>
        <v>#REF!</v>
      </c>
      <c r="B18" s="19" t="e">
        <f>INDEX(#REF!,MATCH('Ш Лист 1'!L33,#REF!,0))</f>
        <v>#REF!</v>
      </c>
      <c r="C18" s="134" t="s">
        <v>101</v>
      </c>
      <c r="D18" s="135">
        <f>F16</f>
        <v>118</v>
      </c>
      <c r="E18" s="88" t="s">
        <v>102</v>
      </c>
      <c r="F18" s="136">
        <f>A15</f>
        <v>0</v>
      </c>
      <c r="G18" s="88" t="s">
        <v>103</v>
      </c>
      <c r="H18" s="137" t="e">
        <f>ROUND(B18*D18/C19-B18*D18/C19*F18,0)</f>
        <v>#REF!</v>
      </c>
      <c r="I18" s="138" t="s">
        <v>104</v>
      </c>
      <c r="J18" s="1"/>
      <c r="K18" s="1"/>
      <c r="L18" s="1"/>
      <c r="M18" s="1"/>
      <c r="N18" s="1"/>
    </row>
    <row r="19" ht="12" customHeight="1" spans="1:14" x14ac:dyDescent="0.25">
      <c r="A19" s="88"/>
      <c r="B19" s="1"/>
      <c r="C19" s="1">
        <v>100</v>
      </c>
      <c r="D19" s="1"/>
      <c r="E19" s="88"/>
      <c r="F19" s="136"/>
      <c r="G19" s="88"/>
      <c r="H19" s="137"/>
      <c r="I19" s="138"/>
      <c r="J19" s="1"/>
      <c r="K19" s="1"/>
      <c r="L19" s="1"/>
      <c r="M19" s="1"/>
      <c r="N19" s="1"/>
    </row>
    <row r="20" ht="12" customHeight="1" spans="1:16" x14ac:dyDescent="0.25">
      <c r="A20" s="88">
        <f>IF(HideOil,"",INDEX(#REF!,MATCH('Ш Лист 1'!L33,#REF!,0)))</f>
      </c>
      <c r="B20" s="19">
        <f>IF(HideOil,"",INDEX(#REF!,MATCH('Ш Лист 1'!L33,#REF!,0)))</f>
      </c>
      <c r="C20" s="134">
        <f>IF(HideOil,"","x")</f>
      </c>
      <c r="D20" s="135">
        <f>IF(HideOil,"",H18)</f>
      </c>
      <c r="E20" s="88">
        <f>IF(HideOil,"","=")</f>
      </c>
      <c r="F20" s="88">
        <f>IF(HideOil,"",ROUND(B20*D20/C21,1))</f>
      </c>
      <c r="G20" s="138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88"/>
      <c r="B21" s="1"/>
      <c r="C21" s="1">
        <f>IF(HideOil,"",100)</f>
      </c>
      <c r="D21" s="1"/>
      <c r="E21" s="88"/>
      <c r="F21" s="88"/>
      <c r="G21" s="138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7" t="s">
        <v>105</v>
      </c>
      <c r="B22" s="139">
        <f>F16</f>
        <v>118</v>
      </c>
      <c r="C22" s="1" t="s">
        <v>106</v>
      </c>
    </row>
    <row r="23" ht="15.75" customHeight="1" spans="1:3" x14ac:dyDescent="0.25">
      <c r="A23" s="17" t="s">
        <v>107</v>
      </c>
      <c r="B23" s="139" t="e">
        <f>H18</f>
        <v>#REF!</v>
      </c>
      <c r="C23" s="1" t="s">
        <v>104</v>
      </c>
    </row>
    <row r="24" ht="15.75" customHeight="1" spans="1:13" x14ac:dyDescent="0.25">
      <c r="A24" s="17" t="s">
        <v>108</v>
      </c>
      <c r="D24" s="140">
        <f>'Ш Лист 1'!J5</f>
      </c>
      <c r="E24" s="141"/>
      <c r="F24" s="141"/>
      <c r="G24" s="141"/>
      <c r="H24" s="141"/>
      <c r="I24" s="141"/>
      <c r="J24" s="141"/>
      <c r="K24" s="141"/>
      <c r="M24" s="140" t="e">
        <f>'Ш Лист 1'!L5</f>
        <v>#REF!</v>
      </c>
    </row>
    <row r="25" ht="12" customHeight="1" spans="2:14" x14ac:dyDescent="0.25">
      <c r="B25" s="142" t="s">
        <v>109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</row>
    <row r="26" ht="15.75" customHeight="1" spans="1:14" x14ac:dyDescent="0.25">
      <c r="A26" s="26" t="s">
        <v>110</v>
      </c>
      <c r="G26" s="19">
        <f>IFERROR(INDEX(#REF!,MATCH(N26,#REF!,0)),"")</f>
      </c>
      <c r="H26" s="141"/>
      <c r="I26" s="141"/>
      <c r="J26" s="141"/>
      <c r="K26" s="141"/>
      <c r="L26" s="141"/>
      <c r="M26" s="141"/>
      <c r="N26" s="143" t="s">
        <v>111</v>
      </c>
    </row>
    <row r="27" ht="16.35" customHeight="1" spans="1:14" x14ac:dyDescent="0.25">
      <c r="A27" s="1" t="s">
        <v>112</v>
      </c>
      <c r="B27" s="1">
        <v>2023</v>
      </c>
      <c r="C27" s="1" t="s">
        <v>0</v>
      </c>
      <c r="G27" s="144" t="s">
        <v>113</v>
      </c>
      <c r="H27" s="144"/>
      <c r="I27" s="144"/>
      <c r="J27" s="144"/>
      <c r="K27" s="144"/>
      <c r="L27" s="144"/>
      <c r="M27" s="144"/>
      <c r="N27" s="144"/>
    </row>
    <row r="28" spans="7:7" x14ac:dyDescent="0.25">
      <c r="G28" t="s">
        <v>114</v>
      </c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2023-12-05T13:06:33Z</dcterms:modified>
</cp:coreProperties>
</file>