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hail\Downloads\"/>
    </mc:Choice>
  </mc:AlternateContent>
  <bookViews>
    <workbookView xWindow="0" yWindow="0" windowWidth="19200" windowHeight="6930" tabRatio="772" activeTab="3"/>
  </bookViews>
  <sheets>
    <sheet name="Графики" sheetId="6" r:id="rId1"/>
    <sheet name="Гистограмма" sheetId="2" r:id="rId2"/>
    <sheet name="Парето" sheetId="1" r:id="rId3"/>
    <sheet name="КК по колич" sheetId="3" r:id="rId4"/>
    <sheet name="р-карта" sheetId="4" r:id="rId5"/>
    <sheet name="с-карта" sheetId="5" r:id="rId6"/>
    <sheet name="Диаграмма разброса" sheetId="7" r:id="rId7"/>
  </sheets>
  <calcPr calcId="162913"/>
</workbook>
</file>

<file path=xl/calcChain.xml><?xml version="1.0" encoding="utf-8"?>
<calcChain xmlns="http://schemas.openxmlformats.org/spreadsheetml/2006/main">
  <c r="C7" i="1" l="1"/>
  <c r="C6" i="1"/>
  <c r="N19" i="2"/>
  <c r="N18" i="2"/>
  <c r="N15" i="2"/>
  <c r="N14" i="2"/>
  <c r="N13" i="2"/>
  <c r="N12" i="2"/>
  <c r="E3" i="7"/>
  <c r="B30" i="4" l="1"/>
  <c r="E26" i="4" s="1"/>
  <c r="G26" i="4" s="1"/>
  <c r="C30" i="4"/>
  <c r="Z6" i="6"/>
  <c r="Z5" i="6"/>
  <c r="Z4" i="6"/>
  <c r="M7" i="6"/>
  <c r="Y5" i="6" s="1"/>
  <c r="L7" i="6"/>
  <c r="X4" i="6" s="1"/>
  <c r="K7" i="6"/>
  <c r="W6" i="6" s="1"/>
  <c r="J7" i="6"/>
  <c r="V6" i="6" s="1"/>
  <c r="I7" i="6"/>
  <c r="U5" i="6" s="1"/>
  <c r="H7" i="6"/>
  <c r="T4" i="6" s="1"/>
  <c r="G7" i="6"/>
  <c r="S6" i="6" s="1"/>
  <c r="F7" i="6"/>
  <c r="R6" i="6" s="1"/>
  <c r="E7" i="6"/>
  <c r="Q5" i="6" s="1"/>
  <c r="D7" i="6"/>
  <c r="P4" i="6" s="1"/>
  <c r="C7" i="6"/>
  <c r="O6" i="6" s="1"/>
  <c r="B7" i="6"/>
  <c r="N4" i="6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E23" i="4"/>
  <c r="F23" i="4" s="1"/>
  <c r="E15" i="4"/>
  <c r="F15" i="4" s="1"/>
  <c r="E7" i="4"/>
  <c r="G7" i="4" s="1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R5" i="3"/>
  <c r="R13" i="3"/>
  <c r="R12" i="3"/>
  <c r="R11" i="3"/>
  <c r="R10" i="3"/>
  <c r="R9" i="3"/>
  <c r="R8" i="3"/>
  <c r="R7" i="3"/>
  <c r="R6" i="3"/>
  <c r="R4" i="3"/>
  <c r="Q13" i="3"/>
  <c r="Q12" i="3"/>
  <c r="Q11" i="3"/>
  <c r="Q10" i="3"/>
  <c r="Q9" i="3"/>
  <c r="Q8" i="3"/>
  <c r="Q7" i="3"/>
  <c r="Q6" i="3"/>
  <c r="Q5" i="3"/>
  <c r="S5" i="3" s="1"/>
  <c r="Q4" i="3"/>
  <c r="S4" i="3" s="1"/>
  <c r="M13" i="3"/>
  <c r="M12" i="3"/>
  <c r="M11" i="3"/>
  <c r="M10" i="3"/>
  <c r="M9" i="3"/>
  <c r="M8" i="3"/>
  <c r="M7" i="3"/>
  <c r="M6" i="3"/>
  <c r="M5" i="3"/>
  <c r="M4" i="3"/>
  <c r="B2" i="3"/>
  <c r="N33" i="3" s="1"/>
  <c r="N37" i="3" s="1"/>
  <c r="G13" i="3"/>
  <c r="G12" i="3"/>
  <c r="G11" i="3"/>
  <c r="G10" i="3"/>
  <c r="G9" i="3"/>
  <c r="G8" i="3"/>
  <c r="G7" i="3"/>
  <c r="G6" i="3"/>
  <c r="G5" i="3"/>
  <c r="G4" i="3"/>
  <c r="J5" i="2"/>
  <c r="M3" i="2"/>
  <c r="H17" i="2"/>
  <c r="H16" i="2"/>
  <c r="H15" i="2"/>
  <c r="H14" i="2"/>
  <c r="H13" i="2"/>
  <c r="H12" i="2"/>
  <c r="H11" i="2"/>
  <c r="H10" i="2"/>
  <c r="E7" i="2"/>
  <c r="E4" i="2"/>
  <c r="E3" i="2"/>
  <c r="E10" i="2" s="1"/>
  <c r="B8" i="1"/>
  <c r="C5" i="1"/>
  <c r="C4" i="1"/>
  <c r="C3" i="1"/>
  <c r="C2" i="1"/>
  <c r="S7" i="3" l="1"/>
  <c r="S9" i="3"/>
  <c r="S11" i="3"/>
  <c r="S13" i="3"/>
  <c r="S6" i="3"/>
  <c r="T4" i="3" s="1"/>
  <c r="S8" i="3"/>
  <c r="S10" i="3"/>
  <c r="S12" i="3"/>
  <c r="D8" i="1"/>
  <c r="D2" i="1"/>
  <c r="M6" i="2"/>
  <c r="AA4" i="6"/>
  <c r="N17" i="2"/>
  <c r="N16" i="2"/>
  <c r="M5" i="2"/>
  <c r="M7" i="2" s="1"/>
  <c r="E11" i="4"/>
  <c r="F11" i="4" s="1"/>
  <c r="E19" i="4"/>
  <c r="F19" i="4" s="1"/>
  <c r="E27" i="4"/>
  <c r="F27" i="4" s="1"/>
  <c r="D6" i="5"/>
  <c r="D8" i="5"/>
  <c r="D10" i="5"/>
  <c r="D12" i="5"/>
  <c r="D14" i="5"/>
  <c r="D16" i="5"/>
  <c r="D18" i="5"/>
  <c r="D20" i="5"/>
  <c r="D22" i="5"/>
  <c r="D24" i="5"/>
  <c r="V5" i="6"/>
  <c r="Z7" i="6"/>
  <c r="AA7" i="6" s="1"/>
  <c r="E28" i="4"/>
  <c r="G28" i="4" s="1"/>
  <c r="D5" i="1"/>
  <c r="E5" i="2"/>
  <c r="E8" i="2" s="1"/>
  <c r="F10" i="2" s="1"/>
  <c r="M4" i="2"/>
  <c r="M8" i="2" s="1"/>
  <c r="D5" i="5"/>
  <c r="D7" i="5"/>
  <c r="D9" i="5"/>
  <c r="D11" i="5"/>
  <c r="D13" i="5"/>
  <c r="D15" i="5"/>
  <c r="D17" i="5"/>
  <c r="D19" i="5"/>
  <c r="D21" i="5"/>
  <c r="D23" i="5"/>
  <c r="R5" i="6"/>
  <c r="F7" i="4"/>
  <c r="G23" i="4"/>
  <c r="E6" i="4"/>
  <c r="F6" i="4" s="1"/>
  <c r="E10" i="4"/>
  <c r="G10" i="4" s="1"/>
  <c r="E14" i="4"/>
  <c r="F14" i="4" s="1"/>
  <c r="E18" i="4"/>
  <c r="G18" i="4" s="1"/>
  <c r="E22" i="4"/>
  <c r="G22" i="4" s="1"/>
  <c r="E5" i="4"/>
  <c r="E9" i="4"/>
  <c r="E13" i="4"/>
  <c r="G13" i="4" s="1"/>
  <c r="E17" i="4"/>
  <c r="G17" i="4" s="1"/>
  <c r="E21" i="4"/>
  <c r="G21" i="4" s="1"/>
  <c r="E25" i="4"/>
  <c r="G25" i="4" s="1"/>
  <c r="E29" i="4"/>
  <c r="G29" i="4" s="1"/>
  <c r="G15" i="4"/>
  <c r="E4" i="4"/>
  <c r="E8" i="4"/>
  <c r="E12" i="4"/>
  <c r="G12" i="4" s="1"/>
  <c r="E16" i="4"/>
  <c r="G16" i="4" s="1"/>
  <c r="E20" i="4"/>
  <c r="G20" i="4" s="1"/>
  <c r="E24" i="4"/>
  <c r="G24" i="4" s="1"/>
  <c r="G11" i="4"/>
  <c r="G27" i="4"/>
  <c r="F21" i="4"/>
  <c r="F18" i="4"/>
  <c r="F22" i="4"/>
  <c r="F26" i="4"/>
  <c r="F13" i="4"/>
  <c r="F17" i="4"/>
  <c r="F25" i="4"/>
  <c r="G6" i="4"/>
  <c r="F28" i="4"/>
  <c r="O4" i="6"/>
  <c r="Q6" i="6"/>
  <c r="N5" i="6"/>
  <c r="P5" i="6"/>
  <c r="X5" i="6"/>
  <c r="W4" i="6"/>
  <c r="S4" i="6"/>
  <c r="T5" i="6"/>
  <c r="N6" i="6"/>
  <c r="R4" i="6"/>
  <c r="V4" i="6"/>
  <c r="O5" i="6"/>
  <c r="S5" i="6"/>
  <c r="W5" i="6"/>
  <c r="P6" i="6"/>
  <c r="T6" i="6"/>
  <c r="X6" i="6"/>
  <c r="U6" i="6"/>
  <c r="Y6" i="6"/>
  <c r="Q4" i="6"/>
  <c r="U4" i="6"/>
  <c r="Y4" i="6"/>
  <c r="N12" i="3"/>
  <c r="N11" i="3"/>
  <c r="N7" i="3"/>
  <c r="N6" i="3"/>
  <c r="H13" i="3"/>
  <c r="N10" i="3"/>
  <c r="N5" i="3"/>
  <c r="N9" i="3"/>
  <c r="N13" i="3"/>
  <c r="N4" i="3"/>
  <c r="N8" i="3"/>
  <c r="H8" i="3"/>
  <c r="H11" i="3"/>
  <c r="H9" i="3"/>
  <c r="H4" i="3"/>
  <c r="H12" i="3"/>
  <c r="H6" i="3"/>
  <c r="H10" i="3"/>
  <c r="H5" i="3"/>
  <c r="H7" i="3"/>
  <c r="D3" i="1"/>
  <c r="D7" i="1"/>
  <c r="D6" i="1"/>
  <c r="D4" i="1"/>
  <c r="E2" i="1"/>
  <c r="T12" i="3" l="1"/>
  <c r="T7" i="3"/>
  <c r="T10" i="3"/>
  <c r="T11" i="3"/>
  <c r="T8" i="3"/>
  <c r="T5" i="3"/>
  <c r="T9" i="3"/>
  <c r="T13" i="3"/>
  <c r="T6" i="3"/>
  <c r="E6" i="1"/>
  <c r="E7" i="1"/>
  <c r="N35" i="3"/>
  <c r="N34" i="3"/>
  <c r="B35" i="3"/>
  <c r="J12" i="3"/>
  <c r="J10" i="3"/>
  <c r="J8" i="3"/>
  <c r="J6" i="3"/>
  <c r="J4" i="3"/>
  <c r="I12" i="3"/>
  <c r="I10" i="3"/>
  <c r="I8" i="3"/>
  <c r="I6" i="3"/>
  <c r="I4" i="3"/>
  <c r="B34" i="3"/>
  <c r="J13" i="3"/>
  <c r="J11" i="3"/>
  <c r="J9" i="3"/>
  <c r="J7" i="3"/>
  <c r="J5" i="3"/>
  <c r="I13" i="3"/>
  <c r="I11" i="3"/>
  <c r="I9" i="3"/>
  <c r="I7" i="3"/>
  <c r="I5" i="3"/>
  <c r="B33" i="3"/>
  <c r="B37" i="3" s="1"/>
  <c r="P12" i="3"/>
  <c r="P10" i="3"/>
  <c r="P8" i="3"/>
  <c r="P6" i="3"/>
  <c r="P4" i="3"/>
  <c r="O12" i="3"/>
  <c r="O10" i="3"/>
  <c r="O8" i="3"/>
  <c r="O6" i="3"/>
  <c r="O4" i="3"/>
  <c r="P13" i="3"/>
  <c r="P11" i="3"/>
  <c r="P9" i="3"/>
  <c r="P7" i="3"/>
  <c r="P5" i="3"/>
  <c r="O13" i="3"/>
  <c r="O11" i="3"/>
  <c r="O9" i="3"/>
  <c r="O7" i="3"/>
  <c r="O5" i="3"/>
  <c r="F12" i="4"/>
  <c r="F29" i="4"/>
  <c r="G19" i="4"/>
  <c r="AA6" i="6"/>
  <c r="AA5" i="6"/>
  <c r="U12" i="3"/>
  <c r="U10" i="3"/>
  <c r="U8" i="3"/>
  <c r="U6" i="3"/>
  <c r="U4" i="3"/>
  <c r="V12" i="3"/>
  <c r="V10" i="3"/>
  <c r="V8" i="3"/>
  <c r="V6" i="3"/>
  <c r="V4" i="3"/>
  <c r="U13" i="3"/>
  <c r="U11" i="3"/>
  <c r="U9" i="3"/>
  <c r="U7" i="3"/>
  <c r="U5" i="3"/>
  <c r="V13" i="3"/>
  <c r="V11" i="3"/>
  <c r="V9" i="3"/>
  <c r="V7" i="3"/>
  <c r="V5" i="3"/>
  <c r="G4" i="4"/>
  <c r="F4" i="4"/>
  <c r="G5" i="4"/>
  <c r="F5" i="4"/>
  <c r="G8" i="4"/>
  <c r="F8" i="4"/>
  <c r="G9" i="4"/>
  <c r="F9" i="4"/>
  <c r="F16" i="4"/>
  <c r="F20" i="4"/>
  <c r="G14" i="4"/>
  <c r="F24" i="4"/>
  <c r="F10" i="4"/>
  <c r="E11" i="2"/>
  <c r="E12" i="2" s="1"/>
  <c r="E13" i="2" s="1"/>
  <c r="E14" i="2" s="1"/>
  <c r="E15" i="2" s="1"/>
  <c r="E16" i="2" s="1"/>
  <c r="E17" i="2" s="1"/>
  <c r="G10" i="2"/>
  <c r="F11" i="2"/>
  <c r="E5" i="1"/>
  <c r="E4" i="1"/>
  <c r="E3" i="1"/>
  <c r="B36" i="3" l="1"/>
  <c r="N36" i="3"/>
  <c r="F12" i="2"/>
  <c r="G11" i="2"/>
  <c r="F13" i="2" l="1"/>
  <c r="G12" i="2"/>
  <c r="G13" i="2" l="1"/>
  <c r="F14" i="2"/>
  <c r="G14" i="2" l="1"/>
  <c r="F15" i="2"/>
  <c r="F16" i="2" l="1"/>
  <c r="G15" i="2"/>
  <c r="F17" i="2" l="1"/>
  <c r="G17" i="2" s="1"/>
  <c r="G16" i="2"/>
</calcChain>
</file>

<file path=xl/sharedStrings.xml><?xml version="1.0" encoding="utf-8"?>
<sst xmlns="http://schemas.openxmlformats.org/spreadsheetml/2006/main" count="157" uniqueCount="118">
  <si>
    <t>Число дефектов</t>
  </si>
  <si>
    <t>Типы дефектов</t>
  </si>
  <si>
    <t>Деформация</t>
  </si>
  <si>
    <t>Трещины</t>
  </si>
  <si>
    <t>Царапины</t>
  </si>
  <si>
    <t xml:space="preserve">Разрыв </t>
  </si>
  <si>
    <t>Полосы</t>
  </si>
  <si>
    <t>Прочие</t>
  </si>
  <si>
    <t>Итого</t>
  </si>
  <si>
    <t>Накопленная сумма
 числа дефектов</t>
  </si>
  <si>
    <t>Процент числа дефектов
 в общей сумме</t>
  </si>
  <si>
    <t>Накопленный
процент</t>
  </si>
  <si>
    <t>Результаты
 измерений</t>
  </si>
  <si>
    <t>Ед.измерения</t>
  </si>
  <si>
    <t>Х мин</t>
  </si>
  <si>
    <t>Х макс</t>
  </si>
  <si>
    <t>R</t>
  </si>
  <si>
    <t>К пред</t>
  </si>
  <si>
    <t>h</t>
  </si>
  <si>
    <t>№ интервала</t>
  </si>
  <si>
    <t>Ниж. Гр</t>
  </si>
  <si>
    <t>Верх. Гр</t>
  </si>
  <si>
    <t>Середина</t>
  </si>
  <si>
    <t>Частота</t>
  </si>
  <si>
    <t>Оценка пригодности процесса</t>
  </si>
  <si>
    <t>U</t>
  </si>
  <si>
    <t>L</t>
  </si>
  <si>
    <t>St</t>
  </si>
  <si>
    <t>PP</t>
  </si>
  <si>
    <t>Хср</t>
  </si>
  <si>
    <t>РРU</t>
  </si>
  <si>
    <t>PPL</t>
  </si>
  <si>
    <t>PPK</t>
  </si>
  <si>
    <t>Контрольная карта Шухарта по количественному признаку</t>
  </si>
  <si>
    <t>№ выборки</t>
  </si>
  <si>
    <t>Результаты контроля</t>
  </si>
  <si>
    <t>Карта средних значений</t>
  </si>
  <si>
    <t>Хср ср</t>
  </si>
  <si>
    <t>Кн</t>
  </si>
  <si>
    <t>Кв</t>
  </si>
  <si>
    <t>Карта СКО</t>
  </si>
  <si>
    <t>S</t>
  </si>
  <si>
    <t>Sср</t>
  </si>
  <si>
    <t>Rср</t>
  </si>
  <si>
    <t>Rср ср</t>
  </si>
  <si>
    <t>Карта размахов</t>
  </si>
  <si>
    <t>Хмин</t>
  </si>
  <si>
    <t>Хмакс</t>
  </si>
  <si>
    <t>n</t>
  </si>
  <si>
    <t>-</t>
  </si>
  <si>
    <t>CP</t>
  </si>
  <si>
    <t>PR</t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</si>
  <si>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</si>
  <si>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</si>
  <si>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</si>
  <si>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t>CPU</t>
  </si>
  <si>
    <t>CPL</t>
  </si>
  <si>
    <t>CPK</t>
  </si>
  <si>
    <t>CR</t>
  </si>
  <si>
    <t>Контрольная карта по альтернативному признаку</t>
  </si>
  <si>
    <t>День</t>
  </si>
  <si>
    <t>Количество
проверенных
 единиц</t>
  </si>
  <si>
    <t>Число несоответствующих
единиц продукции</t>
  </si>
  <si>
    <t>Доля несоответствующих
единиц продукции</t>
  </si>
  <si>
    <t>Всего</t>
  </si>
  <si>
    <t>Рср</t>
  </si>
  <si>
    <t>№ изделия</t>
  </si>
  <si>
    <t>n=350</t>
  </si>
  <si>
    <t>Сср</t>
  </si>
  <si>
    <t>Цех 1</t>
  </si>
  <si>
    <t>Цех 2</t>
  </si>
  <si>
    <t>Цех 3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</si>
  <si>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</si>
  <si>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</si>
  <si>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</si>
  <si>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</si>
  <si>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</si>
  <si>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</si>
  <si>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</si>
  <si>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 xml:space="preserve">август </t>
  </si>
  <si>
    <t>сентябрь</t>
  </si>
  <si>
    <t>октябрь</t>
  </si>
  <si>
    <t>ноябрь</t>
  </si>
  <si>
    <t>декабрь</t>
  </si>
  <si>
    <t>Число дефектных изделий</t>
  </si>
  <si>
    <t>ИТОГО</t>
  </si>
  <si>
    <t>Процент дефектных изделий</t>
  </si>
  <si>
    <t>Кол-во за год</t>
  </si>
  <si>
    <t>Процент за год</t>
  </si>
  <si>
    <t>Дата</t>
  </si>
  <si>
    <t>Параметр 1</t>
  </si>
  <si>
    <t>Параметр 2</t>
  </si>
  <si>
    <t>Коэффициент корреляции</t>
  </si>
  <si>
    <t>Диаграмма разброса</t>
  </si>
  <si>
    <t xml:space="preserve">Значение </t>
  </si>
  <si>
    <t xml:space="preserve">Интерпретация </t>
  </si>
  <si>
    <t xml:space="preserve">до 0,2 </t>
  </si>
  <si>
    <t xml:space="preserve">Очень слаба корреляция </t>
  </si>
  <si>
    <t xml:space="preserve">до 0,5 </t>
  </si>
  <si>
    <t xml:space="preserve">Слабая корреляция </t>
  </si>
  <si>
    <t xml:space="preserve">до 0,7 </t>
  </si>
  <si>
    <t xml:space="preserve">Средняя корреляция </t>
  </si>
  <si>
    <t xml:space="preserve">до 0,9 </t>
  </si>
  <si>
    <t xml:space="preserve">Высокая корреляция </t>
  </si>
  <si>
    <t xml:space="preserve">свыше 0,9 </t>
  </si>
  <si>
    <t xml:space="preserve">Очень высокая корреляция </t>
  </si>
  <si>
    <t>Номинал</t>
  </si>
  <si>
    <t>Цель</t>
  </si>
  <si>
    <t>Ввод данных</t>
  </si>
  <si>
    <t xml:space="preserve">Изменение в формуле верх.
и ниж. границ </t>
  </si>
  <si>
    <r>
      <rPr>
        <b/>
        <sz val="11"/>
        <color theme="1"/>
        <rFont val="Calibri"/>
        <family val="2"/>
        <charset val="204"/>
      </rPr>
      <t xml:space="preserve">≤ </t>
    </r>
    <r>
      <rPr>
        <b/>
        <sz val="11"/>
        <color theme="1"/>
        <rFont val="Calibri"/>
        <family val="2"/>
        <charset val="204"/>
        <scheme val="minor"/>
      </rPr>
      <t>0,75</t>
    </r>
  </si>
  <si>
    <t>Коэффициенты для  КК размаха и расчета индексов</t>
  </si>
  <si>
    <t>Оценка воспроизводимости статистически управляемых (стабильных) процессов</t>
  </si>
  <si>
    <t>Оценка пригодности статистически неуправляемых (нестабильных) процессов</t>
  </si>
  <si>
    <t>PPU</t>
  </si>
  <si>
    <t>Построение линий на гистограмме:</t>
  </si>
  <si>
    <t>Линии на гистограмме:</t>
  </si>
  <si>
    <t xml:space="preserve"> Изменение в формуле коэффициентов, 
зависящих от объема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</si>
</sst>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00"/>
    <numFmt numFmtId="166" formatCode="#,##0.000_ ;\-#,##0.000\ 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u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7C8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0" xfId="0" applyAlignment="1">
      <alignment vertical="center" wrapText="1"/>
    </xf>
    <xf numFmtId="0" fontId="0" fillId="0" borderId="2" xfId="0" applyFont="1" applyBorder="1"/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justify" vertical="top" wrapText="1"/>
    </xf>
    <xf numFmtId="0" fontId="0" fillId="0" borderId="2" xfId="0" applyFont="1" applyFill="1" applyBorder="1" applyAlignment="1">
      <alignment horizontal="justify" vertical="top" wrapText="1"/>
    </xf>
    <xf numFmtId="0" fontId="2" fillId="0" borderId="0" xfId="0" applyFont="1" applyBorder="1" applyAlignment="1">
      <alignment vertical="center" wrapText="1"/>
    </xf>
    <xf numFmtId="0" fontId="0" fillId="0" borderId="6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0" fillId="0" borderId="6" xfId="0" applyBorder="1"/>
    <xf numFmtId="0" fontId="0" fillId="0" borderId="7" xfId="0" applyBorder="1"/>
    <xf numFmtId="0" fontId="0" fillId="0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Fill="1" applyBorder="1"/>
    <xf numFmtId="2" fontId="0" fillId="0" borderId="2" xfId="1" applyNumberFormat="1" applyFont="1" applyBorder="1"/>
    <xf numFmtId="0" fontId="3" fillId="0" borderId="6" xfId="0" applyFont="1" applyBorder="1" applyAlignment="1">
      <alignment horizontal="center" wrapText="1"/>
    </xf>
    <xf numFmtId="2" fontId="0" fillId="0" borderId="6" xfId="1" applyNumberFormat="1" applyFont="1" applyBorder="1"/>
    <xf numFmtId="0" fontId="3" fillId="0" borderId="2" xfId="0" applyFont="1" applyFill="1" applyBorder="1" applyAlignment="1">
      <alignment horizontal="center" wrapText="1"/>
    </xf>
    <xf numFmtId="2" fontId="0" fillId="0" borderId="2" xfId="1" applyNumberFormat="1" applyFont="1" applyFill="1" applyBorder="1"/>
    <xf numFmtId="2" fontId="0" fillId="0" borderId="2" xfId="0" applyNumberFormat="1" applyBorder="1"/>
    <xf numFmtId="0" fontId="9" fillId="0" borderId="0" xfId="0" applyFont="1"/>
    <xf numFmtId="0" fontId="0" fillId="0" borderId="2" xfId="0" applyFont="1" applyBorder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10" fillId="0" borderId="0" xfId="0" applyFont="1"/>
    <xf numFmtId="0" fontId="11" fillId="2" borderId="9" xfId="0" applyFont="1" applyFill="1" applyBorder="1" applyAlignment="1">
      <alignment horizontal="center" vertical="top" wrapText="1" readingOrder="1"/>
    </xf>
    <xf numFmtId="0" fontId="12" fillId="3" borderId="10" xfId="0" applyFont="1" applyFill="1" applyBorder="1" applyAlignment="1">
      <alignment horizontal="left" vertical="top" wrapText="1" readingOrder="1"/>
    </xf>
    <xf numFmtId="0" fontId="12" fillId="4" borderId="11" xfId="0" applyFont="1" applyFill="1" applyBorder="1" applyAlignment="1">
      <alignment horizontal="left" vertical="top" wrapText="1" readingOrder="1"/>
    </xf>
    <xf numFmtId="0" fontId="12" fillId="3" borderId="11" xfId="0" applyFont="1" applyFill="1" applyBorder="1" applyAlignment="1">
      <alignment horizontal="left" vertical="top" wrapText="1" readingOrder="1"/>
    </xf>
    <xf numFmtId="0" fontId="13" fillId="6" borderId="0" xfId="0" applyFont="1" applyFill="1"/>
    <xf numFmtId="0" fontId="4" fillId="7" borderId="0" xfId="0" applyFont="1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1" borderId="0" xfId="0" applyFill="1"/>
    <xf numFmtId="0" fontId="4" fillId="5" borderId="2" xfId="0" applyFont="1" applyFill="1" applyBorder="1" applyAlignment="1">
      <alignment vertical="center" wrapText="1"/>
    </xf>
    <xf numFmtId="0" fontId="0" fillId="12" borderId="0" xfId="0" applyFont="1" applyFill="1"/>
    <xf numFmtId="0" fontId="2" fillId="0" borderId="0" xfId="0" applyFont="1" applyAlignment="1"/>
    <xf numFmtId="0" fontId="0" fillId="12" borderId="0" xfId="0" applyFill="1"/>
    <xf numFmtId="0" fontId="5" fillId="5" borderId="1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center" vertical="top" wrapText="1"/>
    </xf>
    <xf numFmtId="0" fontId="2" fillId="9" borderId="2" xfId="0" applyFont="1" applyFill="1" applyBorder="1" applyAlignment="1">
      <alignment horizontal="center" vertical="center"/>
    </xf>
    <xf numFmtId="0" fontId="2" fillId="9" borderId="0" xfId="0" applyFont="1" applyFill="1"/>
    <xf numFmtId="0" fontId="0" fillId="7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5" fillId="12" borderId="0" xfId="0" applyFont="1" applyFill="1" applyBorder="1" applyAlignment="1">
      <alignment horizontal="center" vertical="top" wrapText="1"/>
    </xf>
    <xf numFmtId="0" fontId="16" fillId="12" borderId="0" xfId="0" applyFont="1" applyFill="1" applyBorder="1" applyAlignment="1">
      <alignment horizontal="center" vertical="top" wrapText="1"/>
    </xf>
    <xf numFmtId="0" fontId="16" fillId="12" borderId="2" xfId="0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2" fontId="0" fillId="0" borderId="2" xfId="0" applyNumberFormat="1" applyFont="1" applyBorder="1"/>
    <xf numFmtId="0" fontId="17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Цех 1</c:v>
          </c:tx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Графики!$B$4:$M$4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10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FA5-B115-AEE5B27DCD34}"/>
            </c:ext>
          </c:extLst>
        </c:ser>
        <c:ser>
          <c:idx val="1"/>
          <c:order val="1"/>
          <c:tx>
            <c:v>Цех 2</c:v>
          </c:tx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Графики!$B$5:$M$5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FA5-B115-AEE5B27DCD34}"/>
            </c:ext>
          </c:extLst>
        </c:ser>
        <c:ser>
          <c:idx val="2"/>
          <c:order val="2"/>
          <c:tx>
            <c:v>Цех 3</c:v>
          </c:tx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Графики!$B$6:$M$6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3-4FA5-B115-AEE5B27D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9056"/>
        <c:axId val="94750592"/>
      </c:lineChart>
      <c:catAx>
        <c:axId val="94749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4750592"/>
        <c:crosses val="autoZero"/>
        <c:auto val="1"/>
        <c:lblAlgn val="ctr"/>
        <c:lblOffset val="100"/>
        <c:noMultiLvlLbl val="0"/>
      </c:catAx>
      <c:valAx>
        <c:axId val="9475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дефектных изделий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7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Карта средних</a:t>
            </a:r>
            <a:r>
              <a:rPr lang="ru-RU" baseline="0"/>
              <a:t> квадратических</a:t>
            </a:r>
            <a:r>
              <a:rPr lang="ru-RU"/>
              <a:t> отклонений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'КК по колич'!$M$4:$M$13</c:f>
              <c:numCache>
                <c:formatCode>General</c:formatCode>
                <c:ptCount val="10"/>
                <c:pt idx="0">
                  <c:v>7.3397547642955766E-2</c:v>
                </c:pt>
                <c:pt idx="1">
                  <c:v>1.4377065069060033E-2</c:v>
                </c:pt>
                <c:pt idx="2">
                  <c:v>9.0869136674670767E-2</c:v>
                </c:pt>
                <c:pt idx="3">
                  <c:v>4.0905989781448368E-2</c:v>
                </c:pt>
                <c:pt idx="4">
                  <c:v>7.5201728703534476E-2</c:v>
                </c:pt>
                <c:pt idx="5">
                  <c:v>3.749266594948971E-2</c:v>
                </c:pt>
                <c:pt idx="6">
                  <c:v>3.8147083767963205E-2</c:v>
                </c:pt>
                <c:pt idx="7">
                  <c:v>2.6748831750190778E-2</c:v>
                </c:pt>
                <c:pt idx="8">
                  <c:v>8.9795322818062087E-2</c:v>
                </c:pt>
                <c:pt idx="9">
                  <c:v>6.3542898895155658E-2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A-4313-8140-4A907431FCA4}"/>
            </c:ext>
          </c:extLst>
        </c:ser>
        <c:ser>
          <c:idx val="1"/>
          <c:order val="1"/>
          <c:tx>
            <c:v>Центральная линия</c:v>
          </c:tx>
          <c:marker>
            <c:symbol val="none"/>
          </c:marker>
          <c:val>
            <c:numRef>
              <c:f>'КК по колич'!$N$4:$N$13</c:f>
              <c:numCache>
                <c:formatCode>General</c:formatCode>
                <c:ptCount val="10"/>
                <c:pt idx="0">
                  <c:v>5.5047827105253078E-2</c:v>
                </c:pt>
                <c:pt idx="1">
                  <c:v>5.5047827105253078E-2</c:v>
                </c:pt>
                <c:pt idx="2">
                  <c:v>5.5047827105253078E-2</c:v>
                </c:pt>
                <c:pt idx="3">
                  <c:v>5.5047827105253078E-2</c:v>
                </c:pt>
                <c:pt idx="4">
                  <c:v>5.5047827105253078E-2</c:v>
                </c:pt>
                <c:pt idx="5">
                  <c:v>5.5047827105253078E-2</c:v>
                </c:pt>
                <c:pt idx="6">
                  <c:v>5.5047827105253078E-2</c:v>
                </c:pt>
                <c:pt idx="7">
                  <c:v>5.5047827105253078E-2</c:v>
                </c:pt>
                <c:pt idx="8">
                  <c:v>5.5047827105253078E-2</c:v>
                </c:pt>
                <c:pt idx="9">
                  <c:v>5.5047827105253078E-2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A-4313-8140-4A907431FCA4}"/>
            </c:ext>
          </c:extLst>
        </c:ser>
        <c:ser>
          <c:idx val="2"/>
          <c:order val="2"/>
          <c:tx>
            <c:v>Кн</c:v>
          </c:tx>
          <c:marker>
            <c:symbol val="none"/>
          </c:marker>
          <c:val>
            <c:numRef>
              <c:f>'КК по колич'!$O$4:$O$13</c:f>
              <c:numCache>
                <c:formatCode>General</c:formatCode>
                <c:ptCount val="10"/>
                <c:pt idx="0">
                  <c:v>8.0062749893430301E-3</c:v>
                </c:pt>
                <c:pt idx="1">
                  <c:v>8.0062749893430301E-3</c:v>
                </c:pt>
                <c:pt idx="2">
                  <c:v>8.0062749893430301E-3</c:v>
                </c:pt>
                <c:pt idx="3">
                  <c:v>8.0062749893430301E-3</c:v>
                </c:pt>
                <c:pt idx="4">
                  <c:v>8.0062749893430301E-3</c:v>
                </c:pt>
                <c:pt idx="5">
                  <c:v>8.0062749893430301E-3</c:v>
                </c:pt>
                <c:pt idx="6">
                  <c:v>8.0062749893430301E-3</c:v>
                </c:pt>
                <c:pt idx="7">
                  <c:v>8.0062749893430301E-3</c:v>
                </c:pt>
                <c:pt idx="8">
                  <c:v>8.0062749893430301E-3</c:v>
                </c:pt>
                <c:pt idx="9">
                  <c:v>8.0062749893430301E-3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A-4313-8140-4A907431FCA4}"/>
            </c:ext>
          </c:extLst>
        </c:ser>
        <c:ser>
          <c:idx val="3"/>
          <c:order val="3"/>
          <c:tx>
            <c:v>Кв</c:v>
          </c:tx>
          <c:marker>
            <c:symbol val="none"/>
          </c:marker>
          <c:val>
            <c:numRef>
              <c:f>'КК по колич'!$P$4:$P$13</c:f>
              <c:numCache>
                <c:formatCode>General</c:formatCode>
                <c:ptCount val="10"/>
                <c:pt idx="0">
                  <c:v>0.10386523610194942</c:v>
                </c:pt>
                <c:pt idx="1">
                  <c:v>0.10386523610194942</c:v>
                </c:pt>
                <c:pt idx="2">
                  <c:v>0.10386523610194942</c:v>
                </c:pt>
                <c:pt idx="3">
                  <c:v>0.10386523610194942</c:v>
                </c:pt>
                <c:pt idx="4">
                  <c:v>0.10386523610194942</c:v>
                </c:pt>
                <c:pt idx="5">
                  <c:v>0.10386523610194942</c:v>
                </c:pt>
                <c:pt idx="6">
                  <c:v>0.10386523610194942</c:v>
                </c:pt>
                <c:pt idx="7">
                  <c:v>0.10386523610194942</c:v>
                </c:pt>
                <c:pt idx="8">
                  <c:v>0.10386523610194942</c:v>
                </c:pt>
                <c:pt idx="9">
                  <c:v>0.10386523610194942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A-4313-8140-4A907431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5680"/>
        <c:axId val="115497216"/>
      </c:lineChart>
      <c:catAx>
        <c:axId val="115495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497216"/>
        <c:crosses val="autoZero"/>
        <c:auto val="1"/>
        <c:lblAlgn val="ctr"/>
        <c:lblOffset val="100"/>
        <c:noMultiLvlLbl val="0"/>
      </c:catAx>
      <c:valAx>
        <c:axId val="11549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4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'КК по колич'!$S$4:$S$13</c:f>
              <c:numCache>
                <c:formatCode>General</c:formatCode>
                <c:ptCount val="10"/>
                <c:pt idx="0">
                  <c:v>0.17499999999999893</c:v>
                </c:pt>
                <c:pt idx="1">
                  <c:v>3.7999999999998479E-2</c:v>
                </c:pt>
                <c:pt idx="2">
                  <c:v>0.23199999999999932</c:v>
                </c:pt>
                <c:pt idx="3">
                  <c:v>9.8999999999998423E-2</c:v>
                </c:pt>
                <c:pt idx="4">
                  <c:v>0.18699999999999939</c:v>
                </c:pt>
                <c:pt idx="5">
                  <c:v>9.2000000000000526E-2</c:v>
                </c:pt>
                <c:pt idx="6">
                  <c:v>9.6000000000000085E-2</c:v>
                </c:pt>
                <c:pt idx="7">
                  <c:v>6.0000000000000497E-2</c:v>
                </c:pt>
                <c:pt idx="8">
                  <c:v>0.18699999999999939</c:v>
                </c:pt>
                <c:pt idx="9">
                  <c:v>0.15499999999999936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7B7-8545-AE2E6801C1CC}"/>
            </c:ext>
          </c:extLst>
        </c:ser>
        <c:ser>
          <c:idx val="1"/>
          <c:order val="1"/>
          <c:tx>
            <c:v>Центральная линия</c:v>
          </c:tx>
          <c:marker>
            <c:symbol val="none"/>
          </c:marker>
          <c:val>
            <c:numRef>
              <c:f>'КК по колич'!$T$4:$T$13</c:f>
              <c:numCache>
                <c:formatCode>General</c:formatCode>
                <c:ptCount val="10"/>
                <c:pt idx="0">
                  <c:v>0.13209999999999944</c:v>
                </c:pt>
                <c:pt idx="1">
                  <c:v>0.13209999999999944</c:v>
                </c:pt>
                <c:pt idx="2">
                  <c:v>0.13209999999999944</c:v>
                </c:pt>
                <c:pt idx="3">
                  <c:v>0.13209999999999944</c:v>
                </c:pt>
                <c:pt idx="4">
                  <c:v>0.13209999999999944</c:v>
                </c:pt>
                <c:pt idx="5">
                  <c:v>0.13209999999999944</c:v>
                </c:pt>
                <c:pt idx="6">
                  <c:v>0.13209999999999944</c:v>
                </c:pt>
                <c:pt idx="7">
                  <c:v>0.13209999999999944</c:v>
                </c:pt>
                <c:pt idx="8">
                  <c:v>0.13209999999999944</c:v>
                </c:pt>
                <c:pt idx="9">
                  <c:v>0.13209999999999944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1-47B7-8545-AE2E6801C1CC}"/>
            </c:ext>
          </c:extLst>
        </c:ser>
        <c:ser>
          <c:idx val="2"/>
          <c:order val="2"/>
          <c:tx>
            <c:v>Кв</c:v>
          </c:tx>
          <c:marker>
            <c:symbol val="none"/>
          </c:marker>
          <c:val>
            <c:numRef>
              <c:f>'КК по колич'!$V$4:$V$13</c:f>
              <c:numCache>
                <c:formatCode>General</c:formatCode>
                <c:ptCount val="10"/>
                <c:pt idx="0">
                  <c:v>0.27939149999999885</c:v>
                </c:pt>
                <c:pt idx="1">
                  <c:v>0.27939149999999885</c:v>
                </c:pt>
                <c:pt idx="2">
                  <c:v>0.27939149999999885</c:v>
                </c:pt>
                <c:pt idx="3">
                  <c:v>0.27939149999999885</c:v>
                </c:pt>
                <c:pt idx="4">
                  <c:v>0.27939149999999885</c:v>
                </c:pt>
                <c:pt idx="5">
                  <c:v>0.27939149999999885</c:v>
                </c:pt>
                <c:pt idx="6">
                  <c:v>0.27939149999999885</c:v>
                </c:pt>
                <c:pt idx="7">
                  <c:v>0.27939149999999885</c:v>
                </c:pt>
                <c:pt idx="8">
                  <c:v>0.27939149999999885</c:v>
                </c:pt>
                <c:pt idx="9">
                  <c:v>0.27939149999999885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1-47B7-8545-AE2E6801C1CC}"/>
            </c:ext>
          </c:extLst>
        </c:ser>
        <c:ser>
          <c:idx val="3"/>
          <c:order val="3"/>
          <c:tx>
            <c:v>Кн</c:v>
          </c:tx>
          <c:marker>
            <c:symbol val="none"/>
          </c:marker>
          <c:val>
            <c:numRef>
              <c:f>'КК по колич'!$U$4:$U$13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1-47B7-8545-AE2E6801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22112"/>
        <c:axId val="117323648"/>
      </c:lineChart>
      <c:catAx>
        <c:axId val="11732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23648"/>
        <c:crosses val="autoZero"/>
        <c:auto val="1"/>
        <c:lblAlgn val="ctr"/>
        <c:lblOffset val="100"/>
        <c:noMultiLvlLbl val="0"/>
      </c:catAx>
      <c:valAx>
        <c:axId val="117323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3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Карта доли дефектных единиц продукции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'р-карта'!$D$4:$D$29</c:f>
              <c:numCache>
                <c:formatCode>0.000</c:formatCode>
                <c:ptCount val="26"/>
                <c:pt idx="0">
                  <c:v>6.9620253164556958E-2</c:v>
                </c:pt>
                <c:pt idx="1">
                  <c:v>7.857142857142857E-2</c:v>
                </c:pt>
                <c:pt idx="2">
                  <c:v>5.7142857142857141E-2</c:v>
                </c:pt>
                <c:pt idx="3">
                  <c:v>3.870967741935484E-2</c:v>
                </c:pt>
                <c:pt idx="4">
                  <c:v>2.5000000000000001E-2</c:v>
                </c:pt>
                <c:pt idx="5">
                  <c:v>4.8611111111111112E-2</c:v>
                </c:pt>
                <c:pt idx="6">
                  <c:v>7.1942446043165464E-2</c:v>
                </c:pt>
                <c:pt idx="7">
                  <c:v>7.2847682119205295E-2</c:v>
                </c:pt>
                <c:pt idx="8">
                  <c:v>5.5214723926380369E-2</c:v>
                </c:pt>
                <c:pt idx="9">
                  <c:v>3.3783783783783786E-2</c:v>
                </c:pt>
                <c:pt idx="10">
                  <c:v>1.3333333333333334E-2</c:v>
                </c:pt>
                <c:pt idx="11">
                  <c:v>4.5751633986928102E-2</c:v>
                </c:pt>
                <c:pt idx="12">
                  <c:v>4.6979865771812082E-2</c:v>
                </c:pt>
                <c:pt idx="13">
                  <c:v>5.5172413793103448E-2</c:v>
                </c:pt>
                <c:pt idx="14">
                  <c:v>3.7499999999999999E-2</c:v>
                </c:pt>
                <c:pt idx="15">
                  <c:v>9.0909090909090912E-2</c:v>
                </c:pt>
                <c:pt idx="16">
                  <c:v>0.13235294117647059</c:v>
                </c:pt>
                <c:pt idx="17">
                  <c:v>6.535947712418301E-2</c:v>
                </c:pt>
                <c:pt idx="18">
                  <c:v>0.06</c:v>
                </c:pt>
                <c:pt idx="19">
                  <c:v>3.3783783783783786E-2</c:v>
                </c:pt>
                <c:pt idx="20">
                  <c:v>0</c:v>
                </c:pt>
                <c:pt idx="21">
                  <c:v>7.2727272727272724E-2</c:v>
                </c:pt>
                <c:pt idx="22">
                  <c:v>6.9930069930069935E-2</c:v>
                </c:pt>
                <c:pt idx="23">
                  <c:v>5.7971014492753624E-2</c:v>
                </c:pt>
                <c:pt idx="24">
                  <c:v>9.7222222222222224E-2</c:v>
                </c:pt>
                <c:pt idx="25">
                  <c:v>0.12422360248447205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8-433F-83EC-63A37E34DE84}"/>
            </c:ext>
          </c:extLst>
        </c:ser>
        <c:ser>
          <c:idx val="1"/>
          <c:order val="1"/>
          <c:tx>
            <c:v>Центральная линия</c:v>
          </c:tx>
          <c:marker>
            <c:symbol val="none"/>
          </c:marker>
          <c:val>
            <c:numRef>
              <c:f>'р-карта'!$E$4:$E$29</c:f>
              <c:numCache>
                <c:formatCode>0.000</c:formatCode>
                <c:ptCount val="26"/>
                <c:pt idx="0">
                  <c:v>5.9851014641664528E-2</c:v>
                </c:pt>
                <c:pt idx="1">
                  <c:v>5.9851014641664528E-2</c:v>
                </c:pt>
                <c:pt idx="2">
                  <c:v>5.9851014641664528E-2</c:v>
                </c:pt>
                <c:pt idx="3">
                  <c:v>5.9851014641664528E-2</c:v>
                </c:pt>
                <c:pt idx="4">
                  <c:v>5.9851014641664528E-2</c:v>
                </c:pt>
                <c:pt idx="5">
                  <c:v>5.9851014641664528E-2</c:v>
                </c:pt>
                <c:pt idx="6">
                  <c:v>5.9851014641664528E-2</c:v>
                </c:pt>
                <c:pt idx="7">
                  <c:v>5.9851014641664528E-2</c:v>
                </c:pt>
                <c:pt idx="8">
                  <c:v>5.9851014641664528E-2</c:v>
                </c:pt>
                <c:pt idx="9">
                  <c:v>5.9851014641664528E-2</c:v>
                </c:pt>
                <c:pt idx="10">
                  <c:v>5.9851014641664528E-2</c:v>
                </c:pt>
                <c:pt idx="11">
                  <c:v>5.9851014641664528E-2</c:v>
                </c:pt>
                <c:pt idx="12">
                  <c:v>5.9851014641664528E-2</c:v>
                </c:pt>
                <c:pt idx="13">
                  <c:v>5.9851014641664528E-2</c:v>
                </c:pt>
                <c:pt idx="14">
                  <c:v>5.9851014641664528E-2</c:v>
                </c:pt>
                <c:pt idx="15">
                  <c:v>5.9851014641664528E-2</c:v>
                </c:pt>
                <c:pt idx="16">
                  <c:v>5.9851014641664528E-2</c:v>
                </c:pt>
                <c:pt idx="17">
                  <c:v>5.9851014641664528E-2</c:v>
                </c:pt>
                <c:pt idx="18">
                  <c:v>5.9851014641664528E-2</c:v>
                </c:pt>
                <c:pt idx="19">
                  <c:v>5.9851014641664528E-2</c:v>
                </c:pt>
                <c:pt idx="20">
                  <c:v>5.9851014641664528E-2</c:v>
                </c:pt>
                <c:pt idx="21">
                  <c:v>5.9851014641664528E-2</c:v>
                </c:pt>
                <c:pt idx="22">
                  <c:v>5.9851014641664528E-2</c:v>
                </c:pt>
                <c:pt idx="23">
                  <c:v>5.9851014641664528E-2</c:v>
                </c:pt>
                <c:pt idx="24">
                  <c:v>5.9851014641664528E-2</c:v>
                </c:pt>
                <c:pt idx="25">
                  <c:v>5.9851014641664528E-2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8-433F-83EC-63A37E34DE84}"/>
            </c:ext>
          </c:extLst>
        </c:ser>
        <c:ser>
          <c:idx val="2"/>
          <c:order val="2"/>
          <c:tx>
            <c:v>Кн</c:v>
          </c:tx>
          <c:marker>
            <c:symbol val="none"/>
          </c:marker>
          <c:val>
            <c:numRef>
              <c:f>'р-карта'!$F$4:$F$29</c:f>
              <c:numCache>
                <c:formatCode>0.000</c:formatCode>
                <c:ptCount val="26"/>
                <c:pt idx="0">
                  <c:v>3.2366274537790549E-3</c:v>
                </c:pt>
                <c:pt idx="1">
                  <c:v>-2.9285074983120135E-4</c:v>
                </c:pt>
                <c:pt idx="2">
                  <c:v>-2.9285074983120135E-4</c:v>
                </c:pt>
                <c:pt idx="3">
                  <c:v>2.6913719763414709E-3</c:v>
                </c:pt>
                <c:pt idx="4">
                  <c:v>3.5915800888576266E-3</c:v>
                </c:pt>
                <c:pt idx="5">
                  <c:v>5.4836362164911029E-4</c:v>
                </c:pt>
                <c:pt idx="6" formatCode="0.00">
                  <c:v>-5.0880787335753214E-4</c:v>
                </c:pt>
                <c:pt idx="7">
                  <c:v>1.9392390721177863E-3</c:v>
                </c:pt>
                <c:pt idx="8">
                  <c:v>4.1117092935652258E-3</c:v>
                </c:pt>
                <c:pt idx="9">
                  <c:v>1.3552400083832253E-3</c:v>
                </c:pt>
                <c:pt idx="10">
                  <c:v>1.7465204843132645E-3</c:v>
                </c:pt>
                <c:pt idx="11">
                  <c:v>2.3189925158606448E-3</c:v>
                </c:pt>
                <c:pt idx="12">
                  <c:v>1.551865017267326E-3</c:v>
                </c:pt>
                <c:pt idx="13">
                  <c:v>7.5320931499176652E-4</c:v>
                </c:pt>
                <c:pt idx="14">
                  <c:v>3.5915800888576266E-3</c:v>
                </c:pt>
                <c:pt idx="15">
                  <c:v>4.4505531955910047E-3</c:v>
                </c:pt>
                <c:pt idx="16" formatCode="0.00">
                  <c:v>-1.1709098291310879E-3</c:v>
                </c:pt>
                <c:pt idx="17">
                  <c:v>2.3189925158606448E-3</c:v>
                </c:pt>
                <c:pt idx="18">
                  <c:v>1.7465204843132645E-3</c:v>
                </c:pt>
                <c:pt idx="19">
                  <c:v>1.3552400083832253E-3</c:v>
                </c:pt>
                <c:pt idx="20" formatCode="0.00">
                  <c:v>-1.3964999680608145E-3</c:v>
                </c:pt>
                <c:pt idx="21">
                  <c:v>4.4505531955910047E-3</c:v>
                </c:pt>
                <c:pt idx="22">
                  <c:v>3.4137293639242838E-4</c:v>
                </c:pt>
                <c:pt idx="23" formatCode="0.00">
                  <c:v>-7.2710812484958615E-4</c:v>
                </c:pt>
                <c:pt idx="24">
                  <c:v>5.4836362164911029E-4</c:v>
                </c:pt>
                <c:pt idx="25">
                  <c:v>3.766570977936555E-3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8-433F-83EC-63A37E34DE84}"/>
            </c:ext>
          </c:extLst>
        </c:ser>
        <c:ser>
          <c:idx val="3"/>
          <c:order val="3"/>
          <c:tx>
            <c:v>Кв</c:v>
          </c:tx>
          <c:marker>
            <c:symbol val="none"/>
          </c:marker>
          <c:val>
            <c:numRef>
              <c:f>'р-карта'!$G$4:$G$29</c:f>
              <c:numCache>
                <c:formatCode>0.000</c:formatCode>
                <c:ptCount val="26"/>
                <c:pt idx="0">
                  <c:v>0.11646540182955001</c:v>
                </c:pt>
                <c:pt idx="1">
                  <c:v>0.11999488003316025</c:v>
                </c:pt>
                <c:pt idx="2">
                  <c:v>0.11999488003316025</c:v>
                </c:pt>
                <c:pt idx="3">
                  <c:v>0.11701065730698759</c:v>
                </c:pt>
                <c:pt idx="4">
                  <c:v>0.11611044919447143</c:v>
                </c:pt>
                <c:pt idx="5">
                  <c:v>0.11915366566167995</c:v>
                </c:pt>
                <c:pt idx="6">
                  <c:v>0.1202108371566866</c:v>
                </c:pt>
                <c:pt idx="7">
                  <c:v>0.11776279021121128</c:v>
                </c:pt>
                <c:pt idx="8">
                  <c:v>0.11559031998976382</c:v>
                </c:pt>
                <c:pt idx="9">
                  <c:v>0.11834678927494582</c:v>
                </c:pt>
                <c:pt idx="10">
                  <c:v>0.11795550879901578</c:v>
                </c:pt>
                <c:pt idx="11">
                  <c:v>0.11738303676746842</c:v>
                </c:pt>
                <c:pt idx="12">
                  <c:v>0.11815016426606173</c:v>
                </c:pt>
                <c:pt idx="13">
                  <c:v>0.11894881996833728</c:v>
                </c:pt>
                <c:pt idx="14">
                  <c:v>0.11611044919447143</c:v>
                </c:pt>
                <c:pt idx="15">
                  <c:v>0.11525147608773806</c:v>
                </c:pt>
                <c:pt idx="16">
                  <c:v>0.12087293911246014</c:v>
                </c:pt>
                <c:pt idx="17">
                  <c:v>0.11738303676746842</c:v>
                </c:pt>
                <c:pt idx="18">
                  <c:v>0.11795550879901578</c:v>
                </c:pt>
                <c:pt idx="19">
                  <c:v>0.11834678927494582</c:v>
                </c:pt>
                <c:pt idx="20">
                  <c:v>0.12109852925138986</c:v>
                </c:pt>
                <c:pt idx="21">
                  <c:v>0.11525147608773806</c:v>
                </c:pt>
                <c:pt idx="22">
                  <c:v>0.11936065634693663</c:v>
                </c:pt>
                <c:pt idx="23">
                  <c:v>0.12042913740817865</c:v>
                </c:pt>
                <c:pt idx="24">
                  <c:v>0.11915366566167995</c:v>
                </c:pt>
                <c:pt idx="25">
                  <c:v>0.11593545830539251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8-433F-83EC-63A37E34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8384"/>
        <c:axId val="117249920"/>
      </c:lineChart>
      <c:catAx>
        <c:axId val="11724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249920"/>
        <c:crosses val="autoZero"/>
        <c:auto val="1"/>
        <c:lblAlgn val="ctr"/>
        <c:lblOffset val="100"/>
        <c:noMultiLvlLbl val="0"/>
      </c:catAx>
      <c:valAx>
        <c:axId val="11724992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1172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'с-карта'!$B$5:$B$24</c:f>
              <c:numCache>
                <c:formatCode>General</c:formatCode>
                <c:ptCount val="20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2-4B3B-9AE8-E510E797579B}"/>
            </c:ext>
          </c:extLst>
        </c:ser>
        <c:ser>
          <c:idx val="1"/>
          <c:order val="1"/>
          <c:tx>
            <c:v>Центральная линия</c:v>
          </c:tx>
          <c:marker>
            <c:symbol val="none"/>
          </c:marker>
          <c:val>
            <c:numRef>
              <c:f>'с-карта'!$C$5:$C$24</c:f>
              <c:numCache>
                <c:formatCode>General</c:formatCode>
                <c:ptCount val="20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2-4B3B-9AE8-E510E797579B}"/>
            </c:ext>
          </c:extLst>
        </c:ser>
        <c:ser>
          <c:idx val="2"/>
          <c:order val="2"/>
          <c:tx>
            <c:v>Кв</c:v>
          </c:tx>
          <c:marker>
            <c:symbol val="none"/>
          </c:marker>
          <c:val>
            <c:numRef>
              <c:f>'с-карта'!$D$5:$D$24</c:f>
              <c:numCache>
                <c:formatCode>0.00</c:formatCode>
                <c:ptCount val="20"/>
                <c:pt idx="0">
                  <c:v>8.9317266743757333</c:v>
                </c:pt>
                <c:pt idx="1">
                  <c:v>8.9317266743757333</c:v>
                </c:pt>
                <c:pt idx="2">
                  <c:v>8.9317266743757333</c:v>
                </c:pt>
                <c:pt idx="3">
                  <c:v>8.9317266743757333</c:v>
                </c:pt>
                <c:pt idx="4">
                  <c:v>8.9317266743757333</c:v>
                </c:pt>
                <c:pt idx="5">
                  <c:v>8.9317266743757333</c:v>
                </c:pt>
                <c:pt idx="6">
                  <c:v>8.9317266743757333</c:v>
                </c:pt>
                <c:pt idx="7">
                  <c:v>8.9317266743757333</c:v>
                </c:pt>
                <c:pt idx="8">
                  <c:v>8.9317266743757333</c:v>
                </c:pt>
                <c:pt idx="9">
                  <c:v>8.9317266743757333</c:v>
                </c:pt>
                <c:pt idx="10">
                  <c:v>8.9317266743757333</c:v>
                </c:pt>
                <c:pt idx="11">
                  <c:v>8.9317266743757333</c:v>
                </c:pt>
                <c:pt idx="12">
                  <c:v>8.9317266743757333</c:v>
                </c:pt>
                <c:pt idx="13">
                  <c:v>8.9317266743757333</c:v>
                </c:pt>
                <c:pt idx="14">
                  <c:v>8.9317266743757333</c:v>
                </c:pt>
                <c:pt idx="15">
                  <c:v>8.9317266743757333</c:v>
                </c:pt>
                <c:pt idx="16">
                  <c:v>8.9317266743757333</c:v>
                </c:pt>
                <c:pt idx="17">
                  <c:v>8.9317266743757333</c:v>
                </c:pt>
                <c:pt idx="18">
                  <c:v>8.9317266743757333</c:v>
                </c:pt>
                <c:pt idx="19">
                  <c:v>8.9317266743757333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2-4B3B-9AE8-E510E797579B}"/>
            </c:ext>
          </c:extLst>
        </c:ser>
        <c:ser>
          <c:idx val="3"/>
          <c:order val="3"/>
          <c:tx>
            <c:v>Кн</c:v>
          </c:tx>
          <c:marker>
            <c:symbol val="none"/>
          </c:marker>
          <c:val>
            <c:numRef>
              <c:f>'с-карта'!$E$5:$E$24</c:f>
              <c:numCache>
                <c:formatCode>0.00</c:formatCode>
                <c:ptCount val="20"/>
                <c:pt idx="0">
                  <c:v>-2.131726674375733</c:v>
                </c:pt>
                <c:pt idx="1">
                  <c:v>-2.131726674375733</c:v>
                </c:pt>
                <c:pt idx="2">
                  <c:v>-2.131726674375733</c:v>
                </c:pt>
                <c:pt idx="3">
                  <c:v>-2.131726674375733</c:v>
                </c:pt>
                <c:pt idx="4">
                  <c:v>-2.131726674375733</c:v>
                </c:pt>
                <c:pt idx="5">
                  <c:v>-2.131726674375733</c:v>
                </c:pt>
                <c:pt idx="6">
                  <c:v>-2.131726674375733</c:v>
                </c:pt>
                <c:pt idx="7">
                  <c:v>-2.131726674375733</c:v>
                </c:pt>
                <c:pt idx="8">
                  <c:v>-2.131726674375733</c:v>
                </c:pt>
                <c:pt idx="9">
                  <c:v>-2.131726674375733</c:v>
                </c:pt>
                <c:pt idx="10">
                  <c:v>-2.131726674375733</c:v>
                </c:pt>
                <c:pt idx="11">
                  <c:v>-2.131726674375733</c:v>
                </c:pt>
                <c:pt idx="12">
                  <c:v>-2.131726674375733</c:v>
                </c:pt>
                <c:pt idx="13">
                  <c:v>-2.131726674375733</c:v>
                </c:pt>
                <c:pt idx="14">
                  <c:v>-2.131726674375733</c:v>
                </c:pt>
                <c:pt idx="15">
                  <c:v>-2.131726674375733</c:v>
                </c:pt>
                <c:pt idx="16">
                  <c:v>-2.131726674375733</c:v>
                </c:pt>
                <c:pt idx="17">
                  <c:v>-2.131726674375733</c:v>
                </c:pt>
                <c:pt idx="18">
                  <c:v>-2.131726674375733</c:v>
                </c:pt>
                <c:pt idx="19">
                  <c:v>-2.131726674375733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2-4B3B-9AE8-E510E797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1376"/>
        <c:axId val="117462912"/>
      </c:lineChart>
      <c:catAx>
        <c:axId val="1174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62912"/>
        <c:crosses val="autoZero"/>
        <c:auto val="1"/>
        <c:lblAlgn val="ctr"/>
        <c:lblOffset val="100"/>
        <c:noMultiLvlLbl val="0"/>
      </c:catAx>
      <c:valAx>
        <c:axId val="1174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4.0276324630999704E-3"/>
                  <c:y val="-3.9187256765318132E-2"/>
                </c:manualLayout>
              </c:layout>
              <c:numFmt formatCode="General" sourceLinked="0"/>
            </c:trendlineLbl>
          </c:trendline>
          <c:xVal>
            <c:numRef>
              <c:f>'Диаграмма разброса'!$B$3:$B$53</c:f>
              <c:numCache>
                <c:formatCode>#\ ##0.000_ ;\-#\ ##0.000\ </c:formatCode>
                <c:ptCount val="51"/>
                <c:pt idx="0">
                  <c:v>1.2948999999999999</c:v>
                </c:pt>
                <c:pt idx="1">
                  <c:v>1.2921</c:v>
                </c:pt>
                <c:pt idx="2">
                  <c:v>1.3035000000000001</c:v>
                </c:pt>
                <c:pt idx="3">
                  <c:v>1.3067</c:v>
                </c:pt>
                <c:pt idx="4">
                  <c:v>1.3059000000000001</c:v>
                </c:pt>
                <c:pt idx="5">
                  <c:v>1.3038000000000001</c:v>
                </c:pt>
                <c:pt idx="6">
                  <c:v>1.3049999999999999</c:v>
                </c:pt>
                <c:pt idx="7">
                  <c:v>1.3059000000000001</c:v>
                </c:pt>
                <c:pt idx="8">
                  <c:v>1.3052999999999999</c:v>
                </c:pt>
                <c:pt idx="9">
                  <c:v>1.3090999999999999</c:v>
                </c:pt>
                <c:pt idx="10">
                  <c:v>1.3044</c:v>
                </c:pt>
                <c:pt idx="11">
                  <c:v>1.3018000000000001</c:v>
                </c:pt>
                <c:pt idx="12">
                  <c:v>1.3037000000000001</c:v>
                </c:pt>
                <c:pt idx="13">
                  <c:v>1.3038000000000001</c:v>
                </c:pt>
                <c:pt idx="14">
                  <c:v>1.3030999999999999</c:v>
                </c:pt>
                <c:pt idx="15">
                  <c:v>1.2999000000000001</c:v>
                </c:pt>
                <c:pt idx="16">
                  <c:v>1.3012999999999999</c:v>
                </c:pt>
                <c:pt idx="17">
                  <c:v>1.3162</c:v>
                </c:pt>
                <c:pt idx="18">
                  <c:v>1.3289</c:v>
                </c:pt>
                <c:pt idx="19">
                  <c:v>1.3380000000000001</c:v>
                </c:pt>
                <c:pt idx="20">
                  <c:v>1.3382000000000001</c:v>
                </c:pt>
                <c:pt idx="21">
                  <c:v>1.3351</c:v>
                </c:pt>
                <c:pt idx="22">
                  <c:v>1.3382000000000001</c:v>
                </c:pt>
                <c:pt idx="23">
                  <c:v>1.3405</c:v>
                </c:pt>
                <c:pt idx="24">
                  <c:v>1.3384</c:v>
                </c:pt>
                <c:pt idx="25">
                  <c:v>1.3429</c:v>
                </c:pt>
                <c:pt idx="26">
                  <c:v>1.339</c:v>
                </c:pt>
                <c:pt idx="27">
                  <c:v>1.3389</c:v>
                </c:pt>
                <c:pt idx="28">
                  <c:v>1.3456999999999999</c:v>
                </c:pt>
                <c:pt idx="29">
                  <c:v>1.3461000000000001</c:v>
                </c:pt>
                <c:pt idx="30">
                  <c:v>1.3360000000000001</c:v>
                </c:pt>
                <c:pt idx="31">
                  <c:v>1.3335999999999999</c:v>
                </c:pt>
                <c:pt idx="32">
                  <c:v>1.3327</c:v>
                </c:pt>
                <c:pt idx="33">
                  <c:v>1.3241000000000001</c:v>
                </c:pt>
                <c:pt idx="34">
                  <c:v>1.3234999999999999</c:v>
                </c:pt>
                <c:pt idx="35">
                  <c:v>1.3283</c:v>
                </c:pt>
                <c:pt idx="36">
                  <c:v>1.3359000000000001</c:v>
                </c:pt>
                <c:pt idx="37">
                  <c:v>1.3429</c:v>
                </c:pt>
                <c:pt idx="38">
                  <c:v>1.3508</c:v>
                </c:pt>
                <c:pt idx="39">
                  <c:v>1.3495999999999999</c:v>
                </c:pt>
                <c:pt idx="40">
                  <c:v>1.3519000000000001</c:v>
                </c:pt>
                <c:pt idx="41">
                  <c:v>1.3520000000000001</c:v>
                </c:pt>
                <c:pt idx="42">
                  <c:v>1.3506</c:v>
                </c:pt>
                <c:pt idx="43">
                  <c:v>1.3475999999999999</c:v>
                </c:pt>
                <c:pt idx="44">
                  <c:v>1.3494999999999999</c:v>
                </c:pt>
                <c:pt idx="45">
                  <c:v>1.3577999999999999</c:v>
                </c:pt>
                <c:pt idx="46">
                  <c:v>1.3707</c:v>
                </c:pt>
                <c:pt idx="47">
                  <c:v>1.3751</c:v>
                </c:pt>
                <c:pt idx="48">
                  <c:v>1.3746</c:v>
                </c:pt>
                <c:pt idx="49">
                  <c:v>1.3656999999999999</c:v>
                </c:pt>
                <c:pt idx="50">
                  <c:v>1.3567</c:v>
                </c:pt>
              </c:numCache>
            </c:numRef>
          </c:xVal>
          <c:yVal>
            <c:numRef>
              <c:f>'Диаграмма разброса'!$C$3:$C$53</c:f>
              <c:numCache>
                <c:formatCode>#\ ##0.000_ ;\-#\ ##0.000\ </c:formatCode>
                <c:ptCount val="51"/>
                <c:pt idx="0">
                  <c:v>41.534199999999998</c:v>
                </c:pt>
                <c:pt idx="1">
                  <c:v>41.345399999999998</c:v>
                </c:pt>
                <c:pt idx="2">
                  <c:v>41.1663</c:v>
                </c:pt>
                <c:pt idx="3">
                  <c:v>40.743099999999998</c:v>
                </c:pt>
                <c:pt idx="4">
                  <c:v>40.543599999999998</c:v>
                </c:pt>
                <c:pt idx="5">
                  <c:v>40.67</c:v>
                </c:pt>
                <c:pt idx="6">
                  <c:v>40.114699999999999</c:v>
                </c:pt>
                <c:pt idx="7">
                  <c:v>40.741700000000002</c:v>
                </c:pt>
                <c:pt idx="8">
                  <c:v>41.096800000000002</c:v>
                </c:pt>
                <c:pt idx="9">
                  <c:v>41.575600000000001</c:v>
                </c:pt>
                <c:pt idx="10">
                  <c:v>41.7667</c:v>
                </c:pt>
                <c:pt idx="11">
                  <c:v>41.662999999999997</c:v>
                </c:pt>
                <c:pt idx="12">
                  <c:v>41.514000000000003</c:v>
                </c:pt>
                <c:pt idx="13">
                  <c:v>41.517200000000003</c:v>
                </c:pt>
                <c:pt idx="14">
                  <c:v>41.455399999999997</c:v>
                </c:pt>
                <c:pt idx="15">
                  <c:v>41.341999999999999</c:v>
                </c:pt>
                <c:pt idx="16">
                  <c:v>41.334200000000003</c:v>
                </c:pt>
                <c:pt idx="17">
                  <c:v>41.621099999999998</c:v>
                </c:pt>
                <c:pt idx="18">
                  <c:v>41.823799999999999</c:v>
                </c:pt>
                <c:pt idx="19">
                  <c:v>41.170499999999997</c:v>
                </c:pt>
                <c:pt idx="20">
                  <c:v>41.558799999999998</c:v>
                </c:pt>
                <c:pt idx="21">
                  <c:v>41.885399999999997</c:v>
                </c:pt>
                <c:pt idx="22">
                  <c:v>41.77</c:v>
                </c:pt>
                <c:pt idx="23">
                  <c:v>41.768799999999999</c:v>
                </c:pt>
                <c:pt idx="24">
                  <c:v>41.654699999999998</c:v>
                </c:pt>
                <c:pt idx="25">
                  <c:v>41.466299999999997</c:v>
                </c:pt>
                <c:pt idx="26">
                  <c:v>40.5</c:v>
                </c:pt>
                <c:pt idx="27">
                  <c:v>40.960599999999999</c:v>
                </c:pt>
                <c:pt idx="28">
                  <c:v>41.262599999999999</c:v>
                </c:pt>
                <c:pt idx="29">
                  <c:v>41.370600000000003</c:v>
                </c:pt>
                <c:pt idx="30">
                  <c:v>41.332700000000003</c:v>
                </c:pt>
                <c:pt idx="31">
                  <c:v>41.7395</c:v>
                </c:pt>
                <c:pt idx="32">
                  <c:v>41.773899999999998</c:v>
                </c:pt>
                <c:pt idx="33">
                  <c:v>40.902099999999997</c:v>
                </c:pt>
                <c:pt idx="34">
                  <c:v>41.246000000000002</c:v>
                </c:pt>
                <c:pt idx="35">
                  <c:v>41.875300000000003</c:v>
                </c:pt>
                <c:pt idx="36">
                  <c:v>41.9681</c:v>
                </c:pt>
                <c:pt idx="37">
                  <c:v>41.959499999999998</c:v>
                </c:pt>
                <c:pt idx="38">
                  <c:v>41.924599999999998</c:v>
                </c:pt>
                <c:pt idx="39">
                  <c:v>41.7881</c:v>
                </c:pt>
                <c:pt idx="40">
                  <c:v>40.829500000000003</c:v>
                </c:pt>
                <c:pt idx="41">
                  <c:v>41.114899999999999</c:v>
                </c:pt>
                <c:pt idx="42">
                  <c:v>41.637900000000002</c:v>
                </c:pt>
                <c:pt idx="43">
                  <c:v>41.456800000000001</c:v>
                </c:pt>
                <c:pt idx="44">
                  <c:v>41.409799999999997</c:v>
                </c:pt>
                <c:pt idx="45">
                  <c:v>41.543900000000001</c:v>
                </c:pt>
                <c:pt idx="46">
                  <c:v>41.5411</c:v>
                </c:pt>
                <c:pt idx="47">
                  <c:v>41.143900000000002</c:v>
                </c:pt>
                <c:pt idx="48">
                  <c:v>41.518900000000002</c:v>
                </c:pt>
                <c:pt idx="49">
                  <c:v>41.512300000000003</c:v>
                </c:pt>
                <c:pt idx="50">
                  <c:v>41.527299999999997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9-4496-BC72-DF80761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4256"/>
        <c:axId val="117580160"/>
      </c:scatterChart>
      <c:valAx>
        <c:axId val="117504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1</a:t>
                </a:r>
              </a:p>
            </c:rich>
          </c:tx>
          <c:layout/>
          <c:overlay val="0"/>
        </c:title>
        <c:numFmt formatCode="#\ ##0.000_ ;\-#\ ##0.000\ " sourceLinked="1"/>
        <c:majorTickMark val="out"/>
        <c:minorTickMark val="none"/>
        <c:tickLblPos val="nextTo"/>
        <c:crossAx val="117580160"/>
        <c:crosses val="autoZero"/>
        <c:crossBetween val="midCat"/>
      </c:valAx>
      <c:valAx>
        <c:axId val="117580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2</a:t>
                </a:r>
              </a:p>
            </c:rich>
          </c:tx>
          <c:layout>
            <c:manualLayout>
              <c:xMode val="edge"/>
              <c:yMode val="edge"/>
              <c:x val="1.6523671685952993E-2"/>
              <c:y val="0.33991605575165251"/>
            </c:manualLayout>
          </c:layout>
          <c:overlay val="0"/>
        </c:title>
        <c:numFmt formatCode="#\ ##0.000_ ;\-#\ ##0.000\ " sourceLinked="1"/>
        <c:majorTickMark val="out"/>
        <c:minorTickMark val="none"/>
        <c:tickLblPos val="nextTo"/>
        <c:crossAx val="1175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Ленточный график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Цех 1</c:v>
          </c:tx>
          <c:invertIfNegative val="0"/>
          <c:val>
            <c:numRef>
              <c:f>Графики!$N$4:$Y$4</c:f>
              <c:numCache>
                <c:formatCode>0.00</c:formatCode>
                <c:ptCount val="12"/>
                <c:pt idx="0">
                  <c:v>22.222222222222221</c:v>
                </c:pt>
                <c:pt idx="1">
                  <c:v>33.333333333333329</c:v>
                </c:pt>
                <c:pt idx="2">
                  <c:v>27.906976744186046</c:v>
                </c:pt>
                <c:pt idx="3">
                  <c:v>30</c:v>
                </c:pt>
                <c:pt idx="4">
                  <c:v>34.146341463414636</c:v>
                </c:pt>
                <c:pt idx="5">
                  <c:v>31.914893617021278</c:v>
                </c:pt>
                <c:pt idx="6">
                  <c:v>38.461538461538467</c:v>
                </c:pt>
                <c:pt idx="7">
                  <c:v>43.103448275862064</c:v>
                </c:pt>
                <c:pt idx="8">
                  <c:v>40.983606557377051</c:v>
                </c:pt>
                <c:pt idx="9">
                  <c:v>27.027027027027028</c:v>
                </c:pt>
                <c:pt idx="10">
                  <c:v>41.666666666666671</c:v>
                </c:pt>
                <c:pt idx="11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257-960E-CCD3D6420CFB}"/>
            </c:ext>
          </c:extLst>
        </c:ser>
        <c:ser>
          <c:idx val="1"/>
          <c:order val="1"/>
          <c:tx>
            <c:v>Цех 2</c:v>
          </c:tx>
          <c:invertIfNegative val="0"/>
          <c:val>
            <c:numRef>
              <c:f>Графики!$N$5:$Y$5</c:f>
              <c:numCache>
                <c:formatCode>0.00</c:formatCode>
                <c:ptCount val="12"/>
                <c:pt idx="0">
                  <c:v>66.666666666666657</c:v>
                </c:pt>
                <c:pt idx="1">
                  <c:v>44.444444444444443</c:v>
                </c:pt>
                <c:pt idx="2">
                  <c:v>58.139534883720934</c:v>
                </c:pt>
                <c:pt idx="3">
                  <c:v>60</c:v>
                </c:pt>
                <c:pt idx="4">
                  <c:v>48.780487804878049</c:v>
                </c:pt>
                <c:pt idx="5">
                  <c:v>53.191489361702125</c:v>
                </c:pt>
                <c:pt idx="6">
                  <c:v>48.07692307692308</c:v>
                </c:pt>
                <c:pt idx="7">
                  <c:v>43.103448275862064</c:v>
                </c:pt>
                <c:pt idx="8">
                  <c:v>49.180327868852459</c:v>
                </c:pt>
                <c:pt idx="9">
                  <c:v>54.054054054054056</c:v>
                </c:pt>
                <c:pt idx="10">
                  <c:v>41.666666666666671</c:v>
                </c:pt>
                <c:pt idx="11">
                  <c:v>52.083333333333336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9-4257-960E-CCD3D6420CFB}"/>
            </c:ext>
          </c:extLst>
        </c:ser>
        <c:ser>
          <c:idx val="2"/>
          <c:order val="2"/>
          <c:tx>
            <c:v>Цех 3</c:v>
          </c:tx>
          <c:invertIfNegative val="0"/>
          <c:val>
            <c:numRef>
              <c:f>Графики!$N$6:$Y$6</c:f>
              <c:numCache>
                <c:formatCode>0.00</c:formatCode>
                <c:ptCount val="12"/>
                <c:pt idx="0">
                  <c:v>11.111111111111111</c:v>
                </c:pt>
                <c:pt idx="1">
                  <c:v>22.222222222222221</c:v>
                </c:pt>
                <c:pt idx="2">
                  <c:v>13.953488372093023</c:v>
                </c:pt>
                <c:pt idx="3">
                  <c:v>10</c:v>
                </c:pt>
                <c:pt idx="4">
                  <c:v>17.073170731707318</c:v>
                </c:pt>
                <c:pt idx="5">
                  <c:v>14.893617021276595</c:v>
                </c:pt>
                <c:pt idx="6">
                  <c:v>13.461538461538462</c:v>
                </c:pt>
                <c:pt idx="7">
                  <c:v>13.793103448275861</c:v>
                </c:pt>
                <c:pt idx="8">
                  <c:v>9.8360655737704921</c:v>
                </c:pt>
                <c:pt idx="9">
                  <c:v>18.918918918918919</c:v>
                </c:pt>
                <c:pt idx="10">
                  <c:v>16.666666666666664</c:v>
                </c:pt>
                <c:pt idx="11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9-4257-960E-CCD3D642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121408"/>
        <c:axId val="95122944"/>
      </c:barChart>
      <c:catAx>
        <c:axId val="95121408"/>
        <c:scaling>
          <c:orientation val="minMax"/>
        </c:scaling>
        <c:delete val="0"/>
        <c:axPos val="l"/>
        <c:majorTickMark val="none"/>
        <c:minorTickMark val="none"/>
        <c:tickLblPos val="nextTo"/>
        <c:crossAx val="95122944"/>
        <c:crosses val="autoZero"/>
        <c:auto val="1"/>
        <c:lblAlgn val="ctr"/>
        <c:lblOffset val="100"/>
        <c:noMultiLvlLbl val="0"/>
      </c:catAx>
      <c:valAx>
        <c:axId val="95122944"/>
        <c:scaling>
          <c:orientation val="minMax"/>
          <c:max val="100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crossAx val="951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Радиационный график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Графики!$N$4:$Y$4</c:f>
              <c:numCache>
                <c:formatCode>0.00</c:formatCode>
                <c:ptCount val="12"/>
                <c:pt idx="0">
                  <c:v>22.222222222222221</c:v>
                </c:pt>
                <c:pt idx="1">
                  <c:v>33.333333333333329</c:v>
                </c:pt>
                <c:pt idx="2">
                  <c:v>27.906976744186046</c:v>
                </c:pt>
                <c:pt idx="3">
                  <c:v>30</c:v>
                </c:pt>
                <c:pt idx="4">
                  <c:v>34.146341463414636</c:v>
                </c:pt>
                <c:pt idx="5">
                  <c:v>31.914893617021278</c:v>
                </c:pt>
                <c:pt idx="6">
                  <c:v>38.461538461538467</c:v>
                </c:pt>
                <c:pt idx="7">
                  <c:v>43.103448275862064</c:v>
                </c:pt>
                <c:pt idx="8">
                  <c:v>40.983606557377051</c:v>
                </c:pt>
                <c:pt idx="9">
                  <c:v>27.027027027027028</c:v>
                </c:pt>
                <c:pt idx="10">
                  <c:v>41.666666666666671</c:v>
                </c:pt>
                <c:pt idx="11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F-4D0A-BF0B-1ABE50F627DE}"/>
            </c:ext>
          </c:extLst>
        </c:ser>
        <c:ser>
          <c:idx val="1"/>
          <c:order val="1"/>
          <c:marker>
            <c:symbol val="none"/>
          </c:marker>
          <c:val>
            <c:numRef>
              <c:f>Графики!$N$5:$Y$5</c:f>
              <c:numCache>
                <c:formatCode>0.00</c:formatCode>
                <c:ptCount val="12"/>
                <c:pt idx="0">
                  <c:v>66.666666666666657</c:v>
                </c:pt>
                <c:pt idx="1">
                  <c:v>44.444444444444443</c:v>
                </c:pt>
                <c:pt idx="2">
                  <c:v>58.139534883720934</c:v>
                </c:pt>
                <c:pt idx="3">
                  <c:v>60</c:v>
                </c:pt>
                <c:pt idx="4">
                  <c:v>48.780487804878049</c:v>
                </c:pt>
                <c:pt idx="5">
                  <c:v>53.191489361702125</c:v>
                </c:pt>
                <c:pt idx="6">
                  <c:v>48.07692307692308</c:v>
                </c:pt>
                <c:pt idx="7">
                  <c:v>43.103448275862064</c:v>
                </c:pt>
                <c:pt idx="8">
                  <c:v>49.180327868852459</c:v>
                </c:pt>
                <c:pt idx="9">
                  <c:v>54.054054054054056</c:v>
                </c:pt>
                <c:pt idx="10">
                  <c:v>41.666666666666671</c:v>
                </c:pt>
                <c:pt idx="11">
                  <c:v>52.083333333333336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F-4D0A-BF0B-1ABE50F627DE}"/>
            </c:ext>
          </c:extLst>
        </c:ser>
        <c:ser>
          <c:idx val="2"/>
          <c:order val="2"/>
          <c:marker>
            <c:symbol val="none"/>
          </c:marker>
          <c:val>
            <c:numRef>
              <c:f>Графики!$N$6:$Y$6</c:f>
              <c:numCache>
                <c:formatCode>0.00</c:formatCode>
                <c:ptCount val="12"/>
                <c:pt idx="0">
                  <c:v>11.111111111111111</c:v>
                </c:pt>
                <c:pt idx="1">
                  <c:v>22.222222222222221</c:v>
                </c:pt>
                <c:pt idx="2">
                  <c:v>13.953488372093023</c:v>
                </c:pt>
                <c:pt idx="3">
                  <c:v>10</c:v>
                </c:pt>
                <c:pt idx="4">
                  <c:v>17.073170731707318</c:v>
                </c:pt>
                <c:pt idx="5">
                  <c:v>14.893617021276595</c:v>
                </c:pt>
                <c:pt idx="6">
                  <c:v>13.461538461538462</c:v>
                </c:pt>
                <c:pt idx="7">
                  <c:v>13.793103448275861</c:v>
                </c:pt>
                <c:pt idx="8">
                  <c:v>9.8360655737704921</c:v>
                </c:pt>
                <c:pt idx="9">
                  <c:v>18.918918918918919</c:v>
                </c:pt>
                <c:pt idx="10">
                  <c:v>16.666666666666664</c:v>
                </c:pt>
                <c:pt idx="11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F-4D0A-BF0B-1ABE50F6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8672"/>
        <c:axId val="95420800"/>
      </c:radarChart>
      <c:catAx>
        <c:axId val="95148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95420800"/>
        <c:crosses val="autoZero"/>
        <c:auto val="1"/>
        <c:lblAlgn val="ctr"/>
        <c:lblOffset val="100"/>
        <c:noMultiLvlLbl val="0"/>
      </c:catAx>
      <c:valAx>
        <c:axId val="954208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951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Столбчатый график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Цех 1</c:v>
          </c:tx>
          <c:invertIfNegative val="0"/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Графики!$B$4:$M$4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10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8-42C6-9502-9A0D9FBDCBA0}"/>
            </c:ext>
          </c:extLst>
        </c:ser>
        <c:ser>
          <c:idx val="1"/>
          <c:order val="1"/>
          <c:tx>
            <c:v>Цех 2</c:v>
          </c:tx>
          <c:invertIfNegative val="0"/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Графики!$B$5:$M$5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8-42C6-9502-9A0D9FBDCBA0}"/>
            </c:ext>
          </c:extLst>
        </c:ser>
        <c:ser>
          <c:idx val="2"/>
          <c:order val="2"/>
          <c:tx>
            <c:v>Цех 3</c:v>
          </c:tx>
          <c:invertIfNegative val="0"/>
          <c:cat>
            <c:strRef>
              <c:f>Графики!$B$3:$M$3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Графики!$B$6:$M$6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8-42C6-9502-9A0D9FBD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0624"/>
        <c:axId val="95452160"/>
      </c:barChart>
      <c:catAx>
        <c:axId val="95450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5452160"/>
        <c:crosses val="autoZero"/>
        <c:auto val="1"/>
        <c:lblAlgn val="ctr"/>
        <c:lblOffset val="100"/>
        <c:noMultiLvlLbl val="0"/>
      </c:catAx>
      <c:valAx>
        <c:axId val="95452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4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Круговой график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Графики!$A$4:$A$6</c:f>
              <c:strCache>
                <c:ptCount val="3"/>
                <c:pt idx="0">
                  <c:v>Цех 1</c:v>
                </c:pt>
                <c:pt idx="1">
                  <c:v>Цех 2</c:v>
                </c:pt>
                <c:pt idx="2">
                  <c:v>Цех 3</c:v>
                </c:pt>
              </c:strCache>
            </c:strRef>
          </c:cat>
          <c:val>
            <c:numRef>
              <c:f>Графики!$AA$4:$AA$6</c:f>
              <c:numCache>
                <c:formatCode>0.00</c:formatCode>
                <c:ptCount val="3"/>
                <c:pt idx="0">
                  <c:v>34.086956521739133</c:v>
                </c:pt>
                <c:pt idx="1">
                  <c:v>51.304347826086961</c:v>
                </c:pt>
                <c:pt idx="2">
                  <c:v>14.608695652173914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7AB-8318-3CC484360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2523913677456991"/>
          <c:w val="0.8560231846019245"/>
          <c:h val="0.768040244969379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1F497D">
                  <a:alpha val="51000"/>
                </a:srgbClr>
              </a:solidFill>
            </a:ln>
          </c:spPr>
          <c:invertIfNegative val="0"/>
          <c:cat>
            <c:numRef>
              <c:f>Гистограмма!$G$10:$G$17</c:f>
              <c:numCache>
                <c:formatCode>General</c:formatCode>
                <c:ptCount val="8"/>
                <c:pt idx="0">
                  <c:v>2.2074999999999996</c:v>
                </c:pt>
                <c:pt idx="1">
                  <c:v>2.2214999999999998</c:v>
                </c:pt>
                <c:pt idx="2">
                  <c:v>2.2354999999999992</c:v>
                </c:pt>
                <c:pt idx="3">
                  <c:v>2.2494999999999994</c:v>
                </c:pt>
                <c:pt idx="4">
                  <c:v>2.2634999999999987</c:v>
                </c:pt>
                <c:pt idx="5">
                  <c:v>2.277499999999999</c:v>
                </c:pt>
                <c:pt idx="6">
                  <c:v>2.2914999999999983</c:v>
                </c:pt>
                <c:pt idx="7">
                  <c:v>2.3054999999999986</c:v>
                </c:pt>
              </c:numCache>
            </c:numRef>
          </c:cat>
          <c:val>
            <c:numRef>
              <c:f>Гистограмма!$H$10:$H$17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5-4422-A634-7B6F12E2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5876992"/>
        <c:axId val="95878528"/>
      </c:barChart>
      <c:scatterChart>
        <c:scatterStyle val="smoothMarker"/>
        <c:varyColors val="0"/>
        <c:ser>
          <c:idx val="1"/>
          <c:order val="1"/>
          <c:tx>
            <c:strRef>
              <c:f>Гистограмма!$O$12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Гистограмма!$N$12:$N$13</c:f>
              <c:numCache>
                <c:formatCode>General</c:formatCode>
                <c:ptCount val="2"/>
                <c:pt idx="0">
                  <c:v>2.4</c:v>
                </c:pt>
                <c:pt idx="1">
                  <c:v>2.4</c:v>
                </c:pt>
              </c:numCache>
            </c:numRef>
          </c:xVal>
          <c:yVal>
            <c:numRef>
              <c:f>Гистограмма!$O$12:$O$13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5-4422-A634-7B6F12E2B398}"/>
            </c:ext>
          </c:extLst>
        </c:ser>
        <c:ser>
          <c:idx val="2"/>
          <c:order val="2"/>
          <c:tx>
            <c:strRef>
              <c:f>Гистограмма!$O$14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Гистограмма!$N$14:$N$15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xVal>
          <c:yVal>
            <c:numRef>
              <c:f>Гистограмма!$O$14:$O$15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5-4422-A634-7B6F12E2B398}"/>
            </c:ext>
          </c:extLst>
        </c:ser>
        <c:ser>
          <c:idx val="3"/>
          <c:order val="3"/>
          <c:tx>
            <c:strRef>
              <c:f>Гистограмма!$O$16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Гистограмма!$N$16:$N$17</c:f>
              <c:numCache>
                <c:formatCode>General</c:formatCode>
                <c:ptCount val="2"/>
                <c:pt idx="0">
                  <c:v>2.2527200000000001</c:v>
                </c:pt>
                <c:pt idx="1">
                  <c:v>2.2527200000000001</c:v>
                </c:pt>
              </c:numCache>
            </c:numRef>
          </c:xVal>
          <c:yVal>
            <c:numRef>
              <c:f>Гистограмма!$O$16:$O$17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5-4422-A634-7B6F12E2B398}"/>
            </c:ext>
          </c:extLst>
        </c:ser>
        <c:ser>
          <c:idx val="4"/>
          <c:order val="4"/>
          <c:tx>
            <c:strRef>
              <c:f>Гистограмма!$O$18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Гистограмма!$N$18:$N$19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2.2999999999999998</c:v>
                </c:pt>
              </c:numCache>
            </c:numRef>
          </c:xVal>
          <c:yVal>
            <c:numRef>
              <c:f>Гистограмма!$O$18:$O$19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5-4422-A634-7B6F12E2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6192"/>
        <c:axId val="112534656"/>
      </c:scatterChart>
      <c:catAx>
        <c:axId val="958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78528"/>
        <c:crosses val="autoZero"/>
        <c:auto val="1"/>
        <c:lblAlgn val="ctr"/>
        <c:lblOffset val="100"/>
        <c:noMultiLvlLbl val="0"/>
      </c:catAx>
      <c:valAx>
        <c:axId val="958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76992"/>
        <c:crosses val="autoZero"/>
        <c:crossBetween val="between"/>
      </c:valAx>
      <c:valAx>
        <c:axId val="112534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crossAx val="112536192"/>
        <c:crosses val="max"/>
        <c:crossBetween val="midCat"/>
      </c:valAx>
      <c:valAx>
        <c:axId val="112536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crossAx val="11253465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Гистограмма!$G$10:$G$17</c:f>
              <c:numCache>
                <c:formatCode>General</c:formatCode>
                <c:ptCount val="8"/>
                <c:pt idx="0">
                  <c:v>2.2074999999999996</c:v>
                </c:pt>
                <c:pt idx="1">
                  <c:v>2.2214999999999998</c:v>
                </c:pt>
                <c:pt idx="2">
                  <c:v>2.2354999999999992</c:v>
                </c:pt>
                <c:pt idx="3">
                  <c:v>2.2494999999999994</c:v>
                </c:pt>
                <c:pt idx="4">
                  <c:v>2.2634999999999987</c:v>
                </c:pt>
                <c:pt idx="5">
                  <c:v>2.277499999999999</c:v>
                </c:pt>
                <c:pt idx="6">
                  <c:v>2.2914999999999983</c:v>
                </c:pt>
                <c:pt idx="7">
                  <c:v>2.3054999999999986</c:v>
                </c:pt>
              </c:numCache>
            </c:numRef>
          </c:cat>
          <c:val>
            <c:numRef>
              <c:f>Гистограмма!$H$10:$H$17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DA7-8405-982F7633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55520"/>
        <c:axId val="112557056"/>
      </c:lineChart>
      <c:catAx>
        <c:axId val="1125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57056"/>
        <c:crosses val="autoZero"/>
        <c:auto val="1"/>
        <c:lblAlgn val="ctr"/>
        <c:lblOffset val="100"/>
        <c:noMultiLvlLbl val="0"/>
      </c:catAx>
      <c:valAx>
        <c:axId val="1125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5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Парето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Число дефектов</c:v>
          </c:tx>
          <c:invertIfNegative val="0"/>
          <c:cat>
            <c:strRef>
              <c:f>Парето!$A$2:$A$7</c:f>
              <c:strCache>
                <c:ptCount val="6"/>
                <c:pt idx="0">
                  <c:v>Деформация</c:v>
                </c:pt>
                <c:pt idx="1">
                  <c:v>Трещины</c:v>
                </c:pt>
                <c:pt idx="2">
                  <c:v>Царапины</c:v>
                </c:pt>
                <c:pt idx="3">
                  <c:v>Разрыв </c:v>
                </c:pt>
                <c:pt idx="4">
                  <c:v>Полосы</c:v>
                </c:pt>
                <c:pt idx="5">
                  <c:v>Прочие</c:v>
                </c:pt>
              </c:strCache>
            </c:strRef>
          </c:cat>
          <c:val>
            <c:numRef>
              <c:f>Парето!$B$2:$B$7</c:f>
              <c:numCache>
                <c:formatCode>General</c:formatCode>
                <c:ptCount val="6"/>
                <c:pt idx="0">
                  <c:v>21</c:v>
                </c:pt>
                <c:pt idx="1">
                  <c:v>47</c:v>
                </c:pt>
                <c:pt idx="2">
                  <c:v>36</c:v>
                </c:pt>
                <c:pt idx="3">
                  <c:v>62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196-84A6-FD4BC641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95328"/>
        <c:axId val="112596864"/>
      </c:barChart>
      <c:lineChart>
        <c:grouping val="standard"/>
        <c:varyColors val="0"/>
        <c:ser>
          <c:idx val="1"/>
          <c:order val="1"/>
          <c:tx>
            <c:v>Накопленный процент</c:v>
          </c:tx>
          <c:val>
            <c:numRef>
              <c:f>Парето!$E$2:$E$7</c:f>
              <c:numCache>
                <c:formatCode>0.00</c:formatCode>
                <c:ptCount val="6"/>
                <c:pt idx="0">
                  <c:v>8.7136929460580905</c:v>
                </c:pt>
                <c:pt idx="1">
                  <c:v>28.215767634854771</c:v>
                </c:pt>
                <c:pt idx="2">
                  <c:v>43.15352697095436</c:v>
                </c:pt>
                <c:pt idx="3">
                  <c:v>68.879668049792528</c:v>
                </c:pt>
                <c:pt idx="4">
                  <c:v>81.327800829875514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196-84A6-FD4BC641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0192"/>
        <c:axId val="112598400"/>
      </c:lineChart>
      <c:catAx>
        <c:axId val="1125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596864"/>
        <c:crosses val="autoZero"/>
        <c:auto val="1"/>
        <c:lblAlgn val="ctr"/>
        <c:lblOffset val="100"/>
        <c:noMultiLvlLbl val="0"/>
      </c:catAx>
      <c:valAx>
        <c:axId val="1125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95328"/>
        <c:crosses val="autoZero"/>
        <c:crossBetween val="between"/>
      </c:valAx>
      <c:valAx>
        <c:axId val="112598400"/>
        <c:scaling>
          <c:orientation val="minMax"/>
          <c:max val="120"/>
        </c:scaling>
        <c:delete val="0"/>
        <c:axPos val="r"/>
        <c:numFmt formatCode="0.00" sourceLinked="1"/>
        <c:majorTickMark val="out"/>
        <c:minorTickMark val="none"/>
        <c:tickLblPos val="nextTo"/>
        <c:crossAx val="112600192"/>
        <c:crosses val="max"/>
        <c:crossBetween val="between"/>
      </c:valAx>
      <c:catAx>
        <c:axId val="112600192"/>
        <c:scaling>
          <c:orientation val="minMax"/>
        </c:scaling>
        <c:delete val="1"/>
        <c:axPos val="b"/>
        <c:majorTickMark val="out"/>
        <c:minorTickMark val="none"/>
        <c:tickLblPos val="none"/>
        <c:crossAx val="112598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Карта средних значений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'КК по колич'!$G$4:$G$13</c:f>
              <c:numCache>
                <c:formatCode>General</c:formatCode>
                <c:ptCount val="10"/>
                <c:pt idx="0">
                  <c:v>15.747199999999998</c:v>
                </c:pt>
                <c:pt idx="1">
                  <c:v>15.7262</c:v>
                </c:pt>
                <c:pt idx="2">
                  <c:v>15.734800000000002</c:v>
                </c:pt>
                <c:pt idx="3">
                  <c:v>15.730399999999998</c:v>
                </c:pt>
                <c:pt idx="4">
                  <c:v>15.736599999999999</c:v>
                </c:pt>
                <c:pt idx="5">
                  <c:v>15.706199999999999</c:v>
                </c:pt>
                <c:pt idx="6">
                  <c:v>15.7052</c:v>
                </c:pt>
                <c:pt idx="7">
                  <c:v>15.693000000000001</c:v>
                </c:pt>
                <c:pt idx="8">
                  <c:v>15.656200000000002</c:v>
                </c:pt>
                <c:pt idx="9">
                  <c:v>15.759199999999998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4567-BD35-E6DBE1605148}"/>
            </c:ext>
          </c:extLst>
        </c:ser>
        <c:ser>
          <c:idx val="1"/>
          <c:order val="1"/>
          <c:tx>
            <c:v>Центральная линия</c:v>
          </c:tx>
          <c:marker>
            <c:symbol val="none"/>
          </c:marker>
          <c:val>
            <c:numRef>
              <c:f>'КК по колич'!$H$4:$H$13</c:f>
              <c:numCache>
                <c:formatCode>General</c:formatCode>
                <c:ptCount val="10"/>
                <c:pt idx="0">
                  <c:v>15.7195</c:v>
                </c:pt>
                <c:pt idx="1">
                  <c:v>15.7195</c:v>
                </c:pt>
                <c:pt idx="2">
                  <c:v>15.7195</c:v>
                </c:pt>
                <c:pt idx="3">
                  <c:v>15.7195</c:v>
                </c:pt>
                <c:pt idx="4">
                  <c:v>15.7195</c:v>
                </c:pt>
                <c:pt idx="5">
                  <c:v>15.7195</c:v>
                </c:pt>
                <c:pt idx="6">
                  <c:v>15.7195</c:v>
                </c:pt>
                <c:pt idx="7">
                  <c:v>15.7195</c:v>
                </c:pt>
                <c:pt idx="8">
                  <c:v>15.7195</c:v>
                </c:pt>
                <c:pt idx="9">
                  <c:v>15.7195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0-4567-BD35-E6DBE1605148}"/>
            </c:ext>
          </c:extLst>
        </c:ser>
        <c:ser>
          <c:idx val="2"/>
          <c:order val="2"/>
          <c:tx>
            <c:v>Кн</c:v>
          </c:tx>
          <c:marker>
            <c:symbol val="none"/>
          </c:marker>
          <c:val>
            <c:numRef>
              <c:f>'КК по колич'!$I$4:$I$13</c:f>
              <c:numCache>
                <c:formatCode>General</c:formatCode>
                <c:ptCount val="10"/>
                <c:pt idx="0">
                  <c:v>15.636386198007596</c:v>
                </c:pt>
                <c:pt idx="1">
                  <c:v>15.636386198007596</c:v>
                </c:pt>
                <c:pt idx="2">
                  <c:v>15.636386198007596</c:v>
                </c:pt>
                <c:pt idx="3">
                  <c:v>15.636386198007596</c:v>
                </c:pt>
                <c:pt idx="4">
                  <c:v>15.636386198007596</c:v>
                </c:pt>
                <c:pt idx="5">
                  <c:v>15.636386198007596</c:v>
                </c:pt>
                <c:pt idx="6">
                  <c:v>15.636386198007596</c:v>
                </c:pt>
                <c:pt idx="7">
                  <c:v>15.636386198007596</c:v>
                </c:pt>
                <c:pt idx="8">
                  <c:v>15.636386198007596</c:v>
                </c:pt>
                <c:pt idx="9">
                  <c:v>15.636386198007596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0-4567-BD35-E6DBE1605148}"/>
            </c:ext>
          </c:extLst>
        </c:ser>
        <c:ser>
          <c:idx val="3"/>
          <c:order val="3"/>
          <c:tx>
            <c:v>Кв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'КК по колич'!$J$4:$J$13</c:f>
              <c:numCache>
                <c:formatCode>General</c:formatCode>
                <c:ptCount val="10"/>
                <c:pt idx="0">
                  <c:v>15.802613801992404</c:v>
                </c:pt>
                <c:pt idx="1">
                  <c:v>15.802613801992404</c:v>
                </c:pt>
                <c:pt idx="2">
                  <c:v>15.802613801992404</c:v>
                </c:pt>
                <c:pt idx="3">
                  <c:v>15.802613801992404</c:v>
                </c:pt>
                <c:pt idx="4">
                  <c:v>15.802613801992404</c:v>
                </c:pt>
                <c:pt idx="5">
                  <c:v>15.802613801992404</c:v>
                </c:pt>
                <c:pt idx="6">
                  <c:v>15.802613801992404</c:v>
                </c:pt>
                <c:pt idx="7">
                  <c:v>15.802613801992404</c:v>
                </c:pt>
                <c:pt idx="8">
                  <c:v>15.802613801992404</c:v>
                </c:pt>
                <c:pt idx="9">
                  <c:v>15.802613801992404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0-4567-BD35-E6DBE1605148}"/>
            </c:ext>
          </c:extLst>
        </c:ser>
        <c:ser>
          <c:idx val="4"/>
          <c:order val="4"/>
          <c:tx>
            <c:v>U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'КК по колич'!$K$4:$K$13</c:f>
              <c:numCache>
                <c:formatCode>General</c:formatCode>
                <c:ptCount val="10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0-4567-BD35-E6DBE160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264"/>
        <c:axId val="113756800"/>
      </c:lineChart>
      <c:catAx>
        <c:axId val="113755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756800"/>
        <c:crosses val="autoZero"/>
        <c:auto val="1"/>
        <c:lblAlgn val="ctr"/>
        <c:lblOffset val="100"/>
        <c:noMultiLvlLbl val="0"/>
      </c:catAx>
      <c:valAx>
        <c:axId val="1137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7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10</xdr:row>
      <xdr:rowOff>19050</xdr:rowOff>
    </xdr:from>
    <xdr:to>
      <xdr:col>8</xdr:col>
      <xdr:colOff>409575</xdr:colOff>
      <xdr:row>24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13</xdr:row>
      <xdr:rowOff>28575</xdr:rowOff>
    </xdr:from>
    <xdr:to>
      <xdr:col>16</xdr:col>
      <xdr:colOff>400050</xdr:colOff>
      <xdr:row>27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10</xdr:row>
      <xdr:rowOff>161925</xdr:rowOff>
    </xdr:from>
    <xdr:to>
      <xdr:col>25</xdr:col>
      <xdr:colOff>485775</xdr:colOff>
      <xdr:row>28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25</xdr:row>
      <xdr:rowOff>142874</xdr:rowOff>
    </xdr:from>
    <xdr:to>
      <xdr:col>8</xdr:col>
      <xdr:colOff>504825</xdr:colOff>
      <xdr:row>41</xdr:row>
      <xdr:rowOff>19049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200024</xdr:colOff>
      <xdr:row>28</xdr:row>
      <xdr:rowOff>190499</xdr:rowOff>
    </xdr:from>
    <xdr:to>
      <xdr:col>20</xdr:col>
      <xdr:colOff>247649</xdr:colOff>
      <xdr:row>44</xdr:row>
      <xdr:rowOff>180974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21</xdr:row>
      <xdr:rowOff>66675</xdr:rowOff>
    </xdr:from>
    <xdr:to>
      <xdr:col>8</xdr:col>
      <xdr:colOff>133350</xdr:colOff>
      <xdr:row>35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36</xdr:row>
      <xdr:rowOff>85725</xdr:rowOff>
    </xdr:from>
    <xdr:to>
      <xdr:col>8</xdr:col>
      <xdr:colOff>133350</xdr:colOff>
      <xdr:row>50</xdr:row>
      <xdr:rowOff>161925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190499</xdr:rowOff>
    </xdr:from>
    <xdr:to>
      <xdr:col>3</xdr:col>
      <xdr:colOff>838200</xdr:colOff>
      <xdr:row>27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142875</xdr:rowOff>
    </xdr:from>
    <xdr:to>
      <xdr:col>7</xdr:col>
      <xdr:colOff>123825</xdr:colOff>
      <xdr:row>28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13</xdr:row>
      <xdr:rowOff>133349</xdr:rowOff>
    </xdr:from>
    <xdr:to>
      <xdr:col>15</xdr:col>
      <xdr:colOff>95250</xdr:colOff>
      <xdr:row>28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13</xdr:row>
      <xdr:rowOff>152400</xdr:rowOff>
    </xdr:from>
    <xdr:to>
      <xdr:col>22</xdr:col>
      <xdr:colOff>485775</xdr:colOff>
      <xdr:row>28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1400175</xdr:colOff>
      <xdr:row>30</xdr:row>
      <xdr:rowOff>104774</xdr:rowOff>
    </xdr:from>
    <xdr:to>
      <xdr:col>10</xdr:col>
      <xdr:colOff>266700</xdr:colOff>
      <xdr:row>49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19050</xdr:rowOff>
    </xdr:from>
    <xdr:to>
      <xdr:col>16</xdr:col>
      <xdr:colOff>95250</xdr:colOff>
      <xdr:row>21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10</xdr:row>
      <xdr:rowOff>161926</xdr:rowOff>
    </xdr:from>
    <xdr:to>
      <xdr:col>18</xdr:col>
      <xdr:colOff>333375</xdr:colOff>
      <xdr:row>34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"/>
  <sheetViews>
    <sheetView workbookViewId="0">
      <selection activeCell="Z5" sqref="Z5"/>
    </sheetView>
  </sheetViews>
  <sheetFormatPr defaultRowHeight="15" x14ac:dyDescent="0.25"/>
  <sheetData>
    <row r="2" spans="1:27" x14ac:dyDescent="0.25">
      <c r="A2" s="73"/>
      <c r="B2" s="72" t="s">
        <v>84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 t="s">
        <v>86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7" ht="30" x14ac:dyDescent="0.25">
      <c r="A3" s="74"/>
      <c r="B3" s="27" t="s">
        <v>72</v>
      </c>
      <c r="C3" s="27" t="s">
        <v>73</v>
      </c>
      <c r="D3" s="27" t="s">
        <v>74</v>
      </c>
      <c r="E3" s="27" t="s">
        <v>75</v>
      </c>
      <c r="F3" s="27" t="s">
        <v>76</v>
      </c>
      <c r="G3" s="27" t="s">
        <v>77</v>
      </c>
      <c r="H3" s="27" t="s">
        <v>78</v>
      </c>
      <c r="I3" s="27" t="s">
        <v>79</v>
      </c>
      <c r="J3" s="27" t="s">
        <v>80</v>
      </c>
      <c r="K3" s="27" t="s">
        <v>81</v>
      </c>
      <c r="L3" s="27" t="s">
        <v>82</v>
      </c>
      <c r="M3" s="27" t="s">
        <v>83</v>
      </c>
      <c r="N3" s="27" t="s">
        <v>72</v>
      </c>
      <c r="O3" s="27" t="s">
        <v>73</v>
      </c>
      <c r="P3" s="27" t="s">
        <v>74</v>
      </c>
      <c r="Q3" s="27" t="s">
        <v>75</v>
      </c>
      <c r="R3" s="27" t="s">
        <v>76</v>
      </c>
      <c r="S3" s="27" t="s">
        <v>77</v>
      </c>
      <c r="T3" s="27" t="s">
        <v>78</v>
      </c>
      <c r="U3" s="27" t="s">
        <v>79</v>
      </c>
      <c r="V3" s="27" t="s">
        <v>80</v>
      </c>
      <c r="W3" s="27" t="s">
        <v>81</v>
      </c>
      <c r="X3" s="27" t="s">
        <v>82</v>
      </c>
      <c r="Y3" s="31" t="s">
        <v>83</v>
      </c>
      <c r="Z3" s="33" t="s">
        <v>87</v>
      </c>
      <c r="AA3" s="33" t="s">
        <v>88</v>
      </c>
    </row>
    <row r="4" spans="1:27" x14ac:dyDescent="0.25">
      <c r="A4" s="2" t="s">
        <v>69</v>
      </c>
      <c r="B4" s="28">
        <v>10</v>
      </c>
      <c r="C4" s="28">
        <v>15</v>
      </c>
      <c r="D4" s="28">
        <v>12</v>
      </c>
      <c r="E4" s="28">
        <v>15</v>
      </c>
      <c r="F4" s="28">
        <v>14</v>
      </c>
      <c r="G4" s="28">
        <v>15</v>
      </c>
      <c r="H4" s="28">
        <v>20</v>
      </c>
      <c r="I4" s="28">
        <v>25</v>
      </c>
      <c r="J4" s="28">
        <v>25</v>
      </c>
      <c r="K4" s="28">
        <v>10</v>
      </c>
      <c r="L4" s="28">
        <v>20</v>
      </c>
      <c r="M4" s="28">
        <v>15</v>
      </c>
      <c r="N4" s="30">
        <f t="shared" ref="N4:Y4" si="0">B4/B7*100</f>
        <v>22.222222222222221</v>
      </c>
      <c r="O4" s="30">
        <f t="shared" si="0"/>
        <v>33.333333333333329</v>
      </c>
      <c r="P4" s="30">
        <f t="shared" si="0"/>
        <v>27.906976744186046</v>
      </c>
      <c r="Q4" s="30">
        <f t="shared" si="0"/>
        <v>30</v>
      </c>
      <c r="R4" s="30">
        <f t="shared" si="0"/>
        <v>34.146341463414636</v>
      </c>
      <c r="S4" s="30">
        <f t="shared" si="0"/>
        <v>31.914893617021278</v>
      </c>
      <c r="T4" s="30">
        <f t="shared" si="0"/>
        <v>38.461538461538467</v>
      </c>
      <c r="U4" s="30">
        <f t="shared" si="0"/>
        <v>43.103448275862064</v>
      </c>
      <c r="V4" s="30">
        <f t="shared" si="0"/>
        <v>40.983606557377051</v>
      </c>
      <c r="W4" s="30">
        <f t="shared" si="0"/>
        <v>27.027027027027028</v>
      </c>
      <c r="X4" s="30">
        <f t="shared" si="0"/>
        <v>41.666666666666671</v>
      </c>
      <c r="Y4" s="32">
        <f t="shared" si="0"/>
        <v>31.25</v>
      </c>
      <c r="Z4" s="34">
        <f>SUM(B4:M4)</f>
        <v>196</v>
      </c>
      <c r="AA4" s="35">
        <f>Z4/Z7*100</f>
        <v>34.086956521739133</v>
      </c>
    </row>
    <row r="5" spans="1:27" x14ac:dyDescent="0.25">
      <c r="A5" s="2" t="s">
        <v>70</v>
      </c>
      <c r="B5" s="28">
        <v>30</v>
      </c>
      <c r="C5" s="28">
        <v>20</v>
      </c>
      <c r="D5" s="28">
        <v>25</v>
      </c>
      <c r="E5" s="28">
        <v>30</v>
      </c>
      <c r="F5" s="28">
        <v>20</v>
      </c>
      <c r="G5" s="28">
        <v>25</v>
      </c>
      <c r="H5" s="28">
        <v>25</v>
      </c>
      <c r="I5" s="28">
        <v>25</v>
      </c>
      <c r="J5" s="28">
        <v>30</v>
      </c>
      <c r="K5" s="28">
        <v>20</v>
      </c>
      <c r="L5" s="28">
        <v>20</v>
      </c>
      <c r="M5" s="28">
        <v>25</v>
      </c>
      <c r="N5" s="30">
        <f t="shared" ref="N5:Y5" si="1">B5/B7*100</f>
        <v>66.666666666666657</v>
      </c>
      <c r="O5" s="30">
        <f t="shared" si="1"/>
        <v>44.444444444444443</v>
      </c>
      <c r="P5" s="30">
        <f t="shared" si="1"/>
        <v>58.139534883720934</v>
      </c>
      <c r="Q5" s="30">
        <f t="shared" si="1"/>
        <v>60</v>
      </c>
      <c r="R5" s="30">
        <f t="shared" si="1"/>
        <v>48.780487804878049</v>
      </c>
      <c r="S5" s="30">
        <f t="shared" si="1"/>
        <v>53.191489361702125</v>
      </c>
      <c r="T5" s="30">
        <f t="shared" si="1"/>
        <v>48.07692307692308</v>
      </c>
      <c r="U5" s="30">
        <f t="shared" si="1"/>
        <v>43.103448275862064</v>
      </c>
      <c r="V5" s="30">
        <f t="shared" si="1"/>
        <v>49.180327868852459</v>
      </c>
      <c r="W5" s="30">
        <f t="shared" si="1"/>
        <v>54.054054054054056</v>
      </c>
      <c r="X5" s="30">
        <f t="shared" si="1"/>
        <v>41.666666666666671</v>
      </c>
      <c r="Y5" s="32">
        <f t="shared" si="1"/>
        <v>52.083333333333336</v>
      </c>
      <c r="Z5" s="34">
        <f t="shared" ref="Z5:Z6" si="2">SUM(B5:M5)</f>
        <v>295</v>
      </c>
      <c r="AA5" s="35">
        <f>Z5/Z7*100</f>
        <v>51.304347826086961</v>
      </c>
    </row>
    <row r="6" spans="1:27" x14ac:dyDescent="0.25">
      <c r="A6" s="2" t="s">
        <v>71</v>
      </c>
      <c r="B6" s="28">
        <v>5</v>
      </c>
      <c r="C6" s="28">
        <v>10</v>
      </c>
      <c r="D6" s="28">
        <v>6</v>
      </c>
      <c r="E6" s="28">
        <v>5</v>
      </c>
      <c r="F6" s="28">
        <v>7</v>
      </c>
      <c r="G6" s="28">
        <v>7</v>
      </c>
      <c r="H6" s="28">
        <v>7</v>
      </c>
      <c r="I6" s="28">
        <v>8</v>
      </c>
      <c r="J6" s="28">
        <v>6</v>
      </c>
      <c r="K6" s="28">
        <v>7</v>
      </c>
      <c r="L6" s="28">
        <v>8</v>
      </c>
      <c r="M6" s="28">
        <v>8</v>
      </c>
      <c r="N6" s="30">
        <f>B6/B7*100</f>
        <v>11.111111111111111</v>
      </c>
      <c r="O6" s="30">
        <f t="shared" ref="O6:Y6" si="3">C6/C7*100</f>
        <v>22.222222222222221</v>
      </c>
      <c r="P6" s="30">
        <f t="shared" si="3"/>
        <v>13.953488372093023</v>
      </c>
      <c r="Q6" s="30">
        <f t="shared" si="3"/>
        <v>10</v>
      </c>
      <c r="R6" s="30">
        <f t="shared" si="3"/>
        <v>17.073170731707318</v>
      </c>
      <c r="S6" s="30">
        <f t="shared" si="3"/>
        <v>14.893617021276595</v>
      </c>
      <c r="T6" s="30">
        <f t="shared" si="3"/>
        <v>13.461538461538462</v>
      </c>
      <c r="U6" s="30">
        <f t="shared" si="3"/>
        <v>13.793103448275861</v>
      </c>
      <c r="V6" s="30">
        <f t="shared" si="3"/>
        <v>9.8360655737704921</v>
      </c>
      <c r="W6" s="30">
        <f t="shared" si="3"/>
        <v>18.918918918918919</v>
      </c>
      <c r="X6" s="30">
        <f t="shared" si="3"/>
        <v>16.666666666666664</v>
      </c>
      <c r="Y6" s="32">
        <f t="shared" si="3"/>
        <v>16.666666666666664</v>
      </c>
      <c r="Z6" s="34">
        <f t="shared" si="2"/>
        <v>84</v>
      </c>
      <c r="AA6" s="35">
        <f>Z6/Z7*100</f>
        <v>14.608695652173914</v>
      </c>
    </row>
    <row r="7" spans="1:27" x14ac:dyDescent="0.25">
      <c r="A7" s="29" t="s">
        <v>85</v>
      </c>
      <c r="B7">
        <f t="shared" ref="B7:M7" si="4">SUM(B4:B6)</f>
        <v>45</v>
      </c>
      <c r="C7">
        <f t="shared" si="4"/>
        <v>45</v>
      </c>
      <c r="D7">
        <f t="shared" si="4"/>
        <v>43</v>
      </c>
      <c r="E7">
        <f t="shared" si="4"/>
        <v>50</v>
      </c>
      <c r="F7">
        <f t="shared" si="4"/>
        <v>41</v>
      </c>
      <c r="G7">
        <f t="shared" si="4"/>
        <v>47</v>
      </c>
      <c r="H7">
        <f t="shared" si="4"/>
        <v>52</v>
      </c>
      <c r="I7">
        <f t="shared" si="4"/>
        <v>58</v>
      </c>
      <c r="J7">
        <f t="shared" si="4"/>
        <v>61</v>
      </c>
      <c r="K7">
        <f t="shared" si="4"/>
        <v>37</v>
      </c>
      <c r="L7">
        <f t="shared" si="4"/>
        <v>48</v>
      </c>
      <c r="M7">
        <f t="shared" si="4"/>
        <v>48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35">
        <f>SUM(Z4:Z6)</f>
        <v>575</v>
      </c>
      <c r="AA7" s="2">
        <f>Z7/Z7*100</f>
        <v>100</v>
      </c>
    </row>
    <row r="9" spans="1:27" x14ac:dyDescent="0.25">
      <c r="B9" s="76"/>
      <c r="C9" s="76"/>
      <c r="D9" s="76"/>
      <c r="E9" s="76"/>
    </row>
  </sheetData>
  <mergeCells count="4">
    <mergeCell ref="B2:M2"/>
    <mergeCell ref="A2:A3"/>
    <mergeCell ref="N2:Y2"/>
    <mergeCell ref="B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J9" sqref="J9"/>
    </sheetView>
  </sheetViews>
  <sheetFormatPr defaultRowHeight="15" x14ac:dyDescent="0.25"/>
  <cols>
    <col min="1" max="1" width="12.7109375" style="1" customWidth="1"/>
    <col min="4" max="4" width="17.28515625" customWidth="1"/>
    <col min="15" max="15" width="5.85546875" customWidth="1"/>
  </cols>
  <sheetData>
    <row r="1" spans="1:21" ht="30.75" thickBot="1" x14ac:dyDescent="0.3">
      <c r="A1" s="51" t="s">
        <v>12</v>
      </c>
      <c r="I1" s="78" t="s">
        <v>116</v>
      </c>
      <c r="J1" s="78"/>
      <c r="K1" s="78"/>
      <c r="L1" s="53" t="s">
        <v>24</v>
      </c>
      <c r="M1" s="53"/>
      <c r="N1" s="14"/>
    </row>
    <row r="2" spans="1:21" ht="16.5" thickTop="1" thickBot="1" x14ac:dyDescent="0.3">
      <c r="A2" s="85">
        <v>2.2919999999999998</v>
      </c>
      <c r="D2" s="15" t="s">
        <v>13</v>
      </c>
      <c r="E2" s="48">
        <v>1E-3</v>
      </c>
      <c r="I2" s="50" t="s">
        <v>106</v>
      </c>
      <c r="J2" s="48">
        <v>2.2999999999999998</v>
      </c>
      <c r="O2" s="14" t="s">
        <v>107</v>
      </c>
      <c r="Q2" s="48"/>
      <c r="R2" t="s">
        <v>108</v>
      </c>
    </row>
    <row r="3" spans="1:21" ht="15" customHeight="1" thickBot="1" x14ac:dyDescent="0.3">
      <c r="A3" s="86">
        <v>2.2829999999999999</v>
      </c>
      <c r="D3" t="s">
        <v>14</v>
      </c>
      <c r="E3">
        <f>MIN(A2:A51)</f>
        <v>2.2010000000000001</v>
      </c>
      <c r="I3" s="45" t="s">
        <v>25</v>
      </c>
      <c r="J3" s="48">
        <v>2.4</v>
      </c>
      <c r="L3" t="s">
        <v>27</v>
      </c>
      <c r="M3">
        <f>STDEV(A2:A51)</f>
        <v>2.9513082536670513E-2</v>
      </c>
      <c r="Q3" s="54"/>
      <c r="R3" s="77" t="s">
        <v>109</v>
      </c>
      <c r="S3" s="77"/>
      <c r="T3" s="77"/>
      <c r="U3" s="13"/>
    </row>
    <row r="4" spans="1:21" ht="15.75" thickBot="1" x14ac:dyDescent="0.3">
      <c r="A4" s="86">
        <v>2.2669999999999999</v>
      </c>
      <c r="D4" t="s">
        <v>15</v>
      </c>
      <c r="E4">
        <f>MAX(A2:A51)</f>
        <v>2.2989999999999999</v>
      </c>
      <c r="I4" s="46" t="s">
        <v>26</v>
      </c>
      <c r="J4" s="48">
        <v>2.2000000000000002</v>
      </c>
      <c r="L4" s="14" t="s">
        <v>28</v>
      </c>
      <c r="M4" s="14">
        <f>(J3-J4)/(6*M3)</f>
        <v>1.1294426223325214</v>
      </c>
      <c r="O4" s="14">
        <v>1.33</v>
      </c>
      <c r="R4" s="77"/>
      <c r="S4" s="77"/>
      <c r="T4" s="77"/>
    </row>
    <row r="5" spans="1:21" ht="15.75" thickBot="1" x14ac:dyDescent="0.3">
      <c r="A5" s="86">
        <v>2.21</v>
      </c>
      <c r="D5" t="s">
        <v>16</v>
      </c>
      <c r="E5">
        <f>E4-E3</f>
        <v>9.7999999999999865E-2</v>
      </c>
      <c r="I5" s="47" t="s">
        <v>29</v>
      </c>
      <c r="J5">
        <f>AVERAGE(A2:A51)</f>
        <v>2.2527200000000001</v>
      </c>
      <c r="L5" t="s">
        <v>30</v>
      </c>
      <c r="M5">
        <f>(J3-J5)/(3*M3)</f>
        <v>1.6634430941713381</v>
      </c>
    </row>
    <row r="6" spans="1:21" ht="15.75" thickBot="1" x14ac:dyDescent="0.3">
      <c r="A6" s="86">
        <v>2.226</v>
      </c>
      <c r="L6" t="s">
        <v>31</v>
      </c>
      <c r="M6">
        <f>(J5-J4)/(3*M3)</f>
        <v>0.59544215049370475</v>
      </c>
    </row>
    <row r="7" spans="1:21" ht="15.75" thickBot="1" x14ac:dyDescent="0.3">
      <c r="A7" s="86">
        <v>2.2130000000000001</v>
      </c>
      <c r="D7" t="s">
        <v>17</v>
      </c>
      <c r="E7" s="1">
        <f>ROUND(SQRT(COUNT(A2:A51)),0)</f>
        <v>7</v>
      </c>
      <c r="L7" s="14" t="s">
        <v>32</v>
      </c>
      <c r="M7" s="14">
        <f>MIN(M5:M6)</f>
        <v>0.59544215049370475</v>
      </c>
      <c r="O7" s="14">
        <v>1.33</v>
      </c>
    </row>
    <row r="8" spans="1:21" ht="15.75" thickBot="1" x14ac:dyDescent="0.3">
      <c r="A8" s="86">
        <v>2.2749999999999999</v>
      </c>
      <c r="D8" t="s">
        <v>18</v>
      </c>
      <c r="E8" s="1">
        <f>ROUND(E5/E7,3)</f>
        <v>1.4E-2</v>
      </c>
      <c r="L8" s="14" t="s">
        <v>51</v>
      </c>
      <c r="M8" s="14">
        <f>1/M4</f>
        <v>0.88539247610011662</v>
      </c>
      <c r="O8" s="14" t="s">
        <v>110</v>
      </c>
    </row>
    <row r="9" spans="1:21" ht="15.75" thickBot="1" x14ac:dyDescent="0.3">
      <c r="A9" s="86">
        <v>2.282</v>
      </c>
      <c r="D9" s="36" t="s">
        <v>19</v>
      </c>
      <c r="E9" s="36" t="s">
        <v>20</v>
      </c>
      <c r="F9" s="36" t="s">
        <v>21</v>
      </c>
      <c r="G9" s="36" t="s">
        <v>22</v>
      </c>
      <c r="H9" s="36" t="s">
        <v>23</v>
      </c>
      <c r="O9" s="15"/>
    </row>
    <row r="10" spans="1:21" ht="15.75" thickBot="1" x14ac:dyDescent="0.3">
      <c r="A10" s="86">
        <v>2.2080000000000002</v>
      </c>
      <c r="D10">
        <v>1</v>
      </c>
      <c r="E10">
        <f>E3-E2/2</f>
        <v>2.2004999999999999</v>
      </c>
      <c r="F10">
        <f>E10+E8</f>
        <v>2.2144999999999997</v>
      </c>
      <c r="G10">
        <f>AVERAGE(F10,E10)</f>
        <v>2.2074999999999996</v>
      </c>
      <c r="H10" s="52">
        <f>COUNTIF($A$2:$A$51,"&gt;2,2005")-COUNTIF($A$2:$A$51,"&gt;2,2145")</f>
        <v>8</v>
      </c>
      <c r="O10" s="15"/>
    </row>
    <row r="11" spans="1:21" ht="15.75" thickBot="1" x14ac:dyDescent="0.3">
      <c r="A11" s="87">
        <v>2.2589999999999999</v>
      </c>
      <c r="D11">
        <v>2</v>
      </c>
      <c r="E11">
        <f>E10+E8</f>
        <v>2.2144999999999997</v>
      </c>
      <c r="F11">
        <f>F10+E8</f>
        <v>2.2284999999999995</v>
      </c>
      <c r="G11">
        <f t="shared" ref="G11:G17" si="0">AVERAGE(F11,E11)</f>
        <v>2.2214999999999998</v>
      </c>
      <c r="H11" s="52">
        <f>COUNTIF($A$2:$A$51,"&gt;2,2145")-COUNTIF($A$2:$A$51,"&gt;2,2285")</f>
        <v>6</v>
      </c>
      <c r="N11" s="78" t="s">
        <v>115</v>
      </c>
      <c r="O11" s="78"/>
      <c r="P11" s="78"/>
      <c r="Q11" s="78"/>
    </row>
    <row r="12" spans="1:21" ht="16.5" thickTop="1" thickBot="1" x14ac:dyDescent="0.3">
      <c r="A12" s="88">
        <v>2.2850000000000001</v>
      </c>
      <c r="D12">
        <v>3</v>
      </c>
      <c r="E12">
        <f>E11+E8</f>
        <v>2.2284999999999995</v>
      </c>
      <c r="F12">
        <f>F11+E8</f>
        <v>2.2424999999999993</v>
      </c>
      <c r="G12">
        <f t="shared" si="0"/>
        <v>2.2354999999999992</v>
      </c>
      <c r="H12" s="52">
        <f>COUNTIF($A$2:$A$51,"&gt;2,2285")-COUNTIF($A$2:$A$51,"&gt;2,2425")</f>
        <v>5</v>
      </c>
      <c r="N12">
        <f>J3</f>
        <v>2.4</v>
      </c>
      <c r="O12">
        <v>0</v>
      </c>
    </row>
    <row r="13" spans="1:21" ht="15.75" thickBot="1" x14ac:dyDescent="0.3">
      <c r="A13" s="89">
        <v>2.234</v>
      </c>
      <c r="D13">
        <v>4</v>
      </c>
      <c r="E13">
        <f>E12+E8</f>
        <v>2.2424999999999993</v>
      </c>
      <c r="F13">
        <f>F12+E8</f>
        <v>2.2564999999999991</v>
      </c>
      <c r="G13">
        <f t="shared" si="0"/>
        <v>2.2494999999999994</v>
      </c>
      <c r="H13" s="52">
        <f>COUNTIF($A$2:$A$51,"&gt;2,2425")-COUNTIF($A$2:$A$51,"&gt;2,2565")</f>
        <v>4</v>
      </c>
      <c r="N13">
        <f>J3</f>
        <v>2.4</v>
      </c>
      <c r="O13">
        <v>15</v>
      </c>
    </row>
    <row r="14" spans="1:21" ht="15.75" thickBot="1" x14ac:dyDescent="0.3">
      <c r="A14" s="89">
        <v>2.226</v>
      </c>
      <c r="D14">
        <v>5</v>
      </c>
      <c r="E14">
        <f>E13+E8</f>
        <v>2.2564999999999991</v>
      </c>
      <c r="F14">
        <f>F13+E8</f>
        <v>2.2704999999999989</v>
      </c>
      <c r="G14">
        <f t="shared" si="0"/>
        <v>2.2634999999999987</v>
      </c>
      <c r="H14" s="52">
        <f>COUNTIF($A$2:$A$51,"&gt;2,2565")-COUNTIF($A$2:$A$51,"&gt;2,2705")</f>
        <v>10</v>
      </c>
      <c r="N14">
        <f>J4</f>
        <v>2.2000000000000002</v>
      </c>
      <c r="O14">
        <v>0</v>
      </c>
    </row>
    <row r="15" spans="1:21" ht="15.75" thickBot="1" x14ac:dyDescent="0.3">
      <c r="A15" s="89">
        <v>2.2549999999999999</v>
      </c>
      <c r="D15">
        <v>6</v>
      </c>
      <c r="E15">
        <f>E14+E8</f>
        <v>2.2704999999999989</v>
      </c>
      <c r="F15">
        <f>F14+E8</f>
        <v>2.2844999999999986</v>
      </c>
      <c r="G15">
        <f t="shared" si="0"/>
        <v>2.277499999999999</v>
      </c>
      <c r="H15" s="52">
        <f>COUNTIF($A$2:$A$51,"&gt;2,2705")-COUNTIF($A$2:$A$51,"&gt;2,2845")</f>
        <v>10</v>
      </c>
      <c r="N15">
        <f>J4</f>
        <v>2.2000000000000002</v>
      </c>
      <c r="O15">
        <v>15</v>
      </c>
    </row>
    <row r="16" spans="1:21" ht="15.75" thickBot="1" x14ac:dyDescent="0.3">
      <c r="A16" s="89">
        <v>2.25</v>
      </c>
      <c r="D16">
        <v>7</v>
      </c>
      <c r="E16">
        <f>E15+E8</f>
        <v>2.2844999999999986</v>
      </c>
      <c r="F16">
        <f>F15+E8</f>
        <v>2.2984999999999984</v>
      </c>
      <c r="G16">
        <f t="shared" si="0"/>
        <v>2.2914999999999983</v>
      </c>
      <c r="H16" s="52">
        <f>COUNTIF($A$2:$A$51,"&gt;2,2845")-COUNTIF($A$2:$A$51,"&gt;2,2985")</f>
        <v>6</v>
      </c>
      <c r="N16">
        <f>J5</f>
        <v>2.2527200000000001</v>
      </c>
      <c r="O16">
        <v>0</v>
      </c>
    </row>
    <row r="17" spans="1:15" ht="15.75" thickBot="1" x14ac:dyDescent="0.3">
      <c r="A17" s="89">
        <v>2.2010000000000001</v>
      </c>
      <c r="D17">
        <v>8</v>
      </c>
      <c r="E17">
        <f>E16+E8</f>
        <v>2.2984999999999984</v>
      </c>
      <c r="F17">
        <f>F16+E8</f>
        <v>2.3124999999999982</v>
      </c>
      <c r="G17">
        <f t="shared" si="0"/>
        <v>2.3054999999999986</v>
      </c>
      <c r="H17" s="52">
        <f>COUNTIF($A$2:$A$51,"&gt;2,2985")-COUNTIF($A$2:$A$51,"&gt;2,3125")</f>
        <v>1</v>
      </c>
      <c r="N17">
        <f>J5</f>
        <v>2.2527200000000001</v>
      </c>
      <c r="O17">
        <v>15</v>
      </c>
    </row>
    <row r="18" spans="1:15" ht="15.75" thickBot="1" x14ac:dyDescent="0.3">
      <c r="A18" s="89">
        <v>2.2989999999999999</v>
      </c>
      <c r="N18">
        <f>J2</f>
        <v>2.2999999999999998</v>
      </c>
      <c r="O18">
        <v>0</v>
      </c>
    </row>
    <row r="19" spans="1:15" ht="15.75" thickBot="1" x14ac:dyDescent="0.3">
      <c r="A19" s="89">
        <v>2.238</v>
      </c>
      <c r="N19">
        <f>J2</f>
        <v>2.2999999999999998</v>
      </c>
      <c r="O19">
        <v>15</v>
      </c>
    </row>
    <row r="20" spans="1:15" ht="15.75" thickBot="1" x14ac:dyDescent="0.3">
      <c r="A20" s="89">
        <v>2.2730000000000001</v>
      </c>
    </row>
    <row r="21" spans="1:15" ht="15.75" thickBot="1" x14ac:dyDescent="0.3">
      <c r="A21" s="90">
        <v>2.2160000000000002</v>
      </c>
    </row>
    <row r="22" spans="1:15" ht="16.5" thickTop="1" thickBot="1" x14ac:dyDescent="0.3">
      <c r="A22" s="88">
        <v>2.2789999999999999</v>
      </c>
    </row>
    <row r="23" spans="1:15" ht="15.75" thickBot="1" x14ac:dyDescent="0.3">
      <c r="A23" s="89">
        <v>2.282</v>
      </c>
    </row>
    <row r="24" spans="1:15" ht="15.75" thickBot="1" x14ac:dyDescent="0.3">
      <c r="A24" s="89">
        <v>2.2610000000000001</v>
      </c>
    </row>
    <row r="25" spans="1:15" ht="15.75" thickBot="1" x14ac:dyDescent="0.3">
      <c r="A25" s="89">
        <v>2.2120000000000002</v>
      </c>
    </row>
    <row r="26" spans="1:15" ht="15.75" thickBot="1" x14ac:dyDescent="0.3">
      <c r="A26" s="89">
        <v>2.202</v>
      </c>
    </row>
    <row r="27" spans="1:15" ht="15.75" thickBot="1" x14ac:dyDescent="0.3">
      <c r="A27" s="89">
        <v>2.2690000000000001</v>
      </c>
    </row>
    <row r="28" spans="1:15" ht="15.75" thickBot="1" x14ac:dyDescent="0.3">
      <c r="A28" s="89">
        <v>2.2730000000000001</v>
      </c>
    </row>
    <row r="29" spans="1:15" ht="15.75" thickBot="1" x14ac:dyDescent="0.3">
      <c r="A29" s="89">
        <v>2.2959999999999998</v>
      </c>
    </row>
    <row r="30" spans="1:15" ht="15.75" thickBot="1" x14ac:dyDescent="0.3">
      <c r="A30" s="89">
        <v>2.2229999999999999</v>
      </c>
    </row>
    <row r="31" spans="1:15" ht="15.75" thickBot="1" x14ac:dyDescent="0.3">
      <c r="A31" s="90">
        <v>2.2709999999999999</v>
      </c>
    </row>
    <row r="32" spans="1:15" ht="16.5" thickTop="1" thickBot="1" x14ac:dyDescent="0.3">
      <c r="A32" s="88">
        <v>2.2669999999999999</v>
      </c>
    </row>
    <row r="33" spans="1:1" ht="15.75" thickBot="1" x14ac:dyDescent="0.3">
      <c r="A33" s="89">
        <v>2.2650000000000001</v>
      </c>
    </row>
    <row r="34" spans="1:1" ht="15.75" thickBot="1" x14ac:dyDescent="0.3">
      <c r="A34" s="89">
        <v>2.2330000000000001</v>
      </c>
    </row>
    <row r="35" spans="1:1" ht="15.75" thickBot="1" x14ac:dyDescent="0.3">
      <c r="A35" s="89">
        <v>2.2509999999999999</v>
      </c>
    </row>
    <row r="36" spans="1:1" ht="15.75" thickBot="1" x14ac:dyDescent="0.3">
      <c r="A36" s="89">
        <v>2.29</v>
      </c>
    </row>
    <row r="37" spans="1:1" ht="15.75" thickBot="1" x14ac:dyDescent="0.3">
      <c r="A37" s="89">
        <v>2.2069999999999999</v>
      </c>
    </row>
    <row r="38" spans="1:1" ht="15.75" thickBot="1" x14ac:dyDescent="0.3">
      <c r="A38" s="89">
        <v>2.262</v>
      </c>
    </row>
    <row r="39" spans="1:1" ht="15.75" thickBot="1" x14ac:dyDescent="0.3">
      <c r="A39" s="89">
        <v>2.2679999999999998</v>
      </c>
    </row>
    <row r="40" spans="1:1" ht="15.75" thickBot="1" x14ac:dyDescent="0.3">
      <c r="A40" s="89">
        <v>2.262</v>
      </c>
    </row>
    <row r="41" spans="1:1" ht="15.75" thickBot="1" x14ac:dyDescent="0.3">
      <c r="A41" s="90">
        <v>2.2789999999999999</v>
      </c>
    </row>
    <row r="42" spans="1:1" ht="16.5" thickTop="1" thickBot="1" x14ac:dyDescent="0.3">
      <c r="A42" s="88">
        <v>2.2349999999999999</v>
      </c>
    </row>
    <row r="43" spans="1:1" ht="15.75" thickBot="1" x14ac:dyDescent="0.3">
      <c r="A43" s="89">
        <v>2.294</v>
      </c>
    </row>
    <row r="44" spans="1:1" ht="15.75" thickBot="1" x14ac:dyDescent="0.3">
      <c r="A44" s="89">
        <v>2.2570000000000001</v>
      </c>
    </row>
    <row r="45" spans="1:1" ht="15.75" thickBot="1" x14ac:dyDescent="0.3">
      <c r="A45" s="89">
        <v>2.2269999999999999</v>
      </c>
    </row>
    <row r="46" spans="1:1" ht="15.75" thickBot="1" x14ac:dyDescent="0.3">
      <c r="A46" s="89">
        <v>2.2850000000000001</v>
      </c>
    </row>
    <row r="47" spans="1:1" ht="15.75" thickBot="1" x14ac:dyDescent="0.3">
      <c r="A47" s="89">
        <v>2.2189999999999999</v>
      </c>
    </row>
    <row r="48" spans="1:1" ht="15.75" thickBot="1" x14ac:dyDescent="0.3">
      <c r="A48" s="89">
        <v>2.2519999999999998</v>
      </c>
    </row>
    <row r="49" spans="1:1" ht="15.75" thickBot="1" x14ac:dyDescent="0.3">
      <c r="A49" s="89">
        <v>2.2010000000000001</v>
      </c>
    </row>
    <row r="50" spans="1:1" ht="15.75" thickBot="1" x14ac:dyDescent="0.3">
      <c r="A50" s="89">
        <v>2.2389999999999999</v>
      </c>
    </row>
    <row r="51" spans="1:1" ht="15.75" thickBot="1" x14ac:dyDescent="0.3">
      <c r="A51" s="90">
        <v>2.2829999999999999</v>
      </c>
    </row>
    <row r="52" spans="1:1" ht="15.75" thickTop="1" x14ac:dyDescent="0.25"/>
  </sheetData>
  <mergeCells count="3">
    <mergeCell ref="R3:T4"/>
    <mergeCell ref="N11:Q1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21.7109375" customWidth="1"/>
    <col min="2" max="2" width="21" customWidth="1"/>
    <col min="3" max="3" width="22.28515625" customWidth="1"/>
    <col min="4" max="4" width="23.7109375" customWidth="1"/>
    <col min="5" max="5" width="15" customWidth="1"/>
  </cols>
  <sheetData>
    <row r="1" spans="1:5" ht="32.25" customHeight="1" x14ac:dyDescent="0.25">
      <c r="A1" s="55" t="s">
        <v>1</v>
      </c>
      <c r="B1" s="56" t="s">
        <v>0</v>
      </c>
      <c r="C1" s="9" t="s">
        <v>9</v>
      </c>
      <c r="D1" s="11" t="s">
        <v>10</v>
      </c>
      <c r="E1" s="12" t="s">
        <v>11</v>
      </c>
    </row>
    <row r="2" spans="1:5" x14ac:dyDescent="0.25">
      <c r="A2" s="5" t="s">
        <v>2</v>
      </c>
      <c r="B2" s="6">
        <v>21</v>
      </c>
      <c r="C2" s="10">
        <f>B2</f>
        <v>21</v>
      </c>
      <c r="D2" s="91">
        <f>B2/B8*100</f>
        <v>8.7136929460580905</v>
      </c>
      <c r="E2" s="91">
        <f>D2</f>
        <v>8.7136929460580905</v>
      </c>
    </row>
    <row r="3" spans="1:5" x14ac:dyDescent="0.25">
      <c r="A3" s="5" t="s">
        <v>3</v>
      </c>
      <c r="B3" s="6">
        <v>47</v>
      </c>
      <c r="C3" s="10">
        <f>B2+B3</f>
        <v>68</v>
      </c>
      <c r="D3" s="91">
        <f>B3/B8*100</f>
        <v>19.502074688796682</v>
      </c>
      <c r="E3" s="91">
        <f>D2+D3</f>
        <v>28.215767634854771</v>
      </c>
    </row>
    <row r="4" spans="1:5" x14ac:dyDescent="0.25">
      <c r="A4" s="5" t="s">
        <v>4</v>
      </c>
      <c r="B4" s="6">
        <v>36</v>
      </c>
      <c r="C4" s="10">
        <f>B2+B3+B4</f>
        <v>104</v>
      </c>
      <c r="D4" s="91">
        <f>B4/B8*100</f>
        <v>14.937759336099585</v>
      </c>
      <c r="E4" s="91">
        <f>D2+D3+D4</f>
        <v>43.15352697095436</v>
      </c>
    </row>
    <row r="5" spans="1:5" x14ac:dyDescent="0.25">
      <c r="A5" s="7" t="s">
        <v>5</v>
      </c>
      <c r="B5" s="6">
        <v>62</v>
      </c>
      <c r="C5" s="10">
        <f>B2+B3+B4+B5</f>
        <v>166</v>
      </c>
      <c r="D5" s="91">
        <f>B5/B8*100</f>
        <v>25.726141078838172</v>
      </c>
      <c r="E5" s="91">
        <f>D2+D3+D4+D5</f>
        <v>68.879668049792528</v>
      </c>
    </row>
    <row r="6" spans="1:5" x14ac:dyDescent="0.25">
      <c r="A6" s="7" t="s">
        <v>6</v>
      </c>
      <c r="B6" s="6">
        <v>30</v>
      </c>
      <c r="C6" s="10">
        <f>B2+B3+B4+B5+B6</f>
        <v>196</v>
      </c>
      <c r="D6" s="91">
        <f>B6/B8*100</f>
        <v>12.448132780082988</v>
      </c>
      <c r="E6" s="91">
        <f>D2+D3+D4+D5+D6</f>
        <v>81.327800829875514</v>
      </c>
    </row>
    <row r="7" spans="1:5" x14ac:dyDescent="0.25">
      <c r="A7" s="7" t="s">
        <v>7</v>
      </c>
      <c r="B7" s="6">
        <v>45</v>
      </c>
      <c r="C7" s="10">
        <f>B2+B3+B4+B5+B6+B7</f>
        <v>241</v>
      </c>
      <c r="D7" s="91">
        <f>B7/B8*100</f>
        <v>18.672199170124482</v>
      </c>
      <c r="E7" s="91">
        <f>D2+D3+D4+D5+D6+D7</f>
        <v>100</v>
      </c>
    </row>
    <row r="8" spans="1:5" x14ac:dyDescent="0.25">
      <c r="A8" s="8" t="s">
        <v>8</v>
      </c>
      <c r="B8" s="4">
        <f>SUM(B2:B7)</f>
        <v>241</v>
      </c>
      <c r="C8" s="1"/>
      <c r="D8" s="91">
        <f>B8/B8*100</f>
        <v>100</v>
      </c>
    </row>
  </sheetData>
  <sortState ref="A3:B7">
    <sortCondition descending="1" ref="B2"/>
  </sortState>
  <pageMargins left="0.7" right="0.7" top="0.75" bottom="0.75" header="0.3" footer="0.3"/>
  <pageSetup paperSize="9" orientation="portrait" horizontalDpi="0" verticalDpi="0" r:id="rId1"/>
  <ignoredErrors>
    <ignoredError sqref="D2:D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topLeftCell="G1" zoomScaleNormal="100" workbookViewId="0">
      <selection activeCell="L4" sqref="L4"/>
    </sheetView>
  </sheetViews>
  <sheetFormatPr defaultRowHeight="15" x14ac:dyDescent="0.25"/>
  <cols>
    <col min="1" max="1" width="11.85546875" customWidth="1"/>
  </cols>
  <sheetData>
    <row r="1" spans="1:22" x14ac:dyDescent="0.25">
      <c r="A1" s="76" t="s">
        <v>33</v>
      </c>
      <c r="B1" s="76"/>
      <c r="C1" s="76"/>
      <c r="D1" s="76"/>
      <c r="E1" s="76"/>
      <c r="F1" s="76"/>
    </row>
    <row r="2" spans="1:22" x14ac:dyDescent="0.25">
      <c r="A2" t="s">
        <v>27</v>
      </c>
      <c r="B2">
        <f>STDEV(B4:F13)</f>
        <v>6.1949370374491317E-2</v>
      </c>
      <c r="D2" s="15" t="s">
        <v>48</v>
      </c>
      <c r="E2" s="48">
        <v>5</v>
      </c>
      <c r="G2" s="75" t="s">
        <v>36</v>
      </c>
      <c r="H2" s="75"/>
      <c r="I2" s="75"/>
      <c r="J2" s="75"/>
      <c r="K2" s="75"/>
      <c r="L2" s="75"/>
      <c r="M2" s="75" t="s">
        <v>40</v>
      </c>
      <c r="N2" s="75"/>
      <c r="O2" s="75"/>
      <c r="P2" s="75"/>
      <c r="Q2" s="75" t="s">
        <v>45</v>
      </c>
      <c r="R2" s="75"/>
      <c r="S2" s="75"/>
      <c r="T2" s="75"/>
      <c r="U2" s="75"/>
      <c r="V2" s="75"/>
    </row>
    <row r="3" spans="1:22" ht="15.75" thickBot="1" x14ac:dyDescent="0.3">
      <c r="A3" s="17" t="s">
        <v>34</v>
      </c>
      <c r="B3" s="83" t="s">
        <v>35</v>
      </c>
      <c r="C3" s="83"/>
      <c r="D3" s="83"/>
      <c r="E3" s="83"/>
      <c r="F3" s="84"/>
      <c r="G3" s="16" t="s">
        <v>29</v>
      </c>
      <c r="H3" s="16" t="s">
        <v>37</v>
      </c>
      <c r="I3" s="37" t="s">
        <v>38</v>
      </c>
      <c r="J3" s="37" t="s">
        <v>39</v>
      </c>
      <c r="K3" s="57" t="s">
        <v>25</v>
      </c>
      <c r="L3" s="57" t="s">
        <v>26</v>
      </c>
      <c r="M3" s="16" t="s">
        <v>41</v>
      </c>
      <c r="N3" s="16" t="s">
        <v>42</v>
      </c>
      <c r="O3" s="37" t="s">
        <v>38</v>
      </c>
      <c r="P3" s="37" t="s">
        <v>39</v>
      </c>
      <c r="Q3" s="21" t="s">
        <v>47</v>
      </c>
      <c r="R3" s="21" t="s">
        <v>46</v>
      </c>
      <c r="S3" s="21" t="s">
        <v>43</v>
      </c>
      <c r="T3" s="21" t="s">
        <v>44</v>
      </c>
      <c r="U3" s="69" t="s">
        <v>38</v>
      </c>
      <c r="V3" s="69" t="s">
        <v>39</v>
      </c>
    </row>
    <row r="4" spans="1:22" ht="19.5" thickBot="1" x14ac:dyDescent="0.3">
      <c r="A4" s="19">
        <v>1</v>
      </c>
      <c r="B4" s="92">
        <v>15.869</v>
      </c>
      <c r="C4" s="92">
        <v>15.711</v>
      </c>
      <c r="D4" s="92">
        <v>15.763</v>
      </c>
      <c r="E4" s="92">
        <v>15.699</v>
      </c>
      <c r="F4" s="92">
        <v>15.694000000000001</v>
      </c>
      <c r="G4" s="20">
        <f>AVERAGE(B4:F4)</f>
        <v>15.747199999999998</v>
      </c>
      <c r="H4" s="2">
        <f>AVERAGE(G4:G13)</f>
        <v>15.7195</v>
      </c>
      <c r="I4" s="1">
        <f>H4-3*B2/SQRT(E2)</f>
        <v>15.636386198007596</v>
      </c>
      <c r="J4" s="2">
        <f>H4+3*B2/SQRT(E2)</f>
        <v>15.802613801992404</v>
      </c>
      <c r="K4" s="2">
        <v>15.8</v>
      </c>
      <c r="L4" s="2">
        <v>1</v>
      </c>
      <c r="M4" s="2">
        <f>STDEV(B4:F4)</f>
        <v>7.3397547642955766E-2</v>
      </c>
      <c r="N4" s="2">
        <f>AVERAGE(M4:M13)</f>
        <v>5.5047827105253078E-2</v>
      </c>
      <c r="O4" s="2">
        <f>N4*SQRT(CHIINV(1-0.0027/2,E2-1)/E2)</f>
        <v>8.0062749893430301E-3</v>
      </c>
      <c r="P4" s="2">
        <f>N4*SQRT(CHIINV(0.0027/2,E2-1)/E2)</f>
        <v>0.10386523610194942</v>
      </c>
      <c r="Q4" s="2">
        <f>MAX(B4:F4)</f>
        <v>15.869</v>
      </c>
      <c r="R4" s="2">
        <f>MIN(B4:F4)</f>
        <v>15.694000000000001</v>
      </c>
      <c r="S4" s="2">
        <f>Q4-R4</f>
        <v>0.17499999999999893</v>
      </c>
      <c r="T4" s="2">
        <f>AVERAGE(S4:S13)</f>
        <v>0.13209999999999944</v>
      </c>
      <c r="U4" s="63" t="e">
        <f>E44*T4</f>
        <v>#VALUE!</v>
      </c>
      <c r="V4" s="62">
        <f>E45*T4</f>
        <v>0.27939149999999885</v>
      </c>
    </row>
    <row r="5" spans="1:22" ht="19.5" thickBot="1" x14ac:dyDescent="0.3">
      <c r="A5" s="19">
        <v>2</v>
      </c>
      <c r="B5" s="93">
        <v>15.73</v>
      </c>
      <c r="C5" s="93">
        <v>15.744999999999999</v>
      </c>
      <c r="D5" s="93">
        <v>15.718</v>
      </c>
      <c r="E5" s="93">
        <v>15.707000000000001</v>
      </c>
      <c r="F5" s="93">
        <v>15.731</v>
      </c>
      <c r="G5" s="20">
        <f t="shared" ref="G5:G13" si="0">AVERAGE(B5:F5)</f>
        <v>15.7262</v>
      </c>
      <c r="H5" s="2">
        <f>AVERAGE(G4:G13)</f>
        <v>15.7195</v>
      </c>
      <c r="I5" s="2">
        <f>H4-3*B2/SQRT(E2)</f>
        <v>15.636386198007596</v>
      </c>
      <c r="J5" s="2">
        <f>H4+3*B2/SQRT(E2)</f>
        <v>15.802613801992404</v>
      </c>
      <c r="K5" s="2">
        <v>15.8</v>
      </c>
      <c r="L5" s="2">
        <v>1</v>
      </c>
      <c r="M5" s="2">
        <f>STDEV(B5:F5)</f>
        <v>1.4377065069060033E-2</v>
      </c>
      <c r="N5" s="2">
        <f>AVERAGE(M4:M13)</f>
        <v>5.5047827105253078E-2</v>
      </c>
      <c r="O5" s="2">
        <f>N4*SQRT(CHIINV(1-0.0027/2,E2-1)/E2)</f>
        <v>8.0062749893430301E-3</v>
      </c>
      <c r="P5" s="2">
        <f>N4*SQRT(CHIINV(0.0027/2,E2-1)/E2)</f>
        <v>0.10386523610194942</v>
      </c>
      <c r="Q5" s="2">
        <f t="shared" ref="Q5:Q13" si="1">MAX(B5:F5)</f>
        <v>15.744999999999999</v>
      </c>
      <c r="R5" s="2">
        <f>MIN(B5:F5)</f>
        <v>15.707000000000001</v>
      </c>
      <c r="S5" s="2">
        <f t="shared" ref="S5:S13" si="2">Q5-R5</f>
        <v>3.7999999999998479E-2</v>
      </c>
      <c r="T5" s="2">
        <f>AVERAGE(S4:S13)</f>
        <v>0.13209999999999944</v>
      </c>
      <c r="U5" s="64" t="e">
        <f>E44*T4</f>
        <v>#VALUE!</v>
      </c>
      <c r="V5" s="62">
        <f>E45*T4</f>
        <v>0.27939149999999885</v>
      </c>
    </row>
    <row r="6" spans="1:22" ht="19.5" thickBot="1" x14ac:dyDescent="0.3">
      <c r="A6" s="19">
        <v>3</v>
      </c>
      <c r="B6" s="93">
        <v>15.869</v>
      </c>
      <c r="C6" s="93">
        <v>15.664999999999999</v>
      </c>
      <c r="D6" s="93">
        <v>15.755000000000001</v>
      </c>
      <c r="E6" s="93">
        <v>15.637</v>
      </c>
      <c r="F6" s="93">
        <v>15.747999999999999</v>
      </c>
      <c r="G6" s="20">
        <f t="shared" si="0"/>
        <v>15.734800000000002</v>
      </c>
      <c r="H6" s="2">
        <f>AVERAGE(G4:G13)</f>
        <v>15.7195</v>
      </c>
      <c r="I6" s="2">
        <f>H4-3*B2/SQRT(E2)</f>
        <v>15.636386198007596</v>
      </c>
      <c r="J6" s="2">
        <f>H4+3*B2/SQRT(E2)</f>
        <v>15.802613801992404</v>
      </c>
      <c r="K6" s="2">
        <v>15.8</v>
      </c>
      <c r="L6" s="2">
        <v>1</v>
      </c>
      <c r="M6" s="2">
        <f t="shared" ref="M6:M13" si="3">STDEV(B6:F6)</f>
        <v>9.0869136674670767E-2</v>
      </c>
      <c r="N6" s="2">
        <f>AVERAGE(M4:M13)</f>
        <v>5.5047827105253078E-2</v>
      </c>
      <c r="O6" s="2">
        <f>N4*SQRT(CHIINV(1-0.0027/2,E2-1)/E2)</f>
        <v>8.0062749893430301E-3</v>
      </c>
      <c r="P6" s="2">
        <f>N4*SQRT(CHIINV(0.0027/2,E2-1)/E2)</f>
        <v>0.10386523610194942</v>
      </c>
      <c r="Q6" s="2">
        <f t="shared" si="1"/>
        <v>15.869</v>
      </c>
      <c r="R6" s="2">
        <f t="shared" ref="R6:R13" si="4">MIN(B6:F6)</f>
        <v>15.637</v>
      </c>
      <c r="S6" s="2">
        <f t="shared" si="2"/>
        <v>0.23199999999999932</v>
      </c>
      <c r="T6" s="2">
        <f>AVERAGE(S4:S13)</f>
        <v>0.13209999999999944</v>
      </c>
      <c r="U6" s="64" t="e">
        <f>E44*T4</f>
        <v>#VALUE!</v>
      </c>
      <c r="V6" s="62">
        <f>E45*T4</f>
        <v>0.27939149999999885</v>
      </c>
    </row>
    <row r="7" spans="1:22" ht="19.5" thickBot="1" x14ac:dyDescent="0.3">
      <c r="A7" s="19">
        <v>4</v>
      </c>
      <c r="B7" s="93">
        <v>15.734</v>
      </c>
      <c r="C7" s="93">
        <v>15.747999999999999</v>
      </c>
      <c r="D7" s="93">
        <v>15.757999999999999</v>
      </c>
      <c r="E7" s="92">
        <v>15.659000000000001</v>
      </c>
      <c r="F7" s="93">
        <v>15.753</v>
      </c>
      <c r="G7" s="20">
        <f t="shared" si="0"/>
        <v>15.730399999999998</v>
      </c>
      <c r="H7" s="2">
        <f>AVERAGE(G4:G13)</f>
        <v>15.7195</v>
      </c>
      <c r="I7" s="2">
        <f>H4-3*B2/SQRT(E2)</f>
        <v>15.636386198007596</v>
      </c>
      <c r="J7" s="2">
        <f>H4+3*B2/SQRT(E2)</f>
        <v>15.802613801992404</v>
      </c>
      <c r="K7" s="2">
        <v>15.8</v>
      </c>
      <c r="L7" s="2">
        <v>1</v>
      </c>
      <c r="M7" s="2">
        <f t="shared" si="3"/>
        <v>4.0905989781448368E-2</v>
      </c>
      <c r="N7" s="2">
        <f>AVERAGE(M4:M13)</f>
        <v>5.5047827105253078E-2</v>
      </c>
      <c r="O7" s="2">
        <f>N4*SQRT(CHIINV(1-0.0027/2,E2-1)/E2)</f>
        <v>8.0062749893430301E-3</v>
      </c>
      <c r="P7" s="2">
        <f>N4*SQRT(CHIINV(0.0027/2,E2-1)/E2)</f>
        <v>0.10386523610194942</v>
      </c>
      <c r="Q7" s="2">
        <f t="shared" si="1"/>
        <v>15.757999999999999</v>
      </c>
      <c r="R7" s="2">
        <f t="shared" si="4"/>
        <v>15.659000000000001</v>
      </c>
      <c r="S7" s="2">
        <f t="shared" si="2"/>
        <v>9.8999999999998423E-2</v>
      </c>
      <c r="T7" s="2">
        <f>AVERAGE(S4:S13)</f>
        <v>0.13209999999999944</v>
      </c>
      <c r="U7" s="64" t="e">
        <f>E44*T4</f>
        <v>#VALUE!</v>
      </c>
      <c r="V7" s="62">
        <f>E45*T4</f>
        <v>0.27939149999999885</v>
      </c>
    </row>
    <row r="8" spans="1:22" ht="19.5" thickBot="1" x14ac:dyDescent="0.3">
      <c r="A8" s="19">
        <v>5</v>
      </c>
      <c r="B8" s="93">
        <v>15.869</v>
      </c>
      <c r="C8" s="93">
        <v>15.702999999999999</v>
      </c>
      <c r="D8" s="93">
        <v>15.715999999999999</v>
      </c>
      <c r="E8" s="93">
        <v>15.712999999999999</v>
      </c>
      <c r="F8" s="93">
        <v>15.682</v>
      </c>
      <c r="G8" s="20">
        <f t="shared" si="0"/>
        <v>15.736599999999999</v>
      </c>
      <c r="H8" s="2">
        <f>AVERAGE(G4:G13)</f>
        <v>15.7195</v>
      </c>
      <c r="I8" s="2">
        <f>H4-3*B2/SQRT(E2)</f>
        <v>15.636386198007596</v>
      </c>
      <c r="J8" s="2">
        <f>H4+3*B2/SQRT(E2)</f>
        <v>15.802613801992404</v>
      </c>
      <c r="K8" s="2">
        <v>15.8</v>
      </c>
      <c r="L8" s="2">
        <v>1</v>
      </c>
      <c r="M8" s="2">
        <f t="shared" si="3"/>
        <v>7.5201728703534476E-2</v>
      </c>
      <c r="N8" s="2">
        <f>AVERAGE(M4:M13)</f>
        <v>5.5047827105253078E-2</v>
      </c>
      <c r="O8" s="2">
        <f>N4*SQRT(CHIINV(1-0.0027/2,E2-1)/E2)</f>
        <v>8.0062749893430301E-3</v>
      </c>
      <c r="P8" s="2">
        <f>N4*SQRT(CHIINV(0.0027/2,E2-1)/E2)</f>
        <v>0.10386523610194942</v>
      </c>
      <c r="Q8" s="2">
        <f t="shared" si="1"/>
        <v>15.869</v>
      </c>
      <c r="R8" s="2">
        <f t="shared" si="4"/>
        <v>15.682</v>
      </c>
      <c r="S8" s="2">
        <f t="shared" si="2"/>
        <v>0.18699999999999939</v>
      </c>
      <c r="T8" s="2">
        <f>AVERAGE(S4:S13)</f>
        <v>0.13209999999999944</v>
      </c>
      <c r="U8" s="64" t="e">
        <f>E44*T4</f>
        <v>#VALUE!</v>
      </c>
      <c r="V8" s="62">
        <f>E45*T4</f>
        <v>0.27939149999999885</v>
      </c>
    </row>
    <row r="9" spans="1:22" ht="19.5" thickBot="1" x14ac:dyDescent="0.3">
      <c r="A9" s="19">
        <v>6</v>
      </c>
      <c r="B9" s="93">
        <v>15.645</v>
      </c>
      <c r="C9" s="93">
        <v>15.711</v>
      </c>
      <c r="D9" s="93">
        <v>15.702</v>
      </c>
      <c r="E9" s="93">
        <v>15.736000000000001</v>
      </c>
      <c r="F9" s="93">
        <v>15.737</v>
      </c>
      <c r="G9" s="20">
        <f t="shared" si="0"/>
        <v>15.706199999999999</v>
      </c>
      <c r="H9" s="2">
        <f>AVERAGE(G4:G13)</f>
        <v>15.7195</v>
      </c>
      <c r="I9" s="2">
        <f>H4-3*B2/SQRT(E2)</f>
        <v>15.636386198007596</v>
      </c>
      <c r="J9" s="2">
        <f>H4+3*B2/SQRT(E2)</f>
        <v>15.802613801992404</v>
      </c>
      <c r="K9" s="2">
        <v>15.8</v>
      </c>
      <c r="L9" s="2">
        <v>1</v>
      </c>
      <c r="M9" s="2">
        <f t="shared" si="3"/>
        <v>3.749266594948971E-2</v>
      </c>
      <c r="N9" s="2">
        <f>AVERAGE(M4:M13)</f>
        <v>5.5047827105253078E-2</v>
      </c>
      <c r="O9" s="2">
        <f>N4*SQRT(CHIINV(1-0.0027/2,E2-1)/E2)</f>
        <v>8.0062749893430301E-3</v>
      </c>
      <c r="P9" s="2">
        <f>N4*SQRT(CHIINV(0.0027/2,E2-1)/E2)</f>
        <v>0.10386523610194942</v>
      </c>
      <c r="Q9" s="2">
        <f t="shared" si="1"/>
        <v>15.737</v>
      </c>
      <c r="R9" s="2">
        <f t="shared" si="4"/>
        <v>15.645</v>
      </c>
      <c r="S9" s="2">
        <f t="shared" si="2"/>
        <v>9.2000000000000526E-2</v>
      </c>
      <c r="T9" s="2">
        <f>AVERAGE(S4:S13)</f>
        <v>0.13209999999999944</v>
      </c>
      <c r="U9" s="64" t="e">
        <f>E44*T4</f>
        <v>#VALUE!</v>
      </c>
      <c r="V9" s="62">
        <f>E45*T4</f>
        <v>0.27939149999999885</v>
      </c>
    </row>
    <row r="10" spans="1:22" ht="19.5" thickBot="1" x14ac:dyDescent="0.3">
      <c r="A10" s="19">
        <v>7</v>
      </c>
      <c r="B10" s="93">
        <v>15.7</v>
      </c>
      <c r="C10" s="93">
        <v>15.673</v>
      </c>
      <c r="D10" s="93">
        <v>15.769</v>
      </c>
      <c r="E10" s="93">
        <v>15.705</v>
      </c>
      <c r="F10" s="93">
        <v>15.679</v>
      </c>
      <c r="G10" s="20">
        <f t="shared" si="0"/>
        <v>15.7052</v>
      </c>
      <c r="H10" s="2">
        <f>AVERAGE(G4:G13)</f>
        <v>15.7195</v>
      </c>
      <c r="I10" s="2">
        <f>H4-3*B2/SQRT(E2)</f>
        <v>15.636386198007596</v>
      </c>
      <c r="J10" s="2">
        <f>H4+3*B2/SQRT(E2)</f>
        <v>15.802613801992404</v>
      </c>
      <c r="K10" s="2">
        <v>15.8</v>
      </c>
      <c r="L10" s="2">
        <v>1</v>
      </c>
      <c r="M10" s="2">
        <f t="shared" si="3"/>
        <v>3.8147083767963205E-2</v>
      </c>
      <c r="N10" s="2">
        <f>AVERAGE(M4:M13)</f>
        <v>5.5047827105253078E-2</v>
      </c>
      <c r="O10" s="2">
        <f>N4*SQRT(CHIINV(1-0.0027/2,E2-1)/E2)</f>
        <v>8.0062749893430301E-3</v>
      </c>
      <c r="P10" s="2">
        <f>N4*SQRT(CHIINV(0.0027/2,E2-1)/E2)</f>
        <v>0.10386523610194942</v>
      </c>
      <c r="Q10" s="2">
        <f t="shared" si="1"/>
        <v>15.769</v>
      </c>
      <c r="R10" s="2">
        <f t="shared" si="4"/>
        <v>15.673</v>
      </c>
      <c r="S10" s="2">
        <f t="shared" si="2"/>
        <v>9.6000000000000085E-2</v>
      </c>
      <c r="T10" s="2">
        <f>AVERAGE(S4:S13)</f>
        <v>0.13209999999999944</v>
      </c>
      <c r="U10" s="64" t="e">
        <f>E44*T4</f>
        <v>#VALUE!</v>
      </c>
      <c r="V10" s="62">
        <f>E45*T4</f>
        <v>0.27939149999999885</v>
      </c>
    </row>
    <row r="11" spans="1:22" ht="19.5" thickBot="1" x14ac:dyDescent="0.3">
      <c r="A11" s="19">
        <v>8</v>
      </c>
      <c r="B11" s="93">
        <v>15.718</v>
      </c>
      <c r="C11" s="93">
        <v>15.699</v>
      </c>
      <c r="D11" s="93">
        <v>15.717000000000001</v>
      </c>
      <c r="E11" s="93">
        <v>15.657999999999999</v>
      </c>
      <c r="F11" s="93">
        <v>15.673</v>
      </c>
      <c r="G11" s="20">
        <f t="shared" si="0"/>
        <v>15.693000000000001</v>
      </c>
      <c r="H11" s="2">
        <f>AVERAGE(G4:G13)</f>
        <v>15.7195</v>
      </c>
      <c r="I11" s="2">
        <f>H4-3*B2/SQRT(E2)</f>
        <v>15.636386198007596</v>
      </c>
      <c r="J11" s="2">
        <f>H4+3*B2/SQRT(E2)</f>
        <v>15.802613801992404</v>
      </c>
      <c r="K11" s="2">
        <v>15.8</v>
      </c>
      <c r="L11" s="2">
        <v>1</v>
      </c>
      <c r="M11" s="2">
        <f t="shared" si="3"/>
        <v>2.6748831750190778E-2</v>
      </c>
      <c r="N11" s="2">
        <f>AVERAGE(M4:M13)</f>
        <v>5.5047827105253078E-2</v>
      </c>
      <c r="O11" s="2">
        <f>N4*SQRT(CHIINV(1-0.0027/2,E2-1)/E2)</f>
        <v>8.0062749893430301E-3</v>
      </c>
      <c r="P11" s="2">
        <f>N4*SQRT(CHIINV(0.0027/2,E2-1)/E2)</f>
        <v>0.10386523610194942</v>
      </c>
      <c r="Q11" s="2">
        <f t="shared" si="1"/>
        <v>15.718</v>
      </c>
      <c r="R11" s="2">
        <f t="shared" si="4"/>
        <v>15.657999999999999</v>
      </c>
      <c r="S11" s="2">
        <f t="shared" si="2"/>
        <v>6.0000000000000497E-2</v>
      </c>
      <c r="T11" s="2">
        <f>AVERAGE(S4:S13)</f>
        <v>0.13209999999999944</v>
      </c>
      <c r="U11" s="64" t="e">
        <f>E44*T4</f>
        <v>#VALUE!</v>
      </c>
      <c r="V11" s="62">
        <f>E45*T4</f>
        <v>0.27939149999999885</v>
      </c>
    </row>
    <row r="12" spans="1:22" ht="19.5" thickBot="1" x14ac:dyDescent="0.3">
      <c r="A12" s="19">
        <v>9</v>
      </c>
      <c r="B12" s="93">
        <v>15.747</v>
      </c>
      <c r="C12" s="93">
        <v>15.72</v>
      </c>
      <c r="D12" s="93">
        <v>15.694000000000001</v>
      </c>
      <c r="E12" s="93">
        <v>15.56</v>
      </c>
      <c r="F12" s="93">
        <v>15.56</v>
      </c>
      <c r="G12" s="20">
        <f t="shared" si="0"/>
        <v>15.656200000000002</v>
      </c>
      <c r="H12" s="2">
        <f>AVERAGE(G4:G13)</f>
        <v>15.7195</v>
      </c>
      <c r="I12" s="2">
        <f>H4-3*B2/SQRT(E2)</f>
        <v>15.636386198007596</v>
      </c>
      <c r="J12" s="2">
        <f>H4+3*B2/SQRT(E2)</f>
        <v>15.802613801992404</v>
      </c>
      <c r="K12" s="2">
        <v>15.8</v>
      </c>
      <c r="L12" s="2">
        <v>1</v>
      </c>
      <c r="M12" s="2">
        <f t="shared" si="3"/>
        <v>8.9795322818062087E-2</v>
      </c>
      <c r="N12" s="2">
        <f>AVERAGE(M4:M13)</f>
        <v>5.5047827105253078E-2</v>
      </c>
      <c r="O12" s="2">
        <f>N4*SQRT(CHIINV(1-0.0027/2,E2-1)/E2)</f>
        <v>8.0062749893430301E-3</v>
      </c>
      <c r="P12" s="2">
        <f>N4*SQRT(CHIINV(0.0027/2,E2-1)/E2)</f>
        <v>0.10386523610194942</v>
      </c>
      <c r="Q12" s="2">
        <f t="shared" si="1"/>
        <v>15.747</v>
      </c>
      <c r="R12" s="2">
        <f t="shared" si="4"/>
        <v>15.56</v>
      </c>
      <c r="S12" s="2">
        <f t="shared" si="2"/>
        <v>0.18699999999999939</v>
      </c>
      <c r="T12" s="2">
        <f>AVERAGE(S4:S13)</f>
        <v>0.13209999999999944</v>
      </c>
      <c r="U12" s="64" t="e">
        <f>E44*T4</f>
        <v>#VALUE!</v>
      </c>
      <c r="V12" s="62">
        <f>E45*T4</f>
        <v>0.27939149999999885</v>
      </c>
    </row>
    <row r="13" spans="1:22" ht="19.5" thickBot="1" x14ac:dyDescent="0.3">
      <c r="A13" s="19">
        <v>10</v>
      </c>
      <c r="B13" s="93">
        <v>15.731999999999999</v>
      </c>
      <c r="C13" s="93">
        <v>15.723000000000001</v>
      </c>
      <c r="D13" s="93">
        <v>15.714</v>
      </c>
      <c r="E13" s="93">
        <v>15.757999999999999</v>
      </c>
      <c r="F13" s="93">
        <v>15.869</v>
      </c>
      <c r="G13" s="20">
        <f t="shared" si="0"/>
        <v>15.759199999999998</v>
      </c>
      <c r="H13" s="2">
        <f>AVERAGE(G4:G13)</f>
        <v>15.7195</v>
      </c>
      <c r="I13" s="2">
        <f>H4-3*B2/SQRT(E2)</f>
        <v>15.636386198007596</v>
      </c>
      <c r="J13" s="2">
        <f>H4+3*B2/SQRT(E2)</f>
        <v>15.802613801992404</v>
      </c>
      <c r="K13" s="2">
        <v>15.8</v>
      </c>
      <c r="L13" s="2">
        <v>1</v>
      </c>
      <c r="M13" s="2">
        <f t="shared" si="3"/>
        <v>6.3542898895155658E-2</v>
      </c>
      <c r="N13" s="2">
        <f>AVERAGE(M4:M13)</f>
        <v>5.5047827105253078E-2</v>
      </c>
      <c r="O13" s="2">
        <f>N4*SQRT(CHIINV(1-0.0027/2,E2-1)/E2)</f>
        <v>8.0062749893430301E-3</v>
      </c>
      <c r="P13" s="2">
        <f>N4*SQRT(CHIINV(0.0027/2,E2-1)/E2)</f>
        <v>0.10386523610194942</v>
      </c>
      <c r="Q13" s="2">
        <f t="shared" si="1"/>
        <v>15.869</v>
      </c>
      <c r="R13" s="2">
        <f t="shared" si="4"/>
        <v>15.714</v>
      </c>
      <c r="S13" s="2">
        <f t="shared" si="2"/>
        <v>0.15499999999999936</v>
      </c>
      <c r="T13" s="2">
        <f>AVERAGE(S4:S13)</f>
        <v>0.13209999999999944</v>
      </c>
      <c r="U13" s="64" t="e">
        <f>E44*T4</f>
        <v>#VALUE!</v>
      </c>
      <c r="V13" s="62">
        <f>E45*T4</f>
        <v>0.27939149999999885</v>
      </c>
    </row>
    <row r="16" spans="1:22" x14ac:dyDescent="0.25">
      <c r="A16" s="18"/>
    </row>
    <row r="17" spans="1:20" x14ac:dyDescent="0.25">
      <c r="A17" s="18"/>
    </row>
    <row r="18" spans="1:20" x14ac:dyDescent="0.25">
      <c r="A18" s="18"/>
    </row>
    <row r="19" spans="1:20" x14ac:dyDescent="0.25">
      <c r="A19" s="18"/>
    </row>
    <row r="20" spans="1:20" x14ac:dyDescent="0.25">
      <c r="A20" s="18"/>
    </row>
    <row r="21" spans="1:20" x14ac:dyDescent="0.25">
      <c r="A21" s="18"/>
    </row>
    <row r="22" spans="1:20" x14ac:dyDescent="0.25">
      <c r="A22" s="18"/>
    </row>
    <row r="23" spans="1:20" x14ac:dyDescent="0.25">
      <c r="A23" s="18"/>
    </row>
    <row r="24" spans="1:20" x14ac:dyDescent="0.25">
      <c r="A24" s="18"/>
    </row>
    <row r="25" spans="1:20" x14ac:dyDescent="0.25">
      <c r="A25" s="18"/>
    </row>
    <row r="26" spans="1:20" x14ac:dyDescent="0.25">
      <c r="A26" s="18"/>
    </row>
    <row r="27" spans="1:20" x14ac:dyDescent="0.25">
      <c r="A27" s="18"/>
    </row>
    <row r="28" spans="1:20" x14ac:dyDescent="0.25">
      <c r="A28" s="18"/>
    </row>
    <row r="29" spans="1:20" x14ac:dyDescent="0.25">
      <c r="A29" s="18"/>
    </row>
    <row r="30" spans="1:20" x14ac:dyDescent="0.25">
      <c r="A30" s="18"/>
    </row>
    <row r="31" spans="1:20" ht="14.25" customHeight="1" x14ac:dyDescent="0.25">
      <c r="A31" s="82" t="s">
        <v>112</v>
      </c>
      <c r="B31" s="82"/>
      <c r="C31" s="82"/>
      <c r="D31" s="82"/>
      <c r="E31" s="82"/>
      <c r="F31" s="82"/>
      <c r="G31" s="82"/>
      <c r="H31" s="82"/>
      <c r="M31" s="79" t="s">
        <v>113</v>
      </c>
      <c r="N31" s="76"/>
      <c r="O31" s="76"/>
      <c r="P31" s="76"/>
      <c r="Q31" s="76"/>
      <c r="R31" s="76"/>
      <c r="S31" s="76"/>
      <c r="T31" s="76"/>
    </row>
    <row r="32" spans="1:20" x14ac:dyDescent="0.25">
      <c r="A32" s="81"/>
      <c r="B32" s="81"/>
      <c r="C32" s="81"/>
      <c r="D32" s="66" t="s">
        <v>107</v>
      </c>
      <c r="P32" s="66" t="s">
        <v>107</v>
      </c>
    </row>
    <row r="33" spans="1:17" x14ac:dyDescent="0.25">
      <c r="A33" s="67" t="s">
        <v>50</v>
      </c>
      <c r="B33" s="61">
        <f>(K4-L4)/(6*N4/E46)</f>
        <v>104.22694170464642</v>
      </c>
      <c r="D33" s="65">
        <v>1.33</v>
      </c>
      <c r="M33" s="14" t="s">
        <v>28</v>
      </c>
      <c r="N33">
        <f>(K4-L4)/(6*B2)</f>
        <v>39.817461448847233</v>
      </c>
      <c r="P33" s="65">
        <v>1.33</v>
      </c>
    </row>
    <row r="34" spans="1:17" x14ac:dyDescent="0.25">
      <c r="A34" s="68" t="s">
        <v>55</v>
      </c>
      <c r="B34" s="49">
        <f>(K4-H4)/(3*(N4/E46))</f>
        <v>1.1338201090843387</v>
      </c>
      <c r="D34" s="65"/>
      <c r="M34" s="14" t="s">
        <v>114</v>
      </c>
      <c r="N34">
        <f>(K4-H4)/(3*B2)</f>
        <v>0.43314941170705801</v>
      </c>
      <c r="P34" s="65"/>
    </row>
    <row r="35" spans="1:17" x14ac:dyDescent="0.25">
      <c r="A35" s="68" t="s">
        <v>56</v>
      </c>
      <c r="B35" s="49">
        <f>(H4-L4)/(3*(N4/E46))</f>
        <v>207.32006330020849</v>
      </c>
      <c r="D35" s="65"/>
      <c r="M35" s="14" t="s">
        <v>31</v>
      </c>
      <c r="N35">
        <f>(H4-L4)/(3*B2)</f>
        <v>79.201773485987417</v>
      </c>
      <c r="P35" s="65"/>
    </row>
    <row r="36" spans="1:17" x14ac:dyDescent="0.25">
      <c r="A36" s="23" t="s">
        <v>57</v>
      </c>
      <c r="B36" s="14">
        <f>MIN(B34:B35)</f>
        <v>1.1338201090843387</v>
      </c>
      <c r="D36" s="65">
        <v>1.33</v>
      </c>
      <c r="M36" s="14" t="s">
        <v>32</v>
      </c>
      <c r="N36">
        <f>MIN(N34:N35)</f>
        <v>0.43314941170705801</v>
      </c>
      <c r="P36" s="65">
        <v>1.33</v>
      </c>
    </row>
    <row r="37" spans="1:17" x14ac:dyDescent="0.25">
      <c r="A37" s="23" t="s">
        <v>58</v>
      </c>
      <c r="B37" s="14">
        <f>1/B33</f>
        <v>9.5944482649577747E-3</v>
      </c>
      <c r="D37" s="65" t="s">
        <v>110</v>
      </c>
      <c r="M37" s="14" t="s">
        <v>51</v>
      </c>
      <c r="N37">
        <f>1/N33</f>
        <v>2.5114609611280262E-2</v>
      </c>
      <c r="P37" s="65" t="s">
        <v>110</v>
      </c>
    </row>
    <row r="38" spans="1:17" x14ac:dyDescent="0.25">
      <c r="A38" s="18"/>
    </row>
    <row r="39" spans="1:17" x14ac:dyDescent="0.25">
      <c r="A39" s="18"/>
    </row>
    <row r="40" spans="1:17" x14ac:dyDescent="0.25">
      <c r="A40" s="18"/>
    </row>
    <row r="41" spans="1:17" x14ac:dyDescent="0.25">
      <c r="A41" s="18"/>
    </row>
    <row r="42" spans="1:17" ht="18" customHeight="1" x14ac:dyDescent="0.25">
      <c r="A42" s="81" t="s">
        <v>111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7" x14ac:dyDescent="0.25">
      <c r="A43" s="22" t="s">
        <v>48</v>
      </c>
      <c r="B43" s="22">
        <v>2</v>
      </c>
      <c r="C43" s="22">
        <v>3</v>
      </c>
      <c r="D43" s="22">
        <v>4</v>
      </c>
      <c r="E43" s="22">
        <v>5</v>
      </c>
      <c r="F43" s="22">
        <v>6</v>
      </c>
      <c r="G43" s="22">
        <v>7</v>
      </c>
      <c r="H43" s="22">
        <v>8</v>
      </c>
      <c r="I43" s="22">
        <v>9</v>
      </c>
      <c r="J43" s="22">
        <v>10</v>
      </c>
      <c r="L43" s="48"/>
      <c r="M43" t="s">
        <v>108</v>
      </c>
    </row>
    <row r="44" spans="1:17" ht="21" customHeight="1" x14ac:dyDescent="0.25">
      <c r="A44" s="59" t="s">
        <v>52</v>
      </c>
      <c r="B44" s="6" t="s">
        <v>49</v>
      </c>
      <c r="C44" s="6" t="s">
        <v>49</v>
      </c>
      <c r="D44" s="6" t="s">
        <v>49</v>
      </c>
      <c r="E44" s="6" t="s">
        <v>49</v>
      </c>
      <c r="F44" s="6" t="s">
        <v>49</v>
      </c>
      <c r="G44" s="6">
        <v>7.5999999999999998E-2</v>
      </c>
      <c r="H44" s="6">
        <v>0.13600000000000001</v>
      </c>
      <c r="I44" s="6">
        <v>0.184</v>
      </c>
      <c r="J44" s="6">
        <v>0.223</v>
      </c>
      <c r="L44" s="54"/>
      <c r="M44" s="80" t="s">
        <v>117</v>
      </c>
      <c r="N44" s="80"/>
      <c r="O44" s="80"/>
      <c r="P44" s="80"/>
      <c r="Q44" s="80"/>
    </row>
    <row r="45" spans="1:17" ht="18" x14ac:dyDescent="0.25">
      <c r="A45" s="58" t="s">
        <v>53</v>
      </c>
      <c r="B45" s="6">
        <v>3.2669999999999999</v>
      </c>
      <c r="C45" s="6">
        <v>2.5750000000000002</v>
      </c>
      <c r="D45" s="6">
        <v>2.282</v>
      </c>
      <c r="E45" s="6">
        <v>2.1150000000000002</v>
      </c>
      <c r="F45" s="6">
        <v>2.004</v>
      </c>
      <c r="G45" s="6">
        <v>1.9239999999999999</v>
      </c>
      <c r="H45" s="6">
        <v>1.8640000000000001</v>
      </c>
      <c r="I45" s="6">
        <v>1.8160000000000001</v>
      </c>
      <c r="J45" s="6">
        <v>1.7769999999999999</v>
      </c>
      <c r="M45" s="80"/>
      <c r="N45" s="80"/>
      <c r="O45" s="80"/>
      <c r="P45" s="80"/>
      <c r="Q45" s="80"/>
    </row>
    <row r="46" spans="1:17" ht="18" x14ac:dyDescent="0.25">
      <c r="A46" s="60" t="s">
        <v>54</v>
      </c>
      <c r="B46" s="16">
        <v>1.1279999999999999</v>
      </c>
      <c r="C46" s="16">
        <v>1.6930000000000001</v>
      </c>
      <c r="D46" s="16">
        <v>2.0590000000000002</v>
      </c>
      <c r="E46" s="16">
        <v>2.3260000000000001</v>
      </c>
      <c r="F46" s="16">
        <v>2.5339999999999998</v>
      </c>
      <c r="G46" s="16">
        <v>2.7040000000000002</v>
      </c>
      <c r="H46" s="16">
        <v>2.847</v>
      </c>
      <c r="I46" s="16">
        <v>2.97</v>
      </c>
      <c r="J46" s="16">
        <v>3.0779999999999998</v>
      </c>
    </row>
    <row r="47" spans="1:17" x14ac:dyDescent="0.25">
      <c r="A47" s="18"/>
    </row>
    <row r="48" spans="1:17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</sheetData>
  <mergeCells count="10">
    <mergeCell ref="A1:F1"/>
    <mergeCell ref="B3:F3"/>
    <mergeCell ref="G2:L2"/>
    <mergeCell ref="M2:P2"/>
    <mergeCell ref="Q2:V2"/>
    <mergeCell ref="M31:T31"/>
    <mergeCell ref="M44:Q45"/>
    <mergeCell ref="A42:J42"/>
    <mergeCell ref="A32:C32"/>
    <mergeCell ref="A31:H31"/>
  </mergeCells>
  <pageMargins left="0.7" right="0.7" top="0.75" bottom="0.75" header="0.3" footer="0.3"/>
  <pageSetup paperSize="9" orientation="portrait" horizontalDpi="0" verticalDpi="0" r:id="rId1"/>
  <ignoredErrors>
    <ignoredError sqref="G4:G13 M4:M13 Q4:Q13 R4:R1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K18" sqref="K18"/>
    </sheetView>
  </sheetViews>
  <sheetFormatPr defaultRowHeight="15" x14ac:dyDescent="0.25"/>
  <cols>
    <col min="2" max="2" width="14.7109375" customWidth="1"/>
    <col min="3" max="3" width="26.28515625" customWidth="1"/>
    <col min="4" max="4" width="26.5703125" customWidth="1"/>
    <col min="6" max="6" width="9.28515625" bestFit="1" customWidth="1"/>
  </cols>
  <sheetData>
    <row r="1" spans="1:7" x14ac:dyDescent="0.25">
      <c r="A1" s="76" t="s">
        <v>59</v>
      </c>
      <c r="B1" s="76"/>
      <c r="C1" s="76"/>
      <c r="D1" s="76"/>
      <c r="E1" s="76"/>
      <c r="F1" s="76"/>
    </row>
    <row r="3" spans="1:7" ht="45" x14ac:dyDescent="0.25">
      <c r="A3" s="24" t="s">
        <v>60</v>
      </c>
      <c r="B3" s="70" t="s">
        <v>61</v>
      </c>
      <c r="C3" s="71" t="s">
        <v>62</v>
      </c>
      <c r="D3" s="3" t="s">
        <v>63</v>
      </c>
      <c r="E3" s="24" t="s">
        <v>65</v>
      </c>
      <c r="F3" s="24" t="s">
        <v>38</v>
      </c>
      <c r="G3" s="24" t="s">
        <v>39</v>
      </c>
    </row>
    <row r="4" spans="1:7" x14ac:dyDescent="0.25">
      <c r="A4">
        <v>1</v>
      </c>
      <c r="B4">
        <v>158</v>
      </c>
      <c r="C4">
        <v>11</v>
      </c>
      <c r="D4" s="25">
        <f>C4/B4</f>
        <v>6.9620253164556958E-2</v>
      </c>
      <c r="E4" s="25">
        <f>C30/B30</f>
        <v>5.9851014641664528E-2</v>
      </c>
      <c r="F4" s="25">
        <f>E4-3*SQRT(E4*(1-E4)/B4)</f>
        <v>3.2366274537790549E-3</v>
      </c>
      <c r="G4" s="25">
        <f>E4+3*SQRT(E4*(1-E4)/B4)</f>
        <v>0.11646540182955001</v>
      </c>
    </row>
    <row r="5" spans="1:7" x14ac:dyDescent="0.25">
      <c r="A5">
        <v>2</v>
      </c>
      <c r="B5">
        <v>140</v>
      </c>
      <c r="C5">
        <v>11</v>
      </c>
      <c r="D5" s="25">
        <f t="shared" ref="D5:D29" si="0">C5/B5</f>
        <v>7.857142857142857E-2</v>
      </c>
      <c r="E5" s="25">
        <f>C30/B30</f>
        <v>5.9851014641664528E-2</v>
      </c>
      <c r="F5" s="25">
        <f t="shared" ref="F5:F29" si="1">E5-3*SQRT(E5*(1-E5)/B5)</f>
        <v>-2.9285074983120135E-4</v>
      </c>
      <c r="G5" s="25">
        <f t="shared" ref="G5:G29" si="2">E5+3*SQRT(E5*(1-E5)/B5)</f>
        <v>0.11999488003316025</v>
      </c>
    </row>
    <row r="6" spans="1:7" x14ac:dyDescent="0.25">
      <c r="A6">
        <v>3</v>
      </c>
      <c r="B6">
        <v>140</v>
      </c>
      <c r="C6">
        <v>8</v>
      </c>
      <c r="D6" s="25">
        <f t="shared" si="0"/>
        <v>5.7142857142857141E-2</v>
      </c>
      <c r="E6" s="25">
        <f>C30/B30</f>
        <v>5.9851014641664528E-2</v>
      </c>
      <c r="F6" s="25">
        <f t="shared" si="1"/>
        <v>-2.9285074983120135E-4</v>
      </c>
      <c r="G6" s="25">
        <f t="shared" si="2"/>
        <v>0.11999488003316025</v>
      </c>
    </row>
    <row r="7" spans="1:7" x14ac:dyDescent="0.25">
      <c r="A7">
        <v>4</v>
      </c>
      <c r="B7">
        <v>155</v>
      </c>
      <c r="C7">
        <v>6</v>
      </c>
      <c r="D7" s="25">
        <f t="shared" si="0"/>
        <v>3.870967741935484E-2</v>
      </c>
      <c r="E7" s="25">
        <f>C30/B30</f>
        <v>5.9851014641664528E-2</v>
      </c>
      <c r="F7" s="25">
        <f t="shared" si="1"/>
        <v>2.6913719763414709E-3</v>
      </c>
      <c r="G7" s="25">
        <f t="shared" si="2"/>
        <v>0.11701065730698759</v>
      </c>
    </row>
    <row r="8" spans="1:7" x14ac:dyDescent="0.25">
      <c r="A8">
        <v>5</v>
      </c>
      <c r="B8">
        <v>160</v>
      </c>
      <c r="C8">
        <v>4</v>
      </c>
      <c r="D8" s="25">
        <f t="shared" si="0"/>
        <v>2.5000000000000001E-2</v>
      </c>
      <c r="E8" s="25">
        <f>C30/B30</f>
        <v>5.9851014641664528E-2</v>
      </c>
      <c r="F8" s="25">
        <f t="shared" si="1"/>
        <v>3.5915800888576266E-3</v>
      </c>
      <c r="G8" s="25">
        <f t="shared" si="2"/>
        <v>0.11611044919447143</v>
      </c>
    </row>
    <row r="9" spans="1:7" x14ac:dyDescent="0.25">
      <c r="A9">
        <v>6</v>
      </c>
      <c r="B9">
        <v>144</v>
      </c>
      <c r="C9">
        <v>7</v>
      </c>
      <c r="D9" s="25">
        <f t="shared" si="0"/>
        <v>4.8611111111111112E-2</v>
      </c>
      <c r="E9" s="25">
        <f>C30/B30</f>
        <v>5.9851014641664528E-2</v>
      </c>
      <c r="F9" s="25">
        <f t="shared" si="1"/>
        <v>5.4836362164911029E-4</v>
      </c>
      <c r="G9" s="25">
        <f t="shared" si="2"/>
        <v>0.11915366566167995</v>
      </c>
    </row>
    <row r="10" spans="1:7" x14ac:dyDescent="0.25">
      <c r="A10">
        <v>7</v>
      </c>
      <c r="B10">
        <v>139</v>
      </c>
      <c r="C10">
        <v>10</v>
      </c>
      <c r="D10" s="25">
        <f t="shared" si="0"/>
        <v>7.1942446043165464E-2</v>
      </c>
      <c r="E10" s="25">
        <f>C30/B30</f>
        <v>5.9851014641664528E-2</v>
      </c>
      <c r="F10" s="26">
        <f>E10-3*SQRT(E10*(1-E10)/B10)</f>
        <v>-5.0880787335753214E-4</v>
      </c>
      <c r="G10" s="25">
        <f t="shared" si="2"/>
        <v>0.1202108371566866</v>
      </c>
    </row>
    <row r="11" spans="1:7" x14ac:dyDescent="0.25">
      <c r="A11">
        <v>8</v>
      </c>
      <c r="B11">
        <v>151</v>
      </c>
      <c r="C11">
        <v>11</v>
      </c>
      <c r="D11" s="25">
        <f t="shared" si="0"/>
        <v>7.2847682119205295E-2</v>
      </c>
      <c r="E11" s="25">
        <f>C30/B30</f>
        <v>5.9851014641664528E-2</v>
      </c>
      <c r="F11" s="25">
        <f t="shared" si="1"/>
        <v>1.9392390721177863E-3</v>
      </c>
      <c r="G11" s="25">
        <f t="shared" si="2"/>
        <v>0.11776279021121128</v>
      </c>
    </row>
    <row r="12" spans="1:7" x14ac:dyDescent="0.25">
      <c r="A12">
        <v>9</v>
      </c>
      <c r="B12">
        <v>163</v>
      </c>
      <c r="C12">
        <v>9</v>
      </c>
      <c r="D12" s="25">
        <f t="shared" si="0"/>
        <v>5.5214723926380369E-2</v>
      </c>
      <c r="E12" s="25">
        <f>C30/B30</f>
        <v>5.9851014641664528E-2</v>
      </c>
      <c r="F12" s="25">
        <f t="shared" si="1"/>
        <v>4.1117092935652258E-3</v>
      </c>
      <c r="G12" s="25">
        <f t="shared" si="2"/>
        <v>0.11559031998976382</v>
      </c>
    </row>
    <row r="13" spans="1:7" x14ac:dyDescent="0.25">
      <c r="A13">
        <v>10</v>
      </c>
      <c r="B13">
        <v>148</v>
      </c>
      <c r="C13">
        <v>5</v>
      </c>
      <c r="D13" s="25">
        <f t="shared" si="0"/>
        <v>3.3783783783783786E-2</v>
      </c>
      <c r="E13" s="25">
        <f>C30/B30</f>
        <v>5.9851014641664528E-2</v>
      </c>
      <c r="F13" s="25">
        <f t="shared" si="1"/>
        <v>1.3552400083832253E-3</v>
      </c>
      <c r="G13" s="25">
        <f t="shared" si="2"/>
        <v>0.11834678927494582</v>
      </c>
    </row>
    <row r="14" spans="1:7" x14ac:dyDescent="0.25">
      <c r="A14">
        <v>11</v>
      </c>
      <c r="B14">
        <v>150</v>
      </c>
      <c r="C14">
        <v>2</v>
      </c>
      <c r="D14" s="25">
        <f t="shared" si="0"/>
        <v>1.3333333333333334E-2</v>
      </c>
      <c r="E14" s="25">
        <f>C30/B30</f>
        <v>5.9851014641664528E-2</v>
      </c>
      <c r="F14" s="25">
        <f t="shared" si="1"/>
        <v>1.7465204843132645E-3</v>
      </c>
      <c r="G14" s="25">
        <f t="shared" si="2"/>
        <v>0.11795550879901578</v>
      </c>
    </row>
    <row r="15" spans="1:7" x14ac:dyDescent="0.25">
      <c r="A15">
        <v>12</v>
      </c>
      <c r="B15">
        <v>153</v>
      </c>
      <c r="C15">
        <v>7</v>
      </c>
      <c r="D15" s="25">
        <f t="shared" si="0"/>
        <v>4.5751633986928102E-2</v>
      </c>
      <c r="E15" s="25">
        <f>C30/B30</f>
        <v>5.9851014641664528E-2</v>
      </c>
      <c r="F15" s="25">
        <f t="shared" si="1"/>
        <v>2.3189925158606448E-3</v>
      </c>
      <c r="G15" s="25">
        <f t="shared" si="2"/>
        <v>0.11738303676746842</v>
      </c>
    </row>
    <row r="16" spans="1:7" x14ac:dyDescent="0.25">
      <c r="A16">
        <v>13</v>
      </c>
      <c r="B16">
        <v>149</v>
      </c>
      <c r="C16">
        <v>7</v>
      </c>
      <c r="D16" s="25">
        <f t="shared" si="0"/>
        <v>4.6979865771812082E-2</v>
      </c>
      <c r="E16" s="25">
        <f>C30/B30</f>
        <v>5.9851014641664528E-2</v>
      </c>
      <c r="F16" s="25">
        <f t="shared" si="1"/>
        <v>1.551865017267326E-3</v>
      </c>
      <c r="G16" s="25">
        <f t="shared" si="2"/>
        <v>0.11815016426606173</v>
      </c>
    </row>
    <row r="17" spans="1:7" x14ac:dyDescent="0.25">
      <c r="A17">
        <v>14</v>
      </c>
      <c r="B17">
        <v>145</v>
      </c>
      <c r="C17">
        <v>8</v>
      </c>
      <c r="D17" s="25">
        <f t="shared" si="0"/>
        <v>5.5172413793103448E-2</v>
      </c>
      <c r="E17" s="25">
        <f>C30/B30</f>
        <v>5.9851014641664528E-2</v>
      </c>
      <c r="F17" s="25">
        <f t="shared" si="1"/>
        <v>7.5320931499176652E-4</v>
      </c>
      <c r="G17" s="25">
        <f t="shared" si="2"/>
        <v>0.11894881996833728</v>
      </c>
    </row>
    <row r="18" spans="1:7" x14ac:dyDescent="0.25">
      <c r="A18">
        <v>15</v>
      </c>
      <c r="B18">
        <v>160</v>
      </c>
      <c r="C18">
        <v>6</v>
      </c>
      <c r="D18" s="25">
        <f t="shared" si="0"/>
        <v>3.7499999999999999E-2</v>
      </c>
      <c r="E18" s="25">
        <f>C30/B30</f>
        <v>5.9851014641664528E-2</v>
      </c>
      <c r="F18" s="25">
        <f t="shared" si="1"/>
        <v>3.5915800888576266E-3</v>
      </c>
      <c r="G18" s="25">
        <f t="shared" si="2"/>
        <v>0.11611044919447143</v>
      </c>
    </row>
    <row r="19" spans="1:7" x14ac:dyDescent="0.25">
      <c r="A19">
        <v>16</v>
      </c>
      <c r="B19">
        <v>165</v>
      </c>
      <c r="C19">
        <v>15</v>
      </c>
      <c r="D19" s="25">
        <f t="shared" si="0"/>
        <v>9.0909090909090912E-2</v>
      </c>
      <c r="E19" s="25">
        <f>C30/B30</f>
        <v>5.9851014641664528E-2</v>
      </c>
      <c r="F19" s="25">
        <f t="shared" si="1"/>
        <v>4.4505531955910047E-3</v>
      </c>
      <c r="G19" s="25">
        <f t="shared" si="2"/>
        <v>0.11525147608773806</v>
      </c>
    </row>
    <row r="20" spans="1:7" x14ac:dyDescent="0.25">
      <c r="A20">
        <v>17</v>
      </c>
      <c r="B20">
        <v>136</v>
      </c>
      <c r="C20">
        <v>18</v>
      </c>
      <c r="D20" s="25">
        <f t="shared" si="0"/>
        <v>0.13235294117647059</v>
      </c>
      <c r="E20" s="25">
        <f>C30/B30</f>
        <v>5.9851014641664528E-2</v>
      </c>
      <c r="F20" s="26">
        <f t="shared" si="1"/>
        <v>-1.1709098291310879E-3</v>
      </c>
      <c r="G20" s="25">
        <f t="shared" si="2"/>
        <v>0.12087293911246014</v>
      </c>
    </row>
    <row r="21" spans="1:7" x14ac:dyDescent="0.25">
      <c r="A21">
        <v>18</v>
      </c>
      <c r="B21">
        <v>153</v>
      </c>
      <c r="C21">
        <v>10</v>
      </c>
      <c r="D21" s="25">
        <f t="shared" si="0"/>
        <v>6.535947712418301E-2</v>
      </c>
      <c r="E21" s="25">
        <f>C30/B30</f>
        <v>5.9851014641664528E-2</v>
      </c>
      <c r="F21" s="25">
        <f t="shared" si="1"/>
        <v>2.3189925158606448E-3</v>
      </c>
      <c r="G21" s="25">
        <f t="shared" si="2"/>
        <v>0.11738303676746842</v>
      </c>
    </row>
    <row r="22" spans="1:7" x14ac:dyDescent="0.25">
      <c r="A22">
        <v>19</v>
      </c>
      <c r="B22">
        <v>150</v>
      </c>
      <c r="C22">
        <v>9</v>
      </c>
      <c r="D22" s="25">
        <f t="shared" si="0"/>
        <v>0.06</v>
      </c>
      <c r="E22" s="25">
        <f>C30/B30</f>
        <v>5.9851014641664528E-2</v>
      </c>
      <c r="F22" s="25">
        <f t="shared" si="1"/>
        <v>1.7465204843132645E-3</v>
      </c>
      <c r="G22" s="25">
        <f t="shared" si="2"/>
        <v>0.11795550879901578</v>
      </c>
    </row>
    <row r="23" spans="1:7" x14ac:dyDescent="0.25">
      <c r="A23">
        <v>20</v>
      </c>
      <c r="B23">
        <v>148</v>
      </c>
      <c r="C23">
        <v>5</v>
      </c>
      <c r="D23" s="25">
        <f t="shared" si="0"/>
        <v>3.3783783783783786E-2</v>
      </c>
      <c r="E23" s="25">
        <f>C30/B30</f>
        <v>5.9851014641664528E-2</v>
      </c>
      <c r="F23" s="25">
        <f t="shared" si="1"/>
        <v>1.3552400083832253E-3</v>
      </c>
      <c r="G23" s="25">
        <f t="shared" si="2"/>
        <v>0.11834678927494582</v>
      </c>
    </row>
    <row r="24" spans="1:7" x14ac:dyDescent="0.25">
      <c r="A24">
        <v>21</v>
      </c>
      <c r="B24">
        <v>135</v>
      </c>
      <c r="C24">
        <v>0</v>
      </c>
      <c r="D24" s="25">
        <f t="shared" si="0"/>
        <v>0</v>
      </c>
      <c r="E24" s="25">
        <f>C30/B30</f>
        <v>5.9851014641664528E-2</v>
      </c>
      <c r="F24" s="26">
        <f t="shared" si="1"/>
        <v>-1.3964999680608145E-3</v>
      </c>
      <c r="G24" s="25">
        <f t="shared" si="2"/>
        <v>0.12109852925138986</v>
      </c>
    </row>
    <row r="25" spans="1:7" x14ac:dyDescent="0.25">
      <c r="A25">
        <v>22</v>
      </c>
      <c r="B25">
        <v>165</v>
      </c>
      <c r="C25">
        <v>12</v>
      </c>
      <c r="D25" s="25">
        <f t="shared" si="0"/>
        <v>7.2727272727272724E-2</v>
      </c>
      <c r="E25" s="25">
        <f>C30/B30</f>
        <v>5.9851014641664528E-2</v>
      </c>
      <c r="F25" s="25">
        <f t="shared" si="1"/>
        <v>4.4505531955910047E-3</v>
      </c>
      <c r="G25" s="25">
        <f t="shared" si="2"/>
        <v>0.11525147608773806</v>
      </c>
    </row>
    <row r="26" spans="1:7" x14ac:dyDescent="0.25">
      <c r="A26">
        <v>23</v>
      </c>
      <c r="B26">
        <v>143</v>
      </c>
      <c r="C26">
        <v>10</v>
      </c>
      <c r="D26" s="25">
        <f t="shared" si="0"/>
        <v>6.9930069930069935E-2</v>
      </c>
      <c r="E26" s="25">
        <f>C30/B30</f>
        <v>5.9851014641664528E-2</v>
      </c>
      <c r="F26" s="25">
        <f t="shared" si="1"/>
        <v>3.4137293639242838E-4</v>
      </c>
      <c r="G26" s="25">
        <f t="shared" si="2"/>
        <v>0.11936065634693663</v>
      </c>
    </row>
    <row r="27" spans="1:7" x14ac:dyDescent="0.25">
      <c r="A27">
        <v>24</v>
      </c>
      <c r="B27">
        <v>138</v>
      </c>
      <c r="C27">
        <v>8</v>
      </c>
      <c r="D27" s="25">
        <f t="shared" si="0"/>
        <v>5.7971014492753624E-2</v>
      </c>
      <c r="E27" s="25">
        <f>C30/B30</f>
        <v>5.9851014641664528E-2</v>
      </c>
      <c r="F27" s="26">
        <f t="shared" si="1"/>
        <v>-7.2710812484958615E-4</v>
      </c>
      <c r="G27" s="25">
        <f t="shared" si="2"/>
        <v>0.12042913740817865</v>
      </c>
    </row>
    <row r="28" spans="1:7" x14ac:dyDescent="0.25">
      <c r="A28">
        <v>25</v>
      </c>
      <c r="B28">
        <v>144</v>
      </c>
      <c r="C28">
        <v>14</v>
      </c>
      <c r="D28" s="25">
        <f t="shared" si="0"/>
        <v>9.7222222222222224E-2</v>
      </c>
      <c r="E28" s="25">
        <f>C30/B30</f>
        <v>5.9851014641664528E-2</v>
      </c>
      <c r="F28" s="25">
        <f t="shared" si="1"/>
        <v>5.4836362164911029E-4</v>
      </c>
      <c r="G28" s="25">
        <f t="shared" si="2"/>
        <v>0.11915366566167995</v>
      </c>
    </row>
    <row r="29" spans="1:7" x14ac:dyDescent="0.25">
      <c r="A29">
        <v>26</v>
      </c>
      <c r="B29">
        <v>161</v>
      </c>
      <c r="C29">
        <v>20</v>
      </c>
      <c r="D29" s="25">
        <f t="shared" si="0"/>
        <v>0.12422360248447205</v>
      </c>
      <c r="E29" s="25">
        <f>C30/B30</f>
        <v>5.9851014641664528E-2</v>
      </c>
      <c r="F29" s="25">
        <f t="shared" si="1"/>
        <v>3.766570977936555E-3</v>
      </c>
      <c r="G29" s="25">
        <f t="shared" si="2"/>
        <v>0.11593545830539251</v>
      </c>
    </row>
    <row r="30" spans="1:7" x14ac:dyDescent="0.25">
      <c r="A30" t="s">
        <v>64</v>
      </c>
      <c r="B30">
        <f>SUM(B4:B29)</f>
        <v>3893</v>
      </c>
      <c r="C30">
        <f>SUM(C4:C29)</f>
        <v>233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I27" sqref="I27"/>
    </sheetView>
  </sheetViews>
  <sheetFormatPr defaultRowHeight="15" x14ac:dyDescent="0.25"/>
  <cols>
    <col min="1" max="1" width="12.28515625" customWidth="1"/>
    <col min="2" max="2" width="16" customWidth="1"/>
  </cols>
  <sheetData>
    <row r="2" spans="1:5" x14ac:dyDescent="0.25">
      <c r="A2" s="48" t="s">
        <v>67</v>
      </c>
    </row>
    <row r="4" spans="1:5" x14ac:dyDescent="0.25">
      <c r="A4" t="s">
        <v>66</v>
      </c>
      <c r="B4" s="48" t="s">
        <v>0</v>
      </c>
      <c r="C4" s="24" t="s">
        <v>68</v>
      </c>
      <c r="D4" s="24" t="s">
        <v>39</v>
      </c>
      <c r="E4" s="24" t="s">
        <v>38</v>
      </c>
    </row>
    <row r="5" spans="1:5" x14ac:dyDescent="0.25">
      <c r="A5">
        <v>1</v>
      </c>
      <c r="B5">
        <v>7</v>
      </c>
      <c r="C5">
        <f>AVERAGE(B5:B24)</f>
        <v>3.4</v>
      </c>
      <c r="D5" s="26">
        <f>C5+3*SQRT(C5)</f>
        <v>8.9317266743757333</v>
      </c>
      <c r="E5" s="26">
        <f>C5-3*SQRT(C5)</f>
        <v>-2.131726674375733</v>
      </c>
    </row>
    <row r="6" spans="1:5" x14ac:dyDescent="0.25">
      <c r="A6">
        <v>2</v>
      </c>
      <c r="B6">
        <v>1</v>
      </c>
      <c r="C6">
        <f>AVERAGE(B5:B24)</f>
        <v>3.4</v>
      </c>
      <c r="D6" s="26">
        <f t="shared" ref="D6:D24" si="0">C6+3*SQRT(C6)</f>
        <v>8.9317266743757333</v>
      </c>
      <c r="E6" s="26">
        <f t="shared" ref="E6:E24" si="1">C6-3*SQRT(C6)</f>
        <v>-2.131726674375733</v>
      </c>
    </row>
    <row r="7" spans="1:5" x14ac:dyDescent="0.25">
      <c r="A7">
        <v>3</v>
      </c>
      <c r="B7">
        <v>2</v>
      </c>
      <c r="C7">
        <f>AVERAGE(B5:B24)</f>
        <v>3.4</v>
      </c>
      <c r="D7" s="26">
        <f t="shared" si="0"/>
        <v>8.9317266743757333</v>
      </c>
      <c r="E7" s="26">
        <f t="shared" si="1"/>
        <v>-2.131726674375733</v>
      </c>
    </row>
    <row r="8" spans="1:5" x14ac:dyDescent="0.25">
      <c r="A8">
        <v>4</v>
      </c>
      <c r="B8">
        <v>5</v>
      </c>
      <c r="C8">
        <f>AVERAGE(B5:B24)</f>
        <v>3.4</v>
      </c>
      <c r="D8" s="26">
        <f t="shared" si="0"/>
        <v>8.9317266743757333</v>
      </c>
      <c r="E8" s="26">
        <f t="shared" si="1"/>
        <v>-2.131726674375733</v>
      </c>
    </row>
    <row r="9" spans="1:5" x14ac:dyDescent="0.25">
      <c r="A9">
        <v>5</v>
      </c>
      <c r="B9">
        <v>0</v>
      </c>
      <c r="C9">
        <f>AVERAGE(B5:B24)</f>
        <v>3.4</v>
      </c>
      <c r="D9" s="26">
        <f t="shared" si="0"/>
        <v>8.9317266743757333</v>
      </c>
      <c r="E9" s="26">
        <f t="shared" si="1"/>
        <v>-2.131726674375733</v>
      </c>
    </row>
    <row r="10" spans="1:5" x14ac:dyDescent="0.25">
      <c r="A10">
        <v>6</v>
      </c>
      <c r="B10">
        <v>6</v>
      </c>
      <c r="C10">
        <f>AVERAGE(B5:B24)</f>
        <v>3.4</v>
      </c>
      <c r="D10" s="26">
        <f t="shared" si="0"/>
        <v>8.9317266743757333</v>
      </c>
      <c r="E10" s="26">
        <f t="shared" si="1"/>
        <v>-2.131726674375733</v>
      </c>
    </row>
    <row r="11" spans="1:5" x14ac:dyDescent="0.25">
      <c r="A11">
        <v>7</v>
      </c>
      <c r="B11">
        <v>2</v>
      </c>
      <c r="C11">
        <f>AVERAGE(B5:B24)</f>
        <v>3.4</v>
      </c>
      <c r="D11" s="26">
        <f t="shared" si="0"/>
        <v>8.9317266743757333</v>
      </c>
      <c r="E11" s="26">
        <f t="shared" si="1"/>
        <v>-2.131726674375733</v>
      </c>
    </row>
    <row r="12" spans="1:5" x14ac:dyDescent="0.25">
      <c r="A12">
        <v>8</v>
      </c>
      <c r="B12">
        <v>0</v>
      </c>
      <c r="C12">
        <f>AVERAGE(B5:B24)</f>
        <v>3.4</v>
      </c>
      <c r="D12" s="26">
        <f t="shared" si="0"/>
        <v>8.9317266743757333</v>
      </c>
      <c r="E12" s="26">
        <f t="shared" si="1"/>
        <v>-2.131726674375733</v>
      </c>
    </row>
    <row r="13" spans="1:5" x14ac:dyDescent="0.25">
      <c r="A13">
        <v>9</v>
      </c>
      <c r="B13">
        <v>4</v>
      </c>
      <c r="C13">
        <f>AVERAGE(B5:B24)</f>
        <v>3.4</v>
      </c>
      <c r="D13" s="26">
        <f t="shared" si="0"/>
        <v>8.9317266743757333</v>
      </c>
      <c r="E13" s="26">
        <f t="shared" si="1"/>
        <v>-2.131726674375733</v>
      </c>
    </row>
    <row r="14" spans="1:5" x14ac:dyDescent="0.25">
      <c r="A14">
        <v>10</v>
      </c>
      <c r="B14">
        <v>4</v>
      </c>
      <c r="C14">
        <f>AVERAGE(B5:B24)</f>
        <v>3.4</v>
      </c>
      <c r="D14" s="26">
        <f t="shared" si="0"/>
        <v>8.9317266743757333</v>
      </c>
      <c r="E14" s="26">
        <f t="shared" si="1"/>
        <v>-2.131726674375733</v>
      </c>
    </row>
    <row r="15" spans="1:5" x14ac:dyDescent="0.25">
      <c r="A15">
        <v>11</v>
      </c>
      <c r="B15">
        <v>6</v>
      </c>
      <c r="C15">
        <f>AVERAGE(B5:B24)</f>
        <v>3.4</v>
      </c>
      <c r="D15" s="26">
        <f t="shared" si="0"/>
        <v>8.9317266743757333</v>
      </c>
      <c r="E15" s="26">
        <f t="shared" si="1"/>
        <v>-2.131726674375733</v>
      </c>
    </row>
    <row r="16" spans="1:5" x14ac:dyDescent="0.25">
      <c r="A16">
        <v>12</v>
      </c>
      <c r="B16">
        <v>3</v>
      </c>
      <c r="C16">
        <f>AVERAGE(B5:B24)</f>
        <v>3.4</v>
      </c>
      <c r="D16" s="26">
        <f t="shared" si="0"/>
        <v>8.9317266743757333</v>
      </c>
      <c r="E16" s="26">
        <f t="shared" si="1"/>
        <v>-2.131726674375733</v>
      </c>
    </row>
    <row r="17" spans="1:5" x14ac:dyDescent="0.25">
      <c r="A17">
        <v>13</v>
      </c>
      <c r="B17">
        <v>3</v>
      </c>
      <c r="C17">
        <f>AVERAGE(B5:B24)</f>
        <v>3.4</v>
      </c>
      <c r="D17" s="26">
        <f t="shared" si="0"/>
        <v>8.9317266743757333</v>
      </c>
      <c r="E17" s="26">
        <f t="shared" si="1"/>
        <v>-2.131726674375733</v>
      </c>
    </row>
    <row r="18" spans="1:5" x14ac:dyDescent="0.25">
      <c r="A18">
        <v>14</v>
      </c>
      <c r="B18">
        <v>3</v>
      </c>
      <c r="C18">
        <f>AVERAGE(B5:B24)</f>
        <v>3.4</v>
      </c>
      <c r="D18" s="26">
        <f t="shared" si="0"/>
        <v>8.9317266743757333</v>
      </c>
      <c r="E18" s="26">
        <f t="shared" si="1"/>
        <v>-2.131726674375733</v>
      </c>
    </row>
    <row r="19" spans="1:5" x14ac:dyDescent="0.25">
      <c r="A19">
        <v>15</v>
      </c>
      <c r="B19">
        <v>1</v>
      </c>
      <c r="C19">
        <f>AVERAGE(B5:B24)</f>
        <v>3.4</v>
      </c>
      <c r="D19" s="26">
        <f t="shared" si="0"/>
        <v>8.9317266743757333</v>
      </c>
      <c r="E19" s="26">
        <f t="shared" si="1"/>
        <v>-2.131726674375733</v>
      </c>
    </row>
    <row r="20" spans="1:5" x14ac:dyDescent="0.25">
      <c r="A20">
        <v>16</v>
      </c>
      <c r="B20">
        <v>6</v>
      </c>
      <c r="C20">
        <f>AVERAGE(B5:B24)</f>
        <v>3.4</v>
      </c>
      <c r="D20" s="26">
        <f t="shared" si="0"/>
        <v>8.9317266743757333</v>
      </c>
      <c r="E20" s="26">
        <f t="shared" si="1"/>
        <v>-2.131726674375733</v>
      </c>
    </row>
    <row r="21" spans="1:5" x14ac:dyDescent="0.25">
      <c r="A21">
        <v>17</v>
      </c>
      <c r="B21">
        <v>3</v>
      </c>
      <c r="C21">
        <f>AVERAGE(B5:B24)</f>
        <v>3.4</v>
      </c>
      <c r="D21" s="26">
        <f t="shared" si="0"/>
        <v>8.9317266743757333</v>
      </c>
      <c r="E21" s="26">
        <f t="shared" si="1"/>
        <v>-2.131726674375733</v>
      </c>
    </row>
    <row r="22" spans="1:5" x14ac:dyDescent="0.25">
      <c r="A22">
        <v>18</v>
      </c>
      <c r="B22">
        <v>1</v>
      </c>
      <c r="C22">
        <f>AVERAGE(B5:B24)</f>
        <v>3.4</v>
      </c>
      <c r="D22" s="26">
        <f t="shared" si="0"/>
        <v>8.9317266743757333</v>
      </c>
      <c r="E22" s="26">
        <f t="shared" si="1"/>
        <v>-2.131726674375733</v>
      </c>
    </row>
    <row r="23" spans="1:5" x14ac:dyDescent="0.25">
      <c r="A23">
        <v>19</v>
      </c>
      <c r="B23">
        <v>5</v>
      </c>
      <c r="C23">
        <f>AVERAGE(B5:B24)</f>
        <v>3.4</v>
      </c>
      <c r="D23" s="26">
        <f t="shared" si="0"/>
        <v>8.9317266743757333</v>
      </c>
      <c r="E23" s="26">
        <f t="shared" si="1"/>
        <v>-2.131726674375733</v>
      </c>
    </row>
    <row r="24" spans="1:5" x14ac:dyDescent="0.25">
      <c r="A24">
        <v>20</v>
      </c>
      <c r="B24">
        <v>6</v>
      </c>
      <c r="C24">
        <f>AVERAGE(B5:B24)</f>
        <v>3.4</v>
      </c>
      <c r="D24" s="26">
        <f t="shared" si="0"/>
        <v>8.9317266743757333</v>
      </c>
      <c r="E24" s="26">
        <f t="shared" si="1"/>
        <v>-2.131726674375733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6" workbookViewId="0">
      <selection activeCell="B3" sqref="B3"/>
    </sheetView>
  </sheetViews>
  <sheetFormatPr defaultRowHeight="15" x14ac:dyDescent="0.25"/>
  <cols>
    <col min="1" max="1" width="11.140625" customWidth="1"/>
    <col min="2" max="3" width="11.85546875" customWidth="1"/>
    <col min="12" max="12" width="9.140625" customWidth="1"/>
    <col min="13" max="13" width="35.42578125" customWidth="1"/>
  </cols>
  <sheetData>
    <row r="1" spans="1:14" ht="23.25" x14ac:dyDescent="0.35">
      <c r="L1" s="40" t="s">
        <v>93</v>
      </c>
      <c r="M1" s="40"/>
      <c r="N1" s="40"/>
    </row>
    <row r="2" spans="1:14" ht="15.75" thickBot="1" x14ac:dyDescent="0.3">
      <c r="A2" t="s">
        <v>89</v>
      </c>
      <c r="B2" s="48" t="s">
        <v>90</v>
      </c>
      <c r="C2" s="48" t="s">
        <v>91</v>
      </c>
      <c r="E2" s="14" t="s">
        <v>92</v>
      </c>
      <c r="F2" s="14"/>
      <c r="G2" s="14"/>
    </row>
    <row r="3" spans="1:14" ht="15.75" thickBot="1" x14ac:dyDescent="0.3">
      <c r="A3" s="38">
        <v>40908</v>
      </c>
      <c r="B3" s="39">
        <v>1.2948999999999999</v>
      </c>
      <c r="C3" s="39">
        <v>41.534199999999998</v>
      </c>
      <c r="E3">
        <f>CORREL(B3:B53,C3:C53)</f>
        <v>0.24663905889661406</v>
      </c>
      <c r="L3" s="41" t="s">
        <v>94</v>
      </c>
      <c r="M3" s="41" t="s">
        <v>95</v>
      </c>
    </row>
    <row r="4" spans="1:14" ht="16.5" thickTop="1" thickBot="1" x14ac:dyDescent="0.3">
      <c r="A4" s="38">
        <v>40907</v>
      </c>
      <c r="B4" s="39">
        <v>1.2921</v>
      </c>
      <c r="C4" s="39">
        <v>41.345399999999998</v>
      </c>
      <c r="L4" s="42" t="s">
        <v>96</v>
      </c>
      <c r="M4" s="42" t="s">
        <v>97</v>
      </c>
    </row>
    <row r="5" spans="1:14" ht="15" customHeight="1" thickBot="1" x14ac:dyDescent="0.3">
      <c r="A5" s="38">
        <v>40906</v>
      </c>
      <c r="B5" s="39">
        <v>1.3035000000000001</v>
      </c>
      <c r="C5" s="39">
        <v>41.1663</v>
      </c>
      <c r="L5" s="43" t="s">
        <v>98</v>
      </c>
      <c r="M5" s="43" t="s">
        <v>99</v>
      </c>
    </row>
    <row r="6" spans="1:14" ht="15" customHeight="1" thickBot="1" x14ac:dyDescent="0.3">
      <c r="A6" s="38">
        <v>40905</v>
      </c>
      <c r="B6" s="39">
        <v>1.3067</v>
      </c>
      <c r="C6" s="39">
        <v>40.743099999999998</v>
      </c>
      <c r="L6" s="44" t="s">
        <v>100</v>
      </c>
      <c r="M6" s="44" t="s">
        <v>101</v>
      </c>
    </row>
    <row r="7" spans="1:14" ht="15.75" customHeight="1" thickBot="1" x14ac:dyDescent="0.3">
      <c r="A7" s="38">
        <v>40904</v>
      </c>
      <c r="B7" s="39">
        <v>1.3059000000000001</v>
      </c>
      <c r="C7" s="39">
        <v>40.543599999999998</v>
      </c>
      <c r="L7" s="43" t="s">
        <v>102</v>
      </c>
      <c r="M7" s="43" t="s">
        <v>103</v>
      </c>
    </row>
    <row r="8" spans="1:14" ht="16.5" customHeight="1" thickBot="1" x14ac:dyDescent="0.3">
      <c r="A8" s="38">
        <v>40903</v>
      </c>
      <c r="B8" s="39">
        <v>1.3038000000000001</v>
      </c>
      <c r="C8" s="39">
        <v>40.67</v>
      </c>
      <c r="L8" s="44" t="s">
        <v>104</v>
      </c>
      <c r="M8" s="44" t="s">
        <v>105</v>
      </c>
    </row>
    <row r="9" spans="1:14" x14ac:dyDescent="0.25">
      <c r="A9" s="38">
        <v>40902</v>
      </c>
      <c r="B9" s="39">
        <v>1.3049999999999999</v>
      </c>
      <c r="C9" s="39">
        <v>40.114699999999999</v>
      </c>
    </row>
    <row r="10" spans="1:14" x14ac:dyDescent="0.25">
      <c r="A10" s="38">
        <v>40901</v>
      </c>
      <c r="B10" s="39">
        <v>1.3059000000000001</v>
      </c>
      <c r="C10" s="39">
        <v>40.741700000000002</v>
      </c>
    </row>
    <row r="11" spans="1:14" x14ac:dyDescent="0.25">
      <c r="A11" s="38">
        <v>40900</v>
      </c>
      <c r="B11" s="39">
        <v>1.3052999999999999</v>
      </c>
      <c r="C11" s="39">
        <v>41.096800000000002</v>
      </c>
    </row>
    <row r="12" spans="1:14" x14ac:dyDescent="0.25">
      <c r="A12" s="38">
        <v>40899</v>
      </c>
      <c r="B12" s="39">
        <v>1.3090999999999999</v>
      </c>
      <c r="C12" s="39">
        <v>41.575600000000001</v>
      </c>
    </row>
    <row r="13" spans="1:14" x14ac:dyDescent="0.25">
      <c r="A13" s="38">
        <v>40898</v>
      </c>
      <c r="B13" s="39">
        <v>1.3044</v>
      </c>
      <c r="C13" s="39">
        <v>41.7667</v>
      </c>
    </row>
    <row r="14" spans="1:14" x14ac:dyDescent="0.25">
      <c r="A14" s="38">
        <v>40897</v>
      </c>
      <c r="B14" s="39">
        <v>1.3018000000000001</v>
      </c>
      <c r="C14" s="39">
        <v>41.662999999999997</v>
      </c>
    </row>
    <row r="15" spans="1:14" x14ac:dyDescent="0.25">
      <c r="A15" s="38">
        <v>40896</v>
      </c>
      <c r="B15" s="39">
        <v>1.3037000000000001</v>
      </c>
      <c r="C15" s="39">
        <v>41.514000000000003</v>
      </c>
    </row>
    <row r="16" spans="1:14" x14ac:dyDescent="0.25">
      <c r="A16" s="38">
        <v>40895</v>
      </c>
      <c r="B16" s="39">
        <v>1.3038000000000001</v>
      </c>
      <c r="C16" s="39">
        <v>41.517200000000003</v>
      </c>
    </row>
    <row r="17" spans="1:3" x14ac:dyDescent="0.25">
      <c r="A17" s="38">
        <v>40894</v>
      </c>
      <c r="B17" s="39">
        <v>1.3030999999999999</v>
      </c>
      <c r="C17" s="39">
        <v>41.455399999999997</v>
      </c>
    </row>
    <row r="18" spans="1:3" x14ac:dyDescent="0.25">
      <c r="A18" s="38">
        <v>40893</v>
      </c>
      <c r="B18" s="39">
        <v>1.2999000000000001</v>
      </c>
      <c r="C18" s="39">
        <v>41.341999999999999</v>
      </c>
    </row>
    <row r="19" spans="1:3" x14ac:dyDescent="0.25">
      <c r="A19" s="38">
        <v>40892</v>
      </c>
      <c r="B19" s="39">
        <v>1.3012999999999999</v>
      </c>
      <c r="C19" s="39">
        <v>41.334200000000003</v>
      </c>
    </row>
    <row r="20" spans="1:3" x14ac:dyDescent="0.25">
      <c r="A20" s="38">
        <v>40891</v>
      </c>
      <c r="B20" s="39">
        <v>1.3162</v>
      </c>
      <c r="C20" s="39">
        <v>41.621099999999998</v>
      </c>
    </row>
    <row r="21" spans="1:3" x14ac:dyDescent="0.25">
      <c r="A21" s="38">
        <v>40890</v>
      </c>
      <c r="B21" s="39">
        <v>1.3289</v>
      </c>
      <c r="C21" s="39">
        <v>41.823799999999999</v>
      </c>
    </row>
    <row r="22" spans="1:3" x14ac:dyDescent="0.25">
      <c r="A22" s="38">
        <v>40889</v>
      </c>
      <c r="B22" s="39">
        <v>1.3380000000000001</v>
      </c>
      <c r="C22" s="39">
        <v>41.170499999999997</v>
      </c>
    </row>
    <row r="23" spans="1:3" x14ac:dyDescent="0.25">
      <c r="A23" s="38">
        <v>40888</v>
      </c>
      <c r="B23" s="39">
        <v>1.3382000000000001</v>
      </c>
      <c r="C23" s="39">
        <v>41.558799999999998</v>
      </c>
    </row>
    <row r="24" spans="1:3" x14ac:dyDescent="0.25">
      <c r="A24" s="38">
        <v>40887</v>
      </c>
      <c r="B24" s="39">
        <v>1.3351</v>
      </c>
      <c r="C24" s="39">
        <v>41.885399999999997</v>
      </c>
    </row>
    <row r="25" spans="1:3" x14ac:dyDescent="0.25">
      <c r="A25" s="38">
        <v>40886</v>
      </c>
      <c r="B25" s="39">
        <v>1.3382000000000001</v>
      </c>
      <c r="C25" s="39">
        <v>41.77</v>
      </c>
    </row>
    <row r="26" spans="1:3" x14ac:dyDescent="0.25">
      <c r="A26" s="38">
        <v>40885</v>
      </c>
      <c r="B26" s="39">
        <v>1.3405</v>
      </c>
      <c r="C26" s="39">
        <v>41.768799999999999</v>
      </c>
    </row>
    <row r="27" spans="1:3" x14ac:dyDescent="0.25">
      <c r="A27" s="38">
        <v>40884</v>
      </c>
      <c r="B27" s="39">
        <v>1.3384</v>
      </c>
      <c r="C27" s="39">
        <v>41.654699999999998</v>
      </c>
    </row>
    <row r="28" spans="1:3" x14ac:dyDescent="0.25">
      <c r="A28" s="38">
        <v>40883</v>
      </c>
      <c r="B28" s="39">
        <v>1.3429</v>
      </c>
      <c r="C28" s="39">
        <v>41.466299999999997</v>
      </c>
    </row>
    <row r="29" spans="1:3" x14ac:dyDescent="0.25">
      <c r="A29" s="38">
        <v>40882</v>
      </c>
      <c r="B29" s="39">
        <v>1.339</v>
      </c>
      <c r="C29" s="39">
        <v>40.5</v>
      </c>
    </row>
    <row r="30" spans="1:3" x14ac:dyDescent="0.25">
      <c r="A30" s="38">
        <v>40881</v>
      </c>
      <c r="B30" s="39">
        <v>1.3389</v>
      </c>
      <c r="C30" s="39">
        <v>40.960599999999999</v>
      </c>
    </row>
    <row r="31" spans="1:3" x14ac:dyDescent="0.25">
      <c r="A31" s="38">
        <v>40880</v>
      </c>
      <c r="B31" s="39">
        <v>1.3456999999999999</v>
      </c>
      <c r="C31" s="39">
        <v>41.262599999999999</v>
      </c>
    </row>
    <row r="32" spans="1:3" x14ac:dyDescent="0.25">
      <c r="A32" s="38">
        <v>40879</v>
      </c>
      <c r="B32" s="39">
        <v>1.3461000000000001</v>
      </c>
      <c r="C32" s="39">
        <v>41.370600000000003</v>
      </c>
    </row>
    <row r="33" spans="1:3" x14ac:dyDescent="0.25">
      <c r="A33" s="38">
        <v>40878</v>
      </c>
      <c r="B33" s="39">
        <v>1.3360000000000001</v>
      </c>
      <c r="C33" s="39">
        <v>41.332700000000003</v>
      </c>
    </row>
    <row r="34" spans="1:3" x14ac:dyDescent="0.25">
      <c r="A34" s="38">
        <v>40877</v>
      </c>
      <c r="B34" s="39">
        <v>1.3335999999999999</v>
      </c>
      <c r="C34" s="39">
        <v>41.7395</v>
      </c>
    </row>
    <row r="35" spans="1:3" x14ac:dyDescent="0.25">
      <c r="A35" s="38">
        <v>40876</v>
      </c>
      <c r="B35" s="39">
        <v>1.3327</v>
      </c>
      <c r="C35" s="39">
        <v>41.773899999999998</v>
      </c>
    </row>
    <row r="36" spans="1:3" x14ac:dyDescent="0.25">
      <c r="A36" s="38">
        <v>40875</v>
      </c>
      <c r="B36" s="39">
        <v>1.3241000000000001</v>
      </c>
      <c r="C36" s="39">
        <v>40.902099999999997</v>
      </c>
    </row>
    <row r="37" spans="1:3" x14ac:dyDescent="0.25">
      <c r="A37" s="38">
        <v>40874</v>
      </c>
      <c r="B37" s="39">
        <v>1.3234999999999999</v>
      </c>
      <c r="C37" s="39">
        <v>41.246000000000002</v>
      </c>
    </row>
    <row r="38" spans="1:3" x14ac:dyDescent="0.25">
      <c r="A38" s="38">
        <v>40873</v>
      </c>
      <c r="B38" s="39">
        <v>1.3283</v>
      </c>
      <c r="C38" s="39">
        <v>41.875300000000003</v>
      </c>
    </row>
    <row r="39" spans="1:3" x14ac:dyDescent="0.25">
      <c r="A39" s="38">
        <v>40872</v>
      </c>
      <c r="B39" s="39">
        <v>1.3359000000000001</v>
      </c>
      <c r="C39" s="39">
        <v>41.9681</v>
      </c>
    </row>
    <row r="40" spans="1:3" x14ac:dyDescent="0.25">
      <c r="A40" s="38">
        <v>40871</v>
      </c>
      <c r="B40" s="39">
        <v>1.3429</v>
      </c>
      <c r="C40" s="39">
        <v>41.959499999999998</v>
      </c>
    </row>
    <row r="41" spans="1:3" x14ac:dyDescent="0.25">
      <c r="A41" s="38">
        <v>40870</v>
      </c>
      <c r="B41" s="39">
        <v>1.3508</v>
      </c>
      <c r="C41" s="39">
        <v>41.924599999999998</v>
      </c>
    </row>
    <row r="42" spans="1:3" x14ac:dyDescent="0.25">
      <c r="A42" s="38">
        <v>40869</v>
      </c>
      <c r="B42" s="39">
        <v>1.3495999999999999</v>
      </c>
      <c r="C42" s="39">
        <v>41.7881</v>
      </c>
    </row>
    <row r="43" spans="1:3" x14ac:dyDescent="0.25">
      <c r="A43" s="38">
        <v>40868</v>
      </c>
      <c r="B43" s="39">
        <v>1.3519000000000001</v>
      </c>
      <c r="C43" s="39">
        <v>40.829500000000003</v>
      </c>
    </row>
    <row r="44" spans="1:3" x14ac:dyDescent="0.25">
      <c r="A44" s="38">
        <v>40867</v>
      </c>
      <c r="B44" s="39">
        <v>1.3520000000000001</v>
      </c>
      <c r="C44" s="39">
        <v>41.114899999999999</v>
      </c>
    </row>
    <row r="45" spans="1:3" x14ac:dyDescent="0.25">
      <c r="A45" s="38">
        <v>40866</v>
      </c>
      <c r="B45" s="39">
        <v>1.3506</v>
      </c>
      <c r="C45" s="39">
        <v>41.637900000000002</v>
      </c>
    </row>
    <row r="46" spans="1:3" x14ac:dyDescent="0.25">
      <c r="A46" s="38">
        <v>40865</v>
      </c>
      <c r="B46" s="39">
        <v>1.3475999999999999</v>
      </c>
      <c r="C46" s="39">
        <v>41.456800000000001</v>
      </c>
    </row>
    <row r="47" spans="1:3" x14ac:dyDescent="0.25">
      <c r="A47" s="38">
        <v>40864</v>
      </c>
      <c r="B47" s="39">
        <v>1.3494999999999999</v>
      </c>
      <c r="C47" s="39">
        <v>41.409799999999997</v>
      </c>
    </row>
    <row r="48" spans="1:3" x14ac:dyDescent="0.25">
      <c r="A48" s="38">
        <v>40863</v>
      </c>
      <c r="B48" s="39">
        <v>1.3577999999999999</v>
      </c>
      <c r="C48" s="39">
        <v>41.543900000000001</v>
      </c>
    </row>
    <row r="49" spans="1:3" x14ac:dyDescent="0.25">
      <c r="A49" s="38">
        <v>40862</v>
      </c>
      <c r="B49" s="39">
        <v>1.3707</v>
      </c>
      <c r="C49" s="39">
        <v>41.5411</v>
      </c>
    </row>
    <row r="50" spans="1:3" x14ac:dyDescent="0.25">
      <c r="A50" s="38">
        <v>40861</v>
      </c>
      <c r="B50" s="39">
        <v>1.3751</v>
      </c>
      <c r="C50" s="39">
        <v>41.143900000000002</v>
      </c>
    </row>
    <row r="51" spans="1:3" x14ac:dyDescent="0.25">
      <c r="A51" s="38">
        <v>40860</v>
      </c>
      <c r="B51" s="39">
        <v>1.3746</v>
      </c>
      <c r="C51" s="39">
        <v>41.518900000000002</v>
      </c>
    </row>
    <row r="52" spans="1:3" x14ac:dyDescent="0.25">
      <c r="A52" s="38">
        <v>40859</v>
      </c>
      <c r="B52" s="39">
        <v>1.3656999999999999</v>
      </c>
      <c r="C52" s="39">
        <v>41.512300000000003</v>
      </c>
    </row>
    <row r="53" spans="1:3" x14ac:dyDescent="0.25">
      <c r="A53" s="38">
        <v>40858</v>
      </c>
      <c r="B53" s="39">
        <v>1.3567</v>
      </c>
      <c r="C53" s="39">
        <v>41.527299999999997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Графики</vt:lpstr>
      <vt:lpstr>Гистограмма</vt:lpstr>
      <vt:lpstr>Парето</vt:lpstr>
      <vt:lpstr>КК по колич</vt:lpstr>
      <vt:lpstr>р-карта</vt:lpstr>
      <vt:lpstr>с-карта</vt:lpstr>
      <vt:lpstr>Диаграмма разброса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User Windows</cp:lastModifiedBy>
  <dcterms:created xsi:type="dcterms:W3CDTF">2017-05-21T09:42:55Z</dcterms:created>
  <dcterms:modified xsi:type="dcterms:W3CDTF">2022-10-24T20:46:36Z</dcterms:modified>
</cp:coreProperties>
</file>